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e6f981b5846cc9e/OBRA/524 - Construção da Estação de Bombeamento de Águas Pluviais LARANJA/Medição de Cliente/BM 037-Cliente/"/>
    </mc:Choice>
  </mc:AlternateContent>
  <xr:revisionPtr revIDLastSave="311" documentId="11_9E787001744DB9D821502DFEE071AA424F4C0FCB" xr6:coauthVersionLast="47" xr6:coauthVersionMax="47" xr10:uidLastSave="{8ED3E05D-7112-4AAA-A476-E2955FB54D6B}"/>
  <bookViews>
    <workbookView xWindow="-108" yWindow="-108" windowWidth="23256" windowHeight="12576" tabRatio="885" activeTab="5" xr2:uid="{00000000-000D-0000-FFFF-FFFF00000000}"/>
  </bookViews>
  <sheets>
    <sheet name="INFORM.CONTRA." sheetId="218" r:id="rId1"/>
    <sheet name="8 - EVOLUÇÃO FINANCEIRA" sheetId="219" r:id="rId2"/>
    <sheet name="8.1 - CRONOGRAMA" sheetId="220" r:id="rId3"/>
    <sheet name="8.2 - CURVA" sheetId="221" r:id="rId4"/>
    <sheet name="10 - RESUMO" sheetId="232" r:id="rId5"/>
    <sheet name="11 - FINANCEIRA" sheetId="233" r:id="rId6"/>
    <sheet name="12 - CORPO" sheetId="234" r:id="rId7"/>
    <sheet name="13 - CUSTO" sheetId="254" r:id="rId8"/>
    <sheet name="14.1 - VERIFICAÇÃO MT " sheetId="251" state="hidden" r:id="rId9"/>
    <sheet name="14.1.1 - CHECKLIST ROTINAS " sheetId="252" state="hidden" r:id="rId10"/>
    <sheet name="14.2 - VERIFICAÇÃO AMBIENTA " sheetId="253" state="hidden" r:id="rId11"/>
    <sheet name="15 - CRONOGRAMA" sheetId="228" r:id="rId12"/>
    <sheet name="17 - CHECKLIST 1" sheetId="222" state="hidden" r:id="rId13"/>
    <sheet name="17 - CHECKLIST 2" sheetId="223" state="hidden" r:id="rId14"/>
    <sheet name="RELAÇÃO DE PESSOAL" sheetId="229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0" localSheetId="8">#REF!</definedName>
    <definedName name="\0" localSheetId="9">#REF!</definedName>
    <definedName name="\0" localSheetId="10">#REF!</definedName>
    <definedName name="\0">#REF!</definedName>
    <definedName name="\1" localSheetId="8">[1]PLANILHA!#REF!</definedName>
    <definedName name="\1" localSheetId="9">[1]PLANILHA!#REF!</definedName>
    <definedName name="\1" localSheetId="10">[1]PLANILHA!#REF!</definedName>
    <definedName name="\1">[1]PLANILHA!#REF!</definedName>
    <definedName name="\11" localSheetId="8">[2]PLANILHA!#REF!</definedName>
    <definedName name="\11" localSheetId="9">[2]PLANILHA!#REF!</definedName>
    <definedName name="\11" localSheetId="10">[2]PLANILHA!#REF!</definedName>
    <definedName name="\11">[2]PLANILHA!#REF!</definedName>
    <definedName name="\ates\z" localSheetId="4">#REF!</definedName>
    <definedName name="\ates\z" localSheetId="8">#REF!</definedName>
    <definedName name="\ates\z" localSheetId="9">#REF!</definedName>
    <definedName name="\ates\z" localSheetId="10">#REF!</definedName>
    <definedName name="\ates\z" localSheetId="11">#REF!</definedName>
    <definedName name="\ates\z" localSheetId="13">#REF!</definedName>
    <definedName name="\ates\z">#REF!</definedName>
    <definedName name="\C">#REF!</definedName>
    <definedName name="\D">#REF!</definedName>
    <definedName name="\f">#N/A</definedName>
    <definedName name="\G" localSheetId="8">#REF!</definedName>
    <definedName name="\G" localSheetId="9">#REF!</definedName>
    <definedName name="\G" localSheetId="10">#REF!</definedName>
    <definedName name="\G">#REF!</definedName>
    <definedName name="\I" localSheetId="8">#REF!</definedName>
    <definedName name="\I" localSheetId="9">#REF!</definedName>
    <definedName name="\I" localSheetId="10">#REF!</definedName>
    <definedName name="\I">#REF!</definedName>
    <definedName name="\M" localSheetId="8">#REF!</definedName>
    <definedName name="\M" localSheetId="9">#REF!</definedName>
    <definedName name="\M" localSheetId="10">#REF!</definedName>
    <definedName name="\M">#REF!</definedName>
    <definedName name="\P">#REF!</definedName>
    <definedName name="\q" localSheetId="8">'[3]Bm 8'!#REF!</definedName>
    <definedName name="\q" localSheetId="9">'[3]Bm 8'!#REF!</definedName>
    <definedName name="\q" localSheetId="10">'[3]Bm 8'!#REF!</definedName>
    <definedName name="\q">'[3]Bm 8'!#REF!</definedName>
    <definedName name="\R" localSheetId="8">#REF!</definedName>
    <definedName name="\R" localSheetId="9">#REF!</definedName>
    <definedName name="\R" localSheetId="10">#REF!</definedName>
    <definedName name="\R">#REF!</definedName>
    <definedName name="\s" localSheetId="8">'[3]Bm 8'!#REF!</definedName>
    <definedName name="\s" localSheetId="9">'[3]Bm 8'!#REF!</definedName>
    <definedName name="\s" localSheetId="10">'[3]Bm 8'!#REF!</definedName>
    <definedName name="\s">'[3]Bm 8'!#REF!</definedName>
    <definedName name="\w" localSheetId="8">[4]PLANILHA!#REF!</definedName>
    <definedName name="\w" localSheetId="9">[4]PLANILHA!#REF!</definedName>
    <definedName name="\w" localSheetId="10">[4]PLANILHA!#REF!</definedName>
    <definedName name="\w">[4]PLANILHA!#REF!</definedName>
    <definedName name="\x" localSheetId="8">'[3]Bm 8'!#REF!</definedName>
    <definedName name="\x" localSheetId="9">'[3]Bm 8'!#REF!</definedName>
    <definedName name="\x" localSheetId="10">'[3]Bm 8'!#REF!</definedName>
    <definedName name="\x">'[3]Bm 8'!#REF!</definedName>
    <definedName name="\Y" localSheetId="8">#REF!</definedName>
    <definedName name="\Y" localSheetId="9">#REF!</definedName>
    <definedName name="\Y" localSheetId="10">#REF!</definedName>
    <definedName name="\Y">#REF!</definedName>
    <definedName name="_" localSheetId="8">#REF!</definedName>
    <definedName name="_" localSheetId="9">#REF!</definedName>
    <definedName name="_" localSheetId="10">#REF!</definedName>
    <definedName name="_">#REF!</definedName>
    <definedName name="____________BOR1" localSheetId="8">'[3]Bm 8'!#REF!</definedName>
    <definedName name="____________BOR1" localSheetId="9">'[3]Bm 8'!#REF!</definedName>
    <definedName name="____________BOR1" localSheetId="10">'[3]Bm 8'!#REF!</definedName>
    <definedName name="____________BOR1">'[3]Bm 8'!#REF!</definedName>
    <definedName name="___________BOR1" localSheetId="8">'[3]Bm 8'!#REF!</definedName>
    <definedName name="___________BOR1" localSheetId="9">'[3]Bm 8'!#REF!</definedName>
    <definedName name="___________BOR1" localSheetId="10">'[3]Bm 8'!#REF!</definedName>
    <definedName name="___________BOR1">'[3]Bm 8'!#REF!</definedName>
    <definedName name="__________BOR1" localSheetId="8">'[3]Bm 8'!#REF!</definedName>
    <definedName name="__________BOR1" localSheetId="9">'[3]Bm 8'!#REF!</definedName>
    <definedName name="__________BOR1" localSheetId="10">'[3]Bm 8'!#REF!</definedName>
    <definedName name="__________BOR1">'[3]Bm 8'!#REF!</definedName>
    <definedName name="_________BOR1" localSheetId="8">'[3]Bm 8'!#REF!</definedName>
    <definedName name="_________BOR1" localSheetId="9">'[3]Bm 8'!#REF!</definedName>
    <definedName name="_________BOR1" localSheetId="10">'[3]Bm 8'!#REF!</definedName>
    <definedName name="_________BOR1">'[3]Bm 8'!#REF!</definedName>
    <definedName name="________BOR1" localSheetId="8">'[3]Bm 8'!#REF!</definedName>
    <definedName name="________BOR1" localSheetId="9">'[3]Bm 8'!#REF!</definedName>
    <definedName name="________BOR1" localSheetId="10">'[3]Bm 8'!#REF!</definedName>
    <definedName name="________BOR1">'[3]Bm 8'!#REF!</definedName>
    <definedName name="________NIL1" localSheetId="8">#REF!</definedName>
    <definedName name="________NIL1" localSheetId="9">#REF!</definedName>
    <definedName name="________NIL1" localSheetId="10">#REF!</definedName>
    <definedName name="________NIL1">#REF!</definedName>
    <definedName name="_______BOR1" localSheetId="8">'[3]Bm 8'!#REF!</definedName>
    <definedName name="_______BOR1" localSheetId="9">'[3]Bm 8'!#REF!</definedName>
    <definedName name="_______BOR1" localSheetId="10">'[3]Bm 8'!#REF!</definedName>
    <definedName name="_______BOR1">'[3]Bm 8'!#REF!</definedName>
    <definedName name="_______NIL1" localSheetId="8">#REF!</definedName>
    <definedName name="_______NIL1" localSheetId="9">#REF!</definedName>
    <definedName name="_______NIL1" localSheetId="10">#REF!</definedName>
    <definedName name="_______NIL1">#REF!</definedName>
    <definedName name="______BOR1" localSheetId="8">'[3]Bm 8'!#REF!</definedName>
    <definedName name="______BOR1" localSheetId="9">'[3]Bm 8'!#REF!</definedName>
    <definedName name="______BOR1" localSheetId="10">'[3]Bm 8'!#REF!</definedName>
    <definedName name="______BOR1">'[3]Bm 8'!#REF!</definedName>
    <definedName name="______NIL1" localSheetId="8">#REF!</definedName>
    <definedName name="______NIL1" localSheetId="9">#REF!</definedName>
    <definedName name="______NIL1" localSheetId="10">#REF!</definedName>
    <definedName name="______NIL1">#REF!</definedName>
    <definedName name="_____BOR1" localSheetId="8">'[3]Bm 8'!#REF!</definedName>
    <definedName name="_____BOR1" localSheetId="9">'[3]Bm 8'!#REF!</definedName>
    <definedName name="_____BOR1" localSheetId="10">'[3]Bm 8'!#REF!</definedName>
    <definedName name="_____BOR1">'[3]Bm 8'!#REF!</definedName>
    <definedName name="____BOR1" localSheetId="8">'[3]Bm 8'!#REF!</definedName>
    <definedName name="____BOR1" localSheetId="9">'[3]Bm 8'!#REF!</definedName>
    <definedName name="____BOR1" localSheetId="10">'[3]Bm 8'!#REF!</definedName>
    <definedName name="____BOR1">'[3]Bm 8'!#REF!</definedName>
    <definedName name="____NIL1" localSheetId="8">#REF!</definedName>
    <definedName name="____NIL1" localSheetId="9">#REF!</definedName>
    <definedName name="____NIL1" localSheetId="10">#REF!</definedName>
    <definedName name="____NIL1">#REF!</definedName>
    <definedName name="___BOR1" localSheetId="8">'[3]Bm 8'!#REF!</definedName>
    <definedName name="___BOR1" localSheetId="9">'[3]Bm 8'!#REF!</definedName>
    <definedName name="___BOR1" localSheetId="10">'[3]Bm 8'!#REF!</definedName>
    <definedName name="___BOR1">'[3]Bm 8'!#REF!</definedName>
    <definedName name="___NIL1" localSheetId="8">#REF!</definedName>
    <definedName name="___NIL1" localSheetId="9">#REF!</definedName>
    <definedName name="___NIL1" localSheetId="10">#REF!</definedName>
    <definedName name="___NIL1">#REF!</definedName>
    <definedName name="___R" localSheetId="8">#REF!</definedName>
    <definedName name="___R" localSheetId="9">#REF!</definedName>
    <definedName name="___R" localSheetId="10">#REF!</definedName>
    <definedName name="___R">#REF!</definedName>
    <definedName name="__123Graph_A" hidden="1">[5]A!$AF$59:$AF$65</definedName>
    <definedName name="__123Graph_B" hidden="1">[5]A!$AG$58:$AG$64</definedName>
    <definedName name="__123Graph_D" hidden="1">'[6]Etapa Única'!$C$125:$C$134</definedName>
    <definedName name="__123Graph_E" hidden="1">'[6]Etapa Única'!$E$125:$E$134</definedName>
    <definedName name="__123Graph_X" hidden="1">[5]A!$AE$59:$AE$65</definedName>
    <definedName name="__BOR1" localSheetId="8">'[3]Bm 8'!#REF!</definedName>
    <definedName name="__BOR1" localSheetId="9">'[3]Bm 8'!#REF!</definedName>
    <definedName name="__BOR1" localSheetId="10">'[3]Bm 8'!#REF!</definedName>
    <definedName name="__BOR1">'[3]Bm 8'!#REF!</definedName>
    <definedName name="__MDO1" localSheetId="8">#REF!</definedName>
    <definedName name="__MDO1" localSheetId="9">#REF!</definedName>
    <definedName name="__MDO1" localSheetId="10">#REF!</definedName>
    <definedName name="__MDO1">#REF!</definedName>
    <definedName name="__MDO2" localSheetId="8">#REF!</definedName>
    <definedName name="__MDO2" localSheetId="9">#REF!</definedName>
    <definedName name="__MDO2" localSheetId="10">#REF!</definedName>
    <definedName name="__MDO2">#REF!</definedName>
    <definedName name="__NIL1" localSheetId="8">#REF!</definedName>
    <definedName name="__NIL1" localSheetId="9">#REF!</definedName>
    <definedName name="__NIL1" localSheetId="10">#REF!</definedName>
    <definedName name="__NIL1">#REF!</definedName>
    <definedName name="__R">#REF!</definedName>
    <definedName name="_01" localSheetId="8">'[7]38'!$B$1</definedName>
    <definedName name="_01" localSheetId="9">'[7]38'!$B$1</definedName>
    <definedName name="_01" localSheetId="10">'[7]38'!$B$1</definedName>
    <definedName name="_01">'[8]38'!$B$1</definedName>
    <definedName name="_02" localSheetId="8">'[7]38'!$B$2:$C$2</definedName>
    <definedName name="_02" localSheetId="9">'[7]38'!$B$2:$C$2</definedName>
    <definedName name="_02" localSheetId="10">'[7]38'!$B$2:$C$2</definedName>
    <definedName name="_02">'[8]38'!$B$2:$C$2</definedName>
    <definedName name="_03" localSheetId="8">'[7]38'!$B$3:$D$3</definedName>
    <definedName name="_03" localSheetId="9">'[7]38'!$B$3:$D$3</definedName>
    <definedName name="_03" localSheetId="10">'[7]38'!$B$3:$D$3</definedName>
    <definedName name="_03">'[8]38'!$B$3:$D$3</definedName>
    <definedName name="_04" localSheetId="8">'[7]38'!$B$4:$E$4</definedName>
    <definedName name="_04" localSheetId="9">'[7]38'!$B$4:$E$4</definedName>
    <definedName name="_04" localSheetId="10">'[7]38'!$B$4:$E$4</definedName>
    <definedName name="_04">'[8]38'!$B$4:$E$4</definedName>
    <definedName name="_05" localSheetId="8">'[7]38'!$B$5:$F$5</definedName>
    <definedName name="_05" localSheetId="9">'[7]38'!$B$5:$F$5</definedName>
    <definedName name="_05" localSheetId="10">'[7]38'!$B$5:$F$5</definedName>
    <definedName name="_05">'[8]38'!$B$5:$F$5</definedName>
    <definedName name="_06" localSheetId="8">'[7]38'!$B$6:$G$6</definedName>
    <definedName name="_06" localSheetId="9">'[7]38'!$B$6:$G$6</definedName>
    <definedName name="_06" localSheetId="10">'[7]38'!$B$6:$G$6</definedName>
    <definedName name="_06">'[8]38'!$B$6:$G$6</definedName>
    <definedName name="_07" localSheetId="8">'[7]38'!$B$7:$H$7</definedName>
    <definedName name="_07" localSheetId="9">'[7]38'!$B$7:$H$7</definedName>
    <definedName name="_07" localSheetId="10">'[7]38'!$B$7:$H$7</definedName>
    <definedName name="_07">'[8]38'!$B$7:$H$7</definedName>
    <definedName name="_08" localSheetId="8">'[7]38'!$B$8:$I$8</definedName>
    <definedName name="_08" localSheetId="9">'[7]38'!$B$8:$I$8</definedName>
    <definedName name="_08" localSheetId="10">'[7]38'!$B$8:$I$8</definedName>
    <definedName name="_08">'[8]38'!$B$8:$I$8</definedName>
    <definedName name="_09" localSheetId="8">'[7]38'!$B$9:$J$9</definedName>
    <definedName name="_09" localSheetId="9">'[7]38'!$B$9:$J$9</definedName>
    <definedName name="_09" localSheetId="10">'[7]38'!$B$9:$J$9</definedName>
    <definedName name="_09">'[8]38'!$B$9:$J$9</definedName>
    <definedName name="_10" localSheetId="8">'[7]38'!$B$10:$K$10</definedName>
    <definedName name="_10" localSheetId="9">'[7]38'!$B$10:$K$10</definedName>
    <definedName name="_10" localSheetId="10">'[7]38'!$B$10:$K$10</definedName>
    <definedName name="_10">'[8]38'!$B$10:$K$10</definedName>
    <definedName name="_11" localSheetId="8">'[7]38'!$B$11:$L$11</definedName>
    <definedName name="_11" localSheetId="9">'[7]38'!$B$11:$L$11</definedName>
    <definedName name="_11" localSheetId="10">'[7]38'!$B$11:$L$11</definedName>
    <definedName name="_11">'[8]38'!$B$11:$L$11</definedName>
    <definedName name="_12" localSheetId="8">'[7]38'!$B$12:$M$12</definedName>
    <definedName name="_12" localSheetId="9">'[7]38'!$B$12:$M$12</definedName>
    <definedName name="_12" localSheetId="10">'[7]38'!$B$12:$M$12</definedName>
    <definedName name="_12">'[8]38'!$B$12:$M$12</definedName>
    <definedName name="_13" localSheetId="8">'[7]38'!$B$13:$N$13</definedName>
    <definedName name="_13" localSheetId="9">'[7]38'!$B$13:$N$13</definedName>
    <definedName name="_13" localSheetId="10">'[7]38'!$B$13:$N$13</definedName>
    <definedName name="_13">'[8]38'!$B$13:$N$13</definedName>
    <definedName name="_14" localSheetId="8">'[7]38'!$B$14:$O$14</definedName>
    <definedName name="_14" localSheetId="9">'[7]38'!$B$14:$O$14</definedName>
    <definedName name="_14" localSheetId="10">'[7]38'!$B$14:$O$14</definedName>
    <definedName name="_14">'[8]38'!$B$14:$O$14</definedName>
    <definedName name="_15" localSheetId="8">'[7]38'!$B$15:$P$15</definedName>
    <definedName name="_15" localSheetId="9">'[7]38'!$B$15:$P$15</definedName>
    <definedName name="_15" localSheetId="10">'[7]38'!$B$15:$P$15</definedName>
    <definedName name="_15">'[8]38'!$B$15:$P$15</definedName>
    <definedName name="_16" localSheetId="8">'[7]38'!$B$16:$Q$16</definedName>
    <definedName name="_16" localSheetId="9">'[7]38'!$B$16:$Q$16</definedName>
    <definedName name="_16" localSheetId="10">'[7]38'!$B$16:$Q$16</definedName>
    <definedName name="_16">'[8]38'!$B$16:$Q$16</definedName>
    <definedName name="_16.3___VEÍCULOS" localSheetId="8">'[9]16-EQUIP.'!#REF!</definedName>
    <definedName name="_16.3___VEÍCULOS" localSheetId="9">'[9]16-EQUIP.'!#REF!</definedName>
    <definedName name="_16.3___VEÍCULOS" localSheetId="10">'[9]16-EQUIP.'!#REF!</definedName>
    <definedName name="_16.3___VEÍCULOS">'[9]16-EQUIP.'!#REF!</definedName>
    <definedName name="_16.4___COMBÚSTIVEL" localSheetId="8">'[9]16-EQUIP.'!#REF!</definedName>
    <definedName name="_16.4___COMBÚSTIVEL" localSheetId="9">'[9]16-EQUIP.'!#REF!</definedName>
    <definedName name="_16.4___COMBÚSTIVEL" localSheetId="10">'[9]16-EQUIP.'!#REF!</definedName>
    <definedName name="_16.4___COMBÚSTIVEL">'[9]16-EQUIP.'!#REF!</definedName>
    <definedName name="_16.5___EQUIPAMENTOS_DE_ESCRITÓRIO" localSheetId="8">'[9]16-EQUIP.'!#REF!</definedName>
    <definedName name="_16.5___EQUIPAMENTOS_DE_ESCRITÓRIO" localSheetId="9">'[9]16-EQUIP.'!#REF!</definedName>
    <definedName name="_16.5___EQUIPAMENTOS_DE_ESCRITÓRIO" localSheetId="10">'[9]16-EQUIP.'!#REF!</definedName>
    <definedName name="_16.5___EQUIPAMENTOS_DE_ESCRITÓRIO">'[9]16-EQUIP.'!#REF!</definedName>
    <definedName name="_17" localSheetId="8">'[7]38'!$B$17:$R$17</definedName>
    <definedName name="_17" localSheetId="9">'[7]38'!$B$17:$R$17</definedName>
    <definedName name="_17" localSheetId="10">'[7]38'!$B$17:$R$17</definedName>
    <definedName name="_17">'[8]38'!$B$17:$R$17</definedName>
    <definedName name="_17.1_MENSALISTA" localSheetId="8">'[9]17-MOI'!#REF!</definedName>
    <definedName name="_17.1_MENSALISTA" localSheetId="9">'[9]17-MOI'!#REF!</definedName>
    <definedName name="_17.1_MENSALISTA" localSheetId="10">'[9]17-MOI'!#REF!</definedName>
    <definedName name="_17.1_MENSALISTA">'[9]17-MOI'!#REF!</definedName>
    <definedName name="_17.2___HORISTA" localSheetId="8">'[9]17-MOI'!#REF!</definedName>
    <definedName name="_17.2___HORISTA" localSheetId="9">'[9]17-MOI'!#REF!</definedName>
    <definedName name="_17.2___HORISTA" localSheetId="10">'[9]17-MOI'!#REF!</definedName>
    <definedName name="_17.2___HORISTA">'[9]17-MOI'!#REF!</definedName>
    <definedName name="_18" localSheetId="8">'[7]38'!$B$18:$S$18</definedName>
    <definedName name="_18" localSheetId="9">'[7]38'!$B$18:$S$18</definedName>
    <definedName name="_18" localSheetId="10">'[7]38'!$B$18:$S$18</definedName>
    <definedName name="_18">'[8]38'!$B$18:$S$18</definedName>
    <definedName name="_18___CANTEIRO___INSTALAÇÃO___MANUTENÇÃO" localSheetId="8">#REF!</definedName>
    <definedName name="_18___CANTEIRO___INSTALAÇÃO___MANUTENÇÃO" localSheetId="9">#REF!</definedName>
    <definedName name="_18___CANTEIRO___INSTALAÇÃO___MANUTENÇÃO" localSheetId="10">#REF!</definedName>
    <definedName name="_18___CANTEIRO___INSTALAÇÃO___MANUTENÇÃO">#REF!</definedName>
    <definedName name="_19" localSheetId="8">'[7]38'!$B$19:$T$19</definedName>
    <definedName name="_19" localSheetId="9">'[7]38'!$B$19:$T$19</definedName>
    <definedName name="_19" localSheetId="10">'[7]38'!$B$19:$T$19</definedName>
    <definedName name="_19">'[8]38'!$B$19:$T$19</definedName>
    <definedName name="_1Excel_BuiltIn_Print_Area_3_1" localSheetId="8">#REF!</definedName>
    <definedName name="_1Excel_BuiltIn_Print_Area_3_1" localSheetId="9">#REF!</definedName>
    <definedName name="_1Excel_BuiltIn_Print_Area_3_1" localSheetId="10">#REF!</definedName>
    <definedName name="_1Excel_BuiltIn_Print_Area_3_1">#REF!</definedName>
    <definedName name="_20" localSheetId="8">'[7]38'!$B$20:$U$20</definedName>
    <definedName name="_20" localSheetId="9">'[7]38'!$B$20:$U$20</definedName>
    <definedName name="_20" localSheetId="10">'[7]38'!$B$20:$U$20</definedName>
    <definedName name="_20">'[8]38'!$B$20:$U$20</definedName>
    <definedName name="_21" localSheetId="8">'[7]38'!$B$21:$V$21</definedName>
    <definedName name="_21" localSheetId="9">'[7]38'!$B$21:$V$21</definedName>
    <definedName name="_21" localSheetId="10">'[7]38'!$B$21:$V$21</definedName>
    <definedName name="_21">'[8]38'!$B$21:$V$21</definedName>
    <definedName name="_22" localSheetId="8">'[7]38'!$B$22:$W$22</definedName>
    <definedName name="_22" localSheetId="9">'[7]38'!$B$22:$W$22</definedName>
    <definedName name="_22" localSheetId="10">'[7]38'!$B$22:$W$22</definedName>
    <definedName name="_22">'[8]38'!$B$22:$W$22</definedName>
    <definedName name="_23" localSheetId="8">'[7]38'!$B$23:$X$23</definedName>
    <definedName name="_23" localSheetId="9">'[7]38'!$B$23:$X$23</definedName>
    <definedName name="_23" localSheetId="10">'[7]38'!$B$23:$X$23</definedName>
    <definedName name="_23">'[8]38'!$B$23:$X$23</definedName>
    <definedName name="_24" localSheetId="8">'[7]38'!$B$24:$Y$24</definedName>
    <definedName name="_24" localSheetId="9">'[7]38'!$B$24:$Y$24</definedName>
    <definedName name="_24" localSheetId="10">'[7]38'!$B$24:$Y$24</definedName>
    <definedName name="_24">'[8]38'!$B$24:$Y$24</definedName>
    <definedName name="_25" localSheetId="8">'[7]38'!$B$25:$Z$25</definedName>
    <definedName name="_25" localSheetId="9">'[7]38'!$B$25:$Z$25</definedName>
    <definedName name="_25" localSheetId="10">'[7]38'!$B$25:$Z$25</definedName>
    <definedName name="_25">'[8]38'!$B$25:$Z$25</definedName>
    <definedName name="_26" localSheetId="8">'[7]38'!$B$26:$AA$26</definedName>
    <definedName name="_26" localSheetId="9">'[7]38'!$B$26:$AA$26</definedName>
    <definedName name="_26" localSheetId="10">'[7]38'!$B$26:$AA$26</definedName>
    <definedName name="_26">'[8]38'!$B$26:$AA$26</definedName>
    <definedName name="_27" localSheetId="8">'[7]38'!$B$27:$AB$27</definedName>
    <definedName name="_27" localSheetId="9">'[7]38'!$B$27:$AB$27</definedName>
    <definedName name="_27" localSheetId="10">'[7]38'!$B$27:$AB$27</definedName>
    <definedName name="_27">'[8]38'!$B$27:$AB$27</definedName>
    <definedName name="_28" localSheetId="8">'[7]38'!$B$28:$AC$28</definedName>
    <definedName name="_28" localSheetId="9">'[7]38'!$B$28:$AC$28</definedName>
    <definedName name="_28" localSheetId="10">'[7]38'!$B$28:$AC$28</definedName>
    <definedName name="_28">'[8]38'!$B$28:$AC$28</definedName>
    <definedName name="_29" localSheetId="8">'[7]38'!$B$29:$AD$29</definedName>
    <definedName name="_29" localSheetId="9">'[7]38'!$B$29:$AD$29</definedName>
    <definedName name="_29" localSheetId="10">'[7]38'!$B$29:$AD$29</definedName>
    <definedName name="_29">'[8]38'!$B$29:$AD$29</definedName>
    <definedName name="_2Excel_BuiltIn_Print_Titles_1_1" localSheetId="8">#REF!,#REF!</definedName>
    <definedName name="_2Excel_BuiltIn_Print_Titles_1_1" localSheetId="9">#REF!,#REF!</definedName>
    <definedName name="_2Excel_BuiltIn_Print_Titles_1_1" localSheetId="10">#REF!,#REF!</definedName>
    <definedName name="_2Excel_BuiltIn_Print_Titles_1_1">#REF!,#REF!</definedName>
    <definedName name="_30" localSheetId="8">'[7]38'!$B$30:$AE$30</definedName>
    <definedName name="_30" localSheetId="9">'[7]38'!$B$30:$AE$30</definedName>
    <definedName name="_30" localSheetId="10">'[7]38'!$B$30:$AE$30</definedName>
    <definedName name="_30">'[8]38'!$B$30:$AE$30</definedName>
    <definedName name="_31" localSheetId="8">'[7]38'!$B$31:$AF$31</definedName>
    <definedName name="_31" localSheetId="9">'[7]38'!$B$31:$AF$31</definedName>
    <definedName name="_31" localSheetId="10">'[7]38'!$B$31:$AF$31</definedName>
    <definedName name="_31">'[8]38'!$B$31:$AF$31</definedName>
    <definedName name="_32" localSheetId="8">'[7]38'!$B$32:$AG$32</definedName>
    <definedName name="_32" localSheetId="9">'[7]38'!$B$32:$AG$32</definedName>
    <definedName name="_32" localSheetId="10">'[7]38'!$B$32:$AG$32</definedName>
    <definedName name="_32">'[8]38'!$B$32:$AG$32</definedName>
    <definedName name="_33" localSheetId="8">'[7]38'!$B$33:$AH$33</definedName>
    <definedName name="_33" localSheetId="9">'[7]38'!$B$33:$AH$33</definedName>
    <definedName name="_33" localSheetId="10">'[7]38'!$B$33:$AH$33</definedName>
    <definedName name="_33">'[8]38'!$B$33:$AH$33</definedName>
    <definedName name="_34" localSheetId="8">'[7]38'!$B$34:$AI$34</definedName>
    <definedName name="_34" localSheetId="9">'[7]38'!$B$34:$AI$34</definedName>
    <definedName name="_34" localSheetId="10">'[7]38'!$B$34:$AI$34</definedName>
    <definedName name="_34">'[8]38'!$B$34:$AI$34</definedName>
    <definedName name="_35" localSheetId="8">'[7]38'!$B$35:$AJ$35</definedName>
    <definedName name="_35" localSheetId="9">'[7]38'!$B$35:$AJ$35</definedName>
    <definedName name="_35" localSheetId="10">'[7]38'!$B$35:$AJ$35</definedName>
    <definedName name="_35">'[8]38'!$B$35:$AJ$35</definedName>
    <definedName name="_36" localSheetId="8">'[7]38'!$B$36:$AK$36</definedName>
    <definedName name="_36" localSheetId="9">'[7]38'!$B$36:$AK$36</definedName>
    <definedName name="_36" localSheetId="10">'[7]38'!$B$36:$AK$36</definedName>
    <definedName name="_36">'[8]38'!$B$36:$AK$36</definedName>
    <definedName name="_37" localSheetId="8">'[7]38'!$B$37:$AL$37</definedName>
    <definedName name="_37" localSheetId="9">'[7]38'!$B$37:$AL$37</definedName>
    <definedName name="_37" localSheetId="10">'[7]38'!$B$37:$AL$37</definedName>
    <definedName name="_37">'[8]38'!$B$37:$AL$37</definedName>
    <definedName name="_38" localSheetId="8">'[7]38'!$B$38:$AM$38</definedName>
    <definedName name="_38" localSheetId="9">'[7]38'!$B$38:$AM$38</definedName>
    <definedName name="_38" localSheetId="10">'[7]38'!$B$38:$AM$38</definedName>
    <definedName name="_38">'[8]38'!$B$38:$AM$38</definedName>
    <definedName name="_39" localSheetId="8">'[7]38'!$B$39:$AN$39</definedName>
    <definedName name="_39" localSheetId="9">'[7]38'!$B$39:$AN$39</definedName>
    <definedName name="_39" localSheetId="10">'[7]38'!$B$39:$AN$39</definedName>
    <definedName name="_39">'[8]38'!$B$39:$AN$39</definedName>
    <definedName name="_3Excel_BuiltIn_Print_Titles_1_1" localSheetId="8">#REF!,#REF!</definedName>
    <definedName name="_3Excel_BuiltIn_Print_Titles_1_1" localSheetId="9">#REF!,#REF!</definedName>
    <definedName name="_3Excel_BuiltIn_Print_Titles_1_1" localSheetId="10">#REF!,#REF!</definedName>
    <definedName name="_3Excel_BuiltIn_Print_Titles_1_1">#REF!,#REF!</definedName>
    <definedName name="_40" localSheetId="8">'[7]38'!$B$40:$AO$40</definedName>
    <definedName name="_40" localSheetId="9">'[7]38'!$B$40:$AO$40</definedName>
    <definedName name="_40" localSheetId="10">'[7]38'!$B$40:$AO$40</definedName>
    <definedName name="_40">'[8]38'!$B$40:$AO$40</definedName>
    <definedName name="_41" localSheetId="8">'[7]38'!$B$41:$AP$41</definedName>
    <definedName name="_41" localSheetId="9">'[7]38'!$B$41:$AP$41</definedName>
    <definedName name="_41" localSheetId="10">'[7]38'!$B$41:$AP$41</definedName>
    <definedName name="_41">'[8]38'!$B$41:$AP$41</definedName>
    <definedName name="_42" localSheetId="8">'[7]38'!$B$42:$AQ$42</definedName>
    <definedName name="_42" localSheetId="9">'[7]38'!$B$42:$AQ$42</definedName>
    <definedName name="_42" localSheetId="10">'[7]38'!$B$42:$AQ$42</definedName>
    <definedName name="_42">'[8]38'!$B$42:$AQ$42</definedName>
    <definedName name="_43" localSheetId="8">'[7]38'!$B$43:$AR$43</definedName>
    <definedName name="_43" localSheetId="9">'[7]38'!$B$43:$AR$43</definedName>
    <definedName name="_43" localSheetId="10">'[7]38'!$B$43:$AR$43</definedName>
    <definedName name="_43">'[8]38'!$B$43:$AR$43</definedName>
    <definedName name="_44" localSheetId="8">'[7]38'!$B$44:$AS$44</definedName>
    <definedName name="_44" localSheetId="9">'[7]38'!$B$44:$AS$44</definedName>
    <definedName name="_44" localSheetId="10">'[7]38'!$B$44:$AS$44</definedName>
    <definedName name="_44">'[8]38'!$B$44:$AS$44</definedName>
    <definedName name="_45" localSheetId="8">'[7]38'!$B$45:$AT$45</definedName>
    <definedName name="_45" localSheetId="9">'[7]38'!$B$45:$AT$45</definedName>
    <definedName name="_45" localSheetId="10">'[7]38'!$B$45:$AT$45</definedName>
    <definedName name="_45">'[8]38'!$B$45:$AT$45</definedName>
    <definedName name="_46" localSheetId="8">'[7]38'!$B$46:$AU$46</definedName>
    <definedName name="_46" localSheetId="9">'[7]38'!$B$46:$AU$46</definedName>
    <definedName name="_46" localSheetId="10">'[7]38'!$B$46:$AU$46</definedName>
    <definedName name="_46">'[8]38'!$B$46:$AU$46</definedName>
    <definedName name="_47" localSheetId="8">'[7]38'!$B$47:$AV$47</definedName>
    <definedName name="_47" localSheetId="9">'[7]38'!$B$47:$AV$47</definedName>
    <definedName name="_47" localSheetId="10">'[7]38'!$B$47:$AV$47</definedName>
    <definedName name="_47">'[8]38'!$B$47:$AV$47</definedName>
    <definedName name="_48" localSheetId="8">'[7]38'!$B$48:$AW$48</definedName>
    <definedName name="_48" localSheetId="9">'[7]38'!$B$48:$AW$48</definedName>
    <definedName name="_48" localSheetId="10">'[7]38'!$B$48:$AW$48</definedName>
    <definedName name="_48">'[8]38'!$B$48:$AW$48</definedName>
    <definedName name="_49" localSheetId="8">'[7]38'!$B$49:$AX$49</definedName>
    <definedName name="_49" localSheetId="9">'[7]38'!$B$49:$AX$49</definedName>
    <definedName name="_49" localSheetId="10">'[7]38'!$B$49:$AX$49</definedName>
    <definedName name="_49">'[8]38'!$B$49:$AX$49</definedName>
    <definedName name="_50" localSheetId="8">'[7]38'!$B$50:$AY$50</definedName>
    <definedName name="_50" localSheetId="9">'[7]38'!$B$50:$AY$50</definedName>
    <definedName name="_50" localSheetId="10">'[7]38'!$B$50:$AY$50</definedName>
    <definedName name="_50">'[8]38'!$B$50:$AY$50</definedName>
    <definedName name="_51" localSheetId="8">'[7]38'!$B$51:$AZ$51</definedName>
    <definedName name="_51" localSheetId="9">'[7]38'!$B$51:$AZ$51</definedName>
    <definedName name="_51" localSheetId="10">'[7]38'!$B$51:$AZ$51</definedName>
    <definedName name="_51">'[8]38'!$B$51:$AZ$51</definedName>
    <definedName name="_52" localSheetId="8">'[7]38'!$B$52:$BA$52</definedName>
    <definedName name="_52" localSheetId="9">'[7]38'!$B$52:$BA$52</definedName>
    <definedName name="_52" localSheetId="10">'[7]38'!$B$52:$BA$52</definedName>
    <definedName name="_52">'[8]38'!$B$52:$BA$52</definedName>
    <definedName name="_53" localSheetId="8">'[7]38'!$B$53:$BB$53</definedName>
    <definedName name="_53" localSheetId="9">'[7]38'!$B$53:$BB$53</definedName>
    <definedName name="_53" localSheetId="10">'[7]38'!$B$53:$BB$53</definedName>
    <definedName name="_53">'[8]38'!$B$53:$BB$53</definedName>
    <definedName name="_6Excel_BuiltIn_Print_Titles_2_1_1" localSheetId="8">(#REF!,#REF!)</definedName>
    <definedName name="_6Excel_BuiltIn_Print_Titles_2_1_1" localSheetId="9">(#REF!,#REF!)</definedName>
    <definedName name="_6Excel_BuiltIn_Print_Titles_2_1_1" localSheetId="10">(#REF!,#REF!)</definedName>
    <definedName name="_6Excel_BuiltIn_Print_Titles_2_1_1" localSheetId="2">(#REF!,#REF!)</definedName>
    <definedName name="_6Excel_BuiltIn_Print_Titles_2_1_1" localSheetId="3">(#REF!,#REF!)</definedName>
    <definedName name="_6Excel_BuiltIn_Print_Titles_2_1_1">(#REF!,#REF!)</definedName>
    <definedName name="_BOR1" localSheetId="8">'[3]Bm 8'!#REF!</definedName>
    <definedName name="_BOR1" localSheetId="9">'[3]Bm 8'!#REF!</definedName>
    <definedName name="_BOR1" localSheetId="10">'[3]Bm 8'!#REF!</definedName>
    <definedName name="_BOR1">'[3]Bm 8'!#REF!</definedName>
    <definedName name="_C" localSheetId="2">[10]Reforma!#REF!</definedName>
    <definedName name="_C" localSheetId="3">[10]Reforma!#REF!</definedName>
    <definedName name="_C">[10]Reforma!#REF!</definedName>
    <definedName name="_C_1" localSheetId="2">[10]Reforma!#REF!</definedName>
    <definedName name="_C_1" localSheetId="3">[10]Reforma!#REF!</definedName>
    <definedName name="_C_1">[10]Reforma!#REF!</definedName>
    <definedName name="_D">[10]Reforma!#REF!</definedName>
    <definedName name="_D_1">[10]Reforma!#REF!</definedName>
    <definedName name="_FCCEMED_" localSheetId="8">#REF!</definedName>
    <definedName name="_FCCEMED_" localSheetId="9">#REF!</definedName>
    <definedName name="_FCCEMED_" localSheetId="10">#REF!</definedName>
    <definedName name="_FCCEMED_" localSheetId="2">#REF!</definedName>
    <definedName name="_FCCEMED_" localSheetId="3">#REF!</definedName>
    <definedName name="_FCCEMED_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4" hidden="1">'10 - RESUMO'!$F$14:$H$469</definedName>
    <definedName name="_xlnm._FilterDatabase" localSheetId="5" hidden="1">'11 - FINANCEIRA'!$A$8:$CK$465</definedName>
    <definedName name="_xlnm._FilterDatabase" localSheetId="6" hidden="1">'12 - CORPO'!$V$1:$V$5530</definedName>
    <definedName name="_xlnm._FilterDatabase" localSheetId="14" hidden="1">'RELAÇÃO DE PESSOAL'!$A$5:$D$29</definedName>
    <definedName name="_FOG50" localSheetId="8">#REF!</definedName>
    <definedName name="_FOG50" localSheetId="9">#REF!</definedName>
    <definedName name="_FOG50" localSheetId="10">#REF!</definedName>
    <definedName name="_FOG50" localSheetId="2">#REF!</definedName>
    <definedName name="_FOG50" localSheetId="3">#REF!</definedName>
    <definedName name="_FOG50">#REF!</definedName>
    <definedName name="_G" localSheetId="8">[10]Reforma!#REF!</definedName>
    <definedName name="_G" localSheetId="9">[10]Reforma!#REF!</definedName>
    <definedName name="_G" localSheetId="10">[10]Reforma!#REF!</definedName>
    <definedName name="_G" localSheetId="2">[10]Reforma!#REF!</definedName>
    <definedName name="_G" localSheetId="3">[10]Reforma!#REF!</definedName>
    <definedName name="_G">[10]Reforma!#REF!</definedName>
    <definedName name="_G_1" localSheetId="2">[10]Reforma!#REF!</definedName>
    <definedName name="_G_1" localSheetId="3">[10]Reforma!#REF!</definedName>
    <definedName name="_G_1">[10]Reforma!#REF!</definedName>
    <definedName name="_GOTO_D1_" localSheetId="8">#REF!</definedName>
    <definedName name="_GOTO_D1_" localSheetId="9">#REF!</definedName>
    <definedName name="_GOTO_D1_" localSheetId="10">#REF!</definedName>
    <definedName name="_GOTO_D1_" localSheetId="2">#REF!</definedName>
    <definedName name="_GOTO_D1_" localSheetId="3">#REF!</definedName>
    <definedName name="_GOTO_D1_">#REF!</definedName>
    <definedName name="_GOTO_E1_" localSheetId="2">#REF!</definedName>
    <definedName name="_GOTO_E1_" localSheetId="3">#REF!</definedName>
    <definedName name="_GOTO_E1_">#REF!</definedName>
    <definedName name="_GOTO_N1_" localSheetId="2">#REF!</definedName>
    <definedName name="_GOTO_N1_" localSheetId="3">#REF!</definedName>
    <definedName name="_GOTO_N1_">#REF!</definedName>
    <definedName name="_HOME__" localSheetId="2">#REF!</definedName>
    <definedName name="_HOME__" localSheetId="3">#REF!</definedName>
    <definedName name="_HOME__">#REF!</definedName>
    <definedName name="_I" localSheetId="2">[10]Reforma!#REF!</definedName>
    <definedName name="_I" localSheetId="3">[10]Reforma!#REF!</definedName>
    <definedName name="_I">[10]Reforma!#REF!</definedName>
    <definedName name="_I_1" localSheetId="2">[10]Reforma!#REF!</definedName>
    <definedName name="_I_1" localSheetId="3">[10]Reforma!#REF!</definedName>
    <definedName name="_I_1">[10]Reforma!#REF!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hidden="1">#REF!</definedName>
    <definedName name="_M" localSheetId="8">[10]Reforma!#REF!</definedName>
    <definedName name="_M" localSheetId="9">[10]Reforma!#REF!</definedName>
    <definedName name="_M" localSheetId="10">[10]Reforma!#REF!</definedName>
    <definedName name="_M" localSheetId="2">[10]Reforma!#REF!</definedName>
    <definedName name="_M" localSheetId="3">[10]Reforma!#REF!</definedName>
    <definedName name="_M">[10]Reforma!#REF!</definedName>
    <definedName name="_M_1" localSheetId="2">[10]Reforma!#REF!</definedName>
    <definedName name="_M_1" localSheetId="3">[10]Reforma!#REF!</definedName>
    <definedName name="_M_1">[10]Reforma!#REF!</definedName>
    <definedName name="_MDO1" localSheetId="8">#REF!</definedName>
    <definedName name="_MDO1" localSheetId="9">#REF!</definedName>
    <definedName name="_MDO1" localSheetId="10">#REF!</definedName>
    <definedName name="_MDO1" localSheetId="2">#REF!</definedName>
    <definedName name="_MDO1" localSheetId="3">#REF!</definedName>
    <definedName name="_MDO1">#REF!</definedName>
    <definedName name="_MDO2">#REF!</definedName>
    <definedName name="_MM" hidden="1">#REF!</definedName>
    <definedName name="_NIL1">#REF!</definedName>
    <definedName name="_Order1" hidden="1">255</definedName>
    <definedName name="_P">[10]Reforma!#REF!</definedName>
    <definedName name="_P_1">[10]Reforma!#REF!</definedName>
    <definedName name="_planilhapu" localSheetId="8">#REF!</definedName>
    <definedName name="_planilhapu" localSheetId="9">#REF!</definedName>
    <definedName name="_planilhapu" localSheetId="10">#REF!</definedName>
    <definedName name="_planilhapu">#REF!</definedName>
    <definedName name="_PPOS015Q_AGPQ_" localSheetId="8">#REF!</definedName>
    <definedName name="_PPOS015Q_AGPQ_" localSheetId="9">#REF!</definedName>
    <definedName name="_PPOS015Q_AGPQ_" localSheetId="10">#REF!</definedName>
    <definedName name="_PPOS015Q_AGPQ_">#REF!</definedName>
    <definedName name="_PPOS015Q_AGPQ__6" localSheetId="2">#REF!</definedName>
    <definedName name="_PPOS015Q_AGPQ__6" localSheetId="3">#REF!</definedName>
    <definedName name="_PPOS015Q_AGPQ__6">#REF!</definedName>
    <definedName name="_PVC100">#REF!</definedName>
    <definedName name="_PVC150">#REF!</definedName>
    <definedName name="_PVC50">#REF!</definedName>
    <definedName name="_PVC75">#REF!</definedName>
    <definedName name="_QUAN" localSheetId="8" hidden="1">{#N/A,#N/A,FALSE,"MO (2)"}</definedName>
    <definedName name="_QUAN" localSheetId="9" hidden="1">{#N/A,#N/A,FALSE,"MO (2)"}</definedName>
    <definedName name="_QUAN" localSheetId="10" hidden="1">{#N/A,#N/A,FALSE,"MO (2)"}</definedName>
    <definedName name="_QUAN" hidden="1">{#N/A,#N/A,FALSE,"MO (2)"}</definedName>
    <definedName name="_R">[10]Reforma!#REF!</definedName>
    <definedName name="_R_1">[10]Reforma!#REF!</definedName>
    <definedName name="_REA1.N10_" localSheetId="8">#REF!</definedName>
    <definedName name="_REA1.N10_" localSheetId="9">#REF!</definedName>
    <definedName name="_REA1.N10_" localSheetId="10">#REF!</definedName>
    <definedName name="_REA1.N10_" localSheetId="2">#REF!</definedName>
    <definedName name="_REA1.N10_" localSheetId="3">#REF!</definedName>
    <definedName name="_REA1.N10_">#REF!</definedName>
    <definedName name="_Sort" localSheetId="2" hidden="1">#REF!</definedName>
    <definedName name="_Sort" localSheetId="3" hidden="1">#REF!</definedName>
    <definedName name="_Sort" hidden="1">#REF!</definedName>
    <definedName name="_VBF1" localSheetId="2">#REF!</definedName>
    <definedName name="_VBF1" localSheetId="3">#REF!</definedName>
    <definedName name="_VBF1">#REF!</definedName>
    <definedName name="_VE1">#REF!</definedName>
    <definedName name="_VO1">[11]MEMORIAL!#REF!</definedName>
    <definedName name="_VR1" localSheetId="8">#REF!</definedName>
    <definedName name="_VR1" localSheetId="9">#REF!</definedName>
    <definedName name="_VR1" localSheetId="10">#REF!</definedName>
    <definedName name="_VR1" localSheetId="2">#REF!</definedName>
    <definedName name="_VR1" localSheetId="3">#REF!</definedName>
    <definedName name="_VR1">#REF!</definedName>
    <definedName name="_WCS13_">#REF!</definedName>
    <definedName name="_WCS43_">#REF!</definedName>
    <definedName name="_WDCN1.S1_">#REF!</definedName>
    <definedName name="_WGZY_">#REF!</definedName>
    <definedName name="_WGZY__6">#REF!</definedName>
    <definedName name="_WICE1_">#REF!</definedName>
    <definedName name="_WIRA1.A8_">#REF!</definedName>
    <definedName name="_Y">[10]Reforma!#REF!</definedName>
    <definedName name="_Y_1">[10]Reforma!#REF!</definedName>
    <definedName name="A" localSheetId="4">#REF!</definedName>
    <definedName name="A" localSheetId="8">#REF!</definedName>
    <definedName name="A">#REF!</definedName>
    <definedName name="A__1" localSheetId="8">[11]MEMORIAL!#REF!</definedName>
    <definedName name="A__1" localSheetId="9">[11]MEMORIAL!#REF!</definedName>
    <definedName name="A__1" localSheetId="10">[11]MEMORIAL!#REF!</definedName>
    <definedName name="A__1">[11]MEMORIAL!#REF!</definedName>
    <definedName name="A__1_1" localSheetId="8">[11]MEMORIAL!#REF!</definedName>
    <definedName name="A__1_1" localSheetId="9">[11]MEMORIAL!#REF!</definedName>
    <definedName name="A__1_1" localSheetId="10">[11]MEMORIAL!#REF!</definedName>
    <definedName name="A__1_1">[11]MEMORIAL!#REF!</definedName>
    <definedName name="A__2" localSheetId="8">[11]MEMORIAL!#REF!</definedName>
    <definedName name="A__2" localSheetId="9">[11]MEMORIAL!#REF!</definedName>
    <definedName name="A__2" localSheetId="10">[11]MEMORIAL!#REF!</definedName>
    <definedName name="A__2">[11]MEMORIAL!#REF!</definedName>
    <definedName name="A__2_1" localSheetId="8">[11]MEMORIAL!#REF!</definedName>
    <definedName name="A__2_1" localSheetId="9">[11]MEMORIAL!#REF!</definedName>
    <definedName name="A__2_1" localSheetId="10">[11]MEMORIAL!#REF!</definedName>
    <definedName name="A__2_1">[11]MEMORIAL!#REF!</definedName>
    <definedName name="A__3">[11]MEMORIAL!#REF!</definedName>
    <definedName name="A__3_1">[11]MEMORIAL!#REF!</definedName>
    <definedName name="A__4">[11]MEMORIAL!#REF!</definedName>
    <definedName name="A__4_1">[11]MEMORIAL!#REF!</definedName>
    <definedName name="A__5">[11]MEMORIAL!#REF!</definedName>
    <definedName name="A__5_1">[11]MEMORIAL!#REF!</definedName>
    <definedName name="A__6">[11]MEMORIAL!#REF!</definedName>
    <definedName name="A__6_1">[11]MEMORIAL!#REF!</definedName>
    <definedName name="A_1">[11]MEMORIAL!#REF!</definedName>
    <definedName name="A_1_1">[11]MEMORIAL!#REF!</definedName>
    <definedName name="A_2">[11]MEMORIAL!#REF!</definedName>
    <definedName name="A_2_1">[11]MEMORIAL!#REF!</definedName>
    <definedName name="A_3">[11]MEMORIAL!#REF!</definedName>
    <definedName name="A_3_1">[11]MEMORIAL!#REF!</definedName>
    <definedName name="A_4">[11]MEMORIAL!#REF!</definedName>
    <definedName name="a1B16279" localSheetId="8">#REF!</definedName>
    <definedName name="a1B16279" localSheetId="9">#REF!</definedName>
    <definedName name="a1B16279" localSheetId="10">#REF!</definedName>
    <definedName name="a1B16279" localSheetId="2">#REF!</definedName>
    <definedName name="a1B16279" localSheetId="3">#REF!</definedName>
    <definedName name="a1B16279">#REF!</definedName>
    <definedName name="Aa" localSheetId="4">#REF!</definedName>
    <definedName name="Aa" localSheetId="8">#REF!</definedName>
    <definedName name="Aa">#REF!</definedName>
    <definedName name="AAA" localSheetId="8">#REF!</definedName>
    <definedName name="AAA">#REF!</definedName>
    <definedName name="AAAA" localSheetId="8">'[12]PLANILHA DE QUANT. E CUSTOS A'!#REF!</definedName>
    <definedName name="AAAA">'[12]PLANILHA DE QUANT. E CUSTOS A'!#REF!</definedName>
    <definedName name="aaaaa" localSheetId="8">'[12]PLANILHA DE QUANT. E CUSTOS A'!#REF!</definedName>
    <definedName name="aaaaa">'[12]PLANILHA DE QUANT. E CUSTOS A'!#REF!</definedName>
    <definedName name="aaaaaa2" localSheetId="8">#REF!,#REF!</definedName>
    <definedName name="aaaaaa2" localSheetId="9">#REF!,#REF!</definedName>
    <definedName name="aaaaaa2" localSheetId="10">#REF!,#REF!</definedName>
    <definedName name="aaaaaa2">#REF!,#REF!</definedName>
    <definedName name="AAAAAAAA" localSheetId="8">#REF!,#REF!</definedName>
    <definedName name="AAAAAAAA" localSheetId="9">#REF!,#REF!</definedName>
    <definedName name="AAAAAAAA" localSheetId="10">#REF!,#REF!</definedName>
    <definedName name="AAAAAAAA">#REF!,#REF!</definedName>
    <definedName name="aaaaaaaaaaa" localSheetId="8">#REF!,#REF!</definedName>
    <definedName name="aaaaaaaaaaa" localSheetId="9">#REF!,#REF!</definedName>
    <definedName name="aaaaaaaaaaa" localSheetId="10">#REF!,#REF!</definedName>
    <definedName name="aaaaaaaaaaa">#REF!,#REF!</definedName>
    <definedName name="AB" localSheetId="8">'[12]PLANILHA DE QUANT. E CUSTOS A'!#REF!</definedName>
    <definedName name="AB" localSheetId="9">'[12]PLANILHA DE QUANT. E CUSTOS A'!#REF!</definedName>
    <definedName name="AB" localSheetId="10">'[12]PLANILHA DE QUANT. E CUSTOS A'!#REF!</definedName>
    <definedName name="AB">'[12]PLANILHA DE QUANT. E CUSTOS A'!#REF!</definedName>
    <definedName name="ABC" localSheetId="4">#REF!</definedName>
    <definedName name="ABC" localSheetId="8">#REF!</definedName>
    <definedName name="ABC" localSheetId="9">#REF!</definedName>
    <definedName name="ABC" localSheetId="11">#REF!</definedName>
    <definedName name="ABC">#REF!</definedName>
    <definedName name="Ac">#REF!</definedName>
    <definedName name="acha.coluna">#REF!</definedName>
    <definedName name="acha.dados">#REF!</definedName>
    <definedName name="acha.linha">#REF!</definedName>
    <definedName name="ACRESC.22">#REF!</definedName>
    <definedName name="Adut" hidden="1">#REF!</definedName>
    <definedName name="ADWEF" localSheetId="4">#REF!</definedName>
    <definedName name="ADWEF" localSheetId="8">#REF!</definedName>
    <definedName name="ADWEF" localSheetId="9">#REF!</definedName>
    <definedName name="ADWEF" localSheetId="11">#REF!</definedName>
    <definedName name="ADWEF">#REF!</definedName>
    <definedName name="ADWEF_1" localSheetId="4">#REF!</definedName>
    <definedName name="ADWEF_1" localSheetId="8">#REF!</definedName>
    <definedName name="ADWEF_1" localSheetId="9">#REF!</definedName>
    <definedName name="ADWEF_1" localSheetId="11">#REF!</definedName>
    <definedName name="ADWEF_1">#REF!</definedName>
    <definedName name="ADWEFF">#REF!</definedName>
    <definedName name="AF">'[12]PLANILHA DE QUANT. E CUSTOS A'!#REF!</definedName>
    <definedName name="AJUDA" localSheetId="8">#REF!</definedName>
    <definedName name="AJUDA" localSheetId="9">#REF!</definedName>
    <definedName name="AJUDA" localSheetId="10">#REF!</definedName>
    <definedName name="AJUDA">#REF!</definedName>
    <definedName name="Ala" localSheetId="8">'[3]Bm 8'!#REF!</definedName>
    <definedName name="Ala" localSheetId="9">'[3]Bm 8'!#REF!</definedName>
    <definedName name="Ala" localSheetId="10">'[3]Bm 8'!#REF!</definedName>
    <definedName name="Ala">'[3]Bm 8'!#REF!</definedName>
    <definedName name="Alex" localSheetId="8">#REF!</definedName>
    <definedName name="Alex" localSheetId="9">#REF!</definedName>
    <definedName name="Alex" localSheetId="10">#REF!</definedName>
    <definedName name="Alex" localSheetId="2">#REF!</definedName>
    <definedName name="Alex" localSheetId="3">#REF!</definedName>
    <definedName name="Alex">#REF!</definedName>
    <definedName name="ALIAS" localSheetId="2">#REF!</definedName>
    <definedName name="ALIAS" localSheetId="3">#REF!</definedName>
    <definedName name="ALIAS">#REF!</definedName>
    <definedName name="ANA" localSheetId="2">'[13]Refor Out. 2001 - BDI=20% Ajust'!#REF!</definedName>
    <definedName name="ANA" localSheetId="3">'[13]Refor Out. 2001 - BDI=20% Ajust'!#REF!</definedName>
    <definedName name="ANA">'[13]Refor Out. 2001 - BDI=20% Ajust'!#REF!</definedName>
    <definedName name="ANEXO_10_MATRIZ_DE_RESPONSABILIDADE" localSheetId="8">#REF!</definedName>
    <definedName name="ANEXO_10_MATRIZ_DE_RESPONSABILIDADE" localSheetId="9">#REF!</definedName>
    <definedName name="ANEXO_10_MATRIZ_DE_RESPONSABILIDADE" localSheetId="10">#REF!</definedName>
    <definedName name="ANEXO_10_MATRIZ_DE_RESPONSABILIDADE">#REF!</definedName>
    <definedName name="anexo_I" localSheetId="8">#REF!</definedName>
    <definedName name="anexo_I" localSheetId="9">#REF!</definedName>
    <definedName name="anexo_I" localSheetId="10">#REF!</definedName>
    <definedName name="anexo_I">#REF!</definedName>
    <definedName name="APARENTE" localSheetId="2">#REF!</definedName>
    <definedName name="APARENTE" localSheetId="3">#REF!</definedName>
    <definedName name="APARENTE">#REF!</definedName>
    <definedName name="area" localSheetId="2">'[14]BAIXO GUANDU ITAIMBE'!#REF!</definedName>
    <definedName name="area" localSheetId="3">'[14]BAIXO GUANDU ITAIMBE'!#REF!</definedName>
    <definedName name="area">'[14]BAIXO GUANDU ITAIMBE'!#REF!</definedName>
    <definedName name="_xlnm.Print_Area" localSheetId="4">'10 - RESUMO'!$B$1:$E$470</definedName>
    <definedName name="_xlnm.Print_Area" localSheetId="5">'11 - FINANCEIRA'!$A$2:$M$465</definedName>
    <definedName name="_xlnm.Print_Area" localSheetId="6">'12 - CORPO'!$B$1:$U$4826</definedName>
    <definedName name="_xlnm.Print_Area" localSheetId="7">'13 - CUSTO'!$A$1:$F$36</definedName>
    <definedName name="_xlnm.Print_Area" localSheetId="8">'14.1 - VERIFICAÇÃO MT '!$A$1:$D$42</definedName>
    <definedName name="_xlnm.Print_Area" localSheetId="9">'14.1.1 - CHECKLIST ROTINAS '!$A$1:$E$100</definedName>
    <definedName name="_xlnm.Print_Area" localSheetId="10">'14.2 - VERIFICAÇÃO AMBIENTA '!$A$1:$D$17</definedName>
    <definedName name="_xlnm.Print_Area" localSheetId="11">'15 - CRONOGRAMA'!$A$1:$AG$27</definedName>
    <definedName name="_xlnm.Print_Area" localSheetId="12">'17 - CHECKLIST 1'!$A$1:$E$23</definedName>
    <definedName name="_xlnm.Print_Area" localSheetId="13">'17 - CHECKLIST 2'!$A$1:$E$34</definedName>
    <definedName name="_xlnm.Print_Area" localSheetId="1">'8 - EVOLUÇÃO FINANCEIRA'!$B$1:$O$52</definedName>
    <definedName name="_xlnm.Print_Area" localSheetId="2">'8.1 - CRONOGRAMA'!$A$1:$AP$69</definedName>
    <definedName name="_xlnm.Print_Area" localSheetId="3">'8.2 - CURVA'!$A$1:$AV$123</definedName>
    <definedName name="_xlnm.Print_Area" localSheetId="0">'INFORM.CONTRA.'!$B$1:$AH$484</definedName>
    <definedName name="_xlnm.Print_Area" localSheetId="14">'RELAÇÃO DE PESSOAL'!$A$1:$D$59</definedName>
    <definedName name="_xlnm.Print_Area">#REF!</definedName>
    <definedName name="Área_impressão_IM">"$#REF!.$A$1:$H$39"</definedName>
    <definedName name="Área_impressão_IM_1">"$#REF!.$A$1:$H$39"</definedName>
    <definedName name="Área_impressão_IM_5">"$#REF!.$A$1:$H$39"</definedName>
    <definedName name="areia" localSheetId="8">'[14]BAIXO GUANDU ITAIMBE'!#REF!</definedName>
    <definedName name="areia" localSheetId="9">'[14]BAIXO GUANDU ITAIMBE'!#REF!</definedName>
    <definedName name="areia" localSheetId="10">'[14]BAIXO GUANDU ITAIMBE'!#REF!</definedName>
    <definedName name="areia" localSheetId="2">'[14]BAIXO GUANDU ITAIMBE'!#REF!</definedName>
    <definedName name="areia" localSheetId="3">'[14]BAIXO GUANDU ITAIMBE'!#REF!</definedName>
    <definedName name="areia">'[14]BAIXO GUANDU ITAIMBE'!#REF!</definedName>
    <definedName name="arta" localSheetId="8">#REF!</definedName>
    <definedName name="arta" localSheetId="9">#REF!</definedName>
    <definedName name="arta" localSheetId="10">#REF!</definedName>
    <definedName name="arta" localSheetId="2">#REF!</definedName>
    <definedName name="arta" localSheetId="3">#REF!</definedName>
    <definedName name="arta">#REF!</definedName>
    <definedName name="as" localSheetId="4">#REF!</definedName>
    <definedName name="as" localSheetId="8">#REF!</definedName>
    <definedName name="as" localSheetId="9">#REF!</definedName>
    <definedName name="as" localSheetId="11">#REF!</definedName>
    <definedName name="as">#REF!</definedName>
    <definedName name="asa" localSheetId="0">#REF!</definedName>
    <definedName name="asa">#REF!</definedName>
    <definedName name="ASDASDASD">#REF!</definedName>
    <definedName name="asdf" localSheetId="4">#REF!</definedName>
    <definedName name="asdf" localSheetId="8">#REF!</definedName>
    <definedName name="asdf" localSheetId="9">#REF!</definedName>
    <definedName name="asdf" localSheetId="11">#REF!</definedName>
    <definedName name="asdf">#REF!</definedName>
    <definedName name="ASDSSS" localSheetId="4">#REF!</definedName>
    <definedName name="ASDSSS" localSheetId="8">#REF!</definedName>
    <definedName name="ASDSSS" localSheetId="9">#REF!</definedName>
    <definedName name="ASDSSS" localSheetId="11">#REF!</definedName>
    <definedName name="ASDSSS">#REF!</definedName>
    <definedName name="ASFALTO">#REF!</definedName>
    <definedName name="ASFALTO_1">#REF!</definedName>
    <definedName name="ASPECTO_ARQ" localSheetId="2">[15]Plan1!$A$145:$A$148</definedName>
    <definedName name="ASPECTO_ARQ" localSheetId="3">[15]Plan1!$A$145:$A$148</definedName>
    <definedName name="ASPECTO_ARQ">[16]Plan1!$A$145:$A$148</definedName>
    <definedName name="ATA_DE_REUNIÃO" localSheetId="8">#REF!</definedName>
    <definedName name="ATA_DE_REUNIÃO" localSheetId="9">#REF!</definedName>
    <definedName name="ATA_DE_REUNIÃO" localSheetId="10">#REF!</definedName>
    <definedName name="ATA_DE_REUNIÃO">#REF!</definedName>
    <definedName name="ATERRO" localSheetId="8">#REF!</definedName>
    <definedName name="ATERRO" localSheetId="9">#REF!</definedName>
    <definedName name="ATERRO" localSheetId="10">#REF!</definedName>
    <definedName name="ATERRO">#REF!</definedName>
    <definedName name="ATERRO_100" localSheetId="8">#REF!</definedName>
    <definedName name="ATERRO_100">#REF!</definedName>
    <definedName name="AUXILIARES">#REF!</definedName>
    <definedName name="B" localSheetId="8">#REF!</definedName>
    <definedName name="B">#REF!</definedName>
    <definedName name="B_MEC">#REF!</definedName>
    <definedName name="Banco_dados_IM">#REF!</definedName>
    <definedName name="_xlnm.Database">#REF!</definedName>
    <definedName name="BBB">#REF!</definedName>
    <definedName name="BBBB">'[12]PLANILHA DE QUANT. E CUSTOS A'!#REF!</definedName>
    <definedName name="BBBBBBB" localSheetId="8">#REF!</definedName>
    <definedName name="BBBBBBB" localSheetId="9">#REF!</definedName>
    <definedName name="BBBBBBB" localSheetId="10">#REF!</definedName>
    <definedName name="BBBBBBB" localSheetId="2">#REF!</definedName>
    <definedName name="BBBBBBB" localSheetId="3">#REF!</definedName>
    <definedName name="BBBBBBB">#REF!</definedName>
    <definedName name="BC" localSheetId="2">#REF!</definedName>
    <definedName name="BC" localSheetId="3">#REF!</definedName>
    <definedName name="BC">#REF!</definedName>
    <definedName name="BDD_01">#REF!</definedName>
    <definedName name="BDI" localSheetId="2">#REF!</definedName>
    <definedName name="BDI" localSheetId="3">#REF!</definedName>
    <definedName name="BDI">#REF!</definedName>
    <definedName name="BDIc">#REF!</definedName>
    <definedName name="BDIf">#REF!</definedName>
    <definedName name="BDTC100">#REF!</definedName>
    <definedName name="BF">[17]MEMORIAL!#REF!</definedName>
    <definedName name="BF_1">[18]MEMORIAL!#REF!</definedName>
    <definedName name="BG" localSheetId="8">#REF!</definedName>
    <definedName name="BG" localSheetId="9">#REF!</definedName>
    <definedName name="BG" localSheetId="10">#REF!</definedName>
    <definedName name="BG" localSheetId="2">#REF!</definedName>
    <definedName name="BG" localSheetId="3">#REF!</definedName>
    <definedName name="BG">#REF!</definedName>
    <definedName name="BLOCO" localSheetId="8">[4]PLANILHA!#REF!</definedName>
    <definedName name="BLOCO" localSheetId="9">[4]PLANILHA!#REF!</definedName>
    <definedName name="BLOCO" localSheetId="10">[4]PLANILHA!#REF!</definedName>
    <definedName name="BLOCO">[4]PLANILHA!#REF!</definedName>
    <definedName name="BLOCRET" localSheetId="8">#REF!</definedName>
    <definedName name="BLOCRET" localSheetId="9">#REF!</definedName>
    <definedName name="BLOCRET" localSheetId="10">#REF!</definedName>
    <definedName name="BLOCRET" localSheetId="2">#REF!</definedName>
    <definedName name="BLOCRET" localSheetId="3">#REF!</definedName>
    <definedName name="BLOCRET">#REF!</definedName>
    <definedName name="BLOCRET_1">#REF!</definedName>
    <definedName name="BRITAS">#REF!</definedName>
    <definedName name="BTTC1200" localSheetId="8">#REF!</definedName>
    <definedName name="BTTC1200">#REF!</definedName>
    <definedName name="BTTC12001" localSheetId="8">'[12]PLANILHA DE QUANT. E CUSTOS A'!#REF!</definedName>
    <definedName name="BTTC12001" localSheetId="9">'[12]PLANILHA DE QUANT. E CUSTOS A'!#REF!</definedName>
    <definedName name="BTTC12001" localSheetId="11">'[12]PLANILHA DE QUANT. E CUSTOS A'!#REF!</definedName>
    <definedName name="BTTC12001" localSheetId="13">'[12]PLANILHA DE QUANT. E CUSTOS A'!#REF!</definedName>
    <definedName name="BTTC12001">'[12]PLANILHA DE QUANT. E CUSTOS A'!#REF!</definedName>
    <definedName name="BTTC1200ADASDS" localSheetId="4">#REF!</definedName>
    <definedName name="BTTC1200ADASDS" localSheetId="8">#REF!</definedName>
    <definedName name="BTTC1200ADASDS" localSheetId="9">#REF!</definedName>
    <definedName name="BTTC1200ADASDS" localSheetId="11">#REF!</definedName>
    <definedName name="BTTC1200ADASDS">#REF!</definedName>
    <definedName name="cadm">#REF!</definedName>
    <definedName name="carlos">[10]Reforma!#REF!</definedName>
    <definedName name="CASH_FLOW" localSheetId="8">#REF!</definedName>
    <definedName name="CASH_FLOW" localSheetId="9">#REF!</definedName>
    <definedName name="CASH_FLOW" localSheetId="10">#REF!</definedName>
    <definedName name="CASH_FLOW">#REF!</definedName>
    <definedName name="CBUQ" localSheetId="8">#REF!,#REF!</definedName>
    <definedName name="CBUQ" localSheetId="9">#REF!,#REF!</definedName>
    <definedName name="CBUQ" localSheetId="10">#REF!,#REF!</definedName>
    <definedName name="CBUQ">#REF!,#REF!</definedName>
    <definedName name="cbuq2" localSheetId="8">#REF!,#REF!</definedName>
    <definedName name="cbuq2" localSheetId="9">#REF!,#REF!</definedName>
    <definedName name="cbuq2" localSheetId="10">#REF!,#REF!</definedName>
    <definedName name="cbuq2">#REF!,#REF!</definedName>
    <definedName name="ccc" localSheetId="8">#REF!,#REF!</definedName>
    <definedName name="ccc" localSheetId="9">#REF!,#REF!</definedName>
    <definedName name="ccc" localSheetId="10">#REF!,#REF!</definedName>
    <definedName name="ccc">#REF!,#REF!</definedName>
    <definedName name="CCCCCCCCCCCCCCCC" localSheetId="4">#REF!</definedName>
    <definedName name="CCCCCCCCCCCCCCCC" localSheetId="8">#REF!</definedName>
    <definedName name="CCCCCCCCCCCCCCCC" localSheetId="9">#REF!</definedName>
    <definedName name="CCCCCCCCCCCCCCCC" localSheetId="11">#REF!</definedName>
    <definedName name="CCCCCCCCCCCCCCCC">#REF!</definedName>
    <definedName name="CCCCCCCCCCCCCCCCC" localSheetId="4">#REF!</definedName>
    <definedName name="CCCCCCCCCCCCCCCCC" localSheetId="8">#REF!</definedName>
    <definedName name="CCCCCCCCCCCCCCCCC" localSheetId="9">#REF!</definedName>
    <definedName name="CCCCCCCCCCCCCCCCC" localSheetId="11">#REF!</definedName>
    <definedName name="CCCCCCCCCCCCCCCCC">#REF!</definedName>
    <definedName name="ciclopico">[18]MEMORIAL!#REF!</definedName>
    <definedName name="ciclopico_1">[18]MEMORIAL!#REF!</definedName>
    <definedName name="Cliente" localSheetId="8">#REF!</definedName>
    <definedName name="Cliente" localSheetId="9">#REF!</definedName>
    <definedName name="Cliente" localSheetId="10">#REF!</definedName>
    <definedName name="Cliente">#REF!</definedName>
    <definedName name="Código" localSheetId="8">#REF!</definedName>
    <definedName name="Código" localSheetId="9">#REF!</definedName>
    <definedName name="Código" localSheetId="10">#REF!</definedName>
    <definedName name="Código">#REF!</definedName>
    <definedName name="COMPLETO" localSheetId="8">#REF!</definedName>
    <definedName name="COMPLETO">#REF!</definedName>
    <definedName name="COMPOSICAO01">#REF!</definedName>
    <definedName name="COMPOSIÇÃO01">#REF!</definedName>
    <definedName name="COMPOSICAO01_1">#REF!</definedName>
    <definedName name="COMPOSICAO02">#REF!</definedName>
    <definedName name="COMPOSICAO02_1">#REF!</definedName>
    <definedName name="Comprimento_Equivalente">#REF!</definedName>
    <definedName name="concciclo">#REF!</definedName>
    <definedName name="concreto">#REF!</definedName>
    <definedName name="CONDICOES_ACESSO" localSheetId="2">[15]Plan1!$A$26:$A$29</definedName>
    <definedName name="CONDICOES_ACESSO" localSheetId="3">[15]Plan1!$A$26:$A$29</definedName>
    <definedName name="CONDICOES_ACESSO">[16]Plan1!$A$26:$A$29</definedName>
    <definedName name="Construtora" localSheetId="8">#REF!</definedName>
    <definedName name="Construtora" localSheetId="9">#REF!</definedName>
    <definedName name="Construtora" localSheetId="10">#REF!</definedName>
    <definedName name="Construtora" localSheetId="2">#REF!</definedName>
    <definedName name="Construtora" localSheetId="3">#REF!</definedName>
    <definedName name="Construtora">#REF!</definedName>
    <definedName name="contratada">#REF!</definedName>
    <definedName name="CORTE" localSheetId="8">#REF!</definedName>
    <definedName name="CORTE">#REF!</definedName>
    <definedName name="COTA_GREIDE" localSheetId="2">[15]Plan1!$A$52:$A$55</definedName>
    <definedName name="COTA_GREIDE" localSheetId="3">[15]Plan1!$A$52:$A$55</definedName>
    <definedName name="COTA_GREIDE">[16]Plan1!$A$52:$A$55</definedName>
    <definedName name="CRG_01">[19]CRG!$B$1:$T$747</definedName>
    <definedName name="critério" localSheetId="8">#REF!</definedName>
    <definedName name="critério" localSheetId="9">#REF!</definedName>
    <definedName name="critério" localSheetId="10">#REF!</definedName>
    <definedName name="critério">#REF!</definedName>
    <definedName name="critério1" localSheetId="8">#REF!</definedName>
    <definedName name="critério1" localSheetId="9">#REF!</definedName>
    <definedName name="critério1" localSheetId="10">#REF!</definedName>
    <definedName name="critério1">#REF!</definedName>
    <definedName name="crono" localSheetId="2">#REF!</definedName>
    <definedName name="crono" localSheetId="3">#REF!</definedName>
    <definedName name="crono">#REF!</definedName>
    <definedName name="cronograma">#REF!</definedName>
    <definedName name="CSA">#REF!</definedName>
    <definedName name="CSA_1">#REF!</definedName>
    <definedName name="CSPP">#REF!</definedName>
    <definedName name="CSPP_1">#REF!</definedName>
    <definedName name="CUSTO_DE_COMBUSTÍVEL_E_LUFRIFICANTES">#REF!</definedName>
    <definedName name="CustoReal">#REF!</definedName>
    <definedName name="cx" localSheetId="8" hidden="1">{#N/A,#N/A,FALSE,"MO (2)"}</definedName>
    <definedName name="cx" localSheetId="9" hidden="1">{#N/A,#N/A,FALSE,"MO (2)"}</definedName>
    <definedName name="cx" localSheetId="10" hidden="1">{#N/A,#N/A,FALSE,"MO (2)"}</definedName>
    <definedName name="cx" hidden="1">{#N/A,#N/A,FALSE,"MO (2)"}</definedName>
    <definedName name="cx." localSheetId="8" hidden="1">{#N/A,#N/A,FALSE,"MO (2)"}</definedName>
    <definedName name="cx." localSheetId="9" hidden="1">{#N/A,#N/A,FALSE,"MO (2)"}</definedName>
    <definedName name="cx." localSheetId="10" hidden="1">{#N/A,#N/A,FALSE,"MO (2)"}</definedName>
    <definedName name="cx." hidden="1">{#N/A,#N/A,FALSE,"MO (2)"}</definedName>
    <definedName name="D" localSheetId="8">#REF!</definedName>
    <definedName name="D" localSheetId="9">#REF!</definedName>
    <definedName name="D" localSheetId="10">#REF!</definedName>
    <definedName name="D">#REF!</definedName>
    <definedName name="daddf" localSheetId="8">#REF!</definedName>
    <definedName name="daddf" localSheetId="9">#REF!</definedName>
    <definedName name="daddf" localSheetId="10">#REF!</definedName>
    <definedName name="daddf">#REF!</definedName>
    <definedName name="DADOS">#REF!</definedName>
    <definedName name="DASDA">#REF!</definedName>
    <definedName name="dat">#REF!</definedName>
    <definedName name="DATA" localSheetId="8">#REF!</definedName>
    <definedName name="DATA">#REF!</definedName>
    <definedName name="DATA_17" localSheetId="8">#REF!</definedName>
    <definedName name="DATA_17">#REF!</definedName>
    <definedName name="DATA_8" localSheetId="8">#REF!</definedName>
    <definedName name="DATA_8">#REF!</definedName>
    <definedName name="data1" localSheetId="8">#REF!</definedName>
    <definedName name="data1">#REF!</definedName>
    <definedName name="dataf">#REF!</definedName>
    <definedName name="DD" localSheetId="8">#REF!</definedName>
    <definedName name="DD">#REF!</definedName>
    <definedName name="DD_2" localSheetId="8">#REF!</definedName>
    <definedName name="DD_2">#REF!</definedName>
    <definedName name="DD_5" localSheetId="8">#REF!</definedName>
    <definedName name="DD_5">#REF!</definedName>
    <definedName name="DDF" localSheetId="8">#REF!</definedName>
    <definedName name="DDF">#REF!</definedName>
    <definedName name="DEFOFO">#REF!</definedName>
    <definedName name="DEFOFO100">#REF!</definedName>
    <definedName name="DEFOFO150">#REF!</definedName>
    <definedName name="DEFOFO200">#REF!</definedName>
    <definedName name="DEFOFO250">#REF!</definedName>
    <definedName name="DEFOFO300">#REF!</definedName>
    <definedName name="DEMANDA" localSheetId="2">[15]Plan1!$A$171:$A$174</definedName>
    <definedName name="DEMANDA" localSheetId="3">[15]Plan1!$A$171:$A$174</definedName>
    <definedName name="DEMANDA">[16]Plan1!$A$171:$A$174</definedName>
    <definedName name="DEMOLIÇÃO" localSheetId="8">#REF!</definedName>
    <definedName name="DEMOLIÇÃO" localSheetId="9">#REF!</definedName>
    <definedName name="DEMOLIÇÃO" localSheetId="10">#REF!</definedName>
    <definedName name="DEMOLIÇÃO">#REF!</definedName>
    <definedName name="DENSIDADE_HABITACIONAL" localSheetId="2">[15]Plan1!$A$34:$A$37</definedName>
    <definedName name="DENSIDADE_HABITACIONAL" localSheetId="3">[15]Plan1!$A$34:$A$37</definedName>
    <definedName name="DENSIDADE_HABITACIONAL">[16]Plan1!$A$34:$A$37</definedName>
    <definedName name="DESEMPENHO" localSheetId="2">[15]Plan1!$A$180:$A$183</definedName>
    <definedName name="DESEMPENHO" localSheetId="3">[15]Plan1!$A$180:$A$183</definedName>
    <definedName name="DESEMPENHO">[16]Plan1!$A$180:$A$183</definedName>
    <definedName name="DESTERRO" localSheetId="8">#REF!</definedName>
    <definedName name="DESTERRO" localSheetId="9">#REF!</definedName>
    <definedName name="DESTERRO" localSheetId="10">#REF!</definedName>
    <definedName name="DESTERRO" localSheetId="2">#REF!</definedName>
    <definedName name="DESTERRO" localSheetId="3">#REF!</definedName>
    <definedName name="DESTERRO">#REF!</definedName>
    <definedName name="df" localSheetId="8">#REF!</definedName>
    <definedName name="df">#REF!</definedName>
    <definedName name="dfdd" localSheetId="8">#REF!</definedName>
    <definedName name="dfdd">#REF!</definedName>
    <definedName name="DFGFGD">#REF!</definedName>
    <definedName name="DFH" localSheetId="8">'[12]PLANILHA DE QUANT. E CUSTOS A'!#REF!</definedName>
    <definedName name="DFH" localSheetId="9">'[12]PLANILHA DE QUANT. E CUSTOS A'!#REF!</definedName>
    <definedName name="DFH" localSheetId="11">'[12]PLANILHA DE QUANT. E CUSTOS A'!#REF!</definedName>
    <definedName name="DFH" localSheetId="13">'[12]PLANILHA DE QUANT. E CUSTOS A'!#REF!</definedName>
    <definedName name="DFH">'[12]PLANILHA DE QUANT. E CUSTOS A'!#REF!</definedName>
    <definedName name="DIAMETRO" localSheetId="8">#REF!</definedName>
    <definedName name="DIAMETRO" localSheetId="9">#REF!</definedName>
    <definedName name="DIAMETRO" localSheetId="10">#REF!</definedName>
    <definedName name="DIAMETRO">#REF!</definedName>
    <definedName name="DIS">[19]DIS!$C$3:$E$41</definedName>
    <definedName name="DOC">[19]DOC!$B$3:$I$137</definedName>
    <definedName name="dois" localSheetId="8">#REF!</definedName>
    <definedName name="dois" localSheetId="9">#REF!</definedName>
    <definedName name="dois" localSheetId="10">#REF!</definedName>
    <definedName name="dois" localSheetId="2">#REF!</definedName>
    <definedName name="dois" localSheetId="3">#REF!</definedName>
    <definedName name="dois">#REF!</definedName>
    <definedName name="dre" localSheetId="2">#REF!</definedName>
    <definedName name="dre" localSheetId="3">#REF!</definedName>
    <definedName name="dre">#REF!</definedName>
    <definedName name="DREN" localSheetId="2">#REF!</definedName>
    <definedName name="DREN" localSheetId="3">#REF!</definedName>
    <definedName name="DREN">#REF!</definedName>
    <definedName name="drenag">#REF!</definedName>
    <definedName name="DRENAGEM" localSheetId="4">#REF!</definedName>
    <definedName name="DRENAGEM" localSheetId="8">#REF!</definedName>
    <definedName name="DRENAGEM" localSheetId="9">#REF!</definedName>
    <definedName name="DRENAGEM" localSheetId="11">#REF!</definedName>
    <definedName name="DRENAGEM">#REF!</definedName>
    <definedName name="DRENAGEM_17" localSheetId="4">#REF!</definedName>
    <definedName name="DRENAGEM_17" localSheetId="8">#REF!</definedName>
    <definedName name="DRENAGEM_17" localSheetId="9">#REF!</definedName>
    <definedName name="DRENAGEM_17" localSheetId="11">#REF!</definedName>
    <definedName name="DRENAGEM_17">#REF!</definedName>
    <definedName name="DRENAGEM_8" localSheetId="4">#REF!</definedName>
    <definedName name="DRENAGEM_8" localSheetId="8">#REF!</definedName>
    <definedName name="DRENAGEM_8" localSheetId="9">#REF!</definedName>
    <definedName name="DRENAGEM_8" localSheetId="11">#REF!</definedName>
    <definedName name="DRENAGEM_8">#REF!</definedName>
    <definedName name="DSDS">("$#REF!.$A$1:$H$65184~$#REF!.$A$1:$AMJ$14)))))))")</definedName>
    <definedName name="DUDU" localSheetId="8">'[20]Rede de Distribuição de Água'!#REF!</definedName>
    <definedName name="DUDU" localSheetId="9">'[20]Rede de Distribuição de Água'!#REF!</definedName>
    <definedName name="DUDU" localSheetId="10">'[20]Rede de Distribuição de Água'!#REF!</definedName>
    <definedName name="DUDU" localSheetId="2">'[20]Rede de Distribuição de Água'!#REF!</definedName>
    <definedName name="DUDU" localSheetId="3">'[20]Rede de Distribuição de Água'!#REF!</definedName>
    <definedName name="DUDU">'[20]Rede de Distribuição de Água'!#REF!</definedName>
    <definedName name="E" localSheetId="8">#REF!</definedName>
    <definedName name="E" localSheetId="9">#REF!</definedName>
    <definedName name="E" localSheetId="10">#REF!</definedName>
    <definedName name="E">#REF!</definedName>
    <definedName name="EDT">[19]CRG!$B$1:$T$746</definedName>
    <definedName name="ee" localSheetId="8">[10]Reforma!#REF!</definedName>
    <definedName name="ee" localSheetId="9">[10]Reforma!#REF!</definedName>
    <definedName name="ee" localSheetId="10">[10]Reforma!#REF!</definedName>
    <definedName name="ee" localSheetId="2">[10]Reforma!#REF!</definedName>
    <definedName name="ee" localSheetId="3">[10]Reforma!#REF!</definedName>
    <definedName name="ee">[10]Reforma!#REF!</definedName>
    <definedName name="EEE" localSheetId="8">#REF!</definedName>
    <definedName name="EEE" localSheetId="9">#REF!</definedName>
    <definedName name="EEE" localSheetId="10">#REF!</definedName>
    <definedName name="EEE" localSheetId="2">#REF!</definedName>
    <definedName name="EEE" localSheetId="3">#REF!</definedName>
    <definedName name="EEE">#REF!</definedName>
    <definedName name="EEEEE" localSheetId="8">[10]Reforma!#REF!</definedName>
    <definedName name="EEEEE" localSheetId="9">[10]Reforma!#REF!</definedName>
    <definedName name="EEEEE" localSheetId="10">[10]Reforma!#REF!</definedName>
    <definedName name="EEEEE" localSheetId="2">[10]Reforma!#REF!</definedName>
    <definedName name="EEEEE" localSheetId="3">[10]Reforma!#REF!</definedName>
    <definedName name="EEEEE">[10]Reforma!#REF!</definedName>
    <definedName name="EEEEEEEEEEEEEEEEEE" localSheetId="8">#REF!</definedName>
    <definedName name="EEEEEEEEEEEEEEEEEE" localSheetId="9">#REF!</definedName>
    <definedName name="EEEEEEEEEEEEEEEEEE" localSheetId="10">#REF!</definedName>
    <definedName name="EEEEEEEEEEEEEEEEEE">#REF!</definedName>
    <definedName name="EFETIVO" localSheetId="8">#REF!</definedName>
    <definedName name="EFETIVO" localSheetId="9">#REF!</definedName>
    <definedName name="EFETIVO" localSheetId="10">#REF!</definedName>
    <definedName name="EFETIVO">#REF!</definedName>
    <definedName name="EMPRE">#REF!</definedName>
    <definedName name="eng">#REF!</definedName>
    <definedName name="Eng.º_Const">#REF!</definedName>
    <definedName name="Eng.º_Super">#REF!</definedName>
    <definedName name="EQUIPAMENTO">#REF!</definedName>
    <definedName name="ER" localSheetId="2">[10]Reforma!#REF!</definedName>
    <definedName name="ER" localSheetId="3">[10]Reforma!#REF!</definedName>
    <definedName name="ER">[21]!PassaExtenso</definedName>
    <definedName name="ES" localSheetId="8">[10]Reforma!#REF!</definedName>
    <definedName name="ES" localSheetId="9">[10]Reforma!#REF!</definedName>
    <definedName name="ES" localSheetId="10">[10]Reforma!#REF!</definedName>
    <definedName name="ES" localSheetId="2">[10]Reforma!#REF!</definedName>
    <definedName name="ES" localSheetId="3">[10]Reforma!#REF!</definedName>
    <definedName name="ES">[10]Reforma!#REF!</definedName>
    <definedName name="Esc.3" localSheetId="8">#REF!</definedName>
    <definedName name="Esc.3" localSheetId="9">#REF!</definedName>
    <definedName name="Esc.3" localSheetId="10">#REF!</definedName>
    <definedName name="Esc.3">#REF!</definedName>
    <definedName name="ESQUADRIAS" localSheetId="2">[15]Plan1!$A$121:$A$125</definedName>
    <definedName name="ESQUADRIAS" localSheetId="3">[15]Plan1!$A$121:$A$125</definedName>
    <definedName name="ESQUADRIAS">[16]Plan1!$A$121:$A$125</definedName>
    <definedName name="ESTABILIDADE" localSheetId="2">[15]Plan1!$A$163:$A$165</definedName>
    <definedName name="ESTABILIDADE" localSheetId="3">[15]Plan1!$A$163:$A$165</definedName>
    <definedName name="ESTABILIDADE">[16]Plan1!$A$163:$A$165</definedName>
    <definedName name="ESTADO_CONSERVACAO" localSheetId="2">[15]Plan1!$A$134:$A$140</definedName>
    <definedName name="ESTADO_CONSERVACAO" localSheetId="3">[15]Plan1!$A$134:$A$140</definedName>
    <definedName name="ESTADO_CONSERVACAO">[16]Plan1!$A$134:$A$140</definedName>
    <definedName name="eu" localSheetId="8" hidden="1">{#N/A,#N/A,FALSE,"MO (2)"}</definedName>
    <definedName name="eu" localSheetId="9" hidden="1">{#N/A,#N/A,FALSE,"MO (2)"}</definedName>
    <definedName name="eu" localSheetId="10" hidden="1">{#N/A,#N/A,FALSE,"MO (2)"}</definedName>
    <definedName name="eu" localSheetId="1" hidden="1">{#N/A,#N/A,FALSE,"MO (2)"}</definedName>
    <definedName name="eu" localSheetId="2" hidden="1">{#N/A,#N/A,FALSE,"MO (2)"}</definedName>
    <definedName name="eu" localSheetId="3" hidden="1">{#N/A,#N/A,FALSE,"MO (2)"}</definedName>
    <definedName name="eu" hidden="1">{#N/A,#N/A,FALSE,"MO (2)"}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2">#REF!</definedName>
    <definedName name="Excel_BuiltIn__FilterDatabase_1" localSheetId="3">#REF!</definedName>
    <definedName name="Excel_BuiltIn__FilterDatabase_1">#REF!</definedName>
    <definedName name="Excel_BuiltIn__FilterDatabase_10" localSheetId="8">#REF!</definedName>
    <definedName name="Excel_BuiltIn__FilterDatabase_10">#REF!</definedName>
    <definedName name="Excel_BuiltIn__FilterDatabase_10_12" localSheetId="8">#REF!</definedName>
    <definedName name="Excel_BuiltIn__FilterDatabase_10_12">#REF!</definedName>
    <definedName name="Excel_BuiltIn__FilterDatabase_11">#REF!</definedName>
    <definedName name="Excel_BuiltIn__FilterDatabase_12">#REF!</definedName>
    <definedName name="Excel_BuiltIn__FilterDatabase_2">#REF!</definedName>
    <definedName name="Excel_BuiltIn__FilterDatabase_3" localSheetId="8">#REF!</definedName>
    <definedName name="Excel_BuiltIn__FilterDatabase_3">#REF!</definedName>
    <definedName name="Excel_BuiltIn__FilterDatabase_3_1" localSheetId="8">#REF!</definedName>
    <definedName name="Excel_BuiltIn__FilterDatabase_3_1">#REF!</definedName>
    <definedName name="Excel_BuiltIn__FilterDatabase_3_4" localSheetId="8">#REF!</definedName>
    <definedName name="Excel_BuiltIn__FilterDatabase_3_4">#REF!</definedName>
    <definedName name="Excel_BuiltIn__FilterDatabase_4">#REF!</definedName>
    <definedName name="Excel_BuiltIn__FilterDatabase_4_1" localSheetId="8">'[22]Orientaçao Terraplenagem'!#REF!</definedName>
    <definedName name="Excel_BuiltIn__FilterDatabase_4_1" localSheetId="9">'[22]Orientaçao Terraplenagem'!#REF!</definedName>
    <definedName name="Excel_BuiltIn__FilterDatabase_4_1" localSheetId="11">'[22]Orientaçao Terraplenagem'!#REF!</definedName>
    <definedName name="Excel_BuiltIn__FilterDatabase_4_1" localSheetId="13">'[22]Orientaçao Terraplenagem'!#REF!</definedName>
    <definedName name="Excel_BuiltIn__FilterDatabase_4_1">'[22]Orientaçao Terraplenagem'!#REF!</definedName>
    <definedName name="Excel_BuiltIn__FilterDatabase_4_10" localSheetId="8">'[23]Orientaçao Terraplenagem'!#REF!</definedName>
    <definedName name="Excel_BuiltIn__FilterDatabase_4_10" localSheetId="9">'[23]Orientaçao Terraplenagem'!#REF!</definedName>
    <definedName name="Excel_BuiltIn__FilterDatabase_4_10" localSheetId="11">'[23]Orientaçao Terraplenagem'!#REF!</definedName>
    <definedName name="Excel_BuiltIn__FilterDatabase_4_10" localSheetId="13">'[23]Orientaçao Terraplenagem'!#REF!</definedName>
    <definedName name="Excel_BuiltIn__FilterDatabase_4_10">'[23]Orientaçao Terraplenagem'!#REF!</definedName>
    <definedName name="Excel_BuiltIn__FilterDatabase_5" localSheetId="8">#REF!</definedName>
    <definedName name="Excel_BuiltIn__FilterDatabase_5" localSheetId="9">#REF!</definedName>
    <definedName name="Excel_BuiltIn__FilterDatabase_5" localSheetId="10">#REF!</definedName>
    <definedName name="Excel_BuiltIn__FilterDatabase_5" localSheetId="2">#REF!</definedName>
    <definedName name="Excel_BuiltIn__FilterDatabase_5" localSheetId="3">#REF!</definedName>
    <definedName name="Excel_BuiltIn__FilterDatabase_5">#REF!</definedName>
    <definedName name="Excel_BuiltIn__FilterDatabase_6">#REF!</definedName>
    <definedName name="Excel_BuiltIn__FilterDatabase_7">"$Terraplenagem.$#REF!$#REF!:$#REF!$#REF!"</definedName>
    <definedName name="Excel_BuiltIn__FilterDatabase_8">"$#REF!.$#REF!$#REF!:$#REF!$#REF!"</definedName>
    <definedName name="Excel_BuiltIn__FilterDatabase_9">"$#REF!.$#REF!$#REF!:$#REF!$#REF!"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 localSheetId="2">#REF!</definedName>
    <definedName name="Excel_BuiltIn_Database" localSheetId="3">#REF!</definedName>
    <definedName name="Excel_BuiltIn_Database">#REF!</definedName>
    <definedName name="Excel_BuiltIn_Database_1" localSheetId="2">#REF!</definedName>
    <definedName name="Excel_BuiltIn_Database_1" localSheetId="3">#REF!</definedName>
    <definedName name="Excel_BuiltIn_Database_1">#REF!</definedName>
    <definedName name="Excel_BuiltIn_Database_6" localSheetId="2">#REF!</definedName>
    <definedName name="Excel_BuiltIn_Database_6" localSheetId="3">#REF!</definedName>
    <definedName name="Excel_BuiltIn_Database_6">#REF!</definedName>
    <definedName name="Excel_BuiltIn_Print_Area">"$#REF!.$A$1:$F$145"</definedName>
    <definedName name="Excel_BuiltIn_Print_Area_1" localSheetId="4">#REF!</definedName>
    <definedName name="Excel_BuiltIn_Print_Area_1" localSheetId="8">#REF!</definedName>
    <definedName name="Excel_BuiltIn_Print_Area_1" localSheetId="9">#REF!</definedName>
    <definedName name="Excel_BuiltIn_Print_Area_1" localSheetId="11">#REF!</definedName>
    <definedName name="Excel_BuiltIn_Print_Area_1">#REF!</definedName>
    <definedName name="Excel_BuiltIn_Print_Area_1_1" localSheetId="4">#REF!</definedName>
    <definedName name="Excel_BuiltIn_Print_Area_1_1" localSheetId="8">#REF!</definedName>
    <definedName name="Excel_BuiltIn_Print_Area_1_1" localSheetId="9">#REF!</definedName>
    <definedName name="Excel_BuiltIn_Print_Area_1_1" localSheetId="11">#REF!</definedName>
    <definedName name="Excel_BuiltIn_Print_Area_1_1">#REF!</definedName>
    <definedName name="Excel_BuiltIn_Print_Area_1_1_1" localSheetId="4">#REF!</definedName>
    <definedName name="Excel_BuiltIn_Print_Area_1_1_1" localSheetId="8">#REF!</definedName>
    <definedName name="Excel_BuiltIn_Print_Area_1_1_1" localSheetId="9">#REF!</definedName>
    <definedName name="Excel_BuiltIn_Print_Area_1_1_1" localSheetId="11">#REF!</definedName>
    <definedName name="Excel_BuiltIn_Print_Area_1_1_1">#REF!</definedName>
    <definedName name="Excel_BuiltIn_Print_Area_10_1" localSheetId="8">#REF!</definedName>
    <definedName name="Excel_BuiltIn_Print_Area_10_1">#REF!</definedName>
    <definedName name="Excel_BuiltIn_Print_Area_11_1" localSheetId="8">#REF!</definedName>
    <definedName name="Excel_BuiltIn_Print_Area_11_1">#REF!</definedName>
    <definedName name="Excel_BuiltIn_Print_Area_11_1_1" localSheetId="8">#REF!</definedName>
    <definedName name="Excel_BuiltIn_Print_Area_11_1_1">#REF!</definedName>
    <definedName name="Excel_BuiltIn_Print_Area_11_1_1_1" localSheetId="8">#REF!</definedName>
    <definedName name="Excel_BuiltIn_Print_Area_11_1_1_1">#REF!</definedName>
    <definedName name="Excel_BuiltIn_Print_Area_12_1" localSheetId="8">#REF!</definedName>
    <definedName name="Excel_BuiltIn_Print_Area_12_1">#REF!</definedName>
    <definedName name="Excel_BuiltIn_Print_Area_12_1_1" localSheetId="8">#REF!</definedName>
    <definedName name="Excel_BuiltIn_Print_Area_12_1_1">#REF!</definedName>
    <definedName name="Excel_BuiltIn_Print_Area_13_1" localSheetId="8">#REF!</definedName>
    <definedName name="Excel_BuiltIn_Print_Area_13_1">#REF!</definedName>
    <definedName name="Excel_BuiltIn_Print_Area_14_1" localSheetId="8">#REF!</definedName>
    <definedName name="Excel_BuiltIn_Print_Area_14_1">#REF!</definedName>
    <definedName name="Excel_BuiltIn_Print_Area_15" localSheetId="8">#REF!</definedName>
    <definedName name="Excel_BuiltIn_Print_Area_15">#REF!</definedName>
    <definedName name="Excel_BuiltIn_Print_Area_16" localSheetId="8">#REF!</definedName>
    <definedName name="Excel_BuiltIn_Print_Area_16">#REF!</definedName>
    <definedName name="Excel_BuiltIn_Print_Area_17" localSheetId="8">#REF!</definedName>
    <definedName name="Excel_BuiltIn_Print_Area_17">#REF!</definedName>
    <definedName name="Excel_BuiltIn_Print_Area_18" localSheetId="8">#REF!</definedName>
    <definedName name="Excel_BuiltIn_Print_Area_18">#REF!</definedName>
    <definedName name="Excel_BuiltIn_Print_Area_19" localSheetId="8">#REF!</definedName>
    <definedName name="Excel_BuiltIn_Print_Area_19">#REF!</definedName>
    <definedName name="Excel_BuiltIn_Print_Area_2_1" localSheetId="8">#REF!</definedName>
    <definedName name="Excel_BuiltIn_Print_Area_2_1">#REF!</definedName>
    <definedName name="Excel_BuiltIn_Print_Area_20" localSheetId="8">#REF!</definedName>
    <definedName name="Excel_BuiltIn_Print_Area_20">#REF!</definedName>
    <definedName name="Excel_BuiltIn_Print_Area_20_1" localSheetId="8">#REF!</definedName>
    <definedName name="Excel_BuiltIn_Print_Area_20_1">#REF!</definedName>
    <definedName name="Excel_BuiltIn_Print_Area_21" localSheetId="8">#REF!</definedName>
    <definedName name="Excel_BuiltIn_Print_Area_21">#REF!</definedName>
    <definedName name="Excel_BuiltIn_Print_Area_22" localSheetId="8">#REF!</definedName>
    <definedName name="Excel_BuiltIn_Print_Area_22">#REF!</definedName>
    <definedName name="Excel_BuiltIn_Print_Area_23" localSheetId="8">#REF!</definedName>
    <definedName name="Excel_BuiltIn_Print_Area_23">#REF!</definedName>
    <definedName name="Excel_BuiltIn_Print_Area_24" localSheetId="8">#REF!</definedName>
    <definedName name="Excel_BuiltIn_Print_Area_24">#REF!</definedName>
    <definedName name="Excel_BuiltIn_Print_Area_24_1" localSheetId="8">#REF!</definedName>
    <definedName name="Excel_BuiltIn_Print_Area_24_1">#REF!</definedName>
    <definedName name="Excel_BuiltIn_Print_Area_25" localSheetId="8">#REF!</definedName>
    <definedName name="Excel_BuiltIn_Print_Area_25">#REF!</definedName>
    <definedName name="Excel_BuiltIn_Print_Area_26" localSheetId="8">#REF!</definedName>
    <definedName name="Excel_BuiltIn_Print_Area_26">#REF!</definedName>
    <definedName name="Excel_BuiltIn_Print_Area_27" localSheetId="8">#REF!</definedName>
    <definedName name="Excel_BuiltIn_Print_Area_27">#REF!</definedName>
    <definedName name="Excel_BuiltIn_Print_Area_28" localSheetId="8">#REF!</definedName>
    <definedName name="Excel_BuiltIn_Print_Area_28">#REF!</definedName>
    <definedName name="Excel_BuiltIn_Print_Area_29" localSheetId="8">#REF!</definedName>
    <definedName name="Excel_BuiltIn_Print_Area_29">#REF!</definedName>
    <definedName name="Excel_BuiltIn_Print_Area_3">#REF!</definedName>
    <definedName name="Excel_BuiltIn_Print_Area_3_1" localSheetId="8">#REF!</definedName>
    <definedName name="Excel_BuiltIn_Print_Area_3_1">#REF!</definedName>
    <definedName name="Excel_BuiltIn_Print_Area_3_1_1">#REF!</definedName>
    <definedName name="Excel_BuiltIn_Print_Area_30" localSheetId="8">#REF!</definedName>
    <definedName name="Excel_BuiltIn_Print_Area_30">#REF!</definedName>
    <definedName name="Excel_BuiltIn_Print_Area_31" localSheetId="8">#REF!</definedName>
    <definedName name="Excel_BuiltIn_Print_Area_31">#REF!</definedName>
    <definedName name="Excel_BuiltIn_Print_Area_32" localSheetId="8">#REF!</definedName>
    <definedName name="Excel_BuiltIn_Print_Area_32">#REF!</definedName>
    <definedName name="Excel_BuiltIn_Print_Area_33" localSheetId="8">#REF!</definedName>
    <definedName name="Excel_BuiltIn_Print_Area_33">#REF!</definedName>
    <definedName name="Excel_BuiltIn_Print_Area_34" localSheetId="8">#REF!</definedName>
    <definedName name="Excel_BuiltIn_Print_Area_34">#REF!</definedName>
    <definedName name="Excel_BuiltIn_Print_Area_35" localSheetId="8">#REF!</definedName>
    <definedName name="Excel_BuiltIn_Print_Area_35">#REF!</definedName>
    <definedName name="Excel_BuiltIn_Print_Area_36" localSheetId="8">#REF!</definedName>
    <definedName name="Excel_BuiltIn_Print_Area_36">#REF!</definedName>
    <definedName name="Excel_BuiltIn_Print_Area_37" localSheetId="8">#REF!</definedName>
    <definedName name="Excel_BuiltIn_Print_Area_37">#REF!</definedName>
    <definedName name="Excel_BuiltIn_Print_Area_38" localSheetId="8">#REF!</definedName>
    <definedName name="Excel_BuiltIn_Print_Area_38">#REF!</definedName>
    <definedName name="Excel_BuiltIn_Print_Area_4">#REF!</definedName>
    <definedName name="Excel_BuiltIn_Print_Area_4_1" localSheetId="8">#REF!</definedName>
    <definedName name="Excel_BuiltIn_Print_Area_4_1">#REF!</definedName>
    <definedName name="Excel_BuiltIn_Print_Area_4_1_1">"$#REF!.$A$3:$BN$276"</definedName>
    <definedName name="Excel_BuiltIn_Print_Area_5">"$#REF!.$A$1:$H$302"</definedName>
    <definedName name="Excel_BuiltIn_Print_Area_5_1" localSheetId="4">#REF!</definedName>
    <definedName name="Excel_BuiltIn_Print_Area_5_1" localSheetId="8">#REF!</definedName>
    <definedName name="Excel_BuiltIn_Print_Area_5_1" localSheetId="9">#REF!</definedName>
    <definedName name="Excel_BuiltIn_Print_Area_5_1" localSheetId="11">#REF!</definedName>
    <definedName name="Excel_BuiltIn_Print_Area_5_1">#REF!</definedName>
    <definedName name="Excel_BuiltIn_Print_Area_5_1_1" localSheetId="4">#REF!</definedName>
    <definedName name="Excel_BuiltIn_Print_Area_5_1_1" localSheetId="8">#REF!</definedName>
    <definedName name="Excel_BuiltIn_Print_Area_5_1_1" localSheetId="9">#REF!</definedName>
    <definedName name="Excel_BuiltIn_Print_Area_5_1_1" localSheetId="11">#REF!</definedName>
    <definedName name="Excel_BuiltIn_Print_Area_5_1_1">#REF!</definedName>
    <definedName name="Excel_BuiltIn_Print_Area_5_1_1_1" localSheetId="4">#REF!</definedName>
    <definedName name="Excel_BuiltIn_Print_Area_5_1_1_1" localSheetId="8">#REF!</definedName>
    <definedName name="Excel_BuiltIn_Print_Area_5_1_1_1" localSheetId="9">#REF!</definedName>
    <definedName name="Excel_BuiltIn_Print_Area_5_1_1_1" localSheetId="11">#REF!</definedName>
    <definedName name="Excel_BuiltIn_Print_Area_5_1_1_1">#REF!</definedName>
    <definedName name="Excel_BuiltIn_Print_Area_6">"$#REF!.$A$1:$X$14"</definedName>
    <definedName name="Excel_BuiltIn_Print_Area_6_1" localSheetId="8">#REF!</definedName>
    <definedName name="Excel_BuiltIn_Print_Area_6_1" localSheetId="9">#REF!</definedName>
    <definedName name="Excel_BuiltIn_Print_Area_6_1" localSheetId="10">#REF!</definedName>
    <definedName name="Excel_BuiltIn_Print_Area_6_1">#REF!</definedName>
    <definedName name="Excel_BuiltIn_Print_Area_6_1_1" localSheetId="8">#REF!</definedName>
    <definedName name="Excel_BuiltIn_Print_Area_6_1_1">#REF!</definedName>
    <definedName name="Excel_BuiltIn_Print_Area_7">"$#REF!.$A$1:$G$30"</definedName>
    <definedName name="Excel_BuiltIn_Print_Area_7_1" localSheetId="8">#REF!</definedName>
    <definedName name="Excel_BuiltIn_Print_Area_7_1" localSheetId="9">#REF!</definedName>
    <definedName name="Excel_BuiltIn_Print_Area_7_1" localSheetId="10">#REF!</definedName>
    <definedName name="Excel_BuiltIn_Print_Area_7_1">#REF!</definedName>
    <definedName name="Excel_BuiltIn_Print_Area_7_1_1" localSheetId="8">#REF!</definedName>
    <definedName name="Excel_BuiltIn_Print_Area_7_1_1">#REF!</definedName>
    <definedName name="Excel_BuiltIn_Print_Area_8_1">#REF!</definedName>
    <definedName name="Excel_BuiltIn_Print_Area_9_1" localSheetId="8">#REF!</definedName>
    <definedName name="Excel_BuiltIn_Print_Area_9_1">#REF!</definedName>
    <definedName name="Excel_BuiltIn_Print_Area_9_1_1" localSheetId="8">#REF!</definedName>
    <definedName name="Excel_BuiltIn_Print_Area_9_1_1">#REF!</definedName>
    <definedName name="Excel_BuiltIn_Print_Titles_1" localSheetId="8">#REF!</definedName>
    <definedName name="Excel_BuiltIn_Print_Titles_1">#REF!</definedName>
    <definedName name="Excel_BuiltIn_Print_Titles_1_1" localSheetId="8">#REF!</definedName>
    <definedName name="Excel_BuiltIn_Print_Titles_1_1">#REF!</definedName>
    <definedName name="Excel_BuiltIn_Print_Titles_10" localSheetId="8">#REF!</definedName>
    <definedName name="Excel_BuiltIn_Print_Titles_10">#REF!</definedName>
    <definedName name="Excel_BuiltIn_Print_Titles_11" localSheetId="8">#REF!</definedName>
    <definedName name="Excel_BuiltIn_Print_Titles_11">#REF!</definedName>
    <definedName name="Excel_BuiltIn_Print_Titles_12" localSheetId="8">#REF!</definedName>
    <definedName name="Excel_BuiltIn_Print_Titles_12">#REF!</definedName>
    <definedName name="Excel_BuiltIn_Print_Titles_13" localSheetId="8">#REF!</definedName>
    <definedName name="Excel_BuiltIn_Print_Titles_13">#REF!</definedName>
    <definedName name="Excel_BuiltIn_Print_Titles_14" localSheetId="8">#REF!</definedName>
    <definedName name="Excel_BuiltIn_Print_Titles_14">#REF!</definedName>
    <definedName name="Excel_BuiltIn_Print_Titles_15" localSheetId="8">#REF!</definedName>
    <definedName name="Excel_BuiltIn_Print_Titles_15">#REF!</definedName>
    <definedName name="Excel_BuiltIn_Print_Titles_16" localSheetId="8">#REF!</definedName>
    <definedName name="Excel_BuiltIn_Print_Titles_16">#REF!</definedName>
    <definedName name="Excel_BuiltIn_Print_Titles_17" localSheetId="8">#REF!</definedName>
    <definedName name="Excel_BuiltIn_Print_Titles_17">#REF!</definedName>
    <definedName name="Excel_BuiltIn_Print_Titles_18" localSheetId="8">#REF!</definedName>
    <definedName name="Excel_BuiltIn_Print_Titles_18">#REF!</definedName>
    <definedName name="Excel_BuiltIn_Print_Titles_19" localSheetId="8">#REF!</definedName>
    <definedName name="Excel_BuiltIn_Print_Titles_19">#REF!</definedName>
    <definedName name="Excel_BuiltIn_Print_Titles_2">#REF!</definedName>
    <definedName name="Excel_BuiltIn_Print_Titles_2_1" localSheetId="8">#REF!</definedName>
    <definedName name="Excel_BuiltIn_Print_Titles_2_1">#REF!</definedName>
    <definedName name="Excel_BuiltIn_Print_Titles_20" localSheetId="8">#REF!</definedName>
    <definedName name="Excel_BuiltIn_Print_Titles_20">#REF!</definedName>
    <definedName name="Excel_BuiltIn_Print_Titles_21" localSheetId="8">#REF!</definedName>
    <definedName name="Excel_BuiltIn_Print_Titles_21">#REF!</definedName>
    <definedName name="Excel_BuiltIn_Print_Titles_22" localSheetId="8">#REF!</definedName>
    <definedName name="Excel_BuiltIn_Print_Titles_22">#REF!</definedName>
    <definedName name="Excel_BuiltIn_Print_Titles_23" localSheetId="8">#REF!</definedName>
    <definedName name="Excel_BuiltIn_Print_Titles_23">#REF!</definedName>
    <definedName name="Excel_BuiltIn_Print_Titles_24" localSheetId="8">#REF!</definedName>
    <definedName name="Excel_BuiltIn_Print_Titles_24">#REF!</definedName>
    <definedName name="Excel_BuiltIn_Print_Titles_25" localSheetId="8">#REF!</definedName>
    <definedName name="Excel_BuiltIn_Print_Titles_25">#REF!</definedName>
    <definedName name="Excel_BuiltIn_Print_Titles_26" localSheetId="8">#REF!</definedName>
    <definedName name="Excel_BuiltIn_Print_Titles_26">#REF!</definedName>
    <definedName name="Excel_BuiltIn_Print_Titles_27" localSheetId="8">#REF!</definedName>
    <definedName name="Excel_BuiltIn_Print_Titles_27">#REF!</definedName>
    <definedName name="Excel_BuiltIn_Print_Titles_28" localSheetId="8">#REF!</definedName>
    <definedName name="Excel_BuiltIn_Print_Titles_28">#REF!</definedName>
    <definedName name="Excel_BuiltIn_Print_Titles_29" localSheetId="8">#REF!</definedName>
    <definedName name="Excel_BuiltIn_Print_Titles_29">#REF!</definedName>
    <definedName name="Excel_BuiltIn_Print_Titles_3">#REF!</definedName>
    <definedName name="Excel_BuiltIn_Print_Titles_3_1" localSheetId="8">#REF!</definedName>
    <definedName name="Excel_BuiltIn_Print_Titles_3_1">#REF!</definedName>
    <definedName name="Excel_BuiltIn_Print_Titles_3_1_1" localSheetId="8">#REF!</definedName>
    <definedName name="Excel_BuiltIn_Print_Titles_3_1_1">#REF!</definedName>
    <definedName name="Excel_BuiltIn_Print_Titles_30" localSheetId="8">#REF!</definedName>
    <definedName name="Excel_BuiltIn_Print_Titles_30">#REF!</definedName>
    <definedName name="Excel_BuiltIn_Print_Titles_31" localSheetId="8">#REF!</definedName>
    <definedName name="Excel_BuiltIn_Print_Titles_31">#REF!</definedName>
    <definedName name="Excel_BuiltIn_Print_Titles_32" localSheetId="8">#REF!</definedName>
    <definedName name="Excel_BuiltIn_Print_Titles_32">#REF!</definedName>
    <definedName name="Excel_BuiltIn_Print_Titles_33" localSheetId="8">#REF!</definedName>
    <definedName name="Excel_BuiltIn_Print_Titles_33">#REF!</definedName>
    <definedName name="Excel_BuiltIn_Print_Titles_34" localSheetId="8">#REF!</definedName>
    <definedName name="Excel_BuiltIn_Print_Titles_34">#REF!</definedName>
    <definedName name="Excel_BuiltIn_Print_Titles_35" localSheetId="8">#REF!</definedName>
    <definedName name="Excel_BuiltIn_Print_Titles_35">#REF!</definedName>
    <definedName name="Excel_BuiltIn_Print_Titles_36" localSheetId="8">#REF!</definedName>
    <definedName name="Excel_BuiltIn_Print_Titles_36">#REF!</definedName>
    <definedName name="Excel_BuiltIn_Print_Titles_37" localSheetId="8">#REF!</definedName>
    <definedName name="Excel_BuiltIn_Print_Titles_37">#REF!</definedName>
    <definedName name="Excel_BuiltIn_Print_Titles_38" localSheetId="8">#REF!</definedName>
    <definedName name="Excel_BuiltIn_Print_Titles_38">#REF!</definedName>
    <definedName name="Excel_BuiltIn_Print_Titles_4">#REF!</definedName>
    <definedName name="Excel_BuiltIn_Print_Titles_4_1" localSheetId="8">#REF!</definedName>
    <definedName name="Excel_BuiltIn_Print_Titles_4_1">#REF!</definedName>
    <definedName name="Excel_BuiltIn_Print_Titles_5">("$#REF!.$A$1:$H$65184~$#REF!.$A$1:$AMJ$14))))))))))))))))))))))")</definedName>
    <definedName name="Excel_BuiltIn_Print_Titles_5_1" localSheetId="8">#REF!</definedName>
    <definedName name="Excel_BuiltIn_Print_Titles_5_1" localSheetId="9">#REF!</definedName>
    <definedName name="Excel_BuiltIn_Print_Titles_5_1" localSheetId="10">#REF!</definedName>
    <definedName name="Excel_BuiltIn_Print_Titles_5_1">#REF!</definedName>
    <definedName name="Excel_BuiltIn_Print_Titles_5_1_1" localSheetId="8">#REF!</definedName>
    <definedName name="Excel_BuiltIn_Print_Titles_5_1_1">#REF!</definedName>
    <definedName name="Excel_BuiltIn_Print_Titles_6">("$#REF!.$A$1:$X$65206~$#REF!.$A$1:$AMJ$7))))))))))))))))))))))")</definedName>
    <definedName name="Excel_BuiltIn_Print_Titles_6_1" localSheetId="8">#REF!</definedName>
    <definedName name="Excel_BuiltIn_Print_Titles_6_1" localSheetId="9">#REF!</definedName>
    <definedName name="Excel_BuiltIn_Print_Titles_6_1" localSheetId="10">#REF!</definedName>
    <definedName name="Excel_BuiltIn_Print_Titles_6_1">#REF!</definedName>
    <definedName name="Excel_BuiltIn_Print_Titles_7" localSheetId="8">#REF!</definedName>
    <definedName name="Excel_BuiltIn_Print_Titles_7">#REF!</definedName>
    <definedName name="Excel_BuiltIn_Print_Titles_9" localSheetId="8">#REF!</definedName>
    <definedName name="Excel_BuiltIn_Print_Titles_9">#REF!</definedName>
    <definedName name="Excel_BuiltIn_Print_Titles_9_1" localSheetId="8">#REF!</definedName>
    <definedName name="Excel_BuiltIn_Print_Titles_9_1">#REF!</definedName>
    <definedName name="Exist">#REF!</definedName>
    <definedName name="EXTENSÃO">#REF!</definedName>
    <definedName name="EXTENSÃO_1">#REF!</definedName>
    <definedName name="extred100" localSheetId="8">[24]MEMORIAL!#REF!</definedName>
    <definedName name="extred100" localSheetId="9">[24]MEMORIAL!#REF!</definedName>
    <definedName name="extred100" localSheetId="10">[24]MEMORIAL!#REF!</definedName>
    <definedName name="extred100" localSheetId="2">[24]MEMORIAL!#REF!</definedName>
    <definedName name="extred100" localSheetId="3">[24]MEMORIAL!#REF!</definedName>
    <definedName name="extred100">[24]MEMORIAL!#REF!</definedName>
    <definedName name="EXTREDE" localSheetId="8">#REF!</definedName>
    <definedName name="EXTREDE" localSheetId="9">#REF!</definedName>
    <definedName name="EXTREDE" localSheetId="10">#REF!</definedName>
    <definedName name="EXTREDE" localSheetId="2">#REF!</definedName>
    <definedName name="EXTREDE" localSheetId="3">#REF!</definedName>
    <definedName name="EXTREDE">#REF!</definedName>
    <definedName name="EXTREDE_1">#REF!</definedName>
    <definedName name="F" hidden="1">#REF!</definedName>
    <definedName name="FACILID_ESTACIONAMENTO" localSheetId="2">[15]Plan1!$A$30:$A$33</definedName>
    <definedName name="FACILID_ESTACIONAMENTO" localSheetId="3">[15]Plan1!$A$30:$A$33</definedName>
    <definedName name="FACILID_ESTACIONAMENTO">[16]Plan1!$A$30:$A$33</definedName>
    <definedName name="FatSabadoOut">'[25]TrafContExpan-NoPrint'!$O$5</definedName>
    <definedName name="FatSextaOut">'[25]TrafContExpan-NoPrint'!$O$4</definedName>
    <definedName name="fd" localSheetId="8">#REF!</definedName>
    <definedName name="fd" localSheetId="9">#REF!</definedName>
    <definedName name="fd" localSheetId="10">#REF!</definedName>
    <definedName name="fd">#REF!</definedName>
    <definedName name="FDEee" localSheetId="8">#REF!</definedName>
    <definedName name="FDEee" localSheetId="9">#REF!</definedName>
    <definedName name="FDEee" localSheetId="10">#REF!</definedName>
    <definedName name="FDEee">#REF!</definedName>
    <definedName name="FECHAMENTO_PAREDES" localSheetId="2">[15]Plan1!$A$101:$A$105</definedName>
    <definedName name="FECHAMENTO_PAREDES" localSheetId="3">[15]Plan1!$A$101:$A$105</definedName>
    <definedName name="FECHAMENTO_PAREDES">[16]Plan1!$A$101:$A$105</definedName>
    <definedName name="ffdf" localSheetId="8">#REF!</definedName>
    <definedName name="ffdf" localSheetId="9">#REF!</definedName>
    <definedName name="ffdf" localSheetId="10">#REF!</definedName>
    <definedName name="ffdf" localSheetId="2">#REF!</definedName>
    <definedName name="ffdf" localSheetId="3">#REF!</definedName>
    <definedName name="ffdf">#REF!</definedName>
    <definedName name="FFFD" localSheetId="8">#REF!</definedName>
    <definedName name="FFFD">#REF!</definedName>
    <definedName name="fffff" localSheetId="8" hidden="1">{"'EI 060 02'!$A$1:$K$59"}</definedName>
    <definedName name="fffff" localSheetId="9" hidden="1">{"'EI 060 02'!$A$1:$K$59"}</definedName>
    <definedName name="fffff" localSheetId="10" hidden="1">{"'EI 060 02'!$A$1:$K$59"}</definedName>
    <definedName name="fffff" hidden="1">{"'EI 060 02'!$A$1:$K$59"}</definedName>
    <definedName name="FGHFG">#REF!</definedName>
    <definedName name="FINALIDADE" localSheetId="2">[15]Plan1!$A$8:$A$18</definedName>
    <definedName name="FINALIDADE" localSheetId="3">[15]Plan1!$A$8:$A$18</definedName>
    <definedName name="FINALIDADE">[16]Plan1!$A$8:$A$18</definedName>
    <definedName name="FOFO" localSheetId="8">#REF!</definedName>
    <definedName name="FOFO" localSheetId="9">#REF!</definedName>
    <definedName name="FOFO" localSheetId="10">#REF!</definedName>
    <definedName name="FOFO" localSheetId="2">#REF!</definedName>
    <definedName name="FOFO" localSheetId="3">#REF!</definedName>
    <definedName name="FOFO">#REF!</definedName>
    <definedName name="FOFO150">#REF!</definedName>
    <definedName name="FOFO200">#REF!</definedName>
    <definedName name="FOFO50">#REF!</definedName>
    <definedName name="FOFO75">#REF!</definedName>
    <definedName name="FOFO80">#REF!</definedName>
    <definedName name="FORMATO" localSheetId="2">[15]Plan1!$A$46:$A$51</definedName>
    <definedName name="FORMATO" localSheetId="3">[15]Plan1!$A$46:$A$51</definedName>
    <definedName name="FORMATO">[16]Plan1!$A$46:$A$51</definedName>
    <definedName name="Formula" localSheetId="8">#REF!</definedName>
    <definedName name="Formula" localSheetId="9">#REF!</definedName>
    <definedName name="Formula" localSheetId="10">#REF!</definedName>
    <definedName name="Formula" localSheetId="2">#REF!</definedName>
    <definedName name="Formula" localSheetId="3">#REF!</definedName>
    <definedName name="Formula">#REF!</definedName>
    <definedName name="Formula_1">#REF!</definedName>
    <definedName name="Formula_10">#REF!</definedName>
    <definedName name="Formula_2">#REF!</definedName>
    <definedName name="Formula_3">#REF!</definedName>
    <definedName name="Formula_4">#REF!</definedName>
    <definedName name="Formula_5">#REF!</definedName>
    <definedName name="Formula_5_1">#REF!</definedName>
    <definedName name="Formula_6">#REF!</definedName>
    <definedName name="Fot" localSheetId="8" hidden="1">{"'EI 060 02'!$A$1:$K$59"}</definedName>
    <definedName name="Fot" localSheetId="9" hidden="1">{"'EI 060 02'!$A$1:$K$59"}</definedName>
    <definedName name="Fot" localSheetId="10" hidden="1">{"'EI 060 02'!$A$1:$K$59"}</definedName>
    <definedName name="Fot" hidden="1">{"'EI 060 02'!$A$1:$K$59"}</definedName>
    <definedName name="FRD" localSheetId="8">#REF!</definedName>
    <definedName name="FRD">#REF!</definedName>
    <definedName name="frtiop">[26]Planilha!$C$126:$D$130</definedName>
    <definedName name="FUNDAMENTACAO_PRECISAO" localSheetId="2">[15]Plan1!$A$206:$A$210</definedName>
    <definedName name="FUNDAMENTACAO_PRECISAO" localSheetId="3">[15]Plan1!$A$206:$A$210</definedName>
    <definedName name="FUNDAMENTACAO_PRECISAO">[16]Plan1!$A$206:$A$210</definedName>
    <definedName name="g" localSheetId="4">#REF!</definedName>
    <definedName name="g" localSheetId="8">#REF!</definedName>
    <definedName name="g" localSheetId="9">#REF!</definedName>
    <definedName name="g" localSheetId="11">#REF!</definedName>
    <definedName name="g">#REF!</definedName>
    <definedName name="GERAL">[1]PLANILHA!#REF!</definedName>
    <definedName name="gfdgh" localSheetId="4">#REF!</definedName>
    <definedName name="gfdgh" localSheetId="8">#REF!</definedName>
    <definedName name="gfdgh" localSheetId="9">#REF!</definedName>
    <definedName name="gfdgh" localSheetId="11">#REF!</definedName>
    <definedName name="gfdgh">#REF!</definedName>
    <definedName name="ggg">#REF!</definedName>
    <definedName name="ghd" localSheetId="4">#REF!</definedName>
    <definedName name="ghd" localSheetId="8">#REF!</definedName>
    <definedName name="ghd" localSheetId="9">#REF!</definedName>
    <definedName name="ghd">#REF!</definedName>
    <definedName name="gil">#REF!</definedName>
    <definedName name="_xlnm.Recorder">#REF!</definedName>
    <definedName name="h">[27]BDI!$E$97</definedName>
    <definedName name="HABITABILIDADE" localSheetId="2">[15]Plan1!$A$159:$A$162</definedName>
    <definedName name="HABITABILIDADE" localSheetId="3">[15]Plan1!$A$159:$A$162</definedName>
    <definedName name="HABITABILIDADE">[16]Plan1!$A$159:$A$162</definedName>
    <definedName name="hd" localSheetId="8">#REF!</definedName>
    <definedName name="hd" localSheetId="9">#REF!</definedName>
    <definedName name="hd" localSheetId="10">#REF!</definedName>
    <definedName name="hd">#REF!</definedName>
    <definedName name="hh" localSheetId="8">#REF!</definedName>
    <definedName name="hh" localSheetId="9">#REF!</definedName>
    <definedName name="hh" localSheetId="10">#REF!</definedName>
    <definedName name="hh">#REF!</definedName>
    <definedName name="HHHHHHHHHHHHHHHHHHHHHH">#REF!</definedName>
    <definedName name="hnc" localSheetId="8">#REF!</definedName>
    <definedName name="hnc">#REF!</definedName>
    <definedName name="HTML_CodePage" hidden="1">1252</definedName>
    <definedName name="HTML_Control" localSheetId="8" hidden="1">{"'EI 060 02'!$A$1:$K$59"}</definedName>
    <definedName name="HTML_Control" localSheetId="9" hidden="1">{"'EI 060 02'!$A$1:$K$59"}</definedName>
    <definedName name="HTML_Control" localSheetId="10" hidden="1">{"'EI 060 02'!$A$1:$K$59"}</definedName>
    <definedName name="HTML_Control" hidden="1">{"'EI 060 02'!$A$1:$K$59"}</definedName>
    <definedName name="HTML_Description" hidden="1">""</definedName>
    <definedName name="HTML_Email" hidden="1">""</definedName>
    <definedName name="HTML_Header" hidden="1">"EI 060 02"</definedName>
    <definedName name="HTML_LastUpdate" hidden="1">"05/05/03"</definedName>
    <definedName name="HTML_LineAfter" hidden="1">FALSE</definedName>
    <definedName name="HTML_LineBefore" hidden="1">FALSE</definedName>
    <definedName name="HTML_Name" hidden="1">"Keyloir"</definedName>
    <definedName name="HTML_OBDlg2" hidden="1">TRUE</definedName>
    <definedName name="HTML_OBDlg4" hidden="1">TRUE</definedName>
    <definedName name="HTML_OS" hidden="1">0</definedName>
    <definedName name="HTML_PathFile" hidden="1">"C:\Meus documentos\EI 060-02.htm"</definedName>
    <definedName name="HTML_Title" hidden="1">"EI 060-02 Relatório"</definedName>
    <definedName name="hush" localSheetId="8">#REF!</definedName>
    <definedName name="hush" localSheetId="9">#REF!</definedName>
    <definedName name="hush" localSheetId="10">#REF!</definedName>
    <definedName name="hush">#REF!</definedName>
    <definedName name="I" localSheetId="8" hidden="1">[28]Poço!#REF!</definedName>
    <definedName name="I" localSheetId="9" hidden="1">[28]Poço!#REF!</definedName>
    <definedName name="I" localSheetId="10" hidden="1">[28]Poço!#REF!</definedName>
    <definedName name="I" hidden="1">[28]Poço!#REF!</definedName>
    <definedName name="Im" localSheetId="8">#REF!</definedName>
    <definedName name="Im" localSheetId="9">#REF!</definedName>
    <definedName name="Im" localSheetId="10">#REF!</definedName>
    <definedName name="Im">#REF!</definedName>
    <definedName name="impress">"$#REF!.$A$1:$O$42"</definedName>
    <definedName name="IMPRESSÃO" localSheetId="8">#REF!</definedName>
    <definedName name="IMPRESSÃO" localSheetId="9">#REF!</definedName>
    <definedName name="IMPRESSÃO" localSheetId="10">#REF!</definedName>
    <definedName name="IMPRESSÃO">#REF!</definedName>
    <definedName name="imprimação" localSheetId="8">#REF!,#REF!</definedName>
    <definedName name="imprimação" localSheetId="9">#REF!,#REF!</definedName>
    <definedName name="imprimação" localSheetId="10">#REF!,#REF!</definedName>
    <definedName name="imprimação">#REF!,#REF!</definedName>
    <definedName name="INCLINACAO" localSheetId="2">[15]Plan1!$A$56:$A$59</definedName>
    <definedName name="INCLINACAO" localSheetId="3">[15]Plan1!$A$56:$A$59</definedName>
    <definedName name="INCLINACAO">[16]Plan1!$A$56:$A$59</definedName>
    <definedName name="ind" localSheetId="8">#REF!</definedName>
    <definedName name="ind" localSheetId="9">#REF!</definedName>
    <definedName name="ind" localSheetId="10">#REF!</definedName>
    <definedName name="ind" localSheetId="2">#REF!</definedName>
    <definedName name="ind" localSheetId="3">#REF!</definedName>
    <definedName name="ind">#REF!</definedName>
    <definedName name="ÍND" localSheetId="2">#REF!</definedName>
    <definedName name="ÍND" localSheetId="3">#REF!</definedName>
    <definedName name="ÍND">#REF!</definedName>
    <definedName name="INDICE" localSheetId="8">#REF!</definedName>
    <definedName name="INDICE">#REF!</definedName>
    <definedName name="INDICE_10">[29]Planilha!$C$126:$D$130</definedName>
    <definedName name="INDICE_13">[30]Planilha!$C$126:$D$130</definedName>
    <definedName name="INDICE_16" localSheetId="4">#REF!</definedName>
    <definedName name="INDICE_16" localSheetId="8">#REF!</definedName>
    <definedName name="INDICE_16" localSheetId="9">#REF!</definedName>
    <definedName name="INDICE_16" localSheetId="11">#REF!</definedName>
    <definedName name="INDICE_16">#REF!</definedName>
    <definedName name="INDICE_17" localSheetId="4">#REF!</definedName>
    <definedName name="INDICE_17" localSheetId="8">#REF!</definedName>
    <definedName name="INDICE_17" localSheetId="9">#REF!</definedName>
    <definedName name="INDICE_17" localSheetId="11">#REF!</definedName>
    <definedName name="INDICE_17">#REF!</definedName>
    <definedName name="INDICE_2" localSheetId="4">#REF!</definedName>
    <definedName name="INDICE_2" localSheetId="8">#REF!</definedName>
    <definedName name="INDICE_2" localSheetId="9">#REF!</definedName>
    <definedName name="INDICE_2">#REF!</definedName>
    <definedName name="INDICE_5" localSheetId="8">#REF!</definedName>
    <definedName name="INDICE_5">#REF!</definedName>
    <definedName name="indice2">#REF!</definedName>
    <definedName name="InhaltsvezSUMMEN">'[9]A.2- RESUMO'!#REF!</definedName>
    <definedName name="INSS" localSheetId="8">#REF!</definedName>
    <definedName name="INSS" localSheetId="9">#REF!</definedName>
    <definedName name="INSS" localSheetId="10">#REF!</definedName>
    <definedName name="INSS">#REF!</definedName>
    <definedName name="INSUMOS">[31]MAT!$A$3:$E$249</definedName>
    <definedName name="intemizacao" localSheetId="8">#REF!</definedName>
    <definedName name="intemizacao" localSheetId="9">#REF!</definedName>
    <definedName name="intemizacao" localSheetId="10">#REF!</definedName>
    <definedName name="intemizacao">#REF!</definedName>
    <definedName name="Io" localSheetId="8">#REF!</definedName>
    <definedName name="Io" localSheetId="9">#REF!</definedName>
    <definedName name="Io" localSheetId="10">#REF!</definedName>
    <definedName name="Io">#REF!</definedName>
    <definedName name="ISS" localSheetId="8">#REF!</definedName>
    <definedName name="ISS" localSheetId="9">#REF!</definedName>
    <definedName name="ISS" localSheetId="10">#REF!</definedName>
    <definedName name="ISS">#REF!</definedName>
    <definedName name="IT">#REF!</definedName>
    <definedName name="Item">"'file://Execucao/lobo 1/Renato Lobo/234 MBR/Planilhas/Vargem Grande.xls'#$'Planilha Original'.$A$2:'file://Execucao/lobo 1/Renato Lobo/234 MBR/Planilhas/Vargem Grande.xls'#$'Planilha Original'.$X$3277"</definedName>
    <definedName name="item1">'[32]Plan 2_7'!$A$4:$R$2819</definedName>
    <definedName name="item1.1" localSheetId="8">#REF!</definedName>
    <definedName name="item1.1" localSheetId="9">#REF!</definedName>
    <definedName name="item1.1" localSheetId="10">#REF!</definedName>
    <definedName name="item1.1">#REF!</definedName>
    <definedName name="item1.2" localSheetId="8">#REF!</definedName>
    <definedName name="item1.2" localSheetId="9">#REF!</definedName>
    <definedName name="item1.2" localSheetId="10">#REF!</definedName>
    <definedName name="item1.2">#REF!</definedName>
    <definedName name="item1.3" localSheetId="8">#REF!</definedName>
    <definedName name="item1.3" localSheetId="9">#REF!</definedName>
    <definedName name="item1.3" localSheetId="10">#REF!</definedName>
    <definedName name="item1.3">#REF!</definedName>
    <definedName name="item1.4">#REF!</definedName>
    <definedName name="item1.5">#REF!</definedName>
    <definedName name="item1.6">#REF!</definedName>
    <definedName name="item10.1">#REF!</definedName>
    <definedName name="item10.10">#REF!</definedName>
    <definedName name="item10.11">#REF!</definedName>
    <definedName name="item10.12">#REF!</definedName>
    <definedName name="item10.13">#REF!</definedName>
    <definedName name="item10.14">#REF!</definedName>
    <definedName name="item10.15">#REF!</definedName>
    <definedName name="item10.16">#REF!</definedName>
    <definedName name="item10.17">#REF!</definedName>
    <definedName name="item10.18">#REF!</definedName>
    <definedName name="item10.19">#REF!</definedName>
    <definedName name="item10.2">#REF!</definedName>
    <definedName name="item10.3">#REF!</definedName>
    <definedName name="item10.4">#REF!</definedName>
    <definedName name="item10.5">#REF!</definedName>
    <definedName name="item10.6">#REF!</definedName>
    <definedName name="item10.7">#REF!</definedName>
    <definedName name="item10.8">#REF!</definedName>
    <definedName name="item10.9">#REF!</definedName>
    <definedName name="item11.1">#REF!</definedName>
    <definedName name="item11.10">#REF!</definedName>
    <definedName name="item11.11">#REF!</definedName>
    <definedName name="item11.12">#REF!</definedName>
    <definedName name="item11.13">#REF!</definedName>
    <definedName name="item11.14">#REF!</definedName>
    <definedName name="item11.15">#REF!</definedName>
    <definedName name="item11.16">#REF!</definedName>
    <definedName name="item11.17">#REF!</definedName>
    <definedName name="item11.18">#REF!</definedName>
    <definedName name="item11.19">#REF!</definedName>
    <definedName name="item11.2">#REF!</definedName>
    <definedName name="item11.20">#REF!</definedName>
    <definedName name="item11.21">#REF!</definedName>
    <definedName name="item11.22">#REF!</definedName>
    <definedName name="item11.23">#REF!</definedName>
    <definedName name="item11.24">#REF!</definedName>
    <definedName name="item11.25">#REF!</definedName>
    <definedName name="item11.26">#REF!</definedName>
    <definedName name="item11.27">#REF!</definedName>
    <definedName name="item11.28">#REF!</definedName>
    <definedName name="item11.3">#REF!</definedName>
    <definedName name="item11.4">#REF!</definedName>
    <definedName name="item11.5">#REF!</definedName>
    <definedName name="item11.6">#REF!</definedName>
    <definedName name="item11.7">#REF!</definedName>
    <definedName name="item11.8">#REF!</definedName>
    <definedName name="item11.9">#REF!</definedName>
    <definedName name="item12.0">#REF!</definedName>
    <definedName name="item12.1">#REF!</definedName>
    <definedName name="item12.10">#REF!</definedName>
    <definedName name="item12.11">#REF!</definedName>
    <definedName name="item12.12">#REF!</definedName>
    <definedName name="item12.13">#REF!</definedName>
    <definedName name="item12.14">#REF!</definedName>
    <definedName name="item12.15">#REF!</definedName>
    <definedName name="item12.16">#REF!</definedName>
    <definedName name="item12.17">#REF!</definedName>
    <definedName name="item12.18">#REF!</definedName>
    <definedName name="item12.19">#REF!</definedName>
    <definedName name="item12.2">#REF!</definedName>
    <definedName name="item12.20">#REF!</definedName>
    <definedName name="item12.21">#REF!</definedName>
    <definedName name="item12.22">#REF!</definedName>
    <definedName name="item12.23">#REF!</definedName>
    <definedName name="item12.24">#REF!</definedName>
    <definedName name="item12.25">#REF!</definedName>
    <definedName name="item12.26">#REF!</definedName>
    <definedName name="item12.27">#REF!</definedName>
    <definedName name="item12.3">#REF!</definedName>
    <definedName name="item12.4">#REF!</definedName>
    <definedName name="item12.5">#REF!</definedName>
    <definedName name="item12.6">#REF!</definedName>
    <definedName name="item12.7">#REF!</definedName>
    <definedName name="item12.8">#REF!</definedName>
    <definedName name="item12.9">#REF!</definedName>
    <definedName name="item13.1">#REF!</definedName>
    <definedName name="item13.10">#REF!</definedName>
    <definedName name="item13.11">#REF!</definedName>
    <definedName name="item13.12">#REF!</definedName>
    <definedName name="item13.13">#REF!</definedName>
    <definedName name="item13.2">#REF!</definedName>
    <definedName name="item13.3">#REF!</definedName>
    <definedName name="item13.4">#REF!</definedName>
    <definedName name="item13.5">#REF!</definedName>
    <definedName name="item13.6">#REF!</definedName>
    <definedName name="item13.7">#REF!</definedName>
    <definedName name="item13.8">#REF!</definedName>
    <definedName name="item13.9">#REF!</definedName>
    <definedName name="item14.1">#REF!</definedName>
    <definedName name="item14.2">#REF!</definedName>
    <definedName name="item14.3">#REF!</definedName>
    <definedName name="item14.4">#REF!</definedName>
    <definedName name="item14.5">#REF!</definedName>
    <definedName name="item14.6">#REF!</definedName>
    <definedName name="item15.1">#REF!</definedName>
    <definedName name="item15.10">#REF!</definedName>
    <definedName name="item15.11">#REF!</definedName>
    <definedName name="item15.12">#REF!</definedName>
    <definedName name="item15.13">#REF!</definedName>
    <definedName name="item15.2">#REF!</definedName>
    <definedName name="item15.3">#REF!</definedName>
    <definedName name="item15.4">#REF!</definedName>
    <definedName name="item15.5">#REF!</definedName>
    <definedName name="item15.6">#REF!</definedName>
    <definedName name="item15.7">#REF!</definedName>
    <definedName name="item15.8">#REF!</definedName>
    <definedName name="item15.9">#REF!</definedName>
    <definedName name="item2.1">#REF!</definedName>
    <definedName name="item2.10">#REF!</definedName>
    <definedName name="item2.11">#REF!</definedName>
    <definedName name="item2.12">#REF!</definedName>
    <definedName name="item2.13">#REF!</definedName>
    <definedName name="item2.14">#REF!</definedName>
    <definedName name="item2.15">#REF!</definedName>
    <definedName name="item2.16">#REF!</definedName>
    <definedName name="item2.17">#REF!</definedName>
    <definedName name="item2.18">#REF!</definedName>
    <definedName name="item2.19">#REF!</definedName>
    <definedName name="item2.2">#REF!</definedName>
    <definedName name="item2.20">#REF!</definedName>
    <definedName name="item2.21">#REF!</definedName>
    <definedName name="item2.22">#REF!</definedName>
    <definedName name="item2.23">#REF!</definedName>
    <definedName name="item2.24">#REF!</definedName>
    <definedName name="item2.25">#REF!</definedName>
    <definedName name="item2.26">#REF!</definedName>
    <definedName name="item2.27">#REF!</definedName>
    <definedName name="item2.3">#REF!</definedName>
    <definedName name="item2.4">#REF!</definedName>
    <definedName name="item2.5">#REF!</definedName>
    <definedName name="item2.6">#REF!</definedName>
    <definedName name="item2.7">#REF!</definedName>
    <definedName name="item2.8">#REF!</definedName>
    <definedName name="item2.9">#REF!</definedName>
    <definedName name="item3.1">#REF!</definedName>
    <definedName name="item3.2">#REF!</definedName>
    <definedName name="item3.3">#REF!</definedName>
    <definedName name="item4.1">#REF!</definedName>
    <definedName name="item4.2">#REF!</definedName>
    <definedName name="item4.3">#REF!</definedName>
    <definedName name="item4.4">#REF!</definedName>
    <definedName name="item4.5">#REF!</definedName>
    <definedName name="item4.6">#REF!</definedName>
    <definedName name="item4.7">#REF!</definedName>
    <definedName name="item5.1">#REF!</definedName>
    <definedName name="item5.2">#REF!</definedName>
    <definedName name="item5.3">#REF!</definedName>
    <definedName name="item5.4">#REF!</definedName>
    <definedName name="item5.5">#REF!</definedName>
    <definedName name="item5.6">#REF!</definedName>
    <definedName name="item5.7">#REF!</definedName>
    <definedName name="item6.1">#REF!</definedName>
    <definedName name="item6.2">#REF!</definedName>
    <definedName name="item6.3">#REF!</definedName>
    <definedName name="item6.4">#REF!</definedName>
    <definedName name="item6.5">#REF!</definedName>
    <definedName name="item7.1">#REF!</definedName>
    <definedName name="item7.10">#REF!</definedName>
    <definedName name="item7.11">#REF!</definedName>
    <definedName name="item7.12">#REF!</definedName>
    <definedName name="item7.13">#REF!</definedName>
    <definedName name="item7.14">#REF!</definedName>
    <definedName name="item7.15">#REF!</definedName>
    <definedName name="item7.16">#REF!</definedName>
    <definedName name="item7.17">#REF!</definedName>
    <definedName name="item7.18">#REF!</definedName>
    <definedName name="item7.19">#REF!</definedName>
    <definedName name="item7.2">#REF!</definedName>
    <definedName name="item7.3">#REF!</definedName>
    <definedName name="item7.4">#REF!</definedName>
    <definedName name="item7.5">#REF!</definedName>
    <definedName name="item7.6">#REF!</definedName>
    <definedName name="item7.7">#REF!</definedName>
    <definedName name="item7.8">#REF!</definedName>
    <definedName name="item7.9">#REF!</definedName>
    <definedName name="item8.1">#REF!</definedName>
    <definedName name="item8.2">#REF!</definedName>
    <definedName name="item8.3">#REF!</definedName>
    <definedName name="item8.4">#REF!</definedName>
    <definedName name="item8.5">#REF!</definedName>
    <definedName name="item8.6">#REF!</definedName>
    <definedName name="item9.1">#REF!</definedName>
    <definedName name="item9.2">#REF!</definedName>
    <definedName name="item9.3">#REF!</definedName>
    <definedName name="item9.4">#REF!</definedName>
    <definedName name="item9.5">#REF!</definedName>
    <definedName name="item9.6">#REF!</definedName>
    <definedName name="item9.7">#REF!</definedName>
    <definedName name="item9.8">#REF!</definedName>
    <definedName name="item9.9">#REF!</definedName>
    <definedName name="itm10.2">#REF!</definedName>
    <definedName name="iu">[21]!PassaExtenso</definedName>
    <definedName name="jbgihwqgbib" localSheetId="8">#REF!</definedName>
    <definedName name="jbgihwqgbib" localSheetId="9">#REF!</definedName>
    <definedName name="jbgihwqgbib" localSheetId="10">#REF!</definedName>
    <definedName name="jbgihwqgbib">#REF!</definedName>
    <definedName name="Jd" localSheetId="2">#REF!</definedName>
    <definedName name="Jd" localSheetId="3">#REF!</definedName>
    <definedName name="Jd">#REF!</definedName>
    <definedName name="JESUS" localSheetId="2">'[13]Refor Out. 2001 - BDI=20% Ajust'!#REF!</definedName>
    <definedName name="JESUS" localSheetId="3">'[13]Refor Out. 2001 - BDI=20% Ajust'!#REF!</definedName>
    <definedName name="JESUS">'[13]Refor Out. 2001 - BDI=20% Ajust'!#REF!</definedName>
    <definedName name="jj" localSheetId="8">#REF!</definedName>
    <definedName name="jj" localSheetId="9">#REF!</definedName>
    <definedName name="jj" localSheetId="10">#REF!</definedName>
    <definedName name="jj" localSheetId="2">#REF!</definedName>
    <definedName name="jj" localSheetId="3">#REF!</definedName>
    <definedName name="jj">#REF!</definedName>
    <definedName name="Jm">#REF!</definedName>
    <definedName name="juuhyyebjs14">#REF!</definedName>
    <definedName name="jygfvsujj_jhs">#REF!</definedName>
    <definedName name="k">'[3]Bm 8'!#REF!</definedName>
    <definedName name="kg" localSheetId="8">'[12]PLANILHA DE QUANT. E CUSTOS A'!#REF!</definedName>
    <definedName name="kg">'[12]PLANILHA DE QUANT. E CUSTOS A'!#REF!</definedName>
    <definedName name="khgu" localSheetId="4">#REF!</definedName>
    <definedName name="khgu" localSheetId="8">#REF!</definedName>
    <definedName name="khgu" localSheetId="9">#REF!</definedName>
    <definedName name="khgu" localSheetId="11">#REF!</definedName>
    <definedName name="khgu">#REF!</definedName>
    <definedName name="kj" localSheetId="4">#REF!</definedName>
    <definedName name="kj" localSheetId="8">#REF!</definedName>
    <definedName name="kj" localSheetId="9">#REF!</definedName>
    <definedName name="kj" localSheetId="11">#REF!</definedName>
    <definedName name="kj">#REF!</definedName>
    <definedName name="kjh" localSheetId="4">#REF!</definedName>
    <definedName name="kjh" localSheetId="8">#REF!</definedName>
    <definedName name="kjh" localSheetId="9">#REF!</definedName>
    <definedName name="kjh" localSheetId="11">#REF!</definedName>
    <definedName name="kjh">#REF!</definedName>
    <definedName name="KKKK" localSheetId="8">#REF!,#REF!</definedName>
    <definedName name="KKKK" localSheetId="9">#REF!,#REF!</definedName>
    <definedName name="KKKK" localSheetId="10">#REF!,#REF!</definedName>
    <definedName name="KKKK">#REF!,#REF!</definedName>
    <definedName name="kkkk2" localSheetId="8">#REF!,#REF!</definedName>
    <definedName name="kkkk2" localSheetId="9">#REF!,#REF!</definedName>
    <definedName name="kkkk2" localSheetId="10">#REF!,#REF!</definedName>
    <definedName name="kkkk2">#REF!,#REF!</definedName>
    <definedName name="kkkkkkk" localSheetId="8">#REF!</definedName>
    <definedName name="kkkkkkk" localSheetId="9">#REF!</definedName>
    <definedName name="kkkkkkk" localSheetId="10">#REF!</definedName>
    <definedName name="kkkkkkk">#REF!</definedName>
    <definedName name="kkkkkkkk3" localSheetId="8">#REF!,#REF!</definedName>
    <definedName name="kkkkkkkk3" localSheetId="9">#REF!,#REF!</definedName>
    <definedName name="kkkkkkkk3" localSheetId="10">#REF!,#REF!</definedName>
    <definedName name="kkkkkkkk3">#REF!,#REF!</definedName>
    <definedName name="kl" localSheetId="8">#REF!</definedName>
    <definedName name="kl" localSheetId="9">#REF!</definedName>
    <definedName name="kl" localSheetId="10">#REF!</definedName>
    <definedName name="kl">#REF!</definedName>
    <definedName name="klkl" localSheetId="8">#REF!</definedName>
    <definedName name="klkl" localSheetId="9">#REF!</definedName>
    <definedName name="klkl" localSheetId="10">#REF!</definedName>
    <definedName name="klkl">#REF!</definedName>
    <definedName name="KPAV" localSheetId="8">#REF!</definedName>
    <definedName name="KPAV">#REF!</definedName>
    <definedName name="kpavi">#REF!</definedName>
    <definedName name="kpavim">#REF!</definedName>
    <definedName name="kpavime">#REF!</definedName>
    <definedName name="ksye_isuhuh_hsydgs">#REF!</definedName>
    <definedName name="KTER" localSheetId="8">#REF!</definedName>
    <definedName name="KTER">#REF!</definedName>
    <definedName name="kterr">#REF!</definedName>
    <definedName name="kterra">#REF!</definedName>
    <definedName name="kterrap">#REF!</definedName>
    <definedName name="kterraple">#REF!</definedName>
    <definedName name="kudyud" localSheetId="8">#REF!</definedName>
    <definedName name="kudyud">#REF!</definedName>
    <definedName name="l_">#REF!</definedName>
    <definedName name="la">[10]Reforma!#REF!</definedName>
    <definedName name="Lado2" localSheetId="8">#REF!</definedName>
    <definedName name="Lado2" localSheetId="9">#REF!</definedName>
    <definedName name="Lado2" localSheetId="10">#REF!</definedName>
    <definedName name="Lado2">#REF!</definedName>
    <definedName name="Laranjeiras" localSheetId="8">#REF!,#REF!</definedName>
    <definedName name="Laranjeiras" localSheetId="9">#REF!,#REF!</definedName>
    <definedName name="Laranjeiras" localSheetId="10">#REF!,#REF!</definedName>
    <definedName name="Laranjeiras">#REF!,#REF!</definedName>
    <definedName name="LEO" localSheetId="8">#REF!</definedName>
    <definedName name="LEO" localSheetId="9">#REF!</definedName>
    <definedName name="LEO" localSheetId="10">#REF!</definedName>
    <definedName name="LEO">#REF!</definedName>
    <definedName name="LIQUIDEZ" localSheetId="2">[15]Plan1!$A$184:$A$187</definedName>
    <definedName name="LIQUIDEZ" localSheetId="3">[15]Plan1!$A$184:$A$187</definedName>
    <definedName name="LIQUIDEZ">[16]Plan1!$A$184:$A$187</definedName>
    <definedName name="lista" localSheetId="8">#REF!</definedName>
    <definedName name="lista" localSheetId="9">#REF!</definedName>
    <definedName name="lista" localSheetId="10">#REF!</definedName>
    <definedName name="lista">#REF!</definedName>
    <definedName name="lista.coluna" localSheetId="8">#REF!</definedName>
    <definedName name="lista.coluna" localSheetId="9">#REF!</definedName>
    <definedName name="lista.coluna" localSheetId="10">#REF!</definedName>
    <definedName name="lista.coluna">#REF!</definedName>
    <definedName name="lista.linha" localSheetId="8">#REF!</definedName>
    <definedName name="lista.linha" localSheetId="9">#REF!</definedName>
    <definedName name="lista.linha" localSheetId="10">#REF!</definedName>
    <definedName name="lista.linha">#REF!</definedName>
    <definedName name="ljh" localSheetId="8">#REF!</definedName>
    <definedName name="ljh">#REF!</definedName>
    <definedName name="LLLLL" localSheetId="8">#REF!,#REF!</definedName>
    <definedName name="LLLLL" localSheetId="9">#REF!,#REF!</definedName>
    <definedName name="LLLLL" localSheetId="10">#REF!,#REF!</definedName>
    <definedName name="LLLLL">#REF!,#REF!</definedName>
    <definedName name="Local" localSheetId="8">#REF!</definedName>
    <definedName name="Local" localSheetId="9">#REF!</definedName>
    <definedName name="Local" localSheetId="10">#REF!</definedName>
    <definedName name="Local">#REF!</definedName>
    <definedName name="LOP" localSheetId="8">(#REF!,#REF!)</definedName>
    <definedName name="LOP" localSheetId="9">(#REF!,#REF!)</definedName>
    <definedName name="LOP" localSheetId="10">(#REF!,#REF!)</definedName>
    <definedName name="LOP" localSheetId="2">(#REF!,#REF!)</definedName>
    <definedName name="LOP" localSheetId="3">(#REF!,#REF!)</definedName>
    <definedName name="LOP">(#REF!,#REF!)</definedName>
    <definedName name="Lucro" localSheetId="8">#REF!</definedName>
    <definedName name="Lucro" localSheetId="9">#REF!</definedName>
    <definedName name="Lucro" localSheetId="10">#REF!</definedName>
    <definedName name="Lucro" localSheetId="2">#REF!</definedName>
    <definedName name="Lucro" localSheetId="3">#REF!</definedName>
    <definedName name="Lucro">#REF!</definedName>
    <definedName name="m" localSheetId="2">#REF!</definedName>
    <definedName name="m" localSheetId="3">#REF!</definedName>
    <definedName name="m">#REF!</definedName>
    <definedName name="MAR" localSheetId="2">[10]Reforma!#REF!</definedName>
    <definedName name="MAR" localSheetId="3">[10]Reforma!#REF!</definedName>
    <definedName name="MAR">[10]Reforma!#REF!</definedName>
    <definedName name="MATRIZ_DE_RESPONSABILIDADE" localSheetId="8">#REF!</definedName>
    <definedName name="MATRIZ_DE_RESPONSABILIDADE" localSheetId="9">#REF!</definedName>
    <definedName name="MATRIZ_DE_RESPONSABILIDADE" localSheetId="10">#REF!</definedName>
    <definedName name="MATRIZ_DE_RESPONSABILIDADE">#REF!</definedName>
    <definedName name="MCOD02.020.0010" localSheetId="8">[33]MEMORIAL!#REF!</definedName>
    <definedName name="MCOD02.020.0010" localSheetId="9">[33]MEMORIAL!#REF!</definedName>
    <definedName name="MCOD02.020.0010" localSheetId="10">[33]MEMORIAL!#REF!</definedName>
    <definedName name="MCOD02.020.0010" localSheetId="2">[33]MEMORIAL!#REF!</definedName>
    <definedName name="MCOD02.020.0010" localSheetId="3">[33]MEMORIAL!#REF!</definedName>
    <definedName name="MCOD02.020.0010">[33]MEMORIAL!#REF!</definedName>
    <definedName name="MCOD02.020.0010_1" localSheetId="2">[34]MEMORIAL!#REF!</definedName>
    <definedName name="MCOD02.020.0010_1" localSheetId="3">[34]MEMORIAL!#REF!</definedName>
    <definedName name="MCOD02.020.0010_1">[34]MEMORIAL!#REF!</definedName>
    <definedName name="MCOD02.020.0070" localSheetId="2">[33]MEMORIAL!#REF!</definedName>
    <definedName name="MCOD02.020.0070" localSheetId="3">[33]MEMORIAL!#REF!</definedName>
    <definedName name="MCOD02.020.0070">[33]MEMORIAL!#REF!</definedName>
    <definedName name="MCOD02.020.0070_1">[34]MEMORIAL!#REF!</definedName>
    <definedName name="MCOD02.030.0090">[33]MEMORIAL!#REF!</definedName>
    <definedName name="MCOD02.030.0090_1">[34]MEMORIAL!#REF!</definedName>
    <definedName name="MCOD02.030.0100">[33]MEMORIAL!#REF!</definedName>
    <definedName name="MCOD02.030.0100_1">[34]MEMORIAL!#REF!</definedName>
    <definedName name="MCOD02.040.0200">[33]MEMORIAL!#REF!</definedName>
    <definedName name="MCOD02.040.0200_1">[34]MEMORIAL!#REF!</definedName>
    <definedName name="MCOD02.040.0280">[33]MEMORIAL!#REF!</definedName>
    <definedName name="MCOD02.040.0280_1">[34]MEMORIAL!#REF!</definedName>
    <definedName name="MCOD02.040.0921">[33]MEMORIAL!#REF!</definedName>
    <definedName name="MCOD02.040.0921_1">[34]MEMORIAL!#REF!</definedName>
    <definedName name="MCOD02.040.1055">[33]MEMORIAL!#REF!</definedName>
    <definedName name="MCOD02.040.1055_1">[34]MEMORIAL!#REF!</definedName>
    <definedName name="MCOD02.040.1060">[33]MEMORIAL!#REF!</definedName>
    <definedName name="MCOD02.040.1060_1">[34]MEMORIAL!#REF!</definedName>
    <definedName name="MCOD02.040.3790">[33]MEMORIAL!#REF!</definedName>
    <definedName name="MCOD02.040.3790_1">[34]MEMORIAL!#REF!</definedName>
    <definedName name="MCOD02.040.3800">[33]MEMORIAL!#REF!</definedName>
    <definedName name="MCOD02.040.3800_1">[34]MEMORIAL!#REF!</definedName>
    <definedName name="MCOD02.040.3810">[33]MEMORIAL!#REF!</definedName>
    <definedName name="MCOD02.040.3810_1">[34]MEMORIAL!#REF!</definedName>
    <definedName name="MCOD02.040.4510">[33]MEMORIAL!#REF!</definedName>
    <definedName name="MCOD02.040.4510_1">[34]MEMORIAL!#REF!</definedName>
    <definedName name="MCOD02.040.4520">[33]MEMORIAL!#REF!</definedName>
    <definedName name="MCOD02.040.4520_1">[34]MEMORIAL!#REF!</definedName>
    <definedName name="MCOD02.040.4550">[33]MEMORIAL!#REF!</definedName>
    <definedName name="MCOD02.040.4550_1">[34]MEMORIAL!#REF!</definedName>
    <definedName name="MCOD02.040.4620">[33]MEMORIAL!#REF!</definedName>
    <definedName name="MCOD02.040.4620_1">[34]MEMORIAL!#REF!</definedName>
    <definedName name="MCOD02.040.4630">[33]MEMORIAL!#REF!</definedName>
    <definedName name="MCOD02.040.4630_1">[34]MEMORIAL!#REF!</definedName>
    <definedName name="MCOD02.040.4636">[33]MEMORIAL!#REF!</definedName>
    <definedName name="MCOD02.040.4636_1">[34]MEMORIAL!#REF!</definedName>
    <definedName name="MCOD02.040.4690">[33]MEMORIAL!#REF!</definedName>
    <definedName name="MCOD02.040.4690_1">[34]MEMORIAL!#REF!</definedName>
    <definedName name="MCOD02.040.7402">[33]MEMORIAL!#REF!</definedName>
    <definedName name="MCOD02.040.7402_1">[34]MEMORIAL!#REF!</definedName>
    <definedName name="MCOD02.040.9800">[33]MEMORIAL!#REF!</definedName>
    <definedName name="MCOD02.040.9800_1">[34]MEMORIAL!#REF!</definedName>
    <definedName name="MCOD02.040.9802">[33]MEMORIAL!#REF!</definedName>
    <definedName name="MCOD02.040.9802_1">[34]MEMORIAL!#REF!</definedName>
    <definedName name="MCOD02.040.9804">[33]MEMORIAL!#REF!</definedName>
    <definedName name="MCOD02.040.9804_1">[34]MEMORIAL!#REF!</definedName>
    <definedName name="MCOD02.110.0014">[33]MEMORIAL!#REF!</definedName>
    <definedName name="MCOD02.110.0014_1">[34]MEMORIAL!#REF!</definedName>
    <definedName name="MCOD02.110.0054">[33]MEMORIAL!#REF!</definedName>
    <definedName name="MCOD02.110.0054_1">[34]MEMORIAL!#REF!</definedName>
    <definedName name="MCOD02.110.0066">[33]MEMORIAL!#REF!</definedName>
    <definedName name="MCOD02.110.0066_1">[34]MEMORIAL!#REF!</definedName>
    <definedName name="MCOD02.110.0094">[33]MEMORIAL!#REF!</definedName>
    <definedName name="MCOD02.110.0094_1">[34]MEMORIAL!#REF!</definedName>
    <definedName name="MCOD02.110.0106">[33]MEMORIAL!#REF!</definedName>
    <definedName name="MCOD02.110.0106_1">[34]MEMORIAL!#REF!</definedName>
    <definedName name="MCOD02.110.0110">[33]MEMORIAL!#REF!</definedName>
    <definedName name="MCOD02.110.0110_1">[34]MEMORIAL!#REF!</definedName>
    <definedName name="MCOD02.110.0134">[33]MEMORIAL!#REF!</definedName>
    <definedName name="MCOD02.110.0134_1">[34]MEMORIAL!#REF!</definedName>
    <definedName name="MCOD02.110.0146">[33]MEMORIAL!#REF!</definedName>
    <definedName name="MCOD02.110.0146_1">[34]MEMORIAL!#REF!</definedName>
    <definedName name="MCOD02.110.0150">[33]MEMORIAL!#REF!</definedName>
    <definedName name="MCOD02.110.0150_1">[34]MEMORIAL!#REF!</definedName>
    <definedName name="MCOD02.110.0610">[33]MEMORIAL!#REF!</definedName>
    <definedName name="MCOD02.110.0610_1">[34]MEMORIAL!#REF!</definedName>
    <definedName name="MCOD02.110.0620">[33]MEMORIAL!#REF!</definedName>
    <definedName name="MCOD02.110.0620_1">[34]MEMORIAL!#REF!</definedName>
    <definedName name="MCOD02.110.0734">[33]MEMORIAL!#REF!</definedName>
    <definedName name="MCOD02.110.0734_1">[34]MEMORIAL!#REF!</definedName>
    <definedName name="MCOD02.110.0738">[33]MEMORIAL!#REF!</definedName>
    <definedName name="MCOD02.110.0738_1">[34]MEMORIAL!#REF!</definedName>
    <definedName name="MCOD02.110.0750">[33]MEMORIAL!#REF!</definedName>
    <definedName name="MCOD02.110.0750_1">[34]MEMORIAL!#REF!</definedName>
    <definedName name="MCOD02.110.1014">[33]MEMORIAL!#REF!</definedName>
    <definedName name="MCOD02.110.1014_1">[34]MEMORIAL!#REF!</definedName>
    <definedName name="MCOD02.110.1020">[33]MEMORIAL!#REF!</definedName>
    <definedName name="MCOD02.110.1020_1">[34]MEMORIAL!#REF!</definedName>
    <definedName name="MCOD02.110.1164">[33]MEMORIAL!#REF!</definedName>
    <definedName name="MCOD02.110.1164_1">[34]MEMORIAL!#REF!</definedName>
    <definedName name="MCOD02.110.1166">[33]MEMORIAL!#REF!</definedName>
    <definedName name="MCOD02.110.1166_1">[34]MEMORIAL!#REF!</definedName>
    <definedName name="MCOD02.110.1420">[33]MEMORIAL!#REF!</definedName>
    <definedName name="MCOD02.110.1420_1">[34]MEMORIAL!#REF!</definedName>
    <definedName name="MCOD02.110.1426">[33]MEMORIAL!#REF!</definedName>
    <definedName name="MCOD02.110.1426_1">[34]MEMORIAL!#REF!</definedName>
    <definedName name="MCOD02.110.1654">[33]MEMORIAL!#REF!</definedName>
    <definedName name="MCOD02.110.1654_1">[34]MEMORIAL!#REF!</definedName>
    <definedName name="MCOD02.110.1880">[33]MEMORIAL!#REF!</definedName>
    <definedName name="MCOD02.110.1880_1">[34]MEMORIAL!#REF!</definedName>
    <definedName name="MCOD02.110.1974">[33]MEMORIAL!#REF!</definedName>
    <definedName name="MCOD02.110.1974_1">[34]MEMORIAL!#REF!</definedName>
    <definedName name="MCOD02.110.1996">[33]MEMORIAL!#REF!</definedName>
    <definedName name="MCOD02.110.1996_1">[34]MEMORIAL!#REF!</definedName>
    <definedName name="MCOD02.110.2012">[33]MEMORIAL!#REF!</definedName>
    <definedName name="MCOD02.110.2012_1">[34]MEMORIAL!#REF!</definedName>
    <definedName name="MCOD02.110.2016">[33]MEMORIAL!#REF!</definedName>
    <definedName name="MCOD02.110.2016_1">[34]MEMORIAL!#REF!</definedName>
    <definedName name="MCOD02.110.2024">[33]MEMORIAL!#REF!</definedName>
    <definedName name="MCOD02.110.2024_1">[34]MEMORIAL!#REF!</definedName>
    <definedName name="MCOD02.110.2026">[33]MEMORIAL!#REF!</definedName>
    <definedName name="MCOD02.110.2026_1">[34]MEMORIAL!#REF!</definedName>
    <definedName name="MCOD02.110.2310">[33]MEMORIAL!#REF!</definedName>
    <definedName name="MCOD02.110.2310_1">[34]MEMORIAL!#REF!</definedName>
    <definedName name="MCOD02.110.2480">[33]MEMORIAL!#REF!</definedName>
    <definedName name="MCOD02.110.2480_1">[34]MEMORIAL!#REF!</definedName>
    <definedName name="MCOD02.110.2798">[33]MEMORIAL!#REF!</definedName>
    <definedName name="MCOD02.110.2798_1">[34]MEMORIAL!#REF!</definedName>
    <definedName name="MCOD02.110.2806">[33]MEMORIAL!#REF!</definedName>
    <definedName name="MCOD02.110.2806_1">[34]MEMORIAL!#REF!</definedName>
    <definedName name="MCOD02.110.2868">[33]MEMORIAL!#REF!</definedName>
    <definedName name="MCOD02.110.2868_1">[34]MEMORIAL!#REF!</definedName>
    <definedName name="MCOD02.110.3856">[33]MEMORIAL!#REF!</definedName>
    <definedName name="MCOD02.110.3856_1">[34]MEMORIAL!#REF!</definedName>
    <definedName name="MCOD02.110.3908">[33]MEMORIAL!#REF!</definedName>
    <definedName name="MCOD02.110.3908_1">[34]MEMORIAL!#REF!</definedName>
    <definedName name="MCOD02.110.3926">[33]MEMORIAL!#REF!</definedName>
    <definedName name="MCOD02.110.3926_1">[34]MEMORIAL!#REF!</definedName>
    <definedName name="MCOD02.110.4288">[33]MEMORIAL!#REF!</definedName>
    <definedName name="MCOD02.110.4288_1">[34]MEMORIAL!#REF!</definedName>
    <definedName name="MCOD02.110.4296">[33]MEMORIAL!#REF!</definedName>
    <definedName name="MCOD02.110.4296_1">[34]MEMORIAL!#REF!</definedName>
    <definedName name="MCOD02.110.4308">[33]MEMORIAL!#REF!</definedName>
    <definedName name="MCOD02.110.4308_1">[34]MEMORIAL!#REF!</definedName>
    <definedName name="MCOD02.110.4312">[33]MEMORIAL!#REF!</definedName>
    <definedName name="MCOD02.110.4312_1">[34]MEMORIAL!#REF!</definedName>
    <definedName name="MCOD02.110.4320">[33]MEMORIAL!#REF!</definedName>
    <definedName name="MCOD02.110.4320_1">[34]MEMORIAL!#REF!</definedName>
    <definedName name="MCOD02.110.4780">[33]MEMORIAL!#REF!</definedName>
    <definedName name="MCOD02.110.4780_1">[34]MEMORIAL!#REF!</definedName>
    <definedName name="MCOD02.120.0050">[33]MEMORIAL!#REF!</definedName>
    <definedName name="MCOD02.120.0050_1">[34]MEMORIAL!#REF!</definedName>
    <definedName name="MCOD02.120.0060">[33]MEMORIAL!#REF!</definedName>
    <definedName name="MCOD02.120.0060_1">[34]MEMORIAL!#REF!</definedName>
    <definedName name="MCOD02.120.0140">[33]MEMORIAL!#REF!</definedName>
    <definedName name="MCOD02.120.0140_1">[34]MEMORIAL!#REF!</definedName>
    <definedName name="MCOD02.130.0070">[33]MEMORIAL!#REF!</definedName>
    <definedName name="MCOD02.130.0070_1">[34]MEMORIAL!#REF!</definedName>
    <definedName name="MCOD02.130.0080">[33]MEMORIAL!#REF!</definedName>
    <definedName name="MCOD02.130.0080_1">[34]MEMORIAL!#REF!</definedName>
    <definedName name="MCOD02.130.0100">[33]MEMORIAL!#REF!</definedName>
    <definedName name="MCOD02.130.0100_1">[34]MEMORIAL!#REF!</definedName>
    <definedName name="MCOD02.140.0030">[33]MEMORIAL!#REF!</definedName>
    <definedName name="MCOD02.140.0030_1">[34]MEMORIAL!#REF!</definedName>
    <definedName name="MCOD02.140.0080">[33]MEMORIAL!#REF!</definedName>
    <definedName name="MCOD02.140.0080_1">[34]MEMORIAL!#REF!</definedName>
    <definedName name="MCOD02.140.0090">[33]MEMORIAL!#REF!</definedName>
    <definedName name="MCOD02.140.0090_1">[34]MEMORIAL!#REF!</definedName>
    <definedName name="MCOD02.160.0010">[33]MEMORIAL!#REF!</definedName>
    <definedName name="MCOD02.160.0010_1">[34]MEMORIAL!#REF!</definedName>
    <definedName name="MCOD02.160.0110">[33]MEMORIAL!#REF!</definedName>
    <definedName name="MCOD02.160.0110_1">[34]MEMORIAL!#REF!</definedName>
    <definedName name="MCOD02.180.0010">[33]MEMORIAL!#REF!</definedName>
    <definedName name="MCOD02.180.0010_1">[34]MEMORIAL!#REF!</definedName>
    <definedName name="MCOD02.210.0020">[33]MEMORIAL!#REF!</definedName>
    <definedName name="MCOD02.210.0020_1">[34]MEMORIAL!#REF!</definedName>
    <definedName name="MCOD02.210.0030">[33]MEMORIAL!#REF!</definedName>
    <definedName name="MCOD02.210.0030_1">[34]MEMORIAL!#REF!</definedName>
    <definedName name="MCOD02.210.0090">[33]MEMORIAL!#REF!</definedName>
    <definedName name="MCOD02.210.0090_1">[34]MEMORIAL!#REF!</definedName>
    <definedName name="MCOD02.210.0110">[33]MEMORIAL!#REF!</definedName>
    <definedName name="MCOD02.210.0110_1">[34]MEMORIAL!#REF!</definedName>
    <definedName name="MCOD02.210.0310">[33]MEMORIAL!#REF!</definedName>
    <definedName name="MCOD02.210.0310_1">[34]MEMORIAL!#REF!</definedName>
    <definedName name="MCOD02.210.0340">[33]MEMORIAL!#REF!</definedName>
    <definedName name="MCOD02.210.0340_1">[34]MEMORIAL!#REF!</definedName>
    <definedName name="MCOD02.210.0350">[33]MEMORIAL!#REF!</definedName>
    <definedName name="MCOD02.210.0350_1">[34]MEMORIAL!#REF!</definedName>
    <definedName name="MCOD02.210.0360">[33]MEMORIAL!#REF!</definedName>
    <definedName name="MCOD02.210.0360_1">[34]MEMORIAL!#REF!</definedName>
    <definedName name="MCOD02.210.0370">[33]MEMORIAL!#REF!</definedName>
    <definedName name="MCOD02.210.0370_1">[34]MEMORIAL!#REF!</definedName>
    <definedName name="MCOD02.210.0380">[33]MEMORIAL!#REF!</definedName>
    <definedName name="MCOD02.210.0380_1">[34]MEMORIAL!#REF!</definedName>
    <definedName name="MCOD02.210.1620">[33]MEMORIAL!#REF!</definedName>
    <definedName name="MCOD02.210.1620_1">[34]MEMORIAL!#REF!</definedName>
    <definedName name="MCOD02.210.1625">[33]MEMORIAL!#REF!</definedName>
    <definedName name="MCOD02.210.1625_1">[34]MEMORIAL!#REF!</definedName>
    <definedName name="MCOD02.210.1635">[33]MEMORIAL!#REF!</definedName>
    <definedName name="MCOD02.210.1635_1">[34]MEMORIAL!#REF!</definedName>
    <definedName name="MCOD02.210.1637">[33]MEMORIAL!#REF!</definedName>
    <definedName name="MCOD02.210.1637_1">[34]MEMORIAL!#REF!</definedName>
    <definedName name="MCOD03.020.0020">[33]MEMORIAL!#REF!</definedName>
    <definedName name="MCOD03.020.0020_1">[34]MEMORIAL!#REF!</definedName>
    <definedName name="MCOD05.150.0830">[33]MEMORIAL!#REF!</definedName>
    <definedName name="MCOD05.150.0830_1">[34]MEMORIAL!#REF!</definedName>
    <definedName name="MCOD05.150.0840">[33]MEMORIAL!#REF!</definedName>
    <definedName name="MCOD05.150.0840_1">[34]MEMORIAL!#REF!</definedName>
    <definedName name="MCODCOTADO01">[33]MEMORIAL!#REF!</definedName>
    <definedName name="MCODCOTADO01_1">[34]MEMORIAL!#REF!</definedName>
    <definedName name="MCODCOTADO02">[33]MEMORIAL!#REF!</definedName>
    <definedName name="MCODCOTADO02_1">[34]MEMORIAL!#REF!</definedName>
    <definedName name="MCODCOTADO03">[33]MEMORIAL!#REF!</definedName>
    <definedName name="MCODCOTADO03_1">[34]MEMORIAL!#REF!</definedName>
    <definedName name="MCODCOTADO04">[33]MEMORIAL!#REF!</definedName>
    <definedName name="MCODCOTADO04_1">[34]MEMORIAL!#REF!</definedName>
    <definedName name="medição" localSheetId="8">#REF!</definedName>
    <definedName name="medição" localSheetId="9">#REF!</definedName>
    <definedName name="medição" localSheetId="10">#REF!</definedName>
    <definedName name="medição" localSheetId="2">#REF!</definedName>
    <definedName name="medição" localSheetId="3">#REF!</definedName>
    <definedName name="medição">#REF!</definedName>
    <definedName name="MEMORIA">#REF!</definedName>
    <definedName name="MES">[19]MES!$B$3:$C$3655</definedName>
    <definedName name="METODOLOGIA" localSheetId="2">[15]Plan1!$A$195:$A$203</definedName>
    <definedName name="METODOLOGIA" localSheetId="3">[15]Plan1!$A$195:$A$203</definedName>
    <definedName name="METODOLOGIA">[16]Plan1!$A$195:$A$203</definedName>
    <definedName name="MmExcelLinker_CBF3F7D5_5F0E_4EA5_B59F_34028F0F12D2" localSheetId="8">[35]PLAN_FORN!#REF!</definedName>
    <definedName name="MmExcelLinker_CBF3F7D5_5F0E_4EA5_B59F_34028F0F12D2" localSheetId="9">[35]PLAN_FORN!#REF!</definedName>
    <definedName name="MmExcelLinker_CBF3F7D5_5F0E_4EA5_B59F_34028F0F12D2" localSheetId="10">[35]PLAN_FORN!#REF!</definedName>
    <definedName name="MmExcelLinker_CBF3F7D5_5F0E_4EA5_B59F_34028F0F12D2">[35]PLAN_FORN!#REF!</definedName>
    <definedName name="mmm" localSheetId="8">#REF!</definedName>
    <definedName name="mmm" localSheetId="9">#REF!</definedName>
    <definedName name="mmm" localSheetId="10">#REF!</definedName>
    <definedName name="mmm" localSheetId="2">#REF!</definedName>
    <definedName name="mmm" localSheetId="3">#REF!</definedName>
    <definedName name="mmm">#REF!</definedName>
    <definedName name="MMMMMM" localSheetId="8">[10]Reforma!#REF!</definedName>
    <definedName name="MMMMMM" localSheetId="9">[10]Reforma!#REF!</definedName>
    <definedName name="MMMMMM" localSheetId="10">[10]Reforma!#REF!</definedName>
    <definedName name="MMMMMM" localSheetId="2">[10]Reforma!#REF!</definedName>
    <definedName name="MMMMMM" localSheetId="3">[10]Reforma!#REF!</definedName>
    <definedName name="MMMMMM">[10]Reforma!#REF!</definedName>
    <definedName name="MTOT02.020.0010" localSheetId="2">[33]MEMORIAL!#REF!</definedName>
    <definedName name="MTOT02.020.0010" localSheetId="3">[33]MEMORIAL!#REF!</definedName>
    <definedName name="MTOT02.020.0010">[33]MEMORIAL!#REF!</definedName>
    <definedName name="MTOT02.020.0010_1" localSheetId="2">[34]MEMORIAL!#REF!</definedName>
    <definedName name="MTOT02.020.0010_1" localSheetId="3">[34]MEMORIAL!#REF!</definedName>
    <definedName name="MTOT02.020.0010_1">[34]MEMORIAL!#REF!</definedName>
    <definedName name="MTOT02.020.0070" localSheetId="2">[33]MEMORIAL!#REF!</definedName>
    <definedName name="MTOT02.020.0070" localSheetId="3">[33]MEMORIAL!#REF!</definedName>
    <definedName name="MTOT02.020.0070">[33]MEMORIAL!#REF!</definedName>
    <definedName name="MTOT02.020.0070_1">[34]MEMORIAL!#REF!</definedName>
    <definedName name="MTOT02.030.0090">[33]MEMORIAL!#REF!</definedName>
    <definedName name="MTOT02.030.0090_1">[34]MEMORIAL!#REF!</definedName>
    <definedName name="MTOT02.030.0100">[33]MEMORIAL!#REF!</definedName>
    <definedName name="MTOT02.030.0100_1">[34]MEMORIAL!#REF!</definedName>
    <definedName name="MTOT02.040.0200">[33]MEMORIAL!#REF!</definedName>
    <definedName name="MTOT02.040.0200_1">[34]MEMORIAL!#REF!</definedName>
    <definedName name="MTOT02.040.0280">[33]MEMORIAL!#REF!</definedName>
    <definedName name="MTOT02.040.0280_1">[34]MEMORIAL!#REF!</definedName>
    <definedName name="MTOT02.040.0921">[33]MEMORIAL!#REF!</definedName>
    <definedName name="MTOT02.040.0921_1">[34]MEMORIAL!#REF!</definedName>
    <definedName name="MTOT02.040.1055">[33]MEMORIAL!#REF!</definedName>
    <definedName name="MTOT02.040.1055_1">[34]MEMORIAL!#REF!</definedName>
    <definedName name="MTOT02.040.1060">[33]MEMORIAL!#REF!</definedName>
    <definedName name="MTOT02.040.1060_1">[34]MEMORIAL!#REF!</definedName>
    <definedName name="MTOT02.040.3790">[33]MEMORIAL!#REF!</definedName>
    <definedName name="MTOT02.040.3790_1">[34]MEMORIAL!#REF!</definedName>
    <definedName name="MTOT02.040.3800">[33]MEMORIAL!#REF!</definedName>
    <definedName name="MTOT02.040.3800_1">[34]MEMORIAL!#REF!</definedName>
    <definedName name="MTOT02.040.3810">[33]MEMORIAL!#REF!</definedName>
    <definedName name="MTOT02.040.3810_1">[34]MEMORIAL!#REF!</definedName>
    <definedName name="MTOT02.040.4510">[33]MEMORIAL!#REF!</definedName>
    <definedName name="MTOT02.040.4510_1">[34]MEMORIAL!#REF!</definedName>
    <definedName name="MTOT02.040.4520">[33]MEMORIAL!#REF!</definedName>
    <definedName name="MTOT02.040.4520_1">[34]MEMORIAL!#REF!</definedName>
    <definedName name="MTOT02.040.4550">[33]MEMORIAL!#REF!</definedName>
    <definedName name="MTOT02.040.4550_1">[34]MEMORIAL!#REF!</definedName>
    <definedName name="MTOT02.040.4620">[33]MEMORIAL!#REF!</definedName>
    <definedName name="MTOT02.040.4620_1">[34]MEMORIAL!#REF!</definedName>
    <definedName name="MTOT02.040.4630">[33]MEMORIAL!#REF!</definedName>
    <definedName name="MTOT02.040.4630_1">[34]MEMORIAL!#REF!</definedName>
    <definedName name="MTOT02.040.4636">[33]MEMORIAL!#REF!</definedName>
    <definedName name="MTOT02.040.4636_1">[34]MEMORIAL!#REF!</definedName>
    <definedName name="MTOT02.040.4690">[33]MEMORIAL!#REF!</definedName>
    <definedName name="MTOT02.040.4690_1">[34]MEMORIAL!#REF!</definedName>
    <definedName name="MTOT02.040.7402">[33]MEMORIAL!#REF!</definedName>
    <definedName name="MTOT02.040.7402_1">[34]MEMORIAL!#REF!</definedName>
    <definedName name="MTOT02.040.9800">[33]MEMORIAL!#REF!</definedName>
    <definedName name="MTOT02.040.9800_1">[34]MEMORIAL!#REF!</definedName>
    <definedName name="MTOT02.040.9802">[33]MEMORIAL!#REF!</definedName>
    <definedName name="MTOT02.040.9802_1">[34]MEMORIAL!#REF!</definedName>
    <definedName name="MTOT02.040.9804">[33]MEMORIAL!#REF!</definedName>
    <definedName name="MTOT02.040.9804_1">[34]MEMORIAL!#REF!</definedName>
    <definedName name="MTOT02.110.0014">[33]MEMORIAL!#REF!</definedName>
    <definedName name="MTOT02.110.0014_1">[34]MEMORIAL!#REF!</definedName>
    <definedName name="MTOT02.110.0054">[33]MEMORIAL!#REF!</definedName>
    <definedName name="MTOT02.110.0054_1">[34]MEMORIAL!#REF!</definedName>
    <definedName name="MTOT02.110.0066">[33]MEMORIAL!#REF!</definedName>
    <definedName name="MTOT02.110.0066_1">[34]MEMORIAL!#REF!</definedName>
    <definedName name="MTOT02.110.0094">[33]MEMORIAL!#REF!</definedName>
    <definedName name="MTOT02.110.0094_1">[34]MEMORIAL!#REF!</definedName>
    <definedName name="MTOT02.110.0106">[33]MEMORIAL!#REF!</definedName>
    <definedName name="MTOT02.110.0106_1">[34]MEMORIAL!#REF!</definedName>
    <definedName name="MTOT02.110.0110">[33]MEMORIAL!#REF!</definedName>
    <definedName name="MTOT02.110.0110_1">[34]MEMORIAL!#REF!</definedName>
    <definedName name="MTOT02.110.0134">[33]MEMORIAL!#REF!</definedName>
    <definedName name="MTOT02.110.0134_1">[34]MEMORIAL!#REF!</definedName>
    <definedName name="MTOT02.110.0146">[33]MEMORIAL!#REF!</definedName>
    <definedName name="MTOT02.110.0146_1">[34]MEMORIAL!#REF!</definedName>
    <definedName name="MTOT02.110.0150">[33]MEMORIAL!#REF!</definedName>
    <definedName name="MTOT02.110.0150_1">[34]MEMORIAL!#REF!</definedName>
    <definedName name="MTOT02.110.0610">[33]MEMORIAL!#REF!</definedName>
    <definedName name="MTOT02.110.0610_1">[34]MEMORIAL!#REF!</definedName>
    <definedName name="MTOT02.110.0620">[33]MEMORIAL!#REF!</definedName>
    <definedName name="MTOT02.110.0620_1">[34]MEMORIAL!#REF!</definedName>
    <definedName name="MTOT02.110.0734">[33]MEMORIAL!#REF!</definedName>
    <definedName name="MTOT02.110.0734_1">[34]MEMORIAL!#REF!</definedName>
    <definedName name="MTOT02.110.0738">[33]MEMORIAL!#REF!</definedName>
    <definedName name="MTOT02.110.0738_1">[34]MEMORIAL!#REF!</definedName>
    <definedName name="MTOT02.110.0750">[33]MEMORIAL!#REF!</definedName>
    <definedName name="MTOT02.110.0750_1">[34]MEMORIAL!#REF!</definedName>
    <definedName name="MTOT02.110.1014">[33]MEMORIAL!#REF!</definedName>
    <definedName name="MTOT02.110.1014_1">[34]MEMORIAL!#REF!</definedName>
    <definedName name="MTOT02.110.1020">[33]MEMORIAL!#REF!</definedName>
    <definedName name="MTOT02.110.1020_1">[34]MEMORIAL!#REF!</definedName>
    <definedName name="MTOT02.110.1164">[33]MEMORIAL!#REF!</definedName>
    <definedName name="MTOT02.110.1164_1">[34]MEMORIAL!#REF!</definedName>
    <definedName name="MTOT02.110.1166">[33]MEMORIAL!#REF!</definedName>
    <definedName name="MTOT02.110.1166_1">[34]MEMORIAL!#REF!</definedName>
    <definedName name="MTOT02.110.1420">[33]MEMORIAL!#REF!</definedName>
    <definedName name="MTOT02.110.1420_1">[34]MEMORIAL!#REF!</definedName>
    <definedName name="MTOT02.110.1426">[33]MEMORIAL!#REF!</definedName>
    <definedName name="MTOT02.110.1426_1">[34]MEMORIAL!#REF!</definedName>
    <definedName name="MTOT02.110.1654">[33]MEMORIAL!#REF!</definedName>
    <definedName name="MTOT02.110.1654_1">[34]MEMORIAL!#REF!</definedName>
    <definedName name="MTOT02.110.1880">[33]MEMORIAL!#REF!</definedName>
    <definedName name="MTOT02.110.1880_1">[34]MEMORIAL!#REF!</definedName>
    <definedName name="MTOT02.110.1974">[33]MEMORIAL!#REF!</definedName>
    <definedName name="MTOT02.110.1974_1">[34]MEMORIAL!#REF!</definedName>
    <definedName name="MTOT02.110.1996">[33]MEMORIAL!#REF!</definedName>
    <definedName name="MTOT02.110.1996_1">[34]MEMORIAL!#REF!</definedName>
    <definedName name="MTOT02.110.2012">[33]MEMORIAL!#REF!</definedName>
    <definedName name="MTOT02.110.2012_1">[34]MEMORIAL!#REF!</definedName>
    <definedName name="MTOT02.110.2016">[33]MEMORIAL!#REF!</definedName>
    <definedName name="MTOT02.110.2016_1">[34]MEMORIAL!#REF!</definedName>
    <definedName name="MTOT02.110.2024">[33]MEMORIAL!#REF!</definedName>
    <definedName name="MTOT02.110.2024_1">[34]MEMORIAL!#REF!</definedName>
    <definedName name="MTOT02.110.2026">[33]MEMORIAL!#REF!</definedName>
    <definedName name="MTOT02.110.2026_1">[34]MEMORIAL!#REF!</definedName>
    <definedName name="MTOT02.110.2310">[33]MEMORIAL!#REF!</definedName>
    <definedName name="MTOT02.110.2310_1">[34]MEMORIAL!#REF!</definedName>
    <definedName name="MTOT02.110.2480">[33]MEMORIAL!#REF!</definedName>
    <definedName name="MTOT02.110.2480_1">[34]MEMORIAL!#REF!</definedName>
    <definedName name="MTOT02.110.2798">[33]MEMORIAL!#REF!</definedName>
    <definedName name="MTOT02.110.2798_1">[34]MEMORIAL!#REF!</definedName>
    <definedName name="MTOT02.110.2806">[33]MEMORIAL!#REF!</definedName>
    <definedName name="MTOT02.110.2806_1">[34]MEMORIAL!#REF!</definedName>
    <definedName name="MTOT02.110.2868">[33]MEMORIAL!#REF!</definedName>
    <definedName name="MTOT02.110.2868_1">[34]MEMORIAL!#REF!</definedName>
    <definedName name="MTOT02.110.3856">[33]MEMORIAL!#REF!</definedName>
    <definedName name="MTOT02.110.3856_1">[34]MEMORIAL!#REF!</definedName>
    <definedName name="MTOT02.110.3908">[33]MEMORIAL!#REF!</definedName>
    <definedName name="MTOT02.110.3908_1">[34]MEMORIAL!#REF!</definedName>
    <definedName name="MTOT02.110.3926">[33]MEMORIAL!#REF!</definedName>
    <definedName name="MTOT02.110.3926_1">[34]MEMORIAL!#REF!</definedName>
    <definedName name="MTOT02.110.4288">[33]MEMORIAL!#REF!</definedName>
    <definedName name="MTOT02.110.4288_1">[34]MEMORIAL!#REF!</definedName>
    <definedName name="MTOT02.110.4296">[33]MEMORIAL!#REF!</definedName>
    <definedName name="MTOT02.110.4296_1">[34]MEMORIAL!#REF!</definedName>
    <definedName name="MTOT02.110.4308">[33]MEMORIAL!#REF!</definedName>
    <definedName name="MTOT02.110.4308_1">[34]MEMORIAL!#REF!</definedName>
    <definedName name="MTOT02.110.4312">[33]MEMORIAL!#REF!</definedName>
    <definedName name="MTOT02.110.4312_1">[34]MEMORIAL!#REF!</definedName>
    <definedName name="MTOT02.110.4320">[33]MEMORIAL!#REF!</definedName>
    <definedName name="MTOT02.110.4320_1">[34]MEMORIAL!#REF!</definedName>
    <definedName name="MTOT02.110.4780">[33]MEMORIAL!#REF!</definedName>
    <definedName name="MTOT02.110.4780_1">[34]MEMORIAL!#REF!</definedName>
    <definedName name="MTOT02.110.610">[33]MEMORIAL!#REF!</definedName>
    <definedName name="MTOT02.110.610_1">[34]MEMORIAL!#REF!</definedName>
    <definedName name="MTOT02.120.0050">[33]MEMORIAL!#REF!</definedName>
    <definedName name="MTOT02.120.0050_1">[34]MEMORIAL!#REF!</definedName>
    <definedName name="MTOT02.120.0060">[33]MEMORIAL!#REF!</definedName>
    <definedName name="MTOT02.120.0060_1">[34]MEMORIAL!#REF!</definedName>
    <definedName name="MTOT02.120.0140">[33]MEMORIAL!#REF!</definedName>
    <definedName name="MTOT02.120.0140_1">[34]MEMORIAL!#REF!</definedName>
    <definedName name="MTOT02.130.0070">[33]MEMORIAL!#REF!</definedName>
    <definedName name="MTOT02.130.0070_1">[34]MEMORIAL!#REF!</definedName>
    <definedName name="MTOT02.130.0080">[33]MEMORIAL!#REF!</definedName>
    <definedName name="MTOT02.130.0080_1">[34]MEMORIAL!#REF!</definedName>
    <definedName name="MTOT02.130.0100">[33]MEMORIAL!#REF!</definedName>
    <definedName name="MTOT02.130.0100_1">[34]MEMORIAL!#REF!</definedName>
    <definedName name="MTOT02.140.0030">[33]MEMORIAL!#REF!</definedName>
    <definedName name="MTOT02.140.0030_1">[34]MEMORIAL!#REF!</definedName>
    <definedName name="MTOT02.140.0080">[33]MEMORIAL!#REF!</definedName>
    <definedName name="MTOT02.140.0080_1">[34]MEMORIAL!#REF!</definedName>
    <definedName name="MTOT02.140.0090">[33]MEMORIAL!#REF!</definedName>
    <definedName name="MTOT02.140.0090_1">[34]MEMORIAL!#REF!</definedName>
    <definedName name="MTOT02.160.0010">[33]MEMORIAL!#REF!</definedName>
    <definedName name="MTOT02.160.0010_1">[34]MEMORIAL!#REF!</definedName>
    <definedName name="MTOT02.160.0110">[33]MEMORIAL!#REF!</definedName>
    <definedName name="MTOT02.160.0110_1">[34]MEMORIAL!#REF!</definedName>
    <definedName name="MTOT02.180.0010">[33]MEMORIAL!#REF!</definedName>
    <definedName name="MTOT02.180.0010_1">[34]MEMORIAL!#REF!</definedName>
    <definedName name="MTOT02.210.0020">[33]MEMORIAL!#REF!</definedName>
    <definedName name="MTOT02.210.0020_1">[34]MEMORIAL!#REF!</definedName>
    <definedName name="MTOT02.210.0030">[33]MEMORIAL!#REF!</definedName>
    <definedName name="MTOT02.210.0030_1">[34]MEMORIAL!#REF!</definedName>
    <definedName name="MTOT02.210.0090">[33]MEMORIAL!#REF!</definedName>
    <definedName name="MTOT02.210.0090_1">[34]MEMORIAL!#REF!</definedName>
    <definedName name="MTOT02.210.0110">[33]MEMORIAL!#REF!</definedName>
    <definedName name="MTOT02.210.0110_1">[34]MEMORIAL!#REF!</definedName>
    <definedName name="MTOT02.210.0310">[33]MEMORIAL!#REF!</definedName>
    <definedName name="MTOT02.210.0310_1">[34]MEMORIAL!#REF!</definedName>
    <definedName name="MTOT02.210.0340">[33]MEMORIAL!#REF!</definedName>
    <definedName name="MTOT02.210.0340_1">[34]MEMORIAL!#REF!</definedName>
    <definedName name="MTOT02.210.0350">[33]MEMORIAL!#REF!</definedName>
    <definedName name="MTOT02.210.0350_1">[34]MEMORIAL!#REF!</definedName>
    <definedName name="MTOT02.210.0360">[33]MEMORIAL!#REF!</definedName>
    <definedName name="MTOT02.210.0360_1">[34]MEMORIAL!#REF!</definedName>
    <definedName name="MTOT02.210.0370">[33]MEMORIAL!#REF!</definedName>
    <definedName name="MTOT02.210.0370_1">[34]MEMORIAL!#REF!</definedName>
    <definedName name="MTOT02.210.0380">[33]MEMORIAL!#REF!</definedName>
    <definedName name="MTOT02.210.0380_1">[34]MEMORIAL!#REF!</definedName>
    <definedName name="MTOT02.210.1620">[33]MEMORIAL!#REF!</definedName>
    <definedName name="MTOT02.210.1620_1">[34]MEMORIAL!#REF!</definedName>
    <definedName name="MTOT02.210.1625">[33]MEMORIAL!#REF!</definedName>
    <definedName name="MTOT02.210.1625_1">[34]MEMORIAL!#REF!</definedName>
    <definedName name="MTOT02.210.1635">[33]MEMORIAL!#REF!</definedName>
    <definedName name="MTOT02.210.1635_1">[34]MEMORIAL!#REF!</definedName>
    <definedName name="MTOT02.210.1637">[33]MEMORIAL!#REF!</definedName>
    <definedName name="MTOT02.210.1637_1">[34]MEMORIAL!#REF!</definedName>
    <definedName name="MTOT02.2140.">[33]MEMORIAL!#REF!</definedName>
    <definedName name="MTOT02.2140._1">[34]MEMORIAL!#REF!</definedName>
    <definedName name="MTOT03.020.0020">[33]MEMORIAL!#REF!</definedName>
    <definedName name="MTOT03.020.0020_1">[34]MEMORIAL!#REF!</definedName>
    <definedName name="MTOT05.150.0830">[33]MEMORIAL!#REF!</definedName>
    <definedName name="MTOT05.150.0830_1">[34]MEMORIAL!#REF!</definedName>
    <definedName name="MTOT05.150.0840">[33]MEMORIAL!#REF!</definedName>
    <definedName name="MTOT05.150.0840_1">[34]MEMORIAL!#REF!</definedName>
    <definedName name="MTOTCOTADO01">[33]MEMORIAL!#REF!</definedName>
    <definedName name="MTOTCOTADO01_1">[34]MEMORIAL!#REF!</definedName>
    <definedName name="MTOTCOTADO02">[33]MEMORIAL!#REF!</definedName>
    <definedName name="MTOTCOTADO02_1">[34]MEMORIAL!#REF!</definedName>
    <definedName name="MTOTCOTADO03">[33]MEMORIAL!#REF!</definedName>
    <definedName name="MTOTCOTADO03_1">[34]MEMORIAL!#REF!</definedName>
    <definedName name="MTOTCOTADO04">[33]MEMORIAL!#REF!</definedName>
    <definedName name="MTOTCOTADO04_1">[34]MEMORIAL!#REF!</definedName>
    <definedName name="MTOTCOTADO05">[33]MEMORIAL!#REF!</definedName>
    <definedName name="MTOTCOTADO05_1">[34]MEMORIAL!#REF!</definedName>
    <definedName name="MTOTCOTADO21">[17]MEMORIAL!#REF!</definedName>
    <definedName name="MTOTCOTADO21_1">[17]MEMORIAL!#REF!</definedName>
    <definedName name="MTOTVERBA">[17]MEMORIAL!#REF!</definedName>
    <definedName name="MTOTVERBA_1">[17]MEMORIAL!#REF!</definedName>
    <definedName name="MULT" localSheetId="8">'[36]BAIXO GUANDU ITAIMBE'!#REF!</definedName>
    <definedName name="MULT" localSheetId="13">'[36]BAIXO GUANDU ITAIMBE'!#REF!</definedName>
    <definedName name="MULT">'[36]BAIXO GUANDU ITAIMBE'!#REF!</definedName>
    <definedName name="MULT_2">'[14]BAIXO GUANDU ITAIMBE'!#REF!</definedName>
    <definedName name="N" localSheetId="4">#REF!</definedName>
    <definedName name="N" localSheetId="8">#REF!</definedName>
    <definedName name="N" localSheetId="9">#REF!</definedName>
    <definedName name="N" localSheetId="11">#REF!</definedName>
    <definedName name="N">#REF!</definedName>
    <definedName name="N__EPC">#REF!</definedName>
    <definedName name="nb" localSheetId="8" hidden="1">{#N/A,#N/A,FALSE,"MO (2)"}</definedName>
    <definedName name="nb" localSheetId="9" hidden="1">{#N/A,#N/A,FALSE,"MO (2)"}</definedName>
    <definedName name="nb" localSheetId="10" hidden="1">{#N/A,#N/A,FALSE,"MO (2)"}</definedName>
    <definedName name="nb" hidden="1">{#N/A,#N/A,FALSE,"MO (2)"}</definedName>
    <definedName name="nil" localSheetId="8">#REF!</definedName>
    <definedName name="nil" localSheetId="9">#REF!</definedName>
    <definedName name="nil" localSheetId="10">#REF!</definedName>
    <definedName name="nil">#REF!</definedName>
    <definedName name="NN" localSheetId="8">#REF!</definedName>
    <definedName name="NN" localSheetId="9">#REF!</definedName>
    <definedName name="NN" localSheetId="10">#REF!</definedName>
    <definedName name="NN">#REF!</definedName>
    <definedName name="NOME">#N/A</definedName>
    <definedName name="NOME1" localSheetId="8">#REF!</definedName>
    <definedName name="NOME1" localSheetId="9">#REF!</definedName>
    <definedName name="NOME1" localSheetId="10">#REF!</definedName>
    <definedName name="NOME1">#REF!</definedName>
    <definedName name="NOME1_6" localSheetId="8">#REF!</definedName>
    <definedName name="NOME1_6" localSheetId="9">#REF!</definedName>
    <definedName name="NOME1_6" localSheetId="10">#REF!</definedName>
    <definedName name="NOME1_6">#REF!</definedName>
    <definedName name="Novo" localSheetId="8">#REF!</definedName>
    <definedName name="Novo" localSheetId="9">#REF!</definedName>
    <definedName name="Novo" localSheetId="10">#REF!</definedName>
    <definedName name="Novo">#REF!</definedName>
    <definedName name="OBJETIVO" localSheetId="2">[15]Plan1!$A$2:$A$7</definedName>
    <definedName name="OBJETIVO" localSheetId="3">[15]Plan1!$A$2:$A$7</definedName>
    <definedName name="OBJETIVO">[16]Plan1!$A$2:$A$7</definedName>
    <definedName name="OBRA" localSheetId="8">#REF!</definedName>
    <definedName name="OBRA" localSheetId="9">#REF!</definedName>
    <definedName name="OBRA" localSheetId="10">#REF!</definedName>
    <definedName name="OBRA" localSheetId="2">#REF!</definedName>
    <definedName name="OBRA" localSheetId="3">#REF!</definedName>
    <definedName name="OBRA">#REF!</definedName>
    <definedName name="OCUPACAO" localSheetId="2">[15]Plan1!$A$153:$A$158</definedName>
    <definedName name="OCUPACAO" localSheetId="3">[15]Plan1!$A$153:$A$158</definedName>
    <definedName name="OCUPACAO">[16]Plan1!$A$153:$A$158</definedName>
    <definedName name="OFERTAS" localSheetId="2">[15]Plan1!$A$175:$A$179</definedName>
    <definedName name="OFERTAS" localSheetId="3">[15]Plan1!$A$175:$A$179</definedName>
    <definedName name="OFERTAS">[16]Plan1!$A$175:$A$179</definedName>
    <definedName name="oh" localSheetId="4">#REF!</definedName>
    <definedName name="oh" localSheetId="8">#REF!</definedName>
    <definedName name="oh" localSheetId="9">#REF!</definedName>
    <definedName name="oh" localSheetId="11">#REF!</definedName>
    <definedName name="oh">#REF!</definedName>
    <definedName name="Ok">#REF!</definedName>
    <definedName name="onde" localSheetId="2">'[14]BAIXO GUANDU ITAIMBE'!#REF!</definedName>
    <definedName name="onde" localSheetId="3">'[14]BAIXO GUANDU ITAIMBE'!#REF!</definedName>
    <definedName name="onde">'[14]BAIXO GUANDU ITAIMBE'!#REF!</definedName>
    <definedName name="opções">'[37]FRE '!$AM$248:$AM$250</definedName>
    <definedName name="Orçamento" localSheetId="8">#REF!</definedName>
    <definedName name="Orçamento" localSheetId="9">#REF!</definedName>
    <definedName name="Orçamento" localSheetId="10">#REF!</definedName>
    <definedName name="Orçamento" localSheetId="2">#REF!</definedName>
    <definedName name="Orçamento" localSheetId="3">#REF!</definedName>
    <definedName name="Orçamento">#REF!</definedName>
    <definedName name="Orçamento_Básico">#REF!</definedName>
    <definedName name="p">#REF!</definedName>
    <definedName name="PADRAO_ACABAMENTO" localSheetId="2">[15]Plan1!$A$126:$A$133</definedName>
    <definedName name="PADRAO_ACABAMENTO" localSheetId="3">[15]Plan1!$A$126:$A$133</definedName>
    <definedName name="PADRAO_ACABAMENTO">[16]Plan1!$A$126:$A$133</definedName>
    <definedName name="PADRAO_CONST_PREDOM" localSheetId="2">[15]Plan1!$A$21:$A$25</definedName>
    <definedName name="PADRAO_CONST_PREDOM" localSheetId="3">[15]Plan1!$A$21:$A$25</definedName>
    <definedName name="PADRAO_CONST_PREDOM">[16]Plan1!$A$21:$A$25</definedName>
    <definedName name="PARALELO" localSheetId="8">#REF!</definedName>
    <definedName name="PARALELO" localSheetId="9">#REF!</definedName>
    <definedName name="PARALELO" localSheetId="10">#REF!</definedName>
    <definedName name="PARALELO" localSheetId="2">#REF!</definedName>
    <definedName name="PARALELO" localSheetId="3">#REF!</definedName>
    <definedName name="PARALELO">#REF!</definedName>
    <definedName name="PARALELO_1">#REF!</definedName>
    <definedName name="Parcial">#REF!</definedName>
    <definedName name="PassaExtenso">"#NAME!PassaExtenso"</definedName>
    <definedName name="PASSARELAS" localSheetId="8">'[3]Bm 8'!#REF!</definedName>
    <definedName name="PASSARELAS" localSheetId="9">'[3]Bm 8'!#REF!</definedName>
    <definedName name="PASSARELAS" localSheetId="10">'[3]Bm 8'!#REF!</definedName>
    <definedName name="PASSARELAS">'[3]Bm 8'!#REF!</definedName>
    <definedName name="PAULO" localSheetId="4">#REF!</definedName>
    <definedName name="PAULO" localSheetId="8">#REF!</definedName>
    <definedName name="PAULO" localSheetId="9">#REF!</definedName>
    <definedName name="PAULO" localSheetId="11">#REF!</definedName>
    <definedName name="PAULO">#REF!</definedName>
    <definedName name="pav">#REF!</definedName>
    <definedName name="PAVIM" localSheetId="4">#REF!</definedName>
    <definedName name="PAVIM" localSheetId="8">#REF!</definedName>
    <definedName name="PAVIM" localSheetId="9">#REF!</definedName>
    <definedName name="PAVIM" localSheetId="11">#REF!</definedName>
    <definedName name="PAVIM">#REF!</definedName>
    <definedName name="PAVIM_17" localSheetId="4">#REF!</definedName>
    <definedName name="PAVIM_17" localSheetId="8">#REF!</definedName>
    <definedName name="PAVIM_17" localSheetId="9">#REF!</definedName>
    <definedName name="PAVIM_17" localSheetId="11">#REF!</definedName>
    <definedName name="PAVIM_17">#REF!</definedName>
    <definedName name="PAVIM_8" localSheetId="8">#REF!</definedName>
    <definedName name="PAVIM_8">#REF!</definedName>
    <definedName name="pavimen">#REF!</definedName>
    <definedName name="paviment">#REF!</definedName>
    <definedName name="pelicano" localSheetId="8">#REF!,#REF!</definedName>
    <definedName name="pelicano" localSheetId="9">#REF!,#REF!</definedName>
    <definedName name="pelicano" localSheetId="10">#REF!,#REF!</definedName>
    <definedName name="pelicano">#REF!,#REF!</definedName>
    <definedName name="pEZZIN" localSheetId="8">#REF!</definedName>
    <definedName name="pEZZIN" localSheetId="9">#REF!</definedName>
    <definedName name="pEZZIN" localSheetId="10">#REF!</definedName>
    <definedName name="pEZZIN">#REF!</definedName>
    <definedName name="pinheiros" localSheetId="8">#REF!,#REF!</definedName>
    <definedName name="pinheiros" localSheetId="9">#REF!,#REF!</definedName>
    <definedName name="pinheiros" localSheetId="10">#REF!,#REF!</definedName>
    <definedName name="pinheiros">#REF!,#REF!</definedName>
    <definedName name="PISOS" localSheetId="2">[15]Plan1!$A$111:$A$120</definedName>
    <definedName name="PISOS" localSheetId="3">[15]Plan1!$A$111:$A$120</definedName>
    <definedName name="PISOS">[16]Plan1!$A$111:$A$120</definedName>
    <definedName name="pl" localSheetId="8">#REF!,#REF!</definedName>
    <definedName name="pl" localSheetId="9">#REF!,#REF!</definedName>
    <definedName name="pl" localSheetId="10">#REF!,#REF!</definedName>
    <definedName name="pl">#REF!,#REF!</definedName>
    <definedName name="Plan" localSheetId="8">#REF!</definedName>
    <definedName name="Plan" localSheetId="9">#REF!</definedName>
    <definedName name="Plan" localSheetId="10">#REF!</definedName>
    <definedName name="Plan" localSheetId="2">#REF!</definedName>
    <definedName name="Plan" localSheetId="3">#REF!</definedName>
    <definedName name="Plan">#REF!</definedName>
    <definedName name="PLANILHA" localSheetId="8">#REF!</definedName>
    <definedName name="PLANILHA">#REF!</definedName>
    <definedName name="POOO" localSheetId="8">#REF!</definedName>
    <definedName name="POOO">#REF!</definedName>
    <definedName name="POSICAO" localSheetId="2">[15]Plan1!$A$87:$A$93</definedName>
    <definedName name="POSICAO" localSheetId="3">[15]Plan1!$A$87:$A$93</definedName>
    <definedName name="POSICAO">[16]Plan1!$A$87:$A$93</definedName>
    <definedName name="PREÇO">("$#REF!.$A$1:$H$65198~$#REF!.$A$1:$AMJ$14)))))))")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2">#REF!</definedName>
    <definedName name="PRINT_AREA_MI" localSheetId="3">#REF!</definedName>
    <definedName name="PRINT_AREA_MI">#REF!</definedName>
    <definedName name="PRINT_TITLES_MI">#REF!</definedName>
    <definedName name="PROFISSIONAIS" localSheetId="2">[15]LISTAS!$A$1:$A$13</definedName>
    <definedName name="PROFISSIONAIS" localSheetId="3">[15]LISTAS!$A$1:$A$13</definedName>
    <definedName name="PROFISSIONAIS">[16]LISTAS!$A$1:$A$13</definedName>
    <definedName name="PROJETO" localSheetId="8">[4]PLANILHA!#REF!</definedName>
    <definedName name="PROJETO" localSheetId="9">[4]PLANILHA!#REF!</definedName>
    <definedName name="PROJETO" localSheetId="10">[4]PLANILHA!#REF!</definedName>
    <definedName name="PROJETO">[4]PLANILHA!#REF!</definedName>
    <definedName name="putzjngirla" localSheetId="8">#REF!</definedName>
    <definedName name="putzjngirla" localSheetId="9">#REF!</definedName>
    <definedName name="putzjngirla" localSheetId="10">#REF!</definedName>
    <definedName name="putzjngirla" localSheetId="11">#REF!</definedName>
    <definedName name="putzjngirla" localSheetId="13">#REF!</definedName>
    <definedName name="putzjngirla">#REF!</definedName>
    <definedName name="Q" localSheetId="8">#REF!</definedName>
    <definedName name="Q" localSheetId="11">#REF!</definedName>
    <definedName name="Q">#REF!</definedName>
    <definedName name="QQ" localSheetId="8">#REF!</definedName>
    <definedName name="QQ">#REF!</definedName>
    <definedName name="Quadra" localSheetId="8" hidden="1">{#N/A,#N/A,FALSE,"MO (2)"}</definedName>
    <definedName name="Quadra" localSheetId="9" hidden="1">{#N/A,#N/A,FALSE,"MO (2)"}</definedName>
    <definedName name="Quadra" localSheetId="10" hidden="1">{#N/A,#N/A,FALSE,"MO (2)"}</definedName>
    <definedName name="Quadra" localSheetId="1" hidden="1">{#N/A,#N/A,FALSE,"MO (2)"}</definedName>
    <definedName name="Quadra" localSheetId="2" hidden="1">{#N/A,#N/A,FALSE,"MO (2)"}</definedName>
    <definedName name="Quadra" localSheetId="3" hidden="1">{#N/A,#N/A,FALSE,"MO (2)"}</definedName>
    <definedName name="Quadra" hidden="1">{#N/A,#N/A,FALSE,"MO (2)"}</definedName>
    <definedName name="Quant." localSheetId="8">#REF!</definedName>
    <definedName name="Quant." localSheetId="9">#REF!</definedName>
    <definedName name="Quant." localSheetId="10">#REF!</definedName>
    <definedName name="Quant." localSheetId="2">#REF!</definedName>
    <definedName name="Quant." localSheetId="3">#REF!</definedName>
    <definedName name="Quant.">#REF!</definedName>
    <definedName name="Quantidades" localSheetId="8" hidden="1">{#N/A,#N/A,FALSE,"MO (2)"}</definedName>
    <definedName name="Quantidades" localSheetId="9" hidden="1">{#N/A,#N/A,FALSE,"MO (2)"}</definedName>
    <definedName name="Quantidades" localSheetId="10" hidden="1">{#N/A,#N/A,FALSE,"MO (2)"}</definedName>
    <definedName name="Quantidades" localSheetId="1" hidden="1">{#N/A,#N/A,FALSE,"MO (2)"}</definedName>
    <definedName name="Quantidades" localSheetId="2" hidden="1">{#N/A,#N/A,FALSE,"MO (2)"}</definedName>
    <definedName name="Quantidades" localSheetId="3" hidden="1">{#N/A,#N/A,FALSE,"MO (2)"}</definedName>
    <definedName name="Quantidades" hidden="1">{#N/A,#N/A,FALSE,"MO (2)"}</definedName>
    <definedName name="quebGYmkknd" localSheetId="13">#REF!</definedName>
    <definedName name="quebGYmkknd">#REF!</definedName>
    <definedName name="QUELI" localSheetId="8">#REF!</definedName>
    <definedName name="QUELI" localSheetId="9">#REF!</definedName>
    <definedName name="QUELI" localSheetId="10">#REF!</definedName>
    <definedName name="QUELI">#REF!</definedName>
    <definedName name="qwer" localSheetId="2">#REF!</definedName>
    <definedName name="qwer" localSheetId="3">#REF!</definedName>
    <definedName name="qwer">#REF!</definedName>
    <definedName name="RAH">#REF!</definedName>
    <definedName name="RAH_1">#REF!</definedName>
    <definedName name="RE" localSheetId="8">#REF!</definedName>
    <definedName name="RE">#REF!</definedName>
    <definedName name="REATERRO" localSheetId="8">#REF!</definedName>
    <definedName name="REATERRO">#REF!</definedName>
    <definedName name="REATERRO_DE_VALAS_COMPACTADO_MECANICAMENTE">#REF!</definedName>
    <definedName name="rec" localSheetId="8">#REF!,#REF!</definedName>
    <definedName name="rec" localSheetId="9">#REF!,#REF!</definedName>
    <definedName name="rec" localSheetId="10">#REF!,#REF!</definedName>
    <definedName name="rec">#REF!,#REF!</definedName>
    <definedName name="REC.ATE." localSheetId="8">[18]MEMORIAL!#REF!</definedName>
    <definedName name="REC.ATE." localSheetId="9">[18]MEMORIAL!#REF!</definedName>
    <definedName name="REC.ATE." localSheetId="10">[18]MEMORIAL!#REF!</definedName>
    <definedName name="REC.ATE.">[18]MEMORIAL!#REF!</definedName>
    <definedName name="recuper" localSheetId="8">#REF!,#REF!</definedName>
    <definedName name="recuper" localSheetId="9">#REF!,#REF!</definedName>
    <definedName name="recuper" localSheetId="10">#REF!,#REF!</definedName>
    <definedName name="recuper">#REF!,#REF!</definedName>
    <definedName name="REFORMA" localSheetId="2">[15]Plan1!$A$149:$A$152</definedName>
    <definedName name="REFORMA" localSheetId="3">[15]Plan1!$A$149:$A$152</definedName>
    <definedName name="REFORMA">[16]Plan1!$A$149:$A$152</definedName>
    <definedName name="REGISTRO" localSheetId="8">#REF!</definedName>
    <definedName name="REGISTRO" localSheetId="9">#REF!</definedName>
    <definedName name="REGISTRO" localSheetId="10">#REF!</definedName>
    <definedName name="REGISTRO" localSheetId="13">#REF!</definedName>
    <definedName name="REGISTRO">#REF!</definedName>
    <definedName name="rere">#REF!</definedName>
    <definedName name="RES" localSheetId="2">#REF!</definedName>
    <definedName name="RES" localSheetId="3">#REF!</definedName>
    <definedName name="RES">#REF!</definedName>
    <definedName name="RESTRICOES" localSheetId="2">[15]Plan1!$A$38:$A$43</definedName>
    <definedName name="RESTRICOES" localSheetId="3">[15]Plan1!$A$38:$A$43</definedName>
    <definedName name="RESTRICOES">[16]Plan1!$A$38:$A$43</definedName>
    <definedName name="rfv" localSheetId="8">#REF!</definedName>
    <definedName name="rfv" localSheetId="9">#REF!</definedName>
    <definedName name="rfv" localSheetId="10">#REF!</definedName>
    <definedName name="rfv" localSheetId="2">#REF!</definedName>
    <definedName name="rfv" localSheetId="3">#REF!</definedName>
    <definedName name="rfv">#REF!</definedName>
    <definedName name="rfv_1">#REF!</definedName>
    <definedName name="rocha" localSheetId="8">#REF!</definedName>
    <definedName name="rocha">#REF!</definedName>
    <definedName name="rpa">#REF!</definedName>
    <definedName name="rpa_1">#REF!</definedName>
    <definedName name="rpb">#REF!</definedName>
    <definedName name="rpb_1">#REF!</definedName>
    <definedName name="rpp">#REF!</definedName>
    <definedName name="rpp_1">#REF!</definedName>
    <definedName name="rr">#REF!</definedName>
    <definedName name="rrrrrrr">#REF!</definedName>
    <definedName name="rwgnkd" localSheetId="8">#REF!</definedName>
    <definedName name="rwgnkd">#REF!</definedName>
    <definedName name="s" localSheetId="8">#REF!</definedName>
    <definedName name="s">#REF!</definedName>
    <definedName name="saconhyuu5977962">#REF!</definedName>
    <definedName name="SAD">#REF!</definedName>
    <definedName name="SCO">#REF!</definedName>
    <definedName name="SCOD02.010.0020">#REF!</definedName>
    <definedName name="SCOD02.010.0020_1">#REF!</definedName>
    <definedName name="SCOD02.010.0050">[33]MEMORIAL!#REF!</definedName>
    <definedName name="SCOD02.010.0050_1">[34]MEMORIAL!#REF!</definedName>
    <definedName name="SCOD02.010.0065">[33]MEMORIAL!#REF!</definedName>
    <definedName name="SCOD02.010.0065_1">[34]MEMORIAL!#REF!</definedName>
    <definedName name="SCOD02.010.0130">[33]MEMORIAL!#REF!</definedName>
    <definedName name="SCOD02.010.0130_1">[34]MEMORIAL!#REF!</definedName>
    <definedName name="SCOD03.010.0020">[33]MEMORIAL!#REF!</definedName>
    <definedName name="SCOD03.010.0020_1">[34]MEMORIAL!#REF!</definedName>
    <definedName name="SCOD03.010.0025">[33]MEMORIAL!#REF!</definedName>
    <definedName name="SCOD03.010.0025_1">[34]MEMORIAL!#REF!</definedName>
    <definedName name="SCOD03.010.0040">[33]MEMORIAL!#REF!</definedName>
    <definedName name="SCOD03.010.0040_1">[34]MEMORIAL!#REF!</definedName>
    <definedName name="SCOD03.010.0050">[33]MEMORIAL!#REF!</definedName>
    <definedName name="SCOD03.010.0050_1">[34]MEMORIAL!#REF!</definedName>
    <definedName name="SCOD03.010.0100">[33]MEMORIAL!#REF!</definedName>
    <definedName name="SCOD03.010.0100_1">[34]MEMORIAL!#REF!</definedName>
    <definedName name="SCOD03.010.0180">[33]MEMORIAL!#REF!</definedName>
    <definedName name="SCOD03.010.0180_1">[34]MEMORIAL!#REF!</definedName>
    <definedName name="SCOD03.010.0200">[33]MEMORIAL!#REF!</definedName>
    <definedName name="SCOD03.010.0200_1">[34]MEMORIAL!#REF!</definedName>
    <definedName name="SCOD04.010.0010">[18]MEMORIAL!#REF!</definedName>
    <definedName name="SCOD04.010.0010_1">[18]MEMORIAL!#REF!</definedName>
    <definedName name="SCOD04.010.0040">[18]MEMORIAL!#REF!</definedName>
    <definedName name="SCOD04.010.0040_1">[18]MEMORIAL!#REF!</definedName>
    <definedName name="SCOD04.010.0070">[18]MEMORIAL!#REF!</definedName>
    <definedName name="SCOD04.010.0070_1">[18]MEMORIAL!#REF!</definedName>
    <definedName name="SCOD04.010.0150">[18]MEMORIAL!#REF!</definedName>
    <definedName name="SCOD04.010.0150_1">[18]MEMORIAL!#REF!</definedName>
    <definedName name="SCOD04.010.0190">[18]MEMORIAL!#REF!</definedName>
    <definedName name="SCOD04.010.0190_1">[18]MEMORIAL!#REF!</definedName>
    <definedName name="SCOD04.010.0200">[18]MEMORIAL!#REF!</definedName>
    <definedName name="SCOD04.010.0200_1">[18]MEMORIAL!#REF!</definedName>
    <definedName name="SCOD04.010.0320">[33]MEMORIAL!#REF!</definedName>
    <definedName name="SCOD04.010.0320_1">[18]MEMORIAL!#REF!</definedName>
    <definedName name="SCOD04.010.0330">[33]MEMORIAL!#REF!</definedName>
    <definedName name="SCOD04.010.0330_1">[18]MEMORIAL!#REF!</definedName>
    <definedName name="SCOD04.010.0371">[33]MEMORIAL!#REF!</definedName>
    <definedName name="SCOD04.010.0371_1">[34]MEMORIAL!#REF!</definedName>
    <definedName name="SCOD04.010.0375">[33]MEMORIAL!#REF!</definedName>
    <definedName name="SCOD04.010.0375_1">[18]MEMORIAL!#REF!</definedName>
    <definedName name="SCOD04.010.0395">[33]MEMORIAL!#REF!</definedName>
    <definedName name="SCOD04.010.0395_1">[18]MEMORIAL!#REF!</definedName>
    <definedName name="SCOD04.010.0420">[18]MEMORIAL!#REF!</definedName>
    <definedName name="SCOD04.010.0420_1">[18]MEMORIAL!#REF!</definedName>
    <definedName name="SCOD04.010.0430">[18]MEMORIAL!#REF!</definedName>
    <definedName name="SCOD04.010.0430_1">[18]MEMORIAL!#REF!</definedName>
    <definedName name="SCOD05.010.0020">[33]MEMORIAL!#REF!</definedName>
    <definedName name="SCOD05.010.0020_1">[18]MEMORIAL!#REF!</definedName>
    <definedName name="SCOD08.010.0010">[18]MEMORIAL!#REF!</definedName>
    <definedName name="SCOD08.010.0010_1">[18]MEMORIAL!#REF!</definedName>
    <definedName name="SCOD08.010.0040">[18]MEMORIAL!#REF!</definedName>
    <definedName name="SCOD08.010.0040_1">[18]MEMORIAL!#REF!</definedName>
    <definedName name="SCOD08.010.0060">[33]MEMORIAL!#REF!</definedName>
    <definedName name="SCOD08.010.0060_1">[34]MEMORIAL!#REF!</definedName>
    <definedName name="SCOD08.010.0130">[18]MEMORIAL!#REF!</definedName>
    <definedName name="SCOD08.010.0130_1">[18]MEMORIAL!#REF!</definedName>
    <definedName name="SCOD08.010.0135">[33]MEMORIAL!#REF!</definedName>
    <definedName name="SCOD08.010.0135_1">[18]MEMORIAL!#REF!</definedName>
    <definedName name="SCOD08.010.0270">[33]MEMORIAL!#REF!</definedName>
    <definedName name="SCOD08.010.0270_1">[18]MEMORIAL!#REF!</definedName>
    <definedName name="SCOD09.010.0060">[33]MEMORIAL!#REF!</definedName>
    <definedName name="SCOD09.010.0060_1">[18]MEMORIAL!#REF!</definedName>
    <definedName name="SCOD09.010.0240">[33]MEMORIAL!#REF!</definedName>
    <definedName name="SCOD09.010.0240_1">[34]MEMORIAL!#REF!</definedName>
    <definedName name="SCOD09.010.0430">[33]MEMORIAL!#REF!</definedName>
    <definedName name="SCOD09.010.0430_1">[34]MEMORIAL!#REF!</definedName>
    <definedName name="SCOD09.010.0470">[33]MEMORIAL!#REF!</definedName>
    <definedName name="SCOD09.010.0470_1">[34]MEMORIAL!#REF!</definedName>
    <definedName name="SCOD09.010.0700">[33]MEMORIAL!#REF!</definedName>
    <definedName name="SCOD09.010.0700_1">[34]MEMORIAL!#REF!</definedName>
    <definedName name="SCOD10.010.0140">[33]MEMORIAL!#REF!</definedName>
    <definedName name="SCOD10.010.0140_1">[18]MEMORIAL!#REF!</definedName>
    <definedName name="SCOD10.010.0180">[33]MEMORIAL!#REF!</definedName>
    <definedName name="SCOD10.010.0180_1">[18]MEMORIAL!#REF!</definedName>
    <definedName name="SCOD10.010.0270">[33]MEMORIAL!#REF!</definedName>
    <definedName name="SCOD10.010.0270_1">[34]MEMORIAL!#REF!</definedName>
    <definedName name="SCOD10.010.0280">[33]MEMORIAL!#REF!</definedName>
    <definedName name="SCOD10.010.0280_1">[34]MEMORIAL!#REF!</definedName>
    <definedName name="SCOD10.010.0298">[18]MEMORIAL!#REF!</definedName>
    <definedName name="SCOD10.010.0298_1">[18]MEMORIAL!#REF!</definedName>
    <definedName name="SCOD10.010.0307">[33]MEMORIAL!#REF!</definedName>
    <definedName name="SCOD10.010.0307_1">[34]MEMORIAL!#REF!</definedName>
    <definedName name="SCOD10.010.0308">[33]MEMORIAL!#REF!</definedName>
    <definedName name="SCOD10.010.0308_1">[34]MEMORIAL!#REF!</definedName>
    <definedName name="SCOD10.010.0310">[33]MEMORIAL!#REF!</definedName>
    <definedName name="SCOD10.010.0310_1">[18]MEMORIAL!#REF!</definedName>
    <definedName name="SCOD10.010.0330">[33]MEMORIAL!#REF!</definedName>
    <definedName name="SCOD10.010.0330_1">[34]MEMORIAL!#REF!</definedName>
    <definedName name="SCOD10.010.0333">[33]MEMORIAL!#REF!</definedName>
    <definedName name="SCOD10.010.0333_1">[34]MEMORIAL!#REF!</definedName>
    <definedName name="SCOD10.010.0380">[33]MEMORIAL!#REF!</definedName>
    <definedName name="SCOD10.010.0380_1">[34]MEMORIAL!#REF!</definedName>
    <definedName name="SCOD10.010.0400">[33]MEMORIAL!#REF!</definedName>
    <definedName name="SCOD10.010.0400_1">[34]MEMORIAL!#REF!</definedName>
    <definedName name="SCOD10.010.0431">[33]MEMORIAL!#REF!</definedName>
    <definedName name="SCOD10.010.0431_1">[34]MEMORIAL!#REF!</definedName>
    <definedName name="SCOD10.010.1110">[18]MEMORIAL!#REF!</definedName>
    <definedName name="SCOD10.010.1110_1">[18]MEMORIAL!#REF!</definedName>
    <definedName name="SCOD12.010.0010">[18]MEMORIAL!#REF!</definedName>
    <definedName name="SCOD12.010.0010_1">[18]MEMORIAL!#REF!</definedName>
    <definedName name="SCOD12.010.0060">[33]MEMORIAL!#REF!</definedName>
    <definedName name="SCOD12.010.0060_1">[34]MEMORIAL!#REF!</definedName>
    <definedName name="SCOD12.010.0210">[33]MEMORIAL!#REF!</definedName>
    <definedName name="SCOD12.010.0210_1">[34]MEMORIAL!#REF!</definedName>
    <definedName name="SCOD12.010.0360">[33]MEMORIAL!#REF!</definedName>
    <definedName name="SCOD12.010.0360_1">[34]MEMORIAL!#REF!</definedName>
    <definedName name="SCOD12.010.0550">[33]MEMORIAL!#REF!</definedName>
    <definedName name="SCOD12.010.0550_1">[34]MEMORIAL!#REF!</definedName>
    <definedName name="SCOD13.010.0030">[33]MEMORIAL!#REF!</definedName>
    <definedName name="SCOD13.010.0030_1">[34]MEMORIAL!#REF!</definedName>
    <definedName name="SCOD13.010.0090">[33]MEMORIAL!#REF!</definedName>
    <definedName name="SCOD13.010.0090_1">[34]MEMORIAL!#REF!</definedName>
    <definedName name="SCOD13.010.0100">[18]MEMORIAL!#REF!</definedName>
    <definedName name="SCOD13.010.0100_1">[18]MEMORIAL!#REF!</definedName>
    <definedName name="SCOD13.010.0110">[33]MEMORIAL!#REF!</definedName>
    <definedName name="SCOD13.010.0110_1">[34]MEMORIAL!#REF!</definedName>
    <definedName name="SCOD13.010.1200">[33]MEMORIAL!#REF!</definedName>
    <definedName name="SCOD13.010.1200_1">[34]MEMORIAL!#REF!</definedName>
    <definedName name="SCOD15.010.0010">[33]MEMORIAL!#REF!</definedName>
    <definedName name="SCOD15.010.0010_1">[34]MEMORIAL!#REF!</definedName>
    <definedName name="SCOD15.010.0055">[33]MEMORIAL!#REF!</definedName>
    <definedName name="SCOD15.010.0055_1">[34]MEMORIAL!#REF!</definedName>
    <definedName name="SCOD15.010.0140">[33]MEMORIAL!#REF!</definedName>
    <definedName name="SCOD15.010.0140_1">[34]MEMORIAL!#REF!</definedName>
    <definedName name="SCOD15.010.0181">[33]MEMORIAL!#REF!</definedName>
    <definedName name="SCOD15.010.0181_1">[34]MEMORIAL!#REF!</definedName>
    <definedName name="SCOD15.010.0270">[33]MEMORIAL!#REF!</definedName>
    <definedName name="SCOD15.010.0270_1">[34]MEMORIAL!#REF!</definedName>
    <definedName name="SCOD15.010.0280">[33]MEMORIAL!#REF!</definedName>
    <definedName name="SCOD15.010.0280_1">[18]MEMORIAL!#REF!</definedName>
    <definedName name="SCOD15.010.0290">[18]MEMORIAL!#REF!</definedName>
    <definedName name="SCOD15.010.0290_1">[18]MEMORIAL!#REF!</definedName>
    <definedName name="SCOD16.010.0010">[33]MEMORIAL!#REF!</definedName>
    <definedName name="SCOD16.010.0010_1">[18]MEMORIAL!#REF!</definedName>
    <definedName name="SCOD16.010.0060">[33]MEMORIAL!#REF!</definedName>
    <definedName name="SCOD16.010.0060_1">[34]MEMORIAL!#REF!</definedName>
    <definedName name="SCOD16.010.0110">[33]MEMORIAL!#REF!</definedName>
    <definedName name="SCOD16.010.0110_1">[34]MEMORIAL!#REF!</definedName>
    <definedName name="SCOD16.010.0120">[33]MEMORIAL!#REF!</definedName>
    <definedName name="SCOD16.010.0120_1">[34]MEMORIAL!#REF!</definedName>
    <definedName name="SCOD16.010.0170">[33]MEMORIAL!#REF!</definedName>
    <definedName name="SCOD16.010.0170_1">[34]MEMORIAL!#REF!</definedName>
    <definedName name="SCOD17.010.0080">[33]MEMORIAL!#REF!</definedName>
    <definedName name="SCOD17.010.0080_1">[34]MEMORIAL!#REF!</definedName>
    <definedName name="SCOD17.010.0100">[18]MEMORIAL!#REF!</definedName>
    <definedName name="SCOD17.010.0100_1">[18]MEMORIAL!#REF!</definedName>
    <definedName name="SCOD17.010.0150">[33]MEMORIAL!#REF!</definedName>
    <definedName name="SCOD17.010.0150_1">[34]MEMORIAL!#REF!</definedName>
    <definedName name="SCOD17.010.0290">[33]MEMORIAL!#REF!</definedName>
    <definedName name="SCOD17.010.0290_1">[34]MEMORIAL!#REF!</definedName>
    <definedName name="SCOD17.010.0390">[33]MEMORIAL!#REF!</definedName>
    <definedName name="SCOD17.010.0390_1">[34]MEMORIAL!#REF!</definedName>
    <definedName name="SCOD17.010.0436">[18]MEMORIAL!#REF!</definedName>
    <definedName name="SCOD17.010.0436_1">[18]MEMORIAL!#REF!</definedName>
    <definedName name="SCOD17.010.0437">[33]MEMORIAL!#REF!</definedName>
    <definedName name="SCOD17.010.0437_1">[34]MEMORIAL!#REF!</definedName>
    <definedName name="SCOD17.010.0602">[33]MEMORIAL!#REF!</definedName>
    <definedName name="SCOD17.010.0602_1">[34]MEMORIAL!#REF!</definedName>
    <definedName name="SCODCOMPOSIÇÃO01">[24]MEMORIAL!#REF!</definedName>
    <definedName name="SCODCOMPOSIÇÃO01A">[17]MEMORIAL!#REF!</definedName>
    <definedName name="SCODCOMPOSIÇÃO02">[17]MEMORIAL!#REF!</definedName>
    <definedName name="SCODCOTADO01">[18]MEMORIAL!#REF!</definedName>
    <definedName name="SCODCOTADO01_1">[18]MEMORIAL!#REF!</definedName>
    <definedName name="SCODCOTADO02">[18]MEMORIAL!#REF!</definedName>
    <definedName name="SCODCOTADO02_1">[18]MEMORIAL!#REF!</definedName>
    <definedName name="SCODCOTADO03">[18]MEMORIAL!#REF!</definedName>
    <definedName name="SCODCOTADO03_1">[18]MEMORIAL!#REF!</definedName>
    <definedName name="SCODCOTADO04">[18]MEMORIAL!#REF!</definedName>
    <definedName name="SCODCOTADO04_1">[18]MEMORIAL!#REF!</definedName>
    <definedName name="SCODCOTADO05">[18]MEMORIAL!#REF!</definedName>
    <definedName name="SCODCOTADO05_1">[18]MEMORIAL!#REF!</definedName>
    <definedName name="SCODCOTADO06">[18]MEMORIAL!#REF!</definedName>
    <definedName name="SCODCOTADO06_1">[18]MEMORIAL!#REF!</definedName>
    <definedName name="SCODVERBA01">[17]MEMORIAL!#REF!</definedName>
    <definedName name="SCODVERBA01_1">[18]MEMORIAL!#REF!</definedName>
    <definedName name="SCOMPOS01">[17]MEMORIAL!#REF!</definedName>
    <definedName name="SCOMPOS01_1">[18]MEMORIAL!#REF!</definedName>
    <definedName name="sdaa" localSheetId="8">#REF!</definedName>
    <definedName name="sdaa" localSheetId="9">#REF!</definedName>
    <definedName name="sdaa" localSheetId="10">#REF!</definedName>
    <definedName name="sdaa">#REF!</definedName>
    <definedName name="SEM">[19]SEM!$C$3:$D$535</definedName>
    <definedName name="SEMANAS" localSheetId="8">'[38]Gauss Civil'!#REF!</definedName>
    <definedName name="SEMANAS" localSheetId="9">'[38]Gauss Civil'!#REF!</definedName>
    <definedName name="SEMANAS" localSheetId="10">'[38]Gauss Civil'!#REF!</definedName>
    <definedName name="SEMANAS">'[38]Gauss Civil'!#REF!</definedName>
    <definedName name="SERVIX" localSheetId="8">'[12]PLANILHA DE QUANT. E CUSTOS A'!#REF!</definedName>
    <definedName name="SERVIX" localSheetId="9">'[12]PLANILHA DE QUANT. E CUSTOS A'!#REF!</definedName>
    <definedName name="SERVIX" localSheetId="10">'[12]PLANILHA DE QUANT. E CUSTOS A'!#REF!</definedName>
    <definedName name="SERVIX" localSheetId="11">'[12]PLANILHA DE QUANT. E CUSTOS A'!#REF!</definedName>
    <definedName name="SERVIX">'[12]PLANILHA DE QUANT. E CUSTOS A'!#REF!</definedName>
    <definedName name="SERVIX_17" localSheetId="8">'[12]PLANILHA DE QUANT_ E CUSTOS A'!#REF!</definedName>
    <definedName name="SERVIX_17" localSheetId="9">'[12]PLANILHA DE QUANT_ E CUSTOS A'!#REF!</definedName>
    <definedName name="SERVIX_17" localSheetId="11">'[12]PLANILHA DE QUANT_ E CUSTOS A'!#REF!</definedName>
    <definedName name="SERVIX_17">'[12]PLANILHA DE QUANT_ E CUSTOS A'!#REF!</definedName>
    <definedName name="SERVIX_8" localSheetId="8">'[12]PLANILHA DE QUANT_ E CUSTOS A'!#REF!</definedName>
    <definedName name="SERVIX_8" localSheetId="9">'[12]PLANILHA DE QUANT_ E CUSTOS A'!#REF!</definedName>
    <definedName name="SERVIX_8" localSheetId="11">'[12]PLANILHA DE QUANT_ E CUSTOS A'!#REF!</definedName>
    <definedName name="SERVIX_8">'[12]PLANILHA DE QUANT_ E CUSTOS A'!#REF!</definedName>
    <definedName name="sh" localSheetId="4">#REF!</definedName>
    <definedName name="sh" localSheetId="8">#REF!</definedName>
    <definedName name="sh" localSheetId="9">#REF!</definedName>
    <definedName name="sh" localSheetId="11">#REF!</definedName>
    <definedName name="sh">#REF!</definedName>
    <definedName name="SISTEMA_ESTRUTURAL" localSheetId="2">[15]Plan1!$A$94:$A$100</definedName>
    <definedName name="SISTEMA_ESTRUTURAL" localSheetId="3">[15]Plan1!$A$94:$A$100</definedName>
    <definedName name="SISTEMA_ESTRUTURAL">[16]Plan1!$A$94:$A$100</definedName>
    <definedName name="SITUACAO" localSheetId="2">[15]Plan1!$A$60:$A$64</definedName>
    <definedName name="SITUACAO" localSheetId="3">[15]Plan1!$A$60:$A$64</definedName>
    <definedName name="SITUACAO">[16]Plan1!$A$60:$A$64</definedName>
    <definedName name="SS" localSheetId="4">#REF!</definedName>
    <definedName name="SS" localSheetId="8">#REF!</definedName>
    <definedName name="SS" localSheetId="9">#REF!</definedName>
    <definedName name="SS" localSheetId="11">#REF!</definedName>
    <definedName name="SS">#REF!</definedName>
    <definedName name="SSS">#REF!</definedName>
    <definedName name="sssss">#REF!</definedName>
    <definedName name="STOT01.010.0020">[18]MEMORIAL!#REF!</definedName>
    <definedName name="STOT01.010.0020_1">[18]MEMORIAL!#REF!</definedName>
    <definedName name="STOT01.050.0040">[18]MEMORIAL!#REF!</definedName>
    <definedName name="STOT01.050.0040_1">[18]MEMORIAL!#REF!</definedName>
    <definedName name="STOT01.110.0010">[18]MEMORIAL!#REF!</definedName>
    <definedName name="STOT01.110.0010_1">[18]MEMORIAL!#REF!</definedName>
    <definedName name="STOT01.110.0295">[18]MEMORIAL!#REF!</definedName>
    <definedName name="STOT01.110.0295_1">[18]MEMORIAL!#REF!</definedName>
    <definedName name="STOT01.110.0720">[18]MEMORIAL!#REF!</definedName>
    <definedName name="STOT01.110.0720_1">[18]MEMORIAL!#REF!</definedName>
    <definedName name="STOT01.120.O22O">[18]MEMORIAL!#REF!</definedName>
    <definedName name="STOT01.120.O22O_1">[18]MEMORIAL!#REF!</definedName>
    <definedName name="STOT01.150.0130">[18]MEMORIAL!#REF!</definedName>
    <definedName name="STOT01.150.0190">[18]MEMORIAL!#REF!</definedName>
    <definedName name="STOT01.150.0190_1">[18]MEMORIAL!#REF!</definedName>
    <definedName name="STOT01.250.0020">[18]MEMORIAL!#REF!</definedName>
    <definedName name="STOT01.250.0020_1">[18]MEMORIAL!#REF!</definedName>
    <definedName name="STOT01.250.0040">[18]MEMORIAL!#REF!</definedName>
    <definedName name="STOT01.250.0040_1">[18]MEMORIAL!#REF!</definedName>
    <definedName name="STOT01.250.0340">[18]MEMORIAL!#REF!</definedName>
    <definedName name="STOT01.250.0340_1">[18]MEMORIAL!#REF!</definedName>
    <definedName name="STOT01.2500040">[18]MEMORIAL!#REF!</definedName>
    <definedName name="STOT01.2500040_1">[18]MEMORIAL!#REF!</definedName>
    <definedName name="STOT02.010.0020" localSheetId="8">#REF!</definedName>
    <definedName name="STOT02.010.0020" localSheetId="9">#REF!</definedName>
    <definedName name="STOT02.010.0020" localSheetId="10">#REF!</definedName>
    <definedName name="STOT02.010.0020" localSheetId="2">#REF!</definedName>
    <definedName name="STOT02.010.0020" localSheetId="3">#REF!</definedName>
    <definedName name="STOT02.010.0020">#REF!</definedName>
    <definedName name="STOT02.010.0020_1" localSheetId="8">[18]MEMORIAL!#REF!</definedName>
    <definedName name="STOT02.010.0020_1" localSheetId="9">[18]MEMORIAL!#REF!</definedName>
    <definedName name="STOT02.010.0020_1" localSheetId="10">[18]MEMORIAL!#REF!</definedName>
    <definedName name="STOT02.010.0020_1" localSheetId="2">[18]MEMORIAL!#REF!</definedName>
    <definedName name="STOT02.010.0020_1" localSheetId="3">[18]MEMORIAL!#REF!</definedName>
    <definedName name="STOT02.010.0020_1">[18]MEMORIAL!#REF!</definedName>
    <definedName name="STOT02.010.0030" localSheetId="2">[18]MEMORIAL!#REF!</definedName>
    <definedName name="STOT02.010.0030" localSheetId="3">[18]MEMORIAL!#REF!</definedName>
    <definedName name="STOT02.010.0030">[18]MEMORIAL!#REF!</definedName>
    <definedName name="STOT02.010.0030_1">[18]MEMORIAL!#REF!</definedName>
    <definedName name="STOT02.010.0050">[33]MEMORIAL!#REF!</definedName>
    <definedName name="STOT02.010.0050_1">[33]MEMORIAL!#REF!</definedName>
    <definedName name="STOT02.010.0060">[18]MEMORIAL!#REF!</definedName>
    <definedName name="STOT02.010.0060_1">[18]MEMORIAL!#REF!</definedName>
    <definedName name="STOT02.010.0065">[33]MEMORIAL!#REF!</definedName>
    <definedName name="STOT02.010.0065_1">[18]MEMORIAL!#REF!</definedName>
    <definedName name="STOT02.010.0080">[18]MEMORIAL!#REF!</definedName>
    <definedName name="STOT02.010.0080_1">[18]MEMORIAL!#REF!</definedName>
    <definedName name="STOT02.010.0090">[18]MEMORIAL!#REF!</definedName>
    <definedName name="STOT02.010.0090_1">[18]MEMORIAL!#REF!</definedName>
    <definedName name="STOT02.010.0130">[33]MEMORIAL!#REF!</definedName>
    <definedName name="STOT02.010.0130_1">[33]MEMORIAL!#REF!</definedName>
    <definedName name="STOT02.010.0140">[18]MEMORIAL!#REF!</definedName>
    <definedName name="STOT02.010.0140_1">[18]MEMORIAL!#REF!</definedName>
    <definedName name="STOT02.010.0150">[18]MEMORIAL!#REF!</definedName>
    <definedName name="STOT02.010.0150_1">[18]MEMORIAL!#REF!</definedName>
    <definedName name="STOT02.020.0020">[18]MEMORIAL!#REF!</definedName>
    <definedName name="STOT02.020.0020_1">[18]MEMORIAL!#REF!</definedName>
    <definedName name="STOT02.040.0320">[18]MEMORIAL!#REF!</definedName>
    <definedName name="STOT02.040.0320_1">[18]MEMORIAL!#REF!</definedName>
    <definedName name="STOT02.040.3910">[18]MEMORIAL!#REF!</definedName>
    <definedName name="STOT02.040.3910_1">[18]MEMORIAL!#REF!</definedName>
    <definedName name="STOT02.040.3930">[18]MEMORIAL!#REF!</definedName>
    <definedName name="STOT02.040.3930_1">[18]MEMORIAL!#REF!</definedName>
    <definedName name="STOT02.040.7438">[18]MEMORIAL!#REF!</definedName>
    <definedName name="STOT02.040.7438_1">[18]MEMORIAL!#REF!</definedName>
    <definedName name="STOT02.110.0136">[18]MEMORIAL!#REF!</definedName>
    <definedName name="STOT02.110.0136_1">[18]MEMORIAL!#REF!</definedName>
    <definedName name="STOT02.110.0736">[18]MEMORIAL!#REF!</definedName>
    <definedName name="STOT02.110.0736_1">[18]MEMORIAL!#REF!</definedName>
    <definedName name="STOT02.110.1866">[18]MEMORIAL!#REF!</definedName>
    <definedName name="STOT02.110.1866_1">[18]MEMORIAL!#REF!</definedName>
    <definedName name="STOT02.110.2021">[18]MEMORIAL!#REF!</definedName>
    <definedName name="STOT02.110.2021_1">[18]MEMORIAL!#REF!</definedName>
    <definedName name="STOT02.110.2070">[18]MEMORIAL!#REF!</definedName>
    <definedName name="STOT02.110.2070_1">[18]MEMORIAL!#REF!</definedName>
    <definedName name="STOT02.110.2284">[18]MEMORIAL!#REF!</definedName>
    <definedName name="STOT02.110.2284_1">[18]MEMORIAL!#REF!</definedName>
    <definedName name="STOT02.110.2758">[18]MEMORIAL!#REF!</definedName>
    <definedName name="STOT02.110.2758_1">[18]MEMORIAL!#REF!</definedName>
    <definedName name="STOT02.110.3862">[18]MEMORIAL!#REF!</definedName>
    <definedName name="STOT02.110.3862_1">[18]MEMORIAL!#REF!</definedName>
    <definedName name="STOT02.110.3868">[18]MEMORIAL!#REF!</definedName>
    <definedName name="STOT02.110.3926">[18]MEMORIAL!#REF!</definedName>
    <definedName name="STOT02.110.3926_1">[18]MEMORIAL!#REF!</definedName>
    <definedName name="STOT02.110.4292">[18]MEMORIAL!#REF!</definedName>
    <definedName name="STOT02.110.4292_1">[18]MEMORIAL!#REF!</definedName>
    <definedName name="STOT02.110.4760">[18]MEMORIAL!#REF!</definedName>
    <definedName name="STOT02.110.4760_1">[18]MEMORIAL!#REF!</definedName>
    <definedName name="STOT02.120.0010">[18]MEMORIAL!#REF!</definedName>
    <definedName name="STOT02.120.0010_1">[18]MEMORIAL!#REF!</definedName>
    <definedName name="STOT02.120.0040">[18]MEMORIAL!#REF!</definedName>
    <definedName name="STOT02.120.0040_1">[18]MEMORIAL!#REF!</definedName>
    <definedName name="STOT02.140.0040">[18]MEMORIAL!#REF!</definedName>
    <definedName name="STOT02.140.0040_1">[18]MEMORIAL!#REF!</definedName>
    <definedName name="STOT02.160.0010">[18]MEMORIAL!#REF!</definedName>
    <definedName name="STOT02.160.0010_1">[18]MEMORIAL!#REF!</definedName>
    <definedName name="STOT02.160.0075">[18]MEMORIAL!#REF!</definedName>
    <definedName name="STOT02.160.0075_1">[18]MEMORIAL!#REF!</definedName>
    <definedName name="STOT02.210.0030">[18]MEMORIAL!#REF!</definedName>
    <definedName name="STOT02.210.0030_1">[18]MEMORIAL!#REF!</definedName>
    <definedName name="STOT02.210.0110">[18]MEMORIAL!#REF!</definedName>
    <definedName name="STOT02.210.0110_1">[18]MEMORIAL!#REF!</definedName>
    <definedName name="STOT02.210.0290">[18]MEMORIAL!#REF!</definedName>
    <definedName name="STOT02.210.0290_1">[18]MEMORIAL!#REF!</definedName>
    <definedName name="STOT02.210.0320">[18]MEMORIAL!#REF!</definedName>
    <definedName name="STOT02.210.0320_1">[18]MEMORIAL!#REF!</definedName>
    <definedName name="STOT03.010.0020">[33]MEMORIAL!#REF!</definedName>
    <definedName name="STOT03.010.0020_1">[18]MEMORIAL!#REF!</definedName>
    <definedName name="STOT03.010.0025">[33]MEMORIAL!#REF!</definedName>
    <definedName name="STOT03.010.0025_1">[18]MEMORIAL!#REF!</definedName>
    <definedName name="STOT03.010.0040">[33]MEMORIAL!#REF!</definedName>
    <definedName name="STOT03.010.0040_1">[34]MEMORIAL!#REF!</definedName>
    <definedName name="STOT03.010.0050">[33]MEMORIAL!#REF!</definedName>
    <definedName name="STOT03.010.0050_1">[34]MEMORIAL!#REF!</definedName>
    <definedName name="STOT03.010.0100">[33]MEMORIAL!#REF!</definedName>
    <definedName name="STOT03.010.0100_1">[33]MEMORIAL!#REF!</definedName>
    <definedName name="STOT03.010.0140">[18]MEMORIAL!#REF!</definedName>
    <definedName name="STOT03.010.0140_1">[18]MEMORIAL!#REF!</definedName>
    <definedName name="STOT03.010.0160">[18]MEMORIAL!#REF!</definedName>
    <definedName name="STOT03.010.0160_1">[18]MEMORIAL!#REF!</definedName>
    <definedName name="STOT03.010.0170">[18]MEMORIAL!#REF!</definedName>
    <definedName name="STOT03.010.0170_1">[18]MEMORIAL!#REF!</definedName>
    <definedName name="STOT03.010.0180">[33]MEMORIAL!#REF!</definedName>
    <definedName name="STOT03.010.0180_1">[18]MEMORIAL!#REF!</definedName>
    <definedName name="STOT03.010.0190">[18]MEMORIAL!#REF!</definedName>
    <definedName name="STOT03.010.0190_1">[18]MEMORIAL!#REF!</definedName>
    <definedName name="STOT03.010.0200">[33]MEMORIAL!#REF!</definedName>
    <definedName name="STOT03.010.0200_1">[18]MEMORIAL!#REF!</definedName>
    <definedName name="STOT04.010.0010">[18]MEMORIAL!#REF!</definedName>
    <definedName name="STOT04.010.0010_1">[18]MEMORIAL!#REF!</definedName>
    <definedName name="STOT04.010.0040">[18]MEMORIAL!#REF!</definedName>
    <definedName name="STOT04.010.0040_1">[18]MEMORIAL!#REF!</definedName>
    <definedName name="STOT04.010.0070">[18]MEMORIAL!#REF!</definedName>
    <definedName name="STOT04.010.0070_1">[18]MEMORIAL!#REF!</definedName>
    <definedName name="STOT04.010.0150">[18]MEMORIAL!#REF!</definedName>
    <definedName name="STOT04.010.0150_1">[18]MEMORIAL!#REF!</definedName>
    <definedName name="STOT04.010.0190">[18]MEMORIAL!#REF!</definedName>
    <definedName name="STOT04.010.0190_1">[18]MEMORIAL!#REF!</definedName>
    <definedName name="STOT04.010.0200">[18]MEMORIAL!#REF!</definedName>
    <definedName name="STOT04.010.0200_1">[18]MEMORIAL!#REF!</definedName>
    <definedName name="STOT04.010.0290" localSheetId="8">#REF!</definedName>
    <definedName name="STOT04.010.0290" localSheetId="9">#REF!</definedName>
    <definedName name="STOT04.010.0290" localSheetId="10">#REF!</definedName>
    <definedName name="STOT04.010.0290" localSheetId="2">#REF!</definedName>
    <definedName name="STOT04.010.0290" localSheetId="3">#REF!</definedName>
    <definedName name="STOT04.010.0290">#REF!</definedName>
    <definedName name="STOT04.010.0290_1" localSheetId="8">[39]MEMORIAL!#REF!</definedName>
    <definedName name="STOT04.010.0290_1" localSheetId="9">[39]MEMORIAL!#REF!</definedName>
    <definedName name="STOT04.010.0290_1" localSheetId="10">[39]MEMORIAL!#REF!</definedName>
    <definedName name="STOT04.010.0290_1" localSheetId="2">[39]MEMORIAL!#REF!</definedName>
    <definedName name="STOT04.010.0290_1" localSheetId="3">[39]MEMORIAL!#REF!</definedName>
    <definedName name="STOT04.010.0290_1">[39]MEMORIAL!#REF!</definedName>
    <definedName name="STOT04.010.0320" localSheetId="2">[33]MEMORIAL!#REF!</definedName>
    <definedName name="STOT04.010.0320" localSheetId="3">[33]MEMORIAL!#REF!</definedName>
    <definedName name="STOT04.010.0320">[33]MEMORIAL!#REF!</definedName>
    <definedName name="STOT04.010.0320_1">[18]MEMORIAL!#REF!</definedName>
    <definedName name="stot04.010.0330" localSheetId="8">#REF!</definedName>
    <definedName name="stot04.010.0330" localSheetId="9">#REF!</definedName>
    <definedName name="stot04.010.0330" localSheetId="10">#REF!</definedName>
    <definedName name="stot04.010.0330" localSheetId="2">#REF!</definedName>
    <definedName name="stot04.010.0330" localSheetId="3">#REF!</definedName>
    <definedName name="stot04.010.0330">#REF!</definedName>
    <definedName name="STOT04.010.0330_1" localSheetId="8">[18]MEMORIAL!#REF!</definedName>
    <definedName name="STOT04.010.0330_1" localSheetId="9">[18]MEMORIAL!#REF!</definedName>
    <definedName name="STOT04.010.0330_1" localSheetId="10">[18]MEMORIAL!#REF!</definedName>
    <definedName name="STOT04.010.0330_1" localSheetId="2">[18]MEMORIAL!#REF!</definedName>
    <definedName name="STOT04.010.0330_1" localSheetId="3">[18]MEMORIAL!#REF!</definedName>
    <definedName name="STOT04.010.0330_1">[18]MEMORIAL!#REF!</definedName>
    <definedName name="STOT04.010.0371" localSheetId="2">[33]MEMORIAL!#REF!</definedName>
    <definedName name="STOT04.010.0371" localSheetId="3">[33]MEMORIAL!#REF!</definedName>
    <definedName name="STOT04.010.0371">[33]MEMORIAL!#REF!</definedName>
    <definedName name="STOT04.010.0371_1">[34]MEMORIAL!#REF!</definedName>
    <definedName name="STOT04.010.0375">[33]MEMORIAL!#REF!</definedName>
    <definedName name="STOT04.010.0375_1">[18]MEMORIAL!#REF!</definedName>
    <definedName name="STOT04.010.0395">[33]MEMORIAL!#REF!</definedName>
    <definedName name="STOT04.010.0395_1">[18]MEMORIAL!#REF!</definedName>
    <definedName name="STOT04.010.0420">[18]MEMORIAL!#REF!</definedName>
    <definedName name="STOT04.010.0420_1">[18]MEMORIAL!#REF!</definedName>
    <definedName name="STOT04.010.0430">[18]MEMORIAL!#REF!</definedName>
    <definedName name="STOT04.010.0430_1">[18]MEMORIAL!#REF!</definedName>
    <definedName name="STOT05.010.0020">[33]MEMORIAL!#REF!</definedName>
    <definedName name="STOT05.010.0020_1">[18]MEMORIAL!#REF!</definedName>
    <definedName name="STOT05.110.0005">[18]MEMORIAL!#REF!</definedName>
    <definedName name="STOT05.110.0005_1">[18]MEMORIAL!#REF!</definedName>
    <definedName name="STOT05.110.0420">[18]MEMORIAL!#REF!</definedName>
    <definedName name="STOT05.110.0420_1">[18]MEMORIAL!#REF!</definedName>
    <definedName name="STOT05.110.1300">[18]MEMORIAL!#REF!</definedName>
    <definedName name="STOT05.110.1300_1">[18]MEMORIAL!#REF!</definedName>
    <definedName name="STOT05.110.1565">[18]MEMORIAL!#REF!</definedName>
    <definedName name="STOT05.110.1565_1">[18]MEMORIAL!#REF!</definedName>
    <definedName name="STOT05.110.1590">[18]MEMORIAL!#REF!</definedName>
    <definedName name="STOT05.110.1590_1">[18]MEMORIAL!#REF!</definedName>
    <definedName name="STOT05.110.1620">[18]MEMORIAL!#REF!</definedName>
    <definedName name="STOT05.120.0060">[18]MEMORIAL!#REF!</definedName>
    <definedName name="STOT05.120.0060_1">[18]MEMORIAL!#REF!</definedName>
    <definedName name="STOT06.010.0010">[18]MEMORIAL!#REF!</definedName>
    <definedName name="STOT06.010.0010_1">[18]MEMORIAL!#REF!</definedName>
    <definedName name="STOT08.010.0010">[18]MEMORIAL!#REF!</definedName>
    <definedName name="STOT08.010.0010_1">[18]MEMORIAL!#REF!</definedName>
    <definedName name="STOT08.010.0040">[18]MEMORIAL!#REF!</definedName>
    <definedName name="STOT08.010.0040_1">[18]MEMORIAL!#REF!</definedName>
    <definedName name="STOT08.010.0060">[33]MEMORIAL!#REF!</definedName>
    <definedName name="STOT08.010.0060_1">[34]MEMORIAL!#REF!</definedName>
    <definedName name="STOT08.010.0120">[33]MEMORIAL!#REF!</definedName>
    <definedName name="STOT08.010.0120_1">[18]MEMORIAL!#REF!</definedName>
    <definedName name="STOT08.010.0130">[18]MEMORIAL!#REF!</definedName>
    <definedName name="STOT08.010.0130_1">[18]MEMORIAL!#REF!</definedName>
    <definedName name="STOT08.010.0135">[33]MEMORIAL!#REF!</definedName>
    <definedName name="STOT08.010.0135_1">[18]MEMORIAL!#REF!</definedName>
    <definedName name="STOT08.010.0190">[18]MEMORIAL!#REF!</definedName>
    <definedName name="STOT08.010.0190_1">[18]MEMORIAL!#REF!</definedName>
    <definedName name="STOT08.010.0270">[33]MEMORIAL!#REF!</definedName>
    <definedName name="STOT08.010.0270_1">[18]MEMORIAL!#REF!</definedName>
    <definedName name="STOT080.010.0350">[18]MEMORIAL!#REF!</definedName>
    <definedName name="STOT080.010.0350_1">[18]MEMORIAL!#REF!</definedName>
    <definedName name="STOT09.010.0060">[33]MEMORIAL!#REF!</definedName>
    <definedName name="STOT09.010.0060_1">[18]MEMORIAL!#REF!</definedName>
    <definedName name="STOT09.010.0070">[18]MEMORIAL!#REF!</definedName>
    <definedName name="STOT09.010.0070_1">[18]MEMORIAL!#REF!</definedName>
    <definedName name="STOT09.010.0240">[33]MEMORIAL!#REF!</definedName>
    <definedName name="STOT09.010.0240_1">[18]MEMORIAL!#REF!</definedName>
    <definedName name="STOT09.010.0380">[18]MEMORIAL!#REF!</definedName>
    <definedName name="STOT09.010.0380_1">[18]MEMORIAL!#REF!</definedName>
    <definedName name="STOT09.010.0430">[33]MEMORIAL!#REF!</definedName>
    <definedName name="STOT09.010.0430_1">[18]MEMORIAL!#REF!</definedName>
    <definedName name="STOT09.010.0470">[33]MEMORIAL!#REF!</definedName>
    <definedName name="STOT09.010.0470_1">[18]MEMORIAL!#REF!</definedName>
    <definedName name="STOT09.010.0700">[33]MEMORIAL!#REF!</definedName>
    <definedName name="STOT09.010.0700_1">[18]MEMORIAL!#REF!</definedName>
    <definedName name="STOT10.010.0140">[33]MEMORIAL!#REF!</definedName>
    <definedName name="STOT10.010.0140_1">[18]MEMORIAL!#REF!</definedName>
    <definedName name="STOT10.010.0150">[18]MEMORIAL!#REF!</definedName>
    <definedName name="STOT10.010.0150_1">[18]MEMORIAL!#REF!</definedName>
    <definedName name="STOT10.010.0180">[33]MEMORIAL!#REF!</definedName>
    <definedName name="STOT10.010.0180_1">[18]MEMORIAL!#REF!</definedName>
    <definedName name="STOT10.010.0270">[33]MEMORIAL!#REF!</definedName>
    <definedName name="STOT10.010.0270_1">[34]MEMORIAL!#REF!</definedName>
    <definedName name="STOT10.010.0280">[33]MEMORIAL!#REF!</definedName>
    <definedName name="STOT10.010.0280_1">[18]MEMORIAL!#REF!</definedName>
    <definedName name="STOT10.010.0290">[18]MEMORIAL!#REF!</definedName>
    <definedName name="STOT10.010.0290_1">[18]MEMORIAL!#REF!</definedName>
    <definedName name="STOT10.010.0298">[18]MEMORIAL!#REF!</definedName>
    <definedName name="STOT10.010.0298_1">[18]MEMORIAL!#REF!</definedName>
    <definedName name="STOT10.010.0307">[33]MEMORIAL!#REF!</definedName>
    <definedName name="STOT10.010.0307_1">[18]MEMORIAL!#REF!</definedName>
    <definedName name="STOT10.010.0308">[33]MEMORIAL!#REF!</definedName>
    <definedName name="STOT10.010.0308_1">[18]MEMORIAL!#REF!</definedName>
    <definedName name="STOT10.010.0310">[33]MEMORIAL!#REF!</definedName>
    <definedName name="STOT10.010.0310_1">[18]MEMORIAL!#REF!</definedName>
    <definedName name="STOT10.010.0330">[33]MEMORIAL!#REF!</definedName>
    <definedName name="STOT10.010.0330_1">[18]MEMORIAL!#REF!</definedName>
    <definedName name="STOT10.010.0333">[33]MEMORIAL!#REF!</definedName>
    <definedName name="STOT10.010.0333_1">[18]MEMORIAL!#REF!</definedName>
    <definedName name="STOT10.010.0350">[18]MEMORIAL!#REF!</definedName>
    <definedName name="STOT10.010.0350_1">[18]MEMORIAL!#REF!</definedName>
    <definedName name="STOT10.010.0380">[33]MEMORIAL!#REF!</definedName>
    <definedName name="STOT10.010.0380_1">[18]MEMORIAL!#REF!</definedName>
    <definedName name="STOT10.010.0400">[33]MEMORIAL!#REF!</definedName>
    <definedName name="STOT10.010.0400_1">[18]MEMORIAL!#REF!</definedName>
    <definedName name="STOT10.010.0431">[33]MEMORIAL!#REF!</definedName>
    <definedName name="STOT10.010.0431_1">[18]MEMORIAL!#REF!</definedName>
    <definedName name="STOT10.010.1100">[18]MEMORIAL!#REF!</definedName>
    <definedName name="STOT10.010.1100_1">[18]MEMORIAL!#REF!</definedName>
    <definedName name="STOT10.010.1110">[18]MEMORIAL!#REF!</definedName>
    <definedName name="STOT10.010.1110_1">[18]MEMORIAL!#REF!</definedName>
    <definedName name="STOT12.010.0010">[18]MEMORIAL!#REF!</definedName>
    <definedName name="STOT12.010.0010_1">[18]MEMORIAL!#REF!</definedName>
    <definedName name="STOT12.010.0050">[18]MEMORIAL!#REF!</definedName>
    <definedName name="STOT12.010.0050_1">[18]MEMORIAL!#REF!</definedName>
    <definedName name="STOT12.010.0060">[33]MEMORIAL!#REF!</definedName>
    <definedName name="STOT12.010.0060_1">[18]MEMORIAL!#REF!</definedName>
    <definedName name="STOT12.010.0210">[33]MEMORIAL!#REF!</definedName>
    <definedName name="STOT12.010.0210_1">[18]MEMORIAL!#REF!</definedName>
    <definedName name="STOT12.010.0300">[18]MEMORIAL!#REF!</definedName>
    <definedName name="STOT12.010.0300_1">[18]MEMORIAL!#REF!</definedName>
    <definedName name="STOT12.010.0340">[18]MEMORIAL!#REF!</definedName>
    <definedName name="STOT12.010.0340_1">[18]MEMORIAL!#REF!</definedName>
    <definedName name="STOT12.010.0360">[33]MEMORIAL!#REF!</definedName>
    <definedName name="STOT12.010.0360_1">[18]MEMORIAL!#REF!</definedName>
    <definedName name="STOT12.010.0550">[33]MEMORIAL!#REF!</definedName>
    <definedName name="STOT12.010.0550_1">[18]MEMORIAL!#REF!</definedName>
    <definedName name="STOT13.010.0030">[33]MEMORIAL!#REF!</definedName>
    <definedName name="STOT13.010.0030_1">[34]MEMORIAL!#REF!</definedName>
    <definedName name="STOT13.010.0040">[18]MEMORIAL!#REF!</definedName>
    <definedName name="STOT13.010.0040_1">[18]MEMORIAL!#REF!</definedName>
    <definedName name="STOT13.010.0090">[33]MEMORIAL!#REF!</definedName>
    <definedName name="STOT13.010.0090_1">[18]MEMORIAL!#REF!</definedName>
    <definedName name="STOT13.010.0100">[18]MEMORIAL!#REF!</definedName>
    <definedName name="STOT13.010.0100_1">[18]MEMORIAL!#REF!</definedName>
    <definedName name="STOT13.010.0110">[33]MEMORIAL!#REF!</definedName>
    <definedName name="STOT13.010.0110_1">[18]MEMORIAL!#REF!</definedName>
    <definedName name="STOT13.010.0350">[18]MEMORIAL!#REF!</definedName>
    <definedName name="STOT13.010.0350_1">[18]MEMORIAL!#REF!</definedName>
    <definedName name="STOT13.010.0360">[18]MEMORIAL!#REF!</definedName>
    <definedName name="STOT13.010.0360_1">[18]MEMORIAL!#REF!</definedName>
    <definedName name="STOT13.010.0380">[18]MEMORIAL!#REF!</definedName>
    <definedName name="STOT13.010.0380_1">[18]MEMORIAL!#REF!</definedName>
    <definedName name="STOT13.010.0410">[18]MEMORIAL!#REF!</definedName>
    <definedName name="STOT13.010.0410_1">[18]MEMORIAL!#REF!</definedName>
    <definedName name="STOT13.010.0860">[18]MEMORIAL!#REF!</definedName>
    <definedName name="STOT13.010.0860_1">[18]MEMORIAL!#REF!</definedName>
    <definedName name="STOT13.010.0880">[18]MEMORIAL!#REF!</definedName>
    <definedName name="STOT13.010.0880_1">[18]MEMORIAL!#REF!</definedName>
    <definedName name="STOT13.010.1200">[33]MEMORIAL!#REF!</definedName>
    <definedName name="STOT13.010.1200_1">[18]MEMORIAL!#REF!</definedName>
    <definedName name="STOT15.010.0010" localSheetId="8">#REF!</definedName>
    <definedName name="STOT15.010.0010" localSheetId="9">#REF!</definedName>
    <definedName name="STOT15.010.0010" localSheetId="10">#REF!</definedName>
    <definedName name="STOT15.010.0010" localSheetId="2">#REF!</definedName>
    <definedName name="STOT15.010.0010" localSheetId="3">#REF!</definedName>
    <definedName name="STOT15.010.0010">#REF!</definedName>
    <definedName name="STOT15.010.0010_1" localSheetId="8">[34]MEMORIAL!#REF!</definedName>
    <definedName name="STOT15.010.0010_1" localSheetId="9">[34]MEMORIAL!#REF!</definedName>
    <definedName name="STOT15.010.0010_1" localSheetId="10">[34]MEMORIAL!#REF!</definedName>
    <definedName name="STOT15.010.0010_1" localSheetId="2">[34]MEMORIAL!#REF!</definedName>
    <definedName name="STOT15.010.0010_1" localSheetId="3">[34]MEMORIAL!#REF!</definedName>
    <definedName name="STOT15.010.0010_1">[34]MEMORIAL!#REF!</definedName>
    <definedName name="STOT15.010.0040" localSheetId="8">#REF!</definedName>
    <definedName name="STOT15.010.0040" localSheetId="9">#REF!</definedName>
    <definedName name="STOT15.010.0040" localSheetId="10">#REF!</definedName>
    <definedName name="STOT15.010.0040" localSheetId="2">#REF!</definedName>
    <definedName name="STOT15.010.0040" localSheetId="3">#REF!</definedName>
    <definedName name="STOT15.010.0040">#REF!</definedName>
    <definedName name="STOT15.010.0040_1" localSheetId="8">[39]MEMORIAL!#REF!</definedName>
    <definedName name="STOT15.010.0040_1" localSheetId="9">[39]MEMORIAL!#REF!</definedName>
    <definedName name="STOT15.010.0040_1" localSheetId="10">[39]MEMORIAL!#REF!</definedName>
    <definedName name="STOT15.010.0040_1" localSheetId="2">[39]MEMORIAL!#REF!</definedName>
    <definedName name="STOT15.010.0040_1" localSheetId="3">[39]MEMORIAL!#REF!</definedName>
    <definedName name="STOT15.010.0040_1">[39]MEMORIAL!#REF!</definedName>
    <definedName name="STOT15.010.0055" localSheetId="8">#REF!</definedName>
    <definedName name="STOT15.010.0055" localSheetId="9">#REF!</definedName>
    <definedName name="STOT15.010.0055" localSheetId="10">#REF!</definedName>
    <definedName name="STOT15.010.0055" localSheetId="2">#REF!</definedName>
    <definedName name="STOT15.010.0055" localSheetId="3">#REF!</definedName>
    <definedName name="STOT15.010.0055">#REF!</definedName>
    <definedName name="STOT15.010.0055_1" localSheetId="8">[34]MEMORIAL!#REF!</definedName>
    <definedName name="STOT15.010.0055_1" localSheetId="9">[34]MEMORIAL!#REF!</definedName>
    <definedName name="STOT15.010.0055_1" localSheetId="10">[34]MEMORIAL!#REF!</definedName>
    <definedName name="STOT15.010.0055_1" localSheetId="2">[34]MEMORIAL!#REF!</definedName>
    <definedName name="STOT15.010.0055_1" localSheetId="3">[34]MEMORIAL!#REF!</definedName>
    <definedName name="STOT15.010.0055_1">[34]MEMORIAL!#REF!</definedName>
    <definedName name="STOT15.010.0140" localSheetId="8">[33]MEMORIAL!#REF!</definedName>
    <definedName name="STOT15.010.0140" localSheetId="9">[33]MEMORIAL!#REF!</definedName>
    <definedName name="STOT15.010.0140" localSheetId="10">[33]MEMORIAL!#REF!</definedName>
    <definedName name="STOT15.010.0140" localSheetId="2">[33]MEMORIAL!#REF!</definedName>
    <definedName name="STOT15.010.0140" localSheetId="3">[33]MEMORIAL!#REF!</definedName>
    <definedName name="STOT15.010.0140">[33]MEMORIAL!#REF!</definedName>
    <definedName name="STOT15.010.0140_1" localSheetId="2">[34]MEMORIAL!#REF!</definedName>
    <definedName name="STOT15.010.0140_1" localSheetId="3">[34]MEMORIAL!#REF!</definedName>
    <definedName name="STOT15.010.0140_1">[34]MEMORIAL!#REF!</definedName>
    <definedName name="STOT15.010.0181" localSheetId="2">[33]MEMORIAL!#REF!</definedName>
    <definedName name="STOT15.010.0181" localSheetId="3">[33]MEMORIAL!#REF!</definedName>
    <definedName name="STOT15.010.0181">[33]MEMORIAL!#REF!</definedName>
    <definedName name="STOT15.010.0181_1" localSheetId="2">[34]MEMORIAL!#REF!</definedName>
    <definedName name="STOT15.010.0181_1" localSheetId="3">[34]MEMORIAL!#REF!</definedName>
    <definedName name="STOT15.010.0181_1">[34]MEMORIAL!#REF!</definedName>
    <definedName name="STOT15.010.0270">[33]MEMORIAL!#REF!</definedName>
    <definedName name="STOT15.010.0270_1">[18]MEMORIAL!#REF!</definedName>
    <definedName name="STOT15.010.0280">[33]MEMORIAL!#REF!</definedName>
    <definedName name="STOT15.010.0280_1">[18]MEMORIAL!#REF!</definedName>
    <definedName name="STOT15.010.0290">[18]MEMORIAL!#REF!</definedName>
    <definedName name="STOT15.010.0290_1">[18]MEMORIAL!#REF!</definedName>
    <definedName name="stot16.010.0000">[33]MEMORIAL!#REF!</definedName>
    <definedName name="STOT16.010.0010">[33]MEMORIAL!#REF!</definedName>
    <definedName name="STOT16.010.0010_1">[18]MEMORIAL!#REF!</definedName>
    <definedName name="STOT16.010.0060">[33]MEMORIAL!#REF!</definedName>
    <definedName name="STOT16.010.0060_1">[18]MEMORIAL!#REF!</definedName>
    <definedName name="stot16.010.0061">[33]MEMORIAL!#REF!</definedName>
    <definedName name="STOT16.010.0110">[33]MEMORIAL!#REF!</definedName>
    <definedName name="STOT16.010.0110_1">[18]MEMORIAL!#REF!</definedName>
    <definedName name="STOT16.010.0120">[33]MEMORIAL!#REF!</definedName>
    <definedName name="STOT16.010.0120_1">[18]MEMORIAL!#REF!</definedName>
    <definedName name="STOT16.010.0150">[18]MEMORIAL!#REF!</definedName>
    <definedName name="STOT16.010.0150_1">[18]MEMORIAL!#REF!</definedName>
    <definedName name="STOT16.010.0170">[33]MEMORIAL!#REF!</definedName>
    <definedName name="STOT16.010.0170_1">[18]MEMORIAL!#REF!</definedName>
    <definedName name="STOT17.010.0080">[33]MEMORIAL!#REF!</definedName>
    <definedName name="STOT17.010.0080_1">[18]MEMORIAL!#REF!</definedName>
    <definedName name="STOT17.010.0100">[18]MEMORIAL!#REF!</definedName>
    <definedName name="STOT17.010.0100_1">[18]MEMORIAL!#REF!</definedName>
    <definedName name="STOT17.010.0120">[18]MEMORIAL!#REF!</definedName>
    <definedName name="STOT17.010.0120_1">[18]MEMORIAL!#REF!</definedName>
    <definedName name="STOT17.010.0150">[33]MEMORIAL!#REF!</definedName>
    <definedName name="STOT17.010.0150_1">[18]MEMORIAL!#REF!</definedName>
    <definedName name="STOT17.010.0290">[33]MEMORIAL!#REF!</definedName>
    <definedName name="STOT17.010.0290_1">[18]MEMORIAL!#REF!</definedName>
    <definedName name="STOT17.010.0350">[18]MEMORIAL!#REF!</definedName>
    <definedName name="STOT17.010.0350_1">[18]MEMORIAL!#REF!</definedName>
    <definedName name="STOT17.010.0390">[33]MEMORIAL!#REF!</definedName>
    <definedName name="STOT17.010.0390_1">[34]MEMORIAL!#REF!</definedName>
    <definedName name="STOT17.010.0437">[33]MEMORIAL!#REF!</definedName>
    <definedName name="STOT17.010.0437_1">[34]MEMORIAL!#REF!</definedName>
    <definedName name="STOT17.010.0602">[33]MEMORIAL!#REF!</definedName>
    <definedName name="STOT17.010.0602_1">[34]MEMORIAL!#REF!</definedName>
    <definedName name="STOTCOMPOS01">[33]MEMORIAL!#REF!</definedName>
    <definedName name="STOTCOMPOS01_1">[34]MEMORIAL!#REF!</definedName>
    <definedName name="Super" localSheetId="8">#REF!</definedName>
    <definedName name="Super" localSheetId="9">#REF!</definedName>
    <definedName name="Super" localSheetId="10">#REF!</definedName>
    <definedName name="Super" localSheetId="2">#REF!</definedName>
    <definedName name="Super" localSheetId="3">#REF!</definedName>
    <definedName name="Super">#REF!</definedName>
    <definedName name="SUPERFICIE" localSheetId="2">[15]Plan1!$A$65:$A$69</definedName>
    <definedName name="SUPERFICIE" localSheetId="3">[15]Plan1!$A$65:$A$69</definedName>
    <definedName name="SUPERFICIE">[16]Plan1!$A$65:$A$69</definedName>
    <definedName name="sxrhysxdd" localSheetId="4">#REF!</definedName>
    <definedName name="sxrhysxdd" localSheetId="8">#REF!</definedName>
    <definedName name="sxrhysxdd" localSheetId="9">#REF!</definedName>
    <definedName name="sxrhysxdd">#REF!</definedName>
    <definedName name="T">#REF!</definedName>
    <definedName name="tab">[27]recursos!$A$2:$E$58</definedName>
    <definedName name="Tabela" localSheetId="8">#REF!</definedName>
    <definedName name="Tabela" localSheetId="9">#REF!</definedName>
    <definedName name="Tabela" localSheetId="10">#REF!</definedName>
    <definedName name="Tabela">#REF!</definedName>
    <definedName name="Tabela_1" localSheetId="8">#REF!</definedName>
    <definedName name="Tabela_1" localSheetId="9">#REF!</definedName>
    <definedName name="Tabela_1" localSheetId="10">#REF!</definedName>
    <definedName name="Tabela_1">#REF!</definedName>
    <definedName name="Tabela_1_6" localSheetId="8">#REF!</definedName>
    <definedName name="Tabela_1_6" localSheetId="9">#REF!</definedName>
    <definedName name="Tabela_1_6" localSheetId="10">#REF!</definedName>
    <definedName name="Tabela_1_6">#REF!</definedName>
    <definedName name="Tabela_10">#REF!</definedName>
    <definedName name="Tabela_2">#REF!</definedName>
    <definedName name="Tabela_3">#REF!</definedName>
    <definedName name="Tabela_4">#REF!</definedName>
    <definedName name="Tabela_5">#REF!</definedName>
    <definedName name="Tabela_5_1">#REF!</definedName>
    <definedName name="Tabela_6">#REF!</definedName>
    <definedName name="tabela1">#REF!</definedName>
    <definedName name="TableName">"Dummy"</definedName>
    <definedName name="TABREC">'[40]TABELA RECURSOS'!$A$1:$G$142</definedName>
    <definedName name="teca1" localSheetId="8">#REF!,#REF!</definedName>
    <definedName name="teca1" localSheetId="9">#REF!,#REF!</definedName>
    <definedName name="teca1" localSheetId="10">#REF!,#REF!</definedName>
    <definedName name="teca1">#REF!,#REF!</definedName>
    <definedName name="tecn" localSheetId="8">#REF!</definedName>
    <definedName name="tecn" localSheetId="9">#REF!</definedName>
    <definedName name="tecn" localSheetId="10">#REF!</definedName>
    <definedName name="tecn">#REF!</definedName>
    <definedName name="tecni" localSheetId="8">#REF!</definedName>
    <definedName name="tecni" localSheetId="9">#REF!</definedName>
    <definedName name="tecni" localSheetId="10">#REF!</definedName>
    <definedName name="tecni">#REF!</definedName>
    <definedName name="tecnic" localSheetId="8">#REF!</definedName>
    <definedName name="tecnic" localSheetId="9">#REF!</definedName>
    <definedName name="tecnic" localSheetId="10">#REF!</definedName>
    <definedName name="tecnic">#REF!</definedName>
    <definedName name="TECNICA" localSheetId="8">#REF!</definedName>
    <definedName name="TECNICA">#REF!</definedName>
    <definedName name="TECNICA_17" localSheetId="8">#REF!</definedName>
    <definedName name="TECNICA_17">#REF!</definedName>
    <definedName name="TECNICA_8" localSheetId="8">#REF!</definedName>
    <definedName name="TECNICA_8">#REF!</definedName>
    <definedName name="tera" localSheetId="8">#REF!,#REF!</definedName>
    <definedName name="tera" localSheetId="9">#REF!,#REF!</definedName>
    <definedName name="tera" localSheetId="10">#REF!,#REF!</definedName>
    <definedName name="tera">#REF!,#REF!</definedName>
    <definedName name="terdvvd" localSheetId="8">[18]MEMORIAL!#REF!</definedName>
    <definedName name="terdvvd" localSheetId="9">[18]MEMORIAL!#REF!</definedName>
    <definedName name="terdvvd" localSheetId="10">[18]MEMORIAL!#REF!</definedName>
    <definedName name="terdvvd">[18]MEMORIAL!#REF!</definedName>
    <definedName name="TERRA" localSheetId="8">#REF!</definedName>
    <definedName name="TERRA" localSheetId="9">#REF!</definedName>
    <definedName name="TERRA" localSheetId="10">#REF!</definedName>
    <definedName name="TERRA" localSheetId="2">#REF!</definedName>
    <definedName name="TERRA" localSheetId="3">#REF!</definedName>
    <definedName name="TERRA">#REF!</definedName>
    <definedName name="TERRA_1">#REF!</definedName>
    <definedName name="TERRAPL" localSheetId="8">#REF!</definedName>
    <definedName name="TERRAPL">#REF!</definedName>
    <definedName name="TERRAPL_17" localSheetId="8">#REF!</definedName>
    <definedName name="TERRAPL_17">#REF!</definedName>
    <definedName name="TERRAPL_8" localSheetId="8">#REF!</definedName>
    <definedName name="TERRAPL_8">#REF!</definedName>
    <definedName name="terraple">#REF!</definedName>
    <definedName name="terraplen">#REF!</definedName>
    <definedName name="terraplenagem">#REF!</definedName>
    <definedName name="TEST">'[41]17-MOI'!#REF!</definedName>
    <definedName name="teste" localSheetId="11">'[12]PLANILHA DE QUANT. E CUSTOS A'!#REF!</definedName>
    <definedName name="teste" localSheetId="13">'[12]PLANILHA DE QUANT. E CUSTOS A'!#REF!</definedName>
    <definedName name="teste">'[12]PLANILHA DE QUANT. E CUSTOS A'!#REF!</definedName>
    <definedName name="teste_teste_aggs" localSheetId="8">#REF!</definedName>
    <definedName name="teste_teste_aggs" localSheetId="9">#REF!</definedName>
    <definedName name="teste_teste_aggs" localSheetId="10">#REF!</definedName>
    <definedName name="teste_teste_aggs" localSheetId="11">#REF!</definedName>
    <definedName name="teste_teste_aggs" localSheetId="13">#REF!</definedName>
    <definedName name="teste_teste_aggs">#REF!</definedName>
    <definedName name="TETOS" localSheetId="2">[15]Plan1!$A$106:$A$110</definedName>
    <definedName name="TETOS" localSheetId="3">[15]Plan1!$A$106:$A$110</definedName>
    <definedName name="TETOS">[16]Plan1!$A$106:$A$110</definedName>
    <definedName name="thdfa" localSheetId="8">#REF!</definedName>
    <definedName name="thdfa" localSheetId="9">#REF!</definedName>
    <definedName name="thdfa" localSheetId="10">#REF!</definedName>
    <definedName name="thdfa" localSheetId="11">#REF!</definedName>
    <definedName name="thdfa" localSheetId="13">#REF!</definedName>
    <definedName name="thdfa">#REF!</definedName>
    <definedName name="TIPO" localSheetId="2">[15]Plan1!$A$73:$A$79</definedName>
    <definedName name="TIPO" localSheetId="3">[15]Plan1!$A$73:$A$79</definedName>
    <definedName name="TIPO">[16]Plan1!$A$73:$A$79</definedName>
    <definedName name="_xlnm.Print_Titles" localSheetId="4">'10 - RESUMO'!$1:$14</definedName>
    <definedName name="_xlnm.Print_Titles" localSheetId="5">'11 - FINANCEIRA'!$2:$7</definedName>
    <definedName name="_xlnm.Print_Titles" localSheetId="6">'12 - CORPO'!$1:$5</definedName>
    <definedName name="_xlnm.Print_Titles" localSheetId="8">'14.1 - VERIFICAÇÃO MT '!$1:$3</definedName>
    <definedName name="_xlnm.Print_Titles" localSheetId="9">'14.1.1 - CHECKLIST ROTINAS '!$1:$3</definedName>
    <definedName name="_xlnm.Print_Titles" localSheetId="10">'14.2 - VERIFICAÇÃO AMBIENTA '!$1:$3</definedName>
    <definedName name="_xlnm.Print_Titles" localSheetId="1">'8 - EVOLUÇÃO FINANCEIRA'!$8:$9</definedName>
    <definedName name="_xlnm.Print_Titles" localSheetId="2">'8.1 - CRONOGRAMA'!$B:$D,'8.1 - CRONOGRAMA'!$1:$6</definedName>
    <definedName name="_xlnm.Print_Titles">#REF!</definedName>
    <definedName name="tot" localSheetId="2">#REF!</definedName>
    <definedName name="tot" localSheetId="3">#REF!</definedName>
    <definedName name="tot">#REF!</definedName>
    <definedName name="TOTAL" localSheetId="4">#REF!</definedName>
    <definedName name="TOTAL" localSheetId="8">#REF!</definedName>
    <definedName name="TOTAL" localSheetId="9">#REF!</definedName>
    <definedName name="TOTAL" localSheetId="11">#REF!</definedName>
    <definedName name="TOTAL" localSheetId="13">#REF!</definedName>
    <definedName name="TOTAL">#REF!</definedName>
    <definedName name="TOTAL_17" localSheetId="4">#REF!</definedName>
    <definedName name="TOTAL_17" localSheetId="8">#REF!</definedName>
    <definedName name="TOTAL_17" localSheetId="9">#REF!</definedName>
    <definedName name="TOTAL_17">#REF!</definedName>
    <definedName name="TOTAL_8" localSheetId="4">#REF!</definedName>
    <definedName name="TOTAL_8" localSheetId="8">#REF!</definedName>
    <definedName name="TOTAL_8" localSheetId="9">#REF!</definedName>
    <definedName name="TOTAL_8">#REF!</definedName>
    <definedName name="totalg">#REF!</definedName>
    <definedName name="totalissimo">#REF!</definedName>
    <definedName name="TOTALMATERIAL">#REF!</definedName>
    <definedName name="TOTALMATERIAL_1">#REF!</definedName>
    <definedName name="TOTALSERVIÇO">'[42]Serviços Água'!#REF!</definedName>
    <definedName name="TOTALSERVIÇO_1" localSheetId="8">#REF!</definedName>
    <definedName name="TOTALSERVIÇO_1" localSheetId="9">#REF!</definedName>
    <definedName name="TOTALSERVIÇO_1" localSheetId="10">#REF!</definedName>
    <definedName name="TOTALSERVIÇO_1" localSheetId="2">#REF!</definedName>
    <definedName name="TOTALSERVIÇO_1" localSheetId="3">#REF!</definedName>
    <definedName name="TOTALSERVIÇO_1">#REF!</definedName>
    <definedName name="totaltotal" localSheetId="2">#REF!</definedName>
    <definedName name="totaltotal" localSheetId="3">#REF!</definedName>
    <definedName name="totaltotal">#REF!</definedName>
    <definedName name="TOTFASE" localSheetId="2">'[42]Serviços Água'!#REF!</definedName>
    <definedName name="TOTFASE" localSheetId="3">'[42]Serviços Água'!#REF!</definedName>
    <definedName name="TOTFASE">'[42]Serviços Água'!#REF!</definedName>
    <definedName name="TOTFASE_1" localSheetId="2">'[20]Rede de Distribuição de Água'!#REF!</definedName>
    <definedName name="TOTFASE_1" localSheetId="3">'[20]Rede de Distribuição de Água'!#REF!</definedName>
    <definedName name="TOTFASE_1">'[20]Rede de Distribuição de Água'!#REF!</definedName>
    <definedName name="TOTFASE_5" localSheetId="2">'[20]Rede de Distribuição de Água'!#REF!</definedName>
    <definedName name="TOTFASE_5" localSheetId="3">'[20]Rede de Distribuição de Água'!#REF!</definedName>
    <definedName name="TOTFASE_5">'[20]Rede de Distribuição de Água'!#REF!</definedName>
    <definedName name="TOTFASE_6" localSheetId="2">'[20]Rede de Distribuição de Água'!#REF!</definedName>
    <definedName name="TOTFASE_6" localSheetId="3">'[20]Rede de Distribuição de Água'!#REF!</definedName>
    <definedName name="TOTFASE_6">'[20]Rede de Distribuição de Água'!#REF!</definedName>
    <definedName name="trdjgfxj" localSheetId="8">#REF!</definedName>
    <definedName name="trdjgfxj" localSheetId="9">#REF!</definedName>
    <definedName name="trdjgfxj" localSheetId="10">#REF!</definedName>
    <definedName name="trdjgfxj">#REF!</definedName>
    <definedName name="troca" localSheetId="8">#REF!</definedName>
    <definedName name="troca" localSheetId="9">#REF!</definedName>
    <definedName name="troca" localSheetId="10">#REF!</definedName>
    <definedName name="troca">#REF!</definedName>
    <definedName name="trocaee">#REF!</definedName>
    <definedName name="trocarrrr">#REF!</definedName>
    <definedName name="tudo">"$#REF!.$A$7:$G$67"</definedName>
    <definedName name="TxCresc">'[25]TodasTraf-2000-NoPrint'!$C$7:$L$17</definedName>
    <definedName name="um" localSheetId="8">'[14]BAIXO GUANDU ITAIMBE'!#REF!</definedName>
    <definedName name="um" localSheetId="9">'[14]BAIXO GUANDU ITAIMBE'!#REF!</definedName>
    <definedName name="um" localSheetId="10">'[14]BAIXO GUANDU ITAIMBE'!#REF!</definedName>
    <definedName name="um" localSheetId="2">'[14]BAIXO GUANDU ITAIMBE'!#REF!</definedName>
    <definedName name="um" localSheetId="3">'[14]BAIXO GUANDU ITAIMBE'!#REF!</definedName>
    <definedName name="um">'[14]BAIXO GUANDU ITAIMBE'!#REF!</definedName>
    <definedName name="Unit." localSheetId="8">#REF!</definedName>
    <definedName name="Unit." localSheetId="9">#REF!</definedName>
    <definedName name="Unit." localSheetId="10">#REF!</definedName>
    <definedName name="Unit." localSheetId="2">#REF!</definedName>
    <definedName name="Unit." localSheetId="3">#REF!</definedName>
    <definedName name="Unit.">#REF!</definedName>
    <definedName name="USO" localSheetId="2">[15]Plan1!$A$80:$A$86</definedName>
    <definedName name="USO" localSheetId="3">[15]Plan1!$A$80:$A$86</definedName>
    <definedName name="USO">[16]Plan1!$A$80:$A$86</definedName>
    <definedName name="VAA" localSheetId="8">#REF!</definedName>
    <definedName name="VAA" localSheetId="9">#REF!</definedName>
    <definedName name="VAA" localSheetId="10">#REF!</definedName>
    <definedName name="VAA" localSheetId="2">#REF!</definedName>
    <definedName name="VAA" localSheetId="3">#REF!</definedName>
    <definedName name="VAA">#REF!</definedName>
    <definedName name="VAA_1">#REF!</definedName>
    <definedName name="VALOR_ADITIVO" localSheetId="8">#REF!</definedName>
    <definedName name="VALOR_ADITIVO">#REF!</definedName>
    <definedName name="valor_adtidivo">#REF!</definedName>
    <definedName name="valor_cont">#REF!</definedName>
    <definedName name="valor_contr">#REF!</definedName>
    <definedName name="VALOR_CONTRATO" localSheetId="8">#REF!</definedName>
    <definedName name="VALOR_CONTRATO">#REF!</definedName>
    <definedName name="VALOR_UNIT_ADOTADO" localSheetId="2">[15]Plan1!$A$214:$A$219</definedName>
    <definedName name="VALOR_UNIT_ADOTADO" localSheetId="3">[15]Plan1!$A$214:$A$219</definedName>
    <definedName name="VALOR_UNIT_ADOTADO">[16]Plan1!$A$214:$A$219</definedName>
    <definedName name="valoraditi" localSheetId="8">#REF!</definedName>
    <definedName name="valoraditi" localSheetId="9">#REF!</definedName>
    <definedName name="valoraditi" localSheetId="10">#REF!</definedName>
    <definedName name="valoraditi" localSheetId="2">#REF!</definedName>
    <definedName name="valoraditi" localSheetId="3">#REF!</definedName>
    <definedName name="valoraditi">#REF!</definedName>
    <definedName name="valoraditivo" localSheetId="2">#REF!</definedName>
    <definedName name="valoraditivo" localSheetId="3">#REF!</definedName>
    <definedName name="valoraditivo">#REF!</definedName>
    <definedName name="valorcon" localSheetId="2">#REF!</definedName>
    <definedName name="valorcon" localSheetId="3">#REF!</definedName>
    <definedName name="valorcon">#REF!</definedName>
    <definedName name="valorcontrato">#REF!</definedName>
    <definedName name="Valores">#REF!</definedName>
    <definedName name="VALORES_VALORES_Listar">#REF!</definedName>
    <definedName name="VAT">[17]MEMORIAL!#REF!</definedName>
    <definedName name="VAT_1">[18]MEMORIAL!#REF!</definedName>
    <definedName name="VBF" localSheetId="8">#REF!</definedName>
    <definedName name="VBF" localSheetId="9">#REF!</definedName>
    <definedName name="VBF" localSheetId="10">#REF!</definedName>
    <definedName name="VBF" localSheetId="2">#REF!</definedName>
    <definedName name="VBF" localSheetId="3">#REF!</definedName>
    <definedName name="VBF">#REF!</definedName>
    <definedName name="VBF_1">#REF!</definedName>
    <definedName name="ve">#REF!</definedName>
    <definedName name="ve_1">#REF!</definedName>
    <definedName name="VE1_1">#REF!</definedName>
    <definedName name="VEC">#REF!</definedName>
    <definedName name="VELOCIDADE" localSheetId="2">[15]Plan1!$A$188:$A$192</definedName>
    <definedName name="VELOCIDADE" localSheetId="3">[15]Plan1!$A$188:$A$192</definedName>
    <definedName name="VELOCIDADE">[16]Plan1!$A$188:$A$192</definedName>
    <definedName name="VENT_ILUM.NATURAL" localSheetId="2">[15]Plan1!$A$141:$A$144</definedName>
    <definedName name="VENT_ILUM.NATURAL" localSheetId="3">[15]Plan1!$A$141:$A$144</definedName>
    <definedName name="VENT_ILUM.NATURAL">[16]Plan1!$A$141:$A$144</definedName>
    <definedName name="VICIOS" localSheetId="2">[15]Plan1!$A$166:$A$168</definedName>
    <definedName name="VICIOS" localSheetId="3">[15]Plan1!$A$166:$A$168</definedName>
    <definedName name="VICIOS">[16]Plan1!$A$166:$A$168</definedName>
    <definedName name="VO" localSheetId="8">#REF!</definedName>
    <definedName name="VO" localSheetId="9">#REF!</definedName>
    <definedName name="VO" localSheetId="10">#REF!</definedName>
    <definedName name="VO" localSheetId="2">#REF!</definedName>
    <definedName name="VO" localSheetId="3">#REF!</definedName>
    <definedName name="VO">#REF!</definedName>
    <definedName name="VO_1">#REF!</definedName>
    <definedName name="VO1_1">[11]MEMORIAL!#REF!</definedName>
    <definedName name="VOC" localSheetId="8">#REF!</definedName>
    <definedName name="VOC" localSheetId="9">#REF!</definedName>
    <definedName name="VOC" localSheetId="10">#REF!</definedName>
    <definedName name="VOC" localSheetId="2">#REF!</definedName>
    <definedName name="VOC" localSheetId="3">#REF!</definedName>
    <definedName name="VOC">#REF!</definedName>
    <definedName name="Vol_Estrutural" localSheetId="8">[17]MEMORIAL!#REF!</definedName>
    <definedName name="Vol_Estrutural" localSheetId="9">[17]MEMORIAL!#REF!</definedName>
    <definedName name="Vol_Estrutural" localSheetId="10">[17]MEMORIAL!#REF!</definedName>
    <definedName name="Vol_Estrutural" localSheetId="2">[17]MEMORIAL!#REF!</definedName>
    <definedName name="Vol_Estrutural" localSheetId="3">[17]MEMORIAL!#REF!</definedName>
    <definedName name="Vol_Estrutural">[17]MEMORIAL!#REF!</definedName>
    <definedName name="Vol_Estrutural_1" localSheetId="8">[34]MEMORIAL!#REF!</definedName>
    <definedName name="Vol_Estrutural_1" localSheetId="9">[34]MEMORIAL!#REF!</definedName>
    <definedName name="Vol_Estrutural_1" localSheetId="10">[34]MEMORIAL!#REF!</definedName>
    <definedName name="Vol_Estrutural_1">[34]MEMORIAL!#REF!</definedName>
    <definedName name="VOLCON">[17]MEMORIAL!#REF!</definedName>
    <definedName name="VOLCON_1">[17]MEMORIAL!#REF!</definedName>
    <definedName name="VOLCONC">[33]MEMORIAL!#REF!</definedName>
    <definedName name="VOLCONC_1">[34]MEMORIAL!#REF!</definedName>
    <definedName name="Volume" localSheetId="8">#REF!</definedName>
    <definedName name="Volume" localSheetId="9">#REF!</definedName>
    <definedName name="Volume" localSheetId="10">#REF!</definedName>
    <definedName name="Volume">#REF!</definedName>
    <definedName name="vr" localSheetId="2">#REF!</definedName>
    <definedName name="vr" localSheetId="3">#REF!</definedName>
    <definedName name="vr">#REF!</definedName>
    <definedName name="VR_1">#REF!</definedName>
    <definedName name="VRC">#REF!</definedName>
    <definedName name="VTE">[17]MEMORIAL!#REF!</definedName>
    <definedName name="VTE_1">[18]MEMORIAL!#REF!</definedName>
    <definedName name="wrn.mo2." localSheetId="8" hidden="1">{#N/A,#N/A,FALSE,"MO (2)"}</definedName>
    <definedName name="wrn.mo2." localSheetId="9" hidden="1">{#N/A,#N/A,FALSE,"MO (2)"}</definedName>
    <definedName name="wrn.mo2." localSheetId="10" hidden="1">{#N/A,#N/A,FALSE,"MO (2)"}</definedName>
    <definedName name="wrn.mo2." localSheetId="1" hidden="1">{#N/A,#N/A,FALSE,"MO (2)"}</definedName>
    <definedName name="wrn.mo2." localSheetId="2" hidden="1">{#N/A,#N/A,FALSE,"MO (2)"}</definedName>
    <definedName name="wrn.mo2." localSheetId="3" hidden="1">{#N/A,#N/A,FALSE,"MO (2)"}</definedName>
    <definedName name="wrn.mo2." hidden="1">{#N/A,#N/A,FALSE,"MO (2)"}</definedName>
    <definedName name="wrn.mo3." localSheetId="8" hidden="1">{#N/A,#N/A,FALSE,"MO (2)"}</definedName>
    <definedName name="wrn.mo3." localSheetId="9" hidden="1">{#N/A,#N/A,FALSE,"MO (2)"}</definedName>
    <definedName name="wrn.mo3." localSheetId="10" hidden="1">{#N/A,#N/A,FALSE,"MO (2)"}</definedName>
    <definedName name="wrn.mo3." hidden="1">{#N/A,#N/A,FALSE,"MO (2)"}</definedName>
    <definedName name="wrn.PENDENCIAS." localSheetId="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RELAT_EAP." localSheetId="8" hidden="1">{#N/A,#N/A,FALSE,"EAP";#N/A,#N/A,FALSE,"CURVA AV.FÍSICO";#N/A,#N/A,FALSE,"CURVA AV.FINANC."}</definedName>
    <definedName name="wrn.RELAT_EAP." localSheetId="9" hidden="1">{#N/A,#N/A,FALSE,"EAP";#N/A,#N/A,FALSE,"CURVA AV.FÍSICO";#N/A,#N/A,FALSE,"CURVA AV.FINANC."}</definedName>
    <definedName name="wrn.RELAT_EAP." localSheetId="10" hidden="1">{#N/A,#N/A,FALSE,"EAP";#N/A,#N/A,FALSE,"CURVA AV.FÍSICO";#N/A,#N/A,FALSE,"CURVA AV.FINANC."}</definedName>
    <definedName name="wrn.RELAT_EAP." hidden="1">{#N/A,#N/A,FALSE,"EAP";#N/A,#N/A,FALSE,"CURVA AV.FÍSICO";#N/A,#N/A,FALSE,"CURVA AV.FINANC."}</definedName>
    <definedName name="ww" localSheetId="8">#REF!</definedName>
    <definedName name="ww" localSheetId="9">#REF!</definedName>
    <definedName name="ww" localSheetId="10">#REF!</definedName>
    <definedName name="ww" localSheetId="2">#REF!</definedName>
    <definedName name="ww" localSheetId="3">#REF!</definedName>
    <definedName name="ww">#REF!</definedName>
    <definedName name="WWWW">#REF!</definedName>
    <definedName name="X">("$#REF!.$A$1:$H$65204~$#REF!.$A$1:$AMJ$14)))))))")</definedName>
    <definedName name="xcvbn" localSheetId="8">#REF!</definedName>
    <definedName name="xcvbn" localSheetId="9">#REF!</definedName>
    <definedName name="xcvbn" localSheetId="10">#REF!</definedName>
    <definedName name="xcvbn">#REF!</definedName>
    <definedName name="xdhsd" localSheetId="8">#REF!</definedName>
    <definedName name="xdhsd">#REF!</definedName>
    <definedName name="XFXGFT">#REF!</definedName>
    <definedName name="XS">("$#REF!.$A$1:$H$65207~$#REF!.$A$1:$AMJ$14)))))))")</definedName>
    <definedName name="XSS">("$#REF!.$A$1:$H$65204~$#REF!.$A$1:$AMJ$14)))))))")</definedName>
    <definedName name="xx" localSheetId="8">#REF!,#REF!</definedName>
    <definedName name="xx" localSheetId="9">#REF!,#REF!</definedName>
    <definedName name="xx" localSheetId="10">#REF!,#REF!</definedName>
    <definedName name="xx">#REF!,#REF!</definedName>
    <definedName name="XXX2" localSheetId="8">#REF!,#REF!</definedName>
    <definedName name="XXX2" localSheetId="9">#REF!,#REF!</definedName>
    <definedName name="XXX2" localSheetId="10">#REF!,#REF!</definedName>
    <definedName name="XXX2">#REF!,#REF!</definedName>
    <definedName name="xxxxx" localSheetId="8">#REF!,#REF!</definedName>
    <definedName name="xxxxx" localSheetId="9">#REF!,#REF!</definedName>
    <definedName name="xxxxx" localSheetId="10">#REF!,#REF!</definedName>
    <definedName name="xxxxx">#REF!,#REF!</definedName>
    <definedName name="xxxxxxx">#REF!,#REF!</definedName>
    <definedName name="xxxxxxxxx">#REF!,#REF!</definedName>
    <definedName name="xzdhd" localSheetId="8">#REF!</definedName>
    <definedName name="xzdhd" localSheetId="9">#REF!</definedName>
    <definedName name="xzdhd" localSheetId="10">#REF!</definedName>
    <definedName name="xzdhd">#REF!</definedName>
    <definedName name="ygfnjj" localSheetId="8">#REF!</definedName>
    <definedName name="ygfnjj" localSheetId="9">#REF!</definedName>
    <definedName name="ygfnjj" localSheetId="10">#REF!</definedName>
    <definedName name="ygfnjj">#REF!</definedName>
    <definedName name="Z" localSheetId="8">#REF!</definedName>
    <definedName name="Z">#REF!</definedName>
    <definedName name="ZA" localSheetId="8">#REF!</definedName>
    <definedName name="ZA">#REF!</definedName>
    <definedName name="ZZZZZB2" localSheetId="8">#REF!,#REF!</definedName>
    <definedName name="ZZZZZB2" localSheetId="9">#REF!,#REF!</definedName>
    <definedName name="ZZZZZB2" localSheetId="10">#REF!,#REF!</definedName>
    <definedName name="ZZZZZB2">#REF!,#REF!</definedName>
    <definedName name="zzzzzzz" localSheetId="8">#REF!,#REF!</definedName>
    <definedName name="zzzzzzz" localSheetId="9">#REF!,#REF!</definedName>
    <definedName name="zzzzzzz" localSheetId="10">#REF!,#REF!</definedName>
    <definedName name="zzzzzzz">#REF!,#REF!</definedName>
    <definedName name="ZZZZZZZZZZ2" localSheetId="8">#REF!,#REF!</definedName>
    <definedName name="ZZZZZZZZZZ2" localSheetId="9">#REF!,#REF!</definedName>
    <definedName name="ZZZZZZZZZZ2" localSheetId="10">#REF!,#REF!</definedName>
    <definedName name="ZZZZZZZZZZ2">#REF!,#REF!</definedName>
    <definedName name="ZZZZZZZZZZZ">#REF!,#REF!</definedName>
    <definedName name="ZZZZZZZZZZZZZZZZZZZZZZZZ">#REF!,#REF!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385" i="234" l="1"/>
  <c r="R4386" i="234"/>
  <c r="J431" i="233"/>
  <c r="L431" i="233"/>
  <c r="M431" i="233"/>
  <c r="M432" i="233"/>
  <c r="R15" i="234"/>
  <c r="R16" i="234"/>
  <c r="J10" i="233"/>
  <c r="L10" i="233"/>
  <c r="M10" i="233"/>
  <c r="R25" i="234"/>
  <c r="R26" i="234"/>
  <c r="J11" i="233"/>
  <c r="L11" i="233"/>
  <c r="M11" i="233"/>
  <c r="R35" i="234"/>
  <c r="R36" i="234"/>
  <c r="J12" i="233"/>
  <c r="L12" i="233"/>
  <c r="M12" i="233"/>
  <c r="R45" i="234"/>
  <c r="R46" i="234"/>
  <c r="J13" i="233"/>
  <c r="L13" i="233"/>
  <c r="M13" i="233"/>
  <c r="R55" i="234"/>
  <c r="R56" i="234"/>
  <c r="J14" i="233"/>
  <c r="L14" i="233"/>
  <c r="M14" i="233"/>
  <c r="R65" i="234"/>
  <c r="R66" i="234"/>
  <c r="J15" i="233"/>
  <c r="L15" i="233"/>
  <c r="M15" i="233"/>
  <c r="R75" i="234"/>
  <c r="R76" i="234"/>
  <c r="J16" i="233"/>
  <c r="L16" i="233"/>
  <c r="M16" i="233"/>
  <c r="R86" i="234"/>
  <c r="R87" i="234"/>
  <c r="J18" i="233"/>
  <c r="L18" i="233"/>
  <c r="M18" i="233"/>
  <c r="R125" i="234"/>
  <c r="R126" i="234"/>
  <c r="J19" i="233"/>
  <c r="L19" i="233"/>
  <c r="M19" i="233"/>
  <c r="R164" i="234"/>
  <c r="R165" i="234"/>
  <c r="J20" i="233"/>
  <c r="L20" i="233"/>
  <c r="M20" i="233"/>
  <c r="R203" i="234"/>
  <c r="R204" i="234"/>
  <c r="J21" i="233"/>
  <c r="L21" i="233"/>
  <c r="M21" i="233"/>
  <c r="R242" i="234"/>
  <c r="R243" i="234"/>
  <c r="J22" i="233"/>
  <c r="L22" i="233"/>
  <c r="M22" i="233"/>
  <c r="M17" i="233"/>
  <c r="M23" i="233"/>
  <c r="R254" i="234"/>
  <c r="R255" i="234"/>
  <c r="J27" i="233"/>
  <c r="L27" i="233"/>
  <c r="M27" i="233"/>
  <c r="R290" i="234"/>
  <c r="R291" i="234"/>
  <c r="J28" i="233"/>
  <c r="L28" i="233"/>
  <c r="M28" i="233"/>
  <c r="M26" i="233"/>
  <c r="R298" i="234"/>
  <c r="R299" i="234"/>
  <c r="J30" i="233"/>
  <c r="L30" i="233"/>
  <c r="M30" i="233"/>
  <c r="R305" i="234"/>
  <c r="R306" i="234"/>
  <c r="J31" i="233"/>
  <c r="L31" i="233"/>
  <c r="M31" i="233"/>
  <c r="M29" i="233"/>
  <c r="M25" i="233"/>
  <c r="R404" i="234"/>
  <c r="R405" i="234"/>
  <c r="J33" i="233"/>
  <c r="L33" i="233"/>
  <c r="M33" i="233"/>
  <c r="R427" i="234"/>
  <c r="R428" i="234"/>
  <c r="J34" i="233"/>
  <c r="L34" i="233"/>
  <c r="M34" i="233"/>
  <c r="R489" i="234"/>
  <c r="R490" i="234"/>
  <c r="J35" i="233"/>
  <c r="L35" i="233"/>
  <c r="M35" i="233"/>
  <c r="R497" i="234"/>
  <c r="R498" i="234"/>
  <c r="J36" i="233"/>
  <c r="L36" i="233"/>
  <c r="M36" i="233"/>
  <c r="R510" i="234"/>
  <c r="R511" i="234"/>
  <c r="J37" i="233"/>
  <c r="L37" i="233"/>
  <c r="M37" i="233"/>
  <c r="R521" i="234"/>
  <c r="R522" i="234"/>
  <c r="J38" i="233"/>
  <c r="L38" i="233"/>
  <c r="M38" i="233"/>
  <c r="R534" i="234"/>
  <c r="R535" i="234"/>
  <c r="J39" i="233"/>
  <c r="L39" i="233"/>
  <c r="M39" i="233"/>
  <c r="R595" i="234"/>
  <c r="R596" i="234"/>
  <c r="J40" i="233"/>
  <c r="L40" i="233"/>
  <c r="M40" i="233"/>
  <c r="R646" i="234"/>
  <c r="R647" i="234"/>
  <c r="J41" i="233"/>
  <c r="L41" i="233"/>
  <c r="M41" i="233"/>
  <c r="R697" i="234"/>
  <c r="R698" i="234"/>
  <c r="J42" i="233"/>
  <c r="L42" i="233"/>
  <c r="M42" i="233"/>
  <c r="R715" i="234"/>
  <c r="R716" i="234"/>
  <c r="J43" i="233"/>
  <c r="L43" i="233"/>
  <c r="M43" i="233"/>
  <c r="R852" i="234"/>
  <c r="R853" i="234"/>
  <c r="J44" i="233"/>
  <c r="L44" i="233"/>
  <c r="M44" i="233"/>
  <c r="R859" i="234"/>
  <c r="R860" i="234"/>
  <c r="J45" i="233"/>
  <c r="L45" i="233"/>
  <c r="M45" i="233"/>
  <c r="R866" i="234"/>
  <c r="R867" i="234"/>
  <c r="J46" i="233"/>
  <c r="L46" i="233"/>
  <c r="M46" i="233"/>
  <c r="R874" i="234"/>
  <c r="R875" i="234"/>
  <c r="J47" i="233"/>
  <c r="L47" i="233"/>
  <c r="M47" i="233"/>
  <c r="R884" i="234"/>
  <c r="R885" i="234"/>
  <c r="J48" i="233"/>
  <c r="L48" i="233"/>
  <c r="M48" i="233"/>
  <c r="R895" i="234"/>
  <c r="R896" i="234"/>
  <c r="J50" i="233"/>
  <c r="L50" i="233"/>
  <c r="M50" i="233"/>
  <c r="R905" i="234"/>
  <c r="R906" i="234"/>
  <c r="J51" i="233"/>
  <c r="L51" i="233"/>
  <c r="M51" i="233"/>
  <c r="R915" i="234"/>
  <c r="R916" i="234"/>
  <c r="J52" i="233"/>
  <c r="L52" i="233"/>
  <c r="M52" i="233"/>
  <c r="R925" i="234"/>
  <c r="R926" i="234"/>
  <c r="J53" i="233"/>
  <c r="L53" i="233"/>
  <c r="M53" i="233"/>
  <c r="M49" i="233"/>
  <c r="M32" i="233"/>
  <c r="R940" i="234"/>
  <c r="R941" i="234"/>
  <c r="J56" i="233"/>
  <c r="L56" i="233"/>
  <c r="M56" i="233"/>
  <c r="R950" i="234"/>
  <c r="R951" i="234"/>
  <c r="J57" i="233"/>
  <c r="L57" i="233"/>
  <c r="M57" i="233"/>
  <c r="R959" i="234"/>
  <c r="R960" i="234"/>
  <c r="J58" i="233"/>
  <c r="L58" i="233"/>
  <c r="M58" i="233"/>
  <c r="R980" i="234"/>
  <c r="R981" i="234"/>
  <c r="J59" i="233"/>
  <c r="L59" i="233"/>
  <c r="M59" i="233"/>
  <c r="R992" i="234"/>
  <c r="R993" i="234"/>
  <c r="J60" i="233"/>
  <c r="L60" i="233"/>
  <c r="M60" i="233"/>
  <c r="M55" i="233"/>
  <c r="R1003" i="234"/>
  <c r="R1004" i="234"/>
  <c r="J62" i="233"/>
  <c r="L62" i="233"/>
  <c r="M62" i="233"/>
  <c r="R1013" i="234"/>
  <c r="R1014" i="234"/>
  <c r="J63" i="233"/>
  <c r="L63" i="233"/>
  <c r="M63" i="233"/>
  <c r="R1023" i="234"/>
  <c r="R1024" i="234"/>
  <c r="J64" i="233"/>
  <c r="L64" i="233"/>
  <c r="M64" i="233"/>
  <c r="R1033" i="234"/>
  <c r="R1034" i="234"/>
  <c r="J65" i="233"/>
  <c r="L65" i="233"/>
  <c r="M65" i="233"/>
  <c r="R1043" i="234"/>
  <c r="R1044" i="234"/>
  <c r="J66" i="233"/>
  <c r="L66" i="233"/>
  <c r="M66" i="233"/>
  <c r="R1053" i="234"/>
  <c r="R1054" i="234"/>
  <c r="J67" i="233"/>
  <c r="L67" i="233"/>
  <c r="M67" i="233"/>
  <c r="R1063" i="234"/>
  <c r="R1064" i="234"/>
  <c r="J68" i="233"/>
  <c r="L68" i="233"/>
  <c r="M68" i="233"/>
  <c r="R1073" i="234"/>
  <c r="R1074" i="234"/>
  <c r="J69" i="233"/>
  <c r="L69" i="233"/>
  <c r="M69" i="233"/>
  <c r="R1083" i="234"/>
  <c r="R1084" i="234"/>
  <c r="J70" i="233"/>
  <c r="L70" i="233"/>
  <c r="M70" i="233"/>
  <c r="R1093" i="234"/>
  <c r="R1094" i="234"/>
  <c r="J71" i="233"/>
  <c r="L71" i="233"/>
  <c r="M71" i="233"/>
  <c r="R1103" i="234"/>
  <c r="R1104" i="234"/>
  <c r="J72" i="233"/>
  <c r="L72" i="233"/>
  <c r="M72" i="233"/>
  <c r="R1113" i="234"/>
  <c r="R1114" i="234"/>
  <c r="J73" i="233"/>
  <c r="L73" i="233"/>
  <c r="M73" i="233"/>
  <c r="R1123" i="234"/>
  <c r="R1124" i="234"/>
  <c r="J74" i="233"/>
  <c r="L74" i="233"/>
  <c r="M74" i="233"/>
  <c r="R1133" i="234"/>
  <c r="R1134" i="234"/>
  <c r="J75" i="233"/>
  <c r="L75" i="233"/>
  <c r="M75" i="233"/>
  <c r="M61" i="233"/>
  <c r="R1144" i="234"/>
  <c r="R1145" i="234"/>
  <c r="J77" i="233"/>
  <c r="L77" i="233"/>
  <c r="M77" i="233"/>
  <c r="R1154" i="234"/>
  <c r="R1155" i="234"/>
  <c r="J78" i="233"/>
  <c r="L78" i="233"/>
  <c r="M78" i="233"/>
  <c r="R1164" i="234"/>
  <c r="R1165" i="234"/>
  <c r="J79" i="233"/>
  <c r="L79" i="233"/>
  <c r="M79" i="233"/>
  <c r="R1174" i="234"/>
  <c r="R1175" i="234"/>
  <c r="J80" i="233"/>
  <c r="L80" i="233"/>
  <c r="M80" i="233"/>
  <c r="R1184" i="234"/>
  <c r="R1185" i="234"/>
  <c r="J81" i="233"/>
  <c r="L81" i="233"/>
  <c r="M81" i="233"/>
  <c r="R1194" i="234"/>
  <c r="R1195" i="234"/>
  <c r="J82" i="233"/>
  <c r="L82" i="233"/>
  <c r="M82" i="233"/>
  <c r="R1204" i="234"/>
  <c r="R1205" i="234"/>
  <c r="J83" i="233"/>
  <c r="L83" i="233"/>
  <c r="M83" i="233"/>
  <c r="R1214" i="234"/>
  <c r="R1215" i="234"/>
  <c r="J84" i="233"/>
  <c r="L84" i="233"/>
  <c r="M84" i="233"/>
  <c r="R1224" i="234"/>
  <c r="R1225" i="234"/>
  <c r="J85" i="233"/>
  <c r="L85" i="233"/>
  <c r="M85" i="233"/>
  <c r="R1234" i="234"/>
  <c r="R1235" i="234"/>
  <c r="J86" i="233"/>
  <c r="L86" i="233"/>
  <c r="M86" i="233"/>
  <c r="R1244" i="234"/>
  <c r="R1245" i="234"/>
  <c r="J87" i="233"/>
  <c r="L87" i="233"/>
  <c r="M87" i="233"/>
  <c r="R1254" i="234"/>
  <c r="R1255" i="234"/>
  <c r="J88" i="233"/>
  <c r="L88" i="233"/>
  <c r="M88" i="233"/>
  <c r="R1264" i="234"/>
  <c r="R1265" i="234"/>
  <c r="J89" i="233"/>
  <c r="L89" i="233"/>
  <c r="M89" i="233"/>
  <c r="R1274" i="234"/>
  <c r="R1275" i="234"/>
  <c r="J90" i="233"/>
  <c r="L90" i="233"/>
  <c r="M90" i="233"/>
  <c r="R1284" i="234"/>
  <c r="R1285" i="234"/>
  <c r="J91" i="233"/>
  <c r="L91" i="233"/>
  <c r="M91" i="233"/>
  <c r="R1294" i="234"/>
  <c r="R1295" i="234"/>
  <c r="J92" i="233"/>
  <c r="L92" i="233"/>
  <c r="M92" i="233"/>
  <c r="M76" i="233"/>
  <c r="R1305" i="234"/>
  <c r="R1306" i="234"/>
  <c r="J94" i="233"/>
  <c r="L94" i="233"/>
  <c r="M94" i="233"/>
  <c r="R1315" i="234"/>
  <c r="R1316" i="234"/>
  <c r="J95" i="233"/>
  <c r="L95" i="233"/>
  <c r="M95" i="233"/>
  <c r="R1325" i="234"/>
  <c r="R1326" i="234"/>
  <c r="J96" i="233"/>
  <c r="L96" i="233"/>
  <c r="M96" i="233"/>
  <c r="R1335" i="234"/>
  <c r="R1336" i="234"/>
  <c r="J97" i="233"/>
  <c r="L97" i="233"/>
  <c r="M97" i="233"/>
  <c r="R1345" i="234"/>
  <c r="R1346" i="234"/>
  <c r="J98" i="233"/>
  <c r="L98" i="233"/>
  <c r="M98" i="233"/>
  <c r="R1355" i="234"/>
  <c r="R1356" i="234"/>
  <c r="J99" i="233"/>
  <c r="L99" i="233"/>
  <c r="M99" i="233"/>
  <c r="R1365" i="234"/>
  <c r="R1366" i="234"/>
  <c r="J100" i="233"/>
  <c r="L100" i="233"/>
  <c r="M100" i="233"/>
  <c r="R1375" i="234"/>
  <c r="R1376" i="234"/>
  <c r="J101" i="233"/>
  <c r="L101" i="233"/>
  <c r="M101" i="233"/>
  <c r="R1385" i="234"/>
  <c r="R1386" i="234"/>
  <c r="J102" i="233"/>
  <c r="L102" i="233"/>
  <c r="M102" i="233"/>
  <c r="R1395" i="234"/>
  <c r="R1396" i="234"/>
  <c r="J103" i="233"/>
  <c r="L103" i="233"/>
  <c r="M103" i="233"/>
  <c r="M93" i="233"/>
  <c r="R1406" i="234"/>
  <c r="R1407" i="234"/>
  <c r="J105" i="233"/>
  <c r="L105" i="233"/>
  <c r="M105" i="233"/>
  <c r="R1416" i="234"/>
  <c r="R1417" i="234"/>
  <c r="J106" i="233"/>
  <c r="L106" i="233"/>
  <c r="M106" i="233"/>
  <c r="R1426" i="234"/>
  <c r="R1427" i="234"/>
  <c r="J107" i="233"/>
  <c r="L107" i="233"/>
  <c r="M107" i="233"/>
  <c r="R1436" i="234"/>
  <c r="R1437" i="234"/>
  <c r="J108" i="233"/>
  <c r="L108" i="233"/>
  <c r="M108" i="233"/>
  <c r="R1446" i="234"/>
  <c r="R1447" i="234"/>
  <c r="J109" i="233"/>
  <c r="L109" i="233"/>
  <c r="M109" i="233"/>
  <c r="R1456" i="234"/>
  <c r="R1457" i="234"/>
  <c r="J110" i="233"/>
  <c r="L110" i="233"/>
  <c r="M110" i="233"/>
  <c r="R1466" i="234"/>
  <c r="R1467" i="234"/>
  <c r="J111" i="233"/>
  <c r="L111" i="233"/>
  <c r="M111" i="233"/>
  <c r="M104" i="233"/>
  <c r="R1477" i="234"/>
  <c r="R1478" i="234"/>
  <c r="J113" i="233"/>
  <c r="L113" i="233"/>
  <c r="M113" i="233"/>
  <c r="R1487" i="234"/>
  <c r="R1488" i="234"/>
  <c r="J114" i="233"/>
  <c r="L114" i="233"/>
  <c r="M114" i="233"/>
  <c r="M112" i="233"/>
  <c r="R1498" i="234"/>
  <c r="R1499" i="234"/>
  <c r="J116" i="233"/>
  <c r="L116" i="233"/>
  <c r="M116" i="233"/>
  <c r="R1508" i="234"/>
  <c r="R1509" i="234"/>
  <c r="J117" i="233"/>
  <c r="L117" i="233"/>
  <c r="M117" i="233"/>
  <c r="R1518" i="234"/>
  <c r="R1519" i="234"/>
  <c r="J118" i="233"/>
  <c r="L118" i="233"/>
  <c r="M118" i="233"/>
  <c r="R1528" i="234"/>
  <c r="R1529" i="234"/>
  <c r="J119" i="233"/>
  <c r="L119" i="233"/>
  <c r="M119" i="233"/>
  <c r="R1538" i="234"/>
  <c r="R1539" i="234"/>
  <c r="J120" i="233"/>
  <c r="L120" i="233"/>
  <c r="M120" i="233"/>
  <c r="R1548" i="234"/>
  <c r="R1549" i="234"/>
  <c r="J121" i="233"/>
  <c r="L121" i="233"/>
  <c r="M121" i="233"/>
  <c r="R1558" i="234"/>
  <c r="R1559" i="234"/>
  <c r="J122" i="233"/>
  <c r="L122" i="233"/>
  <c r="M122" i="233"/>
  <c r="R1568" i="234"/>
  <c r="R1569" i="234"/>
  <c r="J123" i="233"/>
  <c r="L123" i="233"/>
  <c r="M123" i="233"/>
  <c r="R1578" i="234"/>
  <c r="R1579" i="234"/>
  <c r="J124" i="233"/>
  <c r="L124" i="233"/>
  <c r="M124" i="233"/>
  <c r="M115" i="233"/>
  <c r="R1589" i="234"/>
  <c r="R1590" i="234"/>
  <c r="J126" i="233"/>
  <c r="L126" i="233"/>
  <c r="M126" i="233"/>
  <c r="R1599" i="234"/>
  <c r="R1600" i="234"/>
  <c r="J127" i="233"/>
  <c r="L127" i="233"/>
  <c r="M127" i="233"/>
  <c r="R1609" i="234"/>
  <c r="R1610" i="234"/>
  <c r="J128" i="233"/>
  <c r="L128" i="233"/>
  <c r="M128" i="233"/>
  <c r="R1619" i="234"/>
  <c r="R1620" i="234"/>
  <c r="J129" i="233"/>
  <c r="L129" i="233"/>
  <c r="M129" i="233"/>
  <c r="R1629" i="234"/>
  <c r="R1630" i="234"/>
  <c r="J130" i="233"/>
  <c r="L130" i="233"/>
  <c r="M130" i="233"/>
  <c r="R1639" i="234"/>
  <c r="R1640" i="234"/>
  <c r="J131" i="233"/>
  <c r="L131" i="233"/>
  <c r="M131" i="233"/>
  <c r="R1649" i="234"/>
  <c r="R1650" i="234"/>
  <c r="J132" i="233"/>
  <c r="L132" i="233"/>
  <c r="M132" i="233"/>
  <c r="R1659" i="234"/>
  <c r="R1660" i="234"/>
  <c r="J133" i="233"/>
  <c r="L133" i="233"/>
  <c r="M133" i="233"/>
  <c r="R1669" i="234"/>
  <c r="R1670" i="234"/>
  <c r="J134" i="233"/>
  <c r="L134" i="233"/>
  <c r="M134" i="233"/>
  <c r="R1679" i="234"/>
  <c r="R1680" i="234"/>
  <c r="J135" i="233"/>
  <c r="L135" i="233"/>
  <c r="M135" i="233"/>
  <c r="R1689" i="234"/>
  <c r="R1690" i="234"/>
  <c r="J136" i="233"/>
  <c r="L136" i="233"/>
  <c r="M136" i="233"/>
  <c r="M125" i="233"/>
  <c r="R1700" i="234"/>
  <c r="R1701" i="234"/>
  <c r="J138" i="233"/>
  <c r="L138" i="233"/>
  <c r="M138" i="233"/>
  <c r="R1710" i="234"/>
  <c r="R1711" i="234"/>
  <c r="J139" i="233"/>
  <c r="L139" i="233"/>
  <c r="M139" i="233"/>
  <c r="R1720" i="234"/>
  <c r="R1721" i="234"/>
  <c r="J140" i="233"/>
  <c r="L140" i="233"/>
  <c r="M140" i="233"/>
  <c r="R1730" i="234"/>
  <c r="R1731" i="234"/>
  <c r="J141" i="233"/>
  <c r="L141" i="233"/>
  <c r="M141" i="233"/>
  <c r="R1740" i="234"/>
  <c r="R1741" i="234"/>
  <c r="J142" i="233"/>
  <c r="L142" i="233"/>
  <c r="M142" i="233"/>
  <c r="R1750" i="234"/>
  <c r="R1751" i="234"/>
  <c r="J143" i="233"/>
  <c r="L143" i="233"/>
  <c r="M143" i="233"/>
  <c r="R1760" i="234"/>
  <c r="R1761" i="234"/>
  <c r="J144" i="233"/>
  <c r="L144" i="233"/>
  <c r="M144" i="233"/>
  <c r="R1770" i="234"/>
  <c r="R1771" i="234"/>
  <c r="J145" i="233"/>
  <c r="L145" i="233"/>
  <c r="M145" i="233"/>
  <c r="R1780" i="234"/>
  <c r="R1781" i="234"/>
  <c r="J146" i="233"/>
  <c r="L146" i="233"/>
  <c r="M146" i="233"/>
  <c r="R1790" i="234"/>
  <c r="R1791" i="234"/>
  <c r="J147" i="233"/>
  <c r="L147" i="233"/>
  <c r="M147" i="233"/>
  <c r="R1800" i="234"/>
  <c r="R1801" i="234"/>
  <c r="J148" i="233"/>
  <c r="L148" i="233"/>
  <c r="M148" i="233"/>
  <c r="M137" i="233"/>
  <c r="R1811" i="234"/>
  <c r="R1812" i="234"/>
  <c r="J150" i="233"/>
  <c r="L150" i="233"/>
  <c r="M150" i="233"/>
  <c r="R1821" i="234"/>
  <c r="R1822" i="234"/>
  <c r="J151" i="233"/>
  <c r="L151" i="233"/>
  <c r="M151" i="233"/>
  <c r="R1831" i="234"/>
  <c r="R1832" i="234"/>
  <c r="J152" i="233"/>
  <c r="L152" i="233"/>
  <c r="M152" i="233"/>
  <c r="R1841" i="234"/>
  <c r="R1842" i="234"/>
  <c r="J153" i="233"/>
  <c r="L153" i="233"/>
  <c r="M153" i="233"/>
  <c r="R1851" i="234"/>
  <c r="R1852" i="234"/>
  <c r="J154" i="233"/>
  <c r="L154" i="233"/>
  <c r="M154" i="233"/>
  <c r="R1861" i="234"/>
  <c r="R1862" i="234"/>
  <c r="J155" i="233"/>
  <c r="L155" i="233"/>
  <c r="M155" i="233"/>
  <c r="R1871" i="234"/>
  <c r="R1872" i="234"/>
  <c r="J156" i="233"/>
  <c r="L156" i="233"/>
  <c r="M156" i="233"/>
  <c r="R1881" i="234"/>
  <c r="R1882" i="234"/>
  <c r="J157" i="233"/>
  <c r="L157" i="233"/>
  <c r="M157" i="233"/>
  <c r="R1891" i="234"/>
  <c r="R1892" i="234"/>
  <c r="J158" i="233"/>
  <c r="L158" i="233"/>
  <c r="M158" i="233"/>
  <c r="R1901" i="234"/>
  <c r="R1902" i="234"/>
  <c r="J159" i="233"/>
  <c r="L159" i="233"/>
  <c r="M159" i="233"/>
  <c r="R1911" i="234"/>
  <c r="R1912" i="234"/>
  <c r="J160" i="233"/>
  <c r="L160" i="233"/>
  <c r="M160" i="233"/>
  <c r="R1921" i="234"/>
  <c r="R1922" i="234"/>
  <c r="J161" i="233"/>
  <c r="L161" i="233"/>
  <c r="M161" i="233"/>
  <c r="R1931" i="234"/>
  <c r="R1932" i="234"/>
  <c r="J162" i="233"/>
  <c r="L162" i="233"/>
  <c r="M162" i="233"/>
  <c r="R1941" i="234"/>
  <c r="R1942" i="234"/>
  <c r="J163" i="233"/>
  <c r="L163" i="233"/>
  <c r="M163" i="233"/>
  <c r="R1951" i="234"/>
  <c r="R1952" i="234"/>
  <c r="J164" i="233"/>
  <c r="L164" i="233"/>
  <c r="M164" i="233"/>
  <c r="R1961" i="234"/>
  <c r="R1962" i="234"/>
  <c r="J165" i="233"/>
  <c r="L165" i="233"/>
  <c r="M165" i="233"/>
  <c r="R1971" i="234"/>
  <c r="R1972" i="234"/>
  <c r="J166" i="233"/>
  <c r="L166" i="233"/>
  <c r="M166" i="233"/>
  <c r="R1981" i="234"/>
  <c r="R1982" i="234"/>
  <c r="J167" i="233"/>
  <c r="L167" i="233"/>
  <c r="M167" i="233"/>
  <c r="R1991" i="234"/>
  <c r="R1992" i="234"/>
  <c r="J168" i="233"/>
  <c r="L168" i="233"/>
  <c r="M168" i="233"/>
  <c r="R2001" i="234"/>
  <c r="R2002" i="234"/>
  <c r="J169" i="233"/>
  <c r="L169" i="233"/>
  <c r="M169" i="233"/>
  <c r="R2011" i="234"/>
  <c r="R2012" i="234"/>
  <c r="J170" i="233"/>
  <c r="L170" i="233"/>
  <c r="M170" i="233"/>
  <c r="R2021" i="234"/>
  <c r="R2022" i="234"/>
  <c r="J171" i="233"/>
  <c r="L171" i="233"/>
  <c r="M171" i="233"/>
  <c r="R2031" i="234"/>
  <c r="R2032" i="234"/>
  <c r="J172" i="233"/>
  <c r="L172" i="233"/>
  <c r="M172" i="233"/>
  <c r="R2041" i="234"/>
  <c r="R2042" i="234"/>
  <c r="J173" i="233"/>
  <c r="L173" i="233"/>
  <c r="M173" i="233"/>
  <c r="R2051" i="234"/>
  <c r="R2052" i="234"/>
  <c r="J174" i="233"/>
  <c r="L174" i="233"/>
  <c r="M174" i="233"/>
  <c r="R2061" i="234"/>
  <c r="R2062" i="234"/>
  <c r="J175" i="233"/>
  <c r="L175" i="233"/>
  <c r="M175" i="233"/>
  <c r="R2071" i="234"/>
  <c r="R2072" i="234"/>
  <c r="J176" i="233"/>
  <c r="L176" i="233"/>
  <c r="M176" i="233"/>
  <c r="R2081" i="234"/>
  <c r="R2082" i="234"/>
  <c r="J177" i="233"/>
  <c r="L177" i="233"/>
  <c r="M177" i="233"/>
  <c r="R2091" i="234"/>
  <c r="R2092" i="234"/>
  <c r="J178" i="233"/>
  <c r="L178" i="233"/>
  <c r="M178" i="233"/>
  <c r="M149" i="233"/>
  <c r="R2102" i="234"/>
  <c r="R2103" i="234"/>
  <c r="J180" i="233"/>
  <c r="L180" i="233"/>
  <c r="M180" i="233"/>
  <c r="R2112" i="234"/>
  <c r="R2113" i="234"/>
  <c r="J181" i="233"/>
  <c r="L181" i="233"/>
  <c r="M181" i="233"/>
  <c r="R2122" i="234"/>
  <c r="R2123" i="234"/>
  <c r="J182" i="233"/>
  <c r="L182" i="233"/>
  <c r="M182" i="233"/>
  <c r="R2132" i="234"/>
  <c r="R2133" i="234"/>
  <c r="J183" i="233"/>
  <c r="L183" i="233"/>
  <c r="M183" i="233"/>
  <c r="R2142" i="234"/>
  <c r="R2143" i="234"/>
  <c r="J184" i="233"/>
  <c r="L184" i="233"/>
  <c r="M184" i="233"/>
  <c r="J2151" i="234"/>
  <c r="R2148" i="234"/>
  <c r="R2151" i="234"/>
  <c r="R2152" i="234"/>
  <c r="R2153" i="234"/>
  <c r="J185" i="233"/>
  <c r="L185" i="233"/>
  <c r="M185" i="233"/>
  <c r="J2161" i="234"/>
  <c r="R2158" i="234"/>
  <c r="R2161" i="234"/>
  <c r="R2162" i="234"/>
  <c r="R2163" i="234"/>
  <c r="J186" i="233"/>
  <c r="L186" i="233"/>
  <c r="M186" i="233"/>
  <c r="J2171" i="234"/>
  <c r="R2168" i="234"/>
  <c r="R2171" i="234"/>
  <c r="R2172" i="234"/>
  <c r="R2173" i="234"/>
  <c r="J187" i="233"/>
  <c r="L187" i="233"/>
  <c r="M187" i="233"/>
  <c r="R2182" i="234"/>
  <c r="R2183" i="234"/>
  <c r="J188" i="233"/>
  <c r="L188" i="233"/>
  <c r="M188" i="233"/>
  <c r="R2192" i="234"/>
  <c r="R2193" i="234"/>
  <c r="J189" i="233"/>
  <c r="L189" i="233"/>
  <c r="M189" i="233"/>
  <c r="R2202" i="234"/>
  <c r="R2203" i="234"/>
  <c r="J190" i="233"/>
  <c r="L190" i="233"/>
  <c r="M190" i="233"/>
  <c r="J2211" i="234"/>
  <c r="R2208" i="234"/>
  <c r="R2211" i="234"/>
  <c r="R2212" i="234"/>
  <c r="R2213" i="234"/>
  <c r="J191" i="233"/>
  <c r="L191" i="233"/>
  <c r="M191" i="233"/>
  <c r="R2222" i="234"/>
  <c r="R2223" i="234"/>
  <c r="J192" i="233"/>
  <c r="L192" i="233"/>
  <c r="M192" i="233"/>
  <c r="R2232" i="234"/>
  <c r="R2233" i="234"/>
  <c r="J193" i="233"/>
  <c r="L193" i="233"/>
  <c r="M193" i="233"/>
  <c r="J2241" i="234"/>
  <c r="R2239" i="234"/>
  <c r="R2241" i="234"/>
  <c r="R2242" i="234"/>
  <c r="R2243" i="234"/>
  <c r="J194" i="233"/>
  <c r="L194" i="233"/>
  <c r="M194" i="233"/>
  <c r="M179" i="233"/>
  <c r="R2253" i="234"/>
  <c r="R2254" i="234"/>
  <c r="J196" i="233"/>
  <c r="L196" i="233"/>
  <c r="M196" i="233"/>
  <c r="R2263" i="234"/>
  <c r="R2264" i="234"/>
  <c r="J197" i="233"/>
  <c r="L197" i="233"/>
  <c r="M197" i="233"/>
  <c r="R2273" i="234"/>
  <c r="R2274" i="234"/>
  <c r="J198" i="233"/>
  <c r="L198" i="233"/>
  <c r="M198" i="233"/>
  <c r="R2283" i="234"/>
  <c r="R2284" i="234"/>
  <c r="J199" i="233"/>
  <c r="L199" i="233"/>
  <c r="M199" i="233"/>
  <c r="R2293" i="234"/>
  <c r="R2294" i="234"/>
  <c r="J200" i="233"/>
  <c r="L200" i="233"/>
  <c r="M200" i="233"/>
  <c r="R2303" i="234"/>
  <c r="R2304" i="234"/>
  <c r="J201" i="233"/>
  <c r="L201" i="233"/>
  <c r="M201" i="233"/>
  <c r="R2313" i="234"/>
  <c r="R2314" i="234"/>
  <c r="J202" i="233"/>
  <c r="L202" i="233"/>
  <c r="M202" i="233"/>
  <c r="M195" i="233"/>
  <c r="M54" i="233"/>
  <c r="R2324" i="234"/>
  <c r="R2325" i="234"/>
  <c r="J204" i="233"/>
  <c r="L204" i="233"/>
  <c r="M204" i="233"/>
  <c r="M203" i="233"/>
  <c r="R2336" i="234"/>
  <c r="R2337" i="234"/>
  <c r="J207" i="233"/>
  <c r="L207" i="233"/>
  <c r="M207" i="233"/>
  <c r="R2346" i="234"/>
  <c r="R2347" i="234"/>
  <c r="J208" i="233"/>
  <c r="L208" i="233"/>
  <c r="M208" i="233"/>
  <c r="R2356" i="234"/>
  <c r="R2357" i="234"/>
  <c r="J209" i="233"/>
  <c r="L209" i="233"/>
  <c r="M209" i="233"/>
  <c r="R2366" i="234"/>
  <c r="R2367" i="234"/>
  <c r="J210" i="233"/>
  <c r="L210" i="233"/>
  <c r="M210" i="233"/>
  <c r="R2377" i="234"/>
  <c r="R2378" i="234"/>
  <c r="J212" i="233"/>
  <c r="L212" i="233"/>
  <c r="M212" i="233"/>
  <c r="R2387" i="234"/>
  <c r="R2388" i="234"/>
  <c r="J213" i="233"/>
  <c r="L213" i="233"/>
  <c r="M213" i="233"/>
  <c r="R2397" i="234"/>
  <c r="R2398" i="234"/>
  <c r="J214" i="233"/>
  <c r="L214" i="233"/>
  <c r="M214" i="233"/>
  <c r="R2407" i="234"/>
  <c r="R2408" i="234"/>
  <c r="J215" i="233"/>
  <c r="L215" i="233"/>
  <c r="M215" i="233"/>
  <c r="R2417" i="234"/>
  <c r="R2418" i="234"/>
  <c r="J216" i="233"/>
  <c r="L216" i="233"/>
  <c r="M216" i="233"/>
  <c r="R2427" i="234"/>
  <c r="R2428" i="234"/>
  <c r="J217" i="233"/>
  <c r="L217" i="233"/>
  <c r="M217" i="233"/>
  <c r="R2437" i="234"/>
  <c r="R2438" i="234"/>
  <c r="J218" i="233"/>
  <c r="L218" i="233"/>
  <c r="M218" i="233"/>
  <c r="R2447" i="234"/>
  <c r="R2448" i="234"/>
  <c r="J219" i="233"/>
  <c r="L219" i="233"/>
  <c r="M219" i="233"/>
  <c r="R2457" i="234"/>
  <c r="R2458" i="234"/>
  <c r="J220" i="233"/>
  <c r="L220" i="233"/>
  <c r="M220" i="233"/>
  <c r="M211" i="233"/>
  <c r="R2468" i="234"/>
  <c r="R2469" i="234"/>
  <c r="J222" i="233"/>
  <c r="L222" i="233"/>
  <c r="M222" i="233"/>
  <c r="R2478" i="234"/>
  <c r="R2479" i="234"/>
  <c r="J223" i="233"/>
  <c r="L223" i="233"/>
  <c r="M223" i="233"/>
  <c r="M221" i="233"/>
  <c r="M206" i="233"/>
  <c r="R2490" i="234"/>
  <c r="R2491" i="234"/>
  <c r="J226" i="233"/>
  <c r="L226" i="233"/>
  <c r="M226" i="233"/>
  <c r="R2500" i="234"/>
  <c r="R2501" i="234"/>
  <c r="J227" i="233"/>
  <c r="L227" i="233"/>
  <c r="M227" i="233"/>
  <c r="R2510" i="234"/>
  <c r="R2511" i="234"/>
  <c r="J228" i="233"/>
  <c r="L228" i="233"/>
  <c r="M228" i="233"/>
  <c r="M225" i="233"/>
  <c r="R2521" i="234"/>
  <c r="R2522" i="234"/>
  <c r="J230" i="233"/>
  <c r="L230" i="233"/>
  <c r="M230" i="233"/>
  <c r="R2531" i="234"/>
  <c r="R2532" i="234"/>
  <c r="J231" i="233"/>
  <c r="L231" i="233"/>
  <c r="M231" i="233"/>
  <c r="R2541" i="234"/>
  <c r="R2542" i="234"/>
  <c r="J232" i="233"/>
  <c r="L232" i="233"/>
  <c r="M232" i="233"/>
  <c r="M229" i="233"/>
  <c r="R2552" i="234"/>
  <c r="R2553" i="234"/>
  <c r="J234" i="233"/>
  <c r="L234" i="233"/>
  <c r="M234" i="233"/>
  <c r="R2562" i="234"/>
  <c r="R2563" i="234"/>
  <c r="J235" i="233"/>
  <c r="L235" i="233"/>
  <c r="M235" i="233"/>
  <c r="R2572" i="234"/>
  <c r="R2573" i="234"/>
  <c r="J236" i="233"/>
  <c r="L236" i="233"/>
  <c r="M236" i="233"/>
  <c r="R2582" i="234"/>
  <c r="R2583" i="234"/>
  <c r="J237" i="233"/>
  <c r="L237" i="233"/>
  <c r="M237" i="233"/>
  <c r="R2592" i="234"/>
  <c r="R2593" i="234"/>
  <c r="J238" i="233"/>
  <c r="L238" i="233"/>
  <c r="M238" i="233"/>
  <c r="R2602" i="234"/>
  <c r="R2603" i="234"/>
  <c r="J239" i="233"/>
  <c r="L239" i="233"/>
  <c r="M239" i="233"/>
  <c r="R2612" i="234"/>
  <c r="R2613" i="234"/>
  <c r="J240" i="233"/>
  <c r="L240" i="233"/>
  <c r="M240" i="233"/>
  <c r="R2622" i="234"/>
  <c r="R2623" i="234"/>
  <c r="J241" i="233"/>
  <c r="L241" i="233"/>
  <c r="M241" i="233"/>
  <c r="R2632" i="234"/>
  <c r="R2633" i="234"/>
  <c r="J242" i="233"/>
  <c r="L242" i="233"/>
  <c r="M242" i="233"/>
  <c r="R2642" i="234"/>
  <c r="R2643" i="234"/>
  <c r="J243" i="233"/>
  <c r="L243" i="233"/>
  <c r="M243" i="233"/>
  <c r="R2652" i="234"/>
  <c r="R2653" i="234"/>
  <c r="J244" i="233"/>
  <c r="L244" i="233"/>
  <c r="M244" i="233"/>
  <c r="R2662" i="234"/>
  <c r="R2663" i="234"/>
  <c r="J245" i="233"/>
  <c r="L245" i="233"/>
  <c r="M245" i="233"/>
  <c r="R2672" i="234"/>
  <c r="R2673" i="234"/>
  <c r="J246" i="233"/>
  <c r="L246" i="233"/>
  <c r="M246" i="233"/>
  <c r="R2682" i="234"/>
  <c r="R2683" i="234"/>
  <c r="J247" i="233"/>
  <c r="L247" i="233"/>
  <c r="M247" i="233"/>
  <c r="R2692" i="234"/>
  <c r="R2693" i="234"/>
  <c r="J248" i="233"/>
  <c r="L248" i="233"/>
  <c r="M248" i="233"/>
  <c r="R2702" i="234"/>
  <c r="R2703" i="234"/>
  <c r="J249" i="233"/>
  <c r="L249" i="233"/>
  <c r="M249" i="233"/>
  <c r="R2712" i="234"/>
  <c r="R2713" i="234"/>
  <c r="J250" i="233"/>
  <c r="L250" i="233"/>
  <c r="M250" i="233"/>
  <c r="R2722" i="234"/>
  <c r="R2723" i="234"/>
  <c r="J251" i="233"/>
  <c r="L251" i="233"/>
  <c r="M251" i="233"/>
  <c r="R2732" i="234"/>
  <c r="R2733" i="234"/>
  <c r="J252" i="233"/>
  <c r="L252" i="233"/>
  <c r="M252" i="233"/>
  <c r="R2742" i="234"/>
  <c r="R2743" i="234"/>
  <c r="J253" i="233"/>
  <c r="L253" i="233"/>
  <c r="M253" i="233"/>
  <c r="R2752" i="234"/>
  <c r="R2753" i="234"/>
  <c r="J254" i="233"/>
  <c r="L254" i="233"/>
  <c r="M254" i="233"/>
  <c r="R2762" i="234"/>
  <c r="R2763" i="234"/>
  <c r="J255" i="233"/>
  <c r="L255" i="233"/>
  <c r="M255" i="233"/>
  <c r="R2772" i="234"/>
  <c r="R2773" i="234"/>
  <c r="J256" i="233"/>
  <c r="L256" i="233"/>
  <c r="M256" i="233"/>
  <c r="R2782" i="234"/>
  <c r="R2783" i="234"/>
  <c r="J257" i="233"/>
  <c r="L257" i="233"/>
  <c r="M257" i="233"/>
  <c r="R2792" i="234"/>
  <c r="R2793" i="234"/>
  <c r="J258" i="233"/>
  <c r="L258" i="233"/>
  <c r="M258" i="233"/>
  <c r="R2802" i="234"/>
  <c r="R2803" i="234"/>
  <c r="J259" i="233"/>
  <c r="L259" i="233"/>
  <c r="M259" i="233"/>
  <c r="R2812" i="234"/>
  <c r="R2813" i="234"/>
  <c r="J260" i="233"/>
  <c r="L260" i="233"/>
  <c r="M260" i="233"/>
  <c r="R2822" i="234"/>
  <c r="R2823" i="234"/>
  <c r="J261" i="233"/>
  <c r="L261" i="233"/>
  <c r="M261" i="233"/>
  <c r="R2832" i="234"/>
  <c r="R2833" i="234"/>
  <c r="J262" i="233"/>
  <c r="L262" i="233"/>
  <c r="M262" i="233"/>
  <c r="R2842" i="234"/>
  <c r="R2843" i="234"/>
  <c r="J263" i="233"/>
  <c r="L263" i="233"/>
  <c r="M263" i="233"/>
  <c r="R2852" i="234"/>
  <c r="R2853" i="234"/>
  <c r="J264" i="233"/>
  <c r="L264" i="233"/>
  <c r="M264" i="233"/>
  <c r="R2862" i="234"/>
  <c r="R2863" i="234"/>
  <c r="J265" i="233"/>
  <c r="L265" i="233"/>
  <c r="M265" i="233"/>
  <c r="R2872" i="234"/>
  <c r="R2873" i="234"/>
  <c r="J266" i="233"/>
  <c r="L266" i="233"/>
  <c r="M266" i="233"/>
  <c r="M233" i="233"/>
  <c r="R2883" i="234"/>
  <c r="R2884" i="234"/>
  <c r="J268" i="233"/>
  <c r="L268" i="233"/>
  <c r="M268" i="233"/>
  <c r="R2893" i="234"/>
  <c r="R2894" i="234"/>
  <c r="J269" i="233"/>
  <c r="L269" i="233"/>
  <c r="M269" i="233"/>
  <c r="R2903" i="234"/>
  <c r="R2904" i="234"/>
  <c r="J270" i="233"/>
  <c r="L270" i="233"/>
  <c r="M270" i="233"/>
  <c r="R2913" i="234"/>
  <c r="R2914" i="234"/>
  <c r="J271" i="233"/>
  <c r="L271" i="233"/>
  <c r="M271" i="233"/>
  <c r="R2923" i="234"/>
  <c r="R2924" i="234"/>
  <c r="J272" i="233"/>
  <c r="L272" i="233"/>
  <c r="M272" i="233"/>
  <c r="R2933" i="234"/>
  <c r="R2934" i="234"/>
  <c r="J273" i="233"/>
  <c r="L273" i="233"/>
  <c r="M273" i="233"/>
  <c r="R2943" i="234"/>
  <c r="R2944" i="234"/>
  <c r="J274" i="233"/>
  <c r="L274" i="233"/>
  <c r="M274" i="233"/>
  <c r="R2953" i="234"/>
  <c r="R2954" i="234"/>
  <c r="J275" i="233"/>
  <c r="L275" i="233"/>
  <c r="M275" i="233"/>
  <c r="R2963" i="234"/>
  <c r="R2964" i="234"/>
  <c r="J276" i="233"/>
  <c r="L276" i="233"/>
  <c r="M276" i="233"/>
  <c r="R2973" i="234"/>
  <c r="R2974" i="234"/>
  <c r="J277" i="233"/>
  <c r="L277" i="233"/>
  <c r="M277" i="233"/>
  <c r="R2983" i="234"/>
  <c r="R2984" i="234"/>
  <c r="J278" i="233"/>
  <c r="L278" i="233"/>
  <c r="M278" i="233"/>
  <c r="R2993" i="234"/>
  <c r="R2994" i="234"/>
  <c r="J279" i="233"/>
  <c r="L279" i="233"/>
  <c r="M279" i="233"/>
  <c r="R3003" i="234"/>
  <c r="R3004" i="234"/>
  <c r="J280" i="233"/>
  <c r="L280" i="233"/>
  <c r="M280" i="233"/>
  <c r="R3013" i="234"/>
  <c r="R3014" i="234"/>
  <c r="J281" i="233"/>
  <c r="L281" i="233"/>
  <c r="M281" i="233"/>
  <c r="R3023" i="234"/>
  <c r="R3024" i="234"/>
  <c r="J282" i="233"/>
  <c r="L282" i="233"/>
  <c r="M282" i="233"/>
  <c r="R3033" i="234"/>
  <c r="R3034" i="234"/>
  <c r="J283" i="233"/>
  <c r="L283" i="233"/>
  <c r="M283" i="233"/>
  <c r="R3043" i="234"/>
  <c r="R3044" i="234"/>
  <c r="J284" i="233"/>
  <c r="L284" i="233"/>
  <c r="M284" i="233"/>
  <c r="M267" i="233"/>
  <c r="R3054" i="234"/>
  <c r="R3055" i="234"/>
  <c r="J286" i="233"/>
  <c r="L286" i="233"/>
  <c r="M286" i="233"/>
  <c r="R3064" i="234"/>
  <c r="R3065" i="234"/>
  <c r="J287" i="233"/>
  <c r="L287" i="233"/>
  <c r="M287" i="233"/>
  <c r="R3074" i="234"/>
  <c r="R3075" i="234"/>
  <c r="J288" i="233"/>
  <c r="L288" i="233"/>
  <c r="M288" i="233"/>
  <c r="R3084" i="234"/>
  <c r="R3085" i="234"/>
  <c r="J289" i="233"/>
  <c r="L289" i="233"/>
  <c r="M289" i="233"/>
  <c r="R3094" i="234"/>
  <c r="R3095" i="234"/>
  <c r="J290" i="233"/>
  <c r="L290" i="233"/>
  <c r="M290" i="233"/>
  <c r="R3104" i="234"/>
  <c r="R3105" i="234"/>
  <c r="J291" i="233"/>
  <c r="L291" i="233"/>
  <c r="M291" i="233"/>
  <c r="R3114" i="234"/>
  <c r="R3115" i="234"/>
  <c r="J292" i="233"/>
  <c r="L292" i="233"/>
  <c r="M292" i="233"/>
  <c r="R3124" i="234"/>
  <c r="R3125" i="234"/>
  <c r="J293" i="233"/>
  <c r="L293" i="233"/>
  <c r="M293" i="233"/>
  <c r="R3134" i="234"/>
  <c r="R3135" i="234"/>
  <c r="J294" i="233"/>
  <c r="L294" i="233"/>
  <c r="M294" i="233"/>
  <c r="R3144" i="234"/>
  <c r="R3145" i="234"/>
  <c r="J295" i="233"/>
  <c r="L295" i="233"/>
  <c r="M295" i="233"/>
  <c r="R3154" i="234"/>
  <c r="R3155" i="234"/>
  <c r="J296" i="233"/>
  <c r="L296" i="233"/>
  <c r="M296" i="233"/>
  <c r="R3164" i="234"/>
  <c r="R3165" i="234"/>
  <c r="J297" i="233"/>
  <c r="L297" i="233"/>
  <c r="M297" i="233"/>
  <c r="M285" i="233"/>
  <c r="R3175" i="234"/>
  <c r="R3176" i="234"/>
  <c r="J299" i="233"/>
  <c r="L299" i="233"/>
  <c r="M299" i="233"/>
  <c r="R3185" i="234"/>
  <c r="R3186" i="234"/>
  <c r="J300" i="233"/>
  <c r="L300" i="233"/>
  <c r="M300" i="233"/>
  <c r="R3195" i="234"/>
  <c r="R3196" i="234"/>
  <c r="J301" i="233"/>
  <c r="L301" i="233"/>
  <c r="M301" i="233"/>
  <c r="R3205" i="234"/>
  <c r="R3206" i="234"/>
  <c r="J302" i="233"/>
  <c r="L302" i="233"/>
  <c r="M302" i="233"/>
  <c r="R3215" i="234"/>
  <c r="R3216" i="234"/>
  <c r="J303" i="233"/>
  <c r="L303" i="233"/>
  <c r="M303" i="233"/>
  <c r="R3225" i="234"/>
  <c r="R3226" i="234"/>
  <c r="J304" i="233"/>
  <c r="L304" i="233"/>
  <c r="M304" i="233"/>
  <c r="R3235" i="234"/>
  <c r="R3236" i="234"/>
  <c r="J305" i="233"/>
  <c r="L305" i="233"/>
  <c r="M305" i="233"/>
  <c r="M298" i="233"/>
  <c r="R3246" i="234"/>
  <c r="R3247" i="234"/>
  <c r="J307" i="233"/>
  <c r="L307" i="233"/>
  <c r="M307" i="233"/>
  <c r="R3256" i="234"/>
  <c r="R3257" i="234"/>
  <c r="J308" i="233"/>
  <c r="L308" i="233"/>
  <c r="M308" i="233"/>
  <c r="R3266" i="234"/>
  <c r="R3267" i="234"/>
  <c r="J309" i="233"/>
  <c r="L309" i="233"/>
  <c r="M309" i="233"/>
  <c r="R3276" i="234"/>
  <c r="R3277" i="234"/>
  <c r="J310" i="233"/>
  <c r="L310" i="233"/>
  <c r="M310" i="233"/>
  <c r="R3286" i="234"/>
  <c r="R3287" i="234"/>
  <c r="J311" i="233"/>
  <c r="L311" i="233"/>
  <c r="M311" i="233"/>
  <c r="R3296" i="234"/>
  <c r="R3297" i="234"/>
  <c r="J312" i="233"/>
  <c r="L312" i="233"/>
  <c r="M312" i="233"/>
  <c r="R3306" i="234"/>
  <c r="R3307" i="234"/>
  <c r="J313" i="233"/>
  <c r="L313" i="233"/>
  <c r="M313" i="233"/>
  <c r="R3316" i="234"/>
  <c r="R3317" i="234"/>
  <c r="J314" i="233"/>
  <c r="L314" i="233"/>
  <c r="M314" i="233"/>
  <c r="R3326" i="234"/>
  <c r="R3327" i="234"/>
  <c r="J315" i="233"/>
  <c r="L315" i="233"/>
  <c r="M315" i="233"/>
  <c r="R3336" i="234"/>
  <c r="R3337" i="234"/>
  <c r="J316" i="233"/>
  <c r="L316" i="233"/>
  <c r="M316" i="233"/>
  <c r="R3346" i="234"/>
  <c r="R3347" i="234"/>
  <c r="J317" i="233"/>
  <c r="L317" i="233"/>
  <c r="M317" i="233"/>
  <c r="M306" i="233"/>
  <c r="R3357" i="234"/>
  <c r="R3358" i="234"/>
  <c r="J319" i="233"/>
  <c r="L319" i="233"/>
  <c r="M319" i="233"/>
  <c r="R3367" i="234"/>
  <c r="R3368" i="234"/>
  <c r="J320" i="233"/>
  <c r="L320" i="233"/>
  <c r="M320" i="233"/>
  <c r="R3377" i="234"/>
  <c r="R3378" i="234"/>
  <c r="J321" i="233"/>
  <c r="L321" i="233"/>
  <c r="M321" i="233"/>
  <c r="R3387" i="234"/>
  <c r="R3388" i="234"/>
  <c r="J322" i="233"/>
  <c r="L322" i="233"/>
  <c r="M322" i="233"/>
  <c r="R3397" i="234"/>
  <c r="R3398" i="234"/>
  <c r="J323" i="233"/>
  <c r="L323" i="233"/>
  <c r="M323" i="233"/>
  <c r="R3407" i="234"/>
  <c r="R3408" i="234"/>
  <c r="J324" i="233"/>
  <c r="L324" i="233"/>
  <c r="M324" i="233"/>
  <c r="R3417" i="234"/>
  <c r="R3418" i="234"/>
  <c r="J325" i="233"/>
  <c r="L325" i="233"/>
  <c r="M325" i="233"/>
  <c r="M318" i="233"/>
  <c r="M224" i="233"/>
  <c r="R3428" i="234"/>
  <c r="R3429" i="234"/>
  <c r="J327" i="233"/>
  <c r="L327" i="233"/>
  <c r="M327" i="233"/>
  <c r="R3438" i="234"/>
  <c r="R3439" i="234"/>
  <c r="J328" i="233"/>
  <c r="L328" i="233"/>
  <c r="M328" i="233"/>
  <c r="R3448" i="234"/>
  <c r="R3449" i="234"/>
  <c r="J329" i="233"/>
  <c r="L329" i="233"/>
  <c r="M329" i="233"/>
  <c r="R3458" i="234"/>
  <c r="R3459" i="234"/>
  <c r="J330" i="233"/>
  <c r="L330" i="233"/>
  <c r="M330" i="233"/>
  <c r="R3468" i="234"/>
  <c r="R3469" i="234"/>
  <c r="J331" i="233"/>
  <c r="L331" i="233"/>
  <c r="M331" i="233"/>
  <c r="R3478" i="234"/>
  <c r="R3479" i="234"/>
  <c r="J332" i="233"/>
  <c r="L332" i="233"/>
  <c r="M332" i="233"/>
  <c r="R3488" i="234"/>
  <c r="R3489" i="234"/>
  <c r="J333" i="233"/>
  <c r="L333" i="233"/>
  <c r="M333" i="233"/>
  <c r="R3498" i="234"/>
  <c r="R3499" i="234"/>
  <c r="J334" i="233"/>
  <c r="L334" i="233"/>
  <c r="M334" i="233"/>
  <c r="R3508" i="234"/>
  <c r="R3509" i="234"/>
  <c r="J335" i="233"/>
  <c r="L335" i="233"/>
  <c r="M335" i="233"/>
  <c r="R3518" i="234"/>
  <c r="R3519" i="234"/>
  <c r="J336" i="233"/>
  <c r="L336" i="233"/>
  <c r="M336" i="233"/>
  <c r="R3528" i="234"/>
  <c r="R3529" i="234"/>
  <c r="J337" i="233"/>
  <c r="L337" i="233"/>
  <c r="M337" i="233"/>
  <c r="R3538" i="234"/>
  <c r="R3539" i="234"/>
  <c r="J338" i="233"/>
  <c r="L338" i="233"/>
  <c r="M338" i="233"/>
  <c r="R3548" i="234"/>
  <c r="R3549" i="234"/>
  <c r="J339" i="233"/>
  <c r="L339" i="233"/>
  <c r="M339" i="233"/>
  <c r="R3558" i="234"/>
  <c r="R3559" i="234"/>
  <c r="J340" i="233"/>
  <c r="L340" i="233"/>
  <c r="M340" i="233"/>
  <c r="R3568" i="234"/>
  <c r="R3569" i="234"/>
  <c r="J341" i="233"/>
  <c r="L341" i="233"/>
  <c r="M341" i="233"/>
  <c r="R3578" i="234"/>
  <c r="R3579" i="234"/>
  <c r="J342" i="233"/>
  <c r="L342" i="233"/>
  <c r="M342" i="233"/>
  <c r="M326" i="233"/>
  <c r="R3589" i="234"/>
  <c r="R3590" i="234"/>
  <c r="J344" i="233"/>
  <c r="L344" i="233"/>
  <c r="M344" i="233"/>
  <c r="R3599" i="234"/>
  <c r="R3600" i="234"/>
  <c r="J345" i="233"/>
  <c r="L345" i="233"/>
  <c r="M345" i="233"/>
  <c r="R3609" i="234"/>
  <c r="R3610" i="234"/>
  <c r="J346" i="233"/>
  <c r="L346" i="233"/>
  <c r="M346" i="233"/>
  <c r="R3619" i="234"/>
  <c r="R3620" i="234"/>
  <c r="J347" i="233"/>
  <c r="L347" i="233"/>
  <c r="M347" i="233"/>
  <c r="R3629" i="234"/>
  <c r="R3630" i="234"/>
  <c r="J348" i="233"/>
  <c r="L348" i="233"/>
  <c r="M348" i="233"/>
  <c r="R3639" i="234"/>
  <c r="R3640" i="234"/>
  <c r="J349" i="233"/>
  <c r="L349" i="233"/>
  <c r="M349" i="233"/>
  <c r="R3649" i="234"/>
  <c r="R3650" i="234"/>
  <c r="J350" i="233"/>
  <c r="L350" i="233"/>
  <c r="M350" i="233"/>
  <c r="R3659" i="234"/>
  <c r="R3660" i="234"/>
  <c r="J351" i="233"/>
  <c r="L351" i="233"/>
  <c r="M351" i="233"/>
  <c r="R3669" i="234"/>
  <c r="R3670" i="234"/>
  <c r="J352" i="233"/>
  <c r="L352" i="233"/>
  <c r="M352" i="233"/>
  <c r="R3679" i="234"/>
  <c r="R3680" i="234"/>
  <c r="J353" i="233"/>
  <c r="L353" i="233"/>
  <c r="M353" i="233"/>
  <c r="R3689" i="234"/>
  <c r="R3690" i="234"/>
  <c r="J354" i="233"/>
  <c r="L354" i="233"/>
  <c r="M354" i="233"/>
  <c r="R3699" i="234"/>
  <c r="R3700" i="234"/>
  <c r="J355" i="233"/>
  <c r="L355" i="233"/>
  <c r="M355" i="233"/>
  <c r="R3709" i="234"/>
  <c r="R3710" i="234"/>
  <c r="J356" i="233"/>
  <c r="L356" i="233"/>
  <c r="M356" i="233"/>
  <c r="R3719" i="234"/>
  <c r="R3720" i="234"/>
  <c r="J357" i="233"/>
  <c r="L357" i="233"/>
  <c r="M357" i="233"/>
  <c r="R3729" i="234"/>
  <c r="R3730" i="234"/>
  <c r="J358" i="233"/>
  <c r="L358" i="233"/>
  <c r="M358" i="233"/>
  <c r="R3739" i="234"/>
  <c r="R3740" i="234"/>
  <c r="J359" i="233"/>
  <c r="L359" i="233"/>
  <c r="M359" i="233"/>
  <c r="R3749" i="234"/>
  <c r="R3750" i="234"/>
  <c r="J360" i="233"/>
  <c r="L360" i="233"/>
  <c r="M360" i="233"/>
  <c r="R3759" i="234"/>
  <c r="R3760" i="234"/>
  <c r="J361" i="233"/>
  <c r="L361" i="233"/>
  <c r="M361" i="233"/>
  <c r="R3769" i="234"/>
  <c r="R3770" i="234"/>
  <c r="J362" i="233"/>
  <c r="L362" i="233"/>
  <c r="M362" i="233"/>
  <c r="R3779" i="234"/>
  <c r="R3780" i="234"/>
  <c r="J363" i="233"/>
  <c r="L363" i="233"/>
  <c r="M363" i="233"/>
  <c r="R3789" i="234"/>
  <c r="R3790" i="234"/>
  <c r="J364" i="233"/>
  <c r="L364" i="233"/>
  <c r="M364" i="233"/>
  <c r="R3799" i="234"/>
  <c r="R3800" i="234"/>
  <c r="J365" i="233"/>
  <c r="L365" i="233"/>
  <c r="M365" i="233"/>
  <c r="M343" i="233"/>
  <c r="R3810" i="234"/>
  <c r="R3811" i="234"/>
  <c r="J367" i="233"/>
  <c r="L367" i="233"/>
  <c r="M367" i="233"/>
  <c r="R3820" i="234"/>
  <c r="R3821" i="234"/>
  <c r="J368" i="233"/>
  <c r="L368" i="233"/>
  <c r="M368" i="233"/>
  <c r="R3830" i="234"/>
  <c r="R3831" i="234"/>
  <c r="J369" i="233"/>
  <c r="L369" i="233"/>
  <c r="M369" i="233"/>
  <c r="R3840" i="234"/>
  <c r="R3841" i="234"/>
  <c r="J370" i="233"/>
  <c r="L370" i="233"/>
  <c r="M370" i="233"/>
  <c r="R3850" i="234"/>
  <c r="R3851" i="234"/>
  <c r="J371" i="233"/>
  <c r="L371" i="233"/>
  <c r="M371" i="233"/>
  <c r="R3860" i="234"/>
  <c r="R3861" i="234"/>
  <c r="J372" i="233"/>
  <c r="L372" i="233"/>
  <c r="M372" i="233"/>
  <c r="R3870" i="234"/>
  <c r="R3871" i="234"/>
  <c r="J373" i="233"/>
  <c r="L373" i="233"/>
  <c r="M373" i="233"/>
  <c r="R3880" i="234"/>
  <c r="R3881" i="234"/>
  <c r="J374" i="233"/>
  <c r="L374" i="233"/>
  <c r="M374" i="233"/>
  <c r="R3890" i="234"/>
  <c r="R3891" i="234"/>
  <c r="J375" i="233"/>
  <c r="L375" i="233"/>
  <c r="M375" i="233"/>
  <c r="R3900" i="234"/>
  <c r="R3901" i="234"/>
  <c r="J376" i="233"/>
  <c r="L376" i="233"/>
  <c r="M376" i="233"/>
  <c r="R3910" i="234"/>
  <c r="R3911" i="234"/>
  <c r="J377" i="233"/>
  <c r="L377" i="233"/>
  <c r="M377" i="233"/>
  <c r="R3920" i="234"/>
  <c r="R3921" i="234"/>
  <c r="J378" i="233"/>
  <c r="L378" i="233"/>
  <c r="M378" i="233"/>
  <c r="R3930" i="234"/>
  <c r="R3931" i="234"/>
  <c r="J379" i="233"/>
  <c r="L379" i="233"/>
  <c r="M379" i="233"/>
  <c r="R3940" i="234"/>
  <c r="R3941" i="234"/>
  <c r="J380" i="233"/>
  <c r="L380" i="233"/>
  <c r="M380" i="233"/>
  <c r="R3950" i="234"/>
  <c r="R3951" i="234"/>
  <c r="J381" i="233"/>
  <c r="L381" i="233"/>
  <c r="M381" i="233"/>
  <c r="R3960" i="234"/>
  <c r="R3961" i="234"/>
  <c r="J382" i="233"/>
  <c r="L382" i="233"/>
  <c r="M382" i="233"/>
  <c r="R3970" i="234"/>
  <c r="R3971" i="234"/>
  <c r="J383" i="233"/>
  <c r="L383" i="233"/>
  <c r="M383" i="233"/>
  <c r="R3980" i="234"/>
  <c r="R3981" i="234"/>
  <c r="J384" i="233"/>
  <c r="L384" i="233"/>
  <c r="M384" i="233"/>
  <c r="R3990" i="234"/>
  <c r="R3991" i="234"/>
  <c r="J385" i="233"/>
  <c r="L385" i="233"/>
  <c r="M385" i="233"/>
  <c r="R4000" i="234"/>
  <c r="R4001" i="234"/>
  <c r="J386" i="233"/>
  <c r="L386" i="233"/>
  <c r="M386" i="233"/>
  <c r="R4010" i="234"/>
  <c r="R4011" i="234"/>
  <c r="J387" i="233"/>
  <c r="L387" i="233"/>
  <c r="M387" i="233"/>
  <c r="R4020" i="234"/>
  <c r="R4021" i="234"/>
  <c r="J388" i="233"/>
  <c r="L388" i="233"/>
  <c r="M388" i="233"/>
  <c r="R4030" i="234"/>
  <c r="R4031" i="234"/>
  <c r="J389" i="233"/>
  <c r="L389" i="233"/>
  <c r="M389" i="233"/>
  <c r="R4040" i="234"/>
  <c r="R4041" i="234"/>
  <c r="J390" i="233"/>
  <c r="L390" i="233"/>
  <c r="M390" i="233"/>
  <c r="R4050" i="234"/>
  <c r="R4051" i="234"/>
  <c r="J391" i="233"/>
  <c r="L391" i="233"/>
  <c r="M391" i="233"/>
  <c r="R4060" i="234"/>
  <c r="R4061" i="234"/>
  <c r="J392" i="233"/>
  <c r="L392" i="233"/>
  <c r="M392" i="233"/>
  <c r="R4070" i="234"/>
  <c r="R4071" i="234"/>
  <c r="J393" i="233"/>
  <c r="L393" i="233"/>
  <c r="M393" i="233"/>
  <c r="R4080" i="234"/>
  <c r="R4081" i="234"/>
  <c r="J394" i="233"/>
  <c r="L394" i="233"/>
  <c r="M394" i="233"/>
  <c r="R4090" i="234"/>
  <c r="R4091" i="234"/>
  <c r="J395" i="233"/>
  <c r="L395" i="233"/>
  <c r="M395" i="233"/>
  <c r="R4100" i="234"/>
  <c r="R4101" i="234"/>
  <c r="J396" i="233"/>
  <c r="L396" i="233"/>
  <c r="M396" i="233"/>
  <c r="R4110" i="234"/>
  <c r="R4111" i="234"/>
  <c r="J397" i="233"/>
  <c r="L397" i="233"/>
  <c r="M397" i="233"/>
  <c r="R4119" i="234"/>
  <c r="R4120" i="234"/>
  <c r="J398" i="233"/>
  <c r="L398" i="233"/>
  <c r="M398" i="233"/>
  <c r="R4128" i="234"/>
  <c r="R4129" i="234"/>
  <c r="J399" i="233"/>
  <c r="L399" i="233"/>
  <c r="M399" i="233"/>
  <c r="M366" i="233"/>
  <c r="M205" i="233"/>
  <c r="R4140" i="234"/>
  <c r="R4141" i="234"/>
  <c r="J402" i="233"/>
  <c r="L402" i="233"/>
  <c r="M402" i="233"/>
  <c r="R4150" i="234"/>
  <c r="R4151" i="234"/>
  <c r="J403" i="233"/>
  <c r="L403" i="233"/>
  <c r="M403" i="233"/>
  <c r="R4160" i="234"/>
  <c r="R4161" i="234"/>
  <c r="J404" i="233"/>
  <c r="L404" i="233"/>
  <c r="M404" i="233"/>
  <c r="R4170" i="234"/>
  <c r="R4171" i="234"/>
  <c r="J405" i="233"/>
  <c r="L405" i="233"/>
  <c r="M405" i="233"/>
  <c r="R4180" i="234"/>
  <c r="R4181" i="234"/>
  <c r="J406" i="233"/>
  <c r="L406" i="233"/>
  <c r="M406" i="233"/>
  <c r="R4190" i="234"/>
  <c r="R4191" i="234"/>
  <c r="J407" i="233"/>
  <c r="L407" i="233"/>
  <c r="M407" i="233"/>
  <c r="R4201" i="234"/>
  <c r="R4202" i="234"/>
  <c r="J409" i="233"/>
  <c r="L409" i="233"/>
  <c r="M409" i="233"/>
  <c r="R4211" i="234"/>
  <c r="R4212" i="234"/>
  <c r="J410" i="233"/>
  <c r="L410" i="233"/>
  <c r="M410" i="233"/>
  <c r="R4221" i="234"/>
  <c r="R4222" i="234"/>
  <c r="J411" i="233"/>
  <c r="L411" i="233"/>
  <c r="M411" i="233"/>
  <c r="R4231" i="234"/>
  <c r="R4232" i="234"/>
  <c r="J412" i="233"/>
  <c r="L412" i="233"/>
  <c r="M412" i="233"/>
  <c r="R4241" i="234"/>
  <c r="R4242" i="234"/>
  <c r="J413" i="233"/>
  <c r="L413" i="233"/>
  <c r="M413" i="233"/>
  <c r="R4251" i="234"/>
  <c r="R4252" i="234"/>
  <c r="J414" i="233"/>
  <c r="L414" i="233"/>
  <c r="M414" i="233"/>
  <c r="R4261" i="234"/>
  <c r="R4262" i="234"/>
  <c r="J415" i="233"/>
  <c r="L415" i="233"/>
  <c r="M415" i="233"/>
  <c r="R4273" i="234"/>
  <c r="R4274" i="234"/>
  <c r="J418" i="233"/>
  <c r="L418" i="233"/>
  <c r="M418" i="233"/>
  <c r="R4283" i="234"/>
  <c r="R4284" i="234"/>
  <c r="J419" i="233"/>
  <c r="L419" i="233"/>
  <c r="M419" i="233"/>
  <c r="R4293" i="234"/>
  <c r="R4294" i="234"/>
  <c r="J420" i="233"/>
  <c r="L420" i="233"/>
  <c r="M420" i="233"/>
  <c r="R4303" i="234"/>
  <c r="R4304" i="234"/>
  <c r="J421" i="233"/>
  <c r="L421" i="233"/>
  <c r="M421" i="233"/>
  <c r="R4313" i="234"/>
  <c r="R4314" i="234"/>
  <c r="J422" i="233"/>
  <c r="L422" i="233"/>
  <c r="M422" i="233"/>
  <c r="R4323" i="234"/>
  <c r="R4324" i="234"/>
  <c r="J423" i="233"/>
  <c r="L423" i="233"/>
  <c r="M423" i="233"/>
  <c r="R4333" i="234"/>
  <c r="R4334" i="234"/>
  <c r="J424" i="233"/>
  <c r="L424" i="233"/>
  <c r="M424" i="233"/>
  <c r="R4343" i="234"/>
  <c r="R4344" i="234"/>
  <c r="J425" i="233"/>
  <c r="L425" i="233"/>
  <c r="M425" i="233"/>
  <c r="R4353" i="234"/>
  <c r="R4354" i="234"/>
  <c r="J426" i="233"/>
  <c r="L426" i="233"/>
  <c r="M426" i="233"/>
  <c r="R4363" i="234"/>
  <c r="R4364" i="234"/>
  <c r="J427" i="233"/>
  <c r="L427" i="233"/>
  <c r="M427" i="233"/>
  <c r="R4374" i="234"/>
  <c r="R4375" i="234"/>
  <c r="J428" i="233"/>
  <c r="L428" i="233"/>
  <c r="M428" i="233"/>
  <c r="M417" i="233"/>
  <c r="M429" i="233"/>
  <c r="R4464" i="234"/>
  <c r="R4465" i="234"/>
  <c r="J435" i="233"/>
  <c r="L435" i="233"/>
  <c r="M435" i="233"/>
  <c r="R4535" i="234"/>
  <c r="R4536" i="234"/>
  <c r="J436" i="233"/>
  <c r="L436" i="233"/>
  <c r="M436" i="233"/>
  <c r="R4554" i="234"/>
  <c r="R4555" i="234"/>
  <c r="J437" i="233"/>
  <c r="L437" i="233"/>
  <c r="M437" i="233"/>
  <c r="R4564" i="234"/>
  <c r="R4565" i="234"/>
  <c r="J438" i="233"/>
  <c r="L438" i="233"/>
  <c r="M438" i="233"/>
  <c r="R4574" i="234"/>
  <c r="R4575" i="234"/>
  <c r="J439" i="233"/>
  <c r="L439" i="233"/>
  <c r="M439" i="233"/>
  <c r="R4584" i="234"/>
  <c r="R4585" i="234"/>
  <c r="J440" i="233"/>
  <c r="L440" i="233"/>
  <c r="M440" i="233"/>
  <c r="R4594" i="234"/>
  <c r="R4595" i="234"/>
  <c r="J441" i="233"/>
  <c r="L441" i="233"/>
  <c r="M441" i="233"/>
  <c r="R4604" i="234"/>
  <c r="R4605" i="234"/>
  <c r="J442" i="233"/>
  <c r="L442" i="233"/>
  <c r="M442" i="233"/>
  <c r="R4614" i="234"/>
  <c r="R4615" i="234"/>
  <c r="J443" i="233"/>
  <c r="L443" i="233"/>
  <c r="M443" i="233"/>
  <c r="R4624" i="234"/>
  <c r="R4625" i="234"/>
  <c r="J444" i="233"/>
  <c r="L444" i="233"/>
  <c r="M444" i="233"/>
  <c r="R4635" i="234"/>
  <c r="R4636" i="234"/>
  <c r="J445" i="233"/>
  <c r="L445" i="233"/>
  <c r="M445" i="233"/>
  <c r="R4645" i="234"/>
  <c r="R4646" i="234"/>
  <c r="J446" i="233"/>
  <c r="L446" i="233"/>
  <c r="M446" i="233"/>
  <c r="R4655" i="234"/>
  <c r="R4656" i="234"/>
  <c r="J447" i="233"/>
  <c r="L447" i="233"/>
  <c r="M447" i="233"/>
  <c r="R4665" i="234"/>
  <c r="R4666" i="234"/>
  <c r="J448" i="233"/>
  <c r="L448" i="233"/>
  <c r="M448" i="233"/>
  <c r="R4675" i="234"/>
  <c r="R4676" i="234"/>
  <c r="J449" i="233"/>
  <c r="L449" i="233"/>
  <c r="M449" i="233"/>
  <c r="R4685" i="234"/>
  <c r="R4686" i="234"/>
  <c r="J450" i="233"/>
  <c r="L450" i="233"/>
  <c r="M450" i="233"/>
  <c r="R4695" i="234"/>
  <c r="R4696" i="234"/>
  <c r="J451" i="233"/>
  <c r="L451" i="233"/>
  <c r="M451" i="233"/>
  <c r="R4705" i="234"/>
  <c r="R4706" i="234"/>
  <c r="J452" i="233"/>
  <c r="L452" i="233"/>
  <c r="M452" i="233"/>
  <c r="R4715" i="234"/>
  <c r="R4716" i="234"/>
  <c r="J453" i="233"/>
  <c r="L453" i="233"/>
  <c r="M453" i="233"/>
  <c r="R4725" i="234"/>
  <c r="R4726" i="234"/>
  <c r="J454" i="233"/>
  <c r="L454" i="233"/>
  <c r="M454" i="233"/>
  <c r="R4735" i="234"/>
  <c r="R4736" i="234"/>
  <c r="J455" i="233"/>
  <c r="L455" i="233"/>
  <c r="M455" i="233"/>
  <c r="R4745" i="234"/>
  <c r="R4746" i="234"/>
  <c r="J456" i="233"/>
  <c r="L456" i="233"/>
  <c r="M456" i="233"/>
  <c r="R4755" i="234"/>
  <c r="R4756" i="234"/>
  <c r="J457" i="233"/>
  <c r="L457" i="233"/>
  <c r="M457" i="233"/>
  <c r="J4767" i="234"/>
  <c r="R4766" i="234"/>
  <c r="R4767" i="234"/>
  <c r="R4768" i="234"/>
  <c r="R4769" i="234"/>
  <c r="J458" i="233"/>
  <c r="L458" i="233"/>
  <c r="M458" i="233"/>
  <c r="R4779" i="234"/>
  <c r="R4780" i="234"/>
  <c r="J459" i="233"/>
  <c r="L459" i="233"/>
  <c r="M459" i="233"/>
  <c r="R4791" i="234"/>
  <c r="R4792" i="234"/>
  <c r="J460" i="233"/>
  <c r="L460" i="233"/>
  <c r="M460" i="233"/>
  <c r="R4802" i="234"/>
  <c r="R4803" i="234"/>
  <c r="J461" i="233"/>
  <c r="L461" i="233"/>
  <c r="M461" i="233"/>
  <c r="R4813" i="234"/>
  <c r="R4814" i="234"/>
  <c r="J462" i="233"/>
  <c r="L462" i="233"/>
  <c r="M462" i="233"/>
  <c r="R4824" i="234"/>
  <c r="R4825" i="234"/>
  <c r="J463" i="233"/>
  <c r="L463" i="233"/>
  <c r="M463" i="233"/>
  <c r="M464" i="233"/>
  <c r="M465" i="233"/>
  <c r="M9" i="233"/>
  <c r="K11" i="233"/>
  <c r="K12" i="233"/>
  <c r="K13" i="233"/>
  <c r="K14" i="233"/>
  <c r="K15" i="233"/>
  <c r="K16" i="233"/>
  <c r="K18" i="233"/>
  <c r="K19" i="233"/>
  <c r="K20" i="233"/>
  <c r="K21" i="233"/>
  <c r="K22" i="233"/>
  <c r="K17" i="233"/>
  <c r="K10" i="233"/>
  <c r="K23" i="233"/>
  <c r="K27" i="233"/>
  <c r="K28" i="233"/>
  <c r="K30" i="233"/>
  <c r="K31" i="233"/>
  <c r="K25" i="233"/>
  <c r="K33" i="233"/>
  <c r="K34" i="233"/>
  <c r="K35" i="233"/>
  <c r="K36" i="233"/>
  <c r="K37" i="233"/>
  <c r="K38" i="233"/>
  <c r="K39" i="233"/>
  <c r="K40" i="233"/>
  <c r="K41" i="233"/>
  <c r="K42" i="233"/>
  <c r="K43" i="233"/>
  <c r="K44" i="233"/>
  <c r="K45" i="233"/>
  <c r="K46" i="233"/>
  <c r="K47" i="233"/>
  <c r="K48" i="233"/>
  <c r="K50" i="233"/>
  <c r="K51" i="233"/>
  <c r="K52" i="233"/>
  <c r="K53" i="233"/>
  <c r="K49" i="233"/>
  <c r="K32" i="233"/>
  <c r="K56" i="233"/>
  <c r="K57" i="233"/>
  <c r="K58" i="233"/>
  <c r="K59" i="233"/>
  <c r="K60" i="233"/>
  <c r="K55" i="233"/>
  <c r="K62" i="233"/>
  <c r="K63" i="233"/>
  <c r="K64" i="233"/>
  <c r="K65" i="233"/>
  <c r="K66" i="233"/>
  <c r="K67" i="233"/>
  <c r="K68" i="233"/>
  <c r="K69" i="233"/>
  <c r="K70" i="233"/>
  <c r="K71" i="233"/>
  <c r="K72" i="233"/>
  <c r="K73" i="233"/>
  <c r="K74" i="233"/>
  <c r="K75" i="233"/>
  <c r="K77" i="233"/>
  <c r="K78" i="233"/>
  <c r="K79" i="233"/>
  <c r="K80" i="233"/>
  <c r="K81" i="233"/>
  <c r="K82" i="233"/>
  <c r="K83" i="233"/>
  <c r="K84" i="233"/>
  <c r="K85" i="233"/>
  <c r="K86" i="233"/>
  <c r="K87" i="233"/>
  <c r="K88" i="233"/>
  <c r="K89" i="233"/>
  <c r="K90" i="233"/>
  <c r="K91" i="233"/>
  <c r="K92" i="233"/>
  <c r="K76" i="233"/>
  <c r="K94" i="233"/>
  <c r="K95" i="233"/>
  <c r="K96" i="233"/>
  <c r="K97" i="233"/>
  <c r="K98" i="233"/>
  <c r="K99" i="233"/>
  <c r="K100" i="233"/>
  <c r="K101" i="233"/>
  <c r="K102" i="233"/>
  <c r="K103" i="233"/>
  <c r="K93" i="233"/>
  <c r="K105" i="233"/>
  <c r="K106" i="233"/>
  <c r="K107" i="233"/>
  <c r="K108" i="233"/>
  <c r="K109" i="233"/>
  <c r="K110" i="233"/>
  <c r="K111" i="233"/>
  <c r="K104" i="233"/>
  <c r="K113" i="233"/>
  <c r="K114" i="233"/>
  <c r="K112" i="233"/>
  <c r="K116" i="233"/>
  <c r="K117" i="233"/>
  <c r="K118" i="233"/>
  <c r="K119" i="233"/>
  <c r="K120" i="233"/>
  <c r="K121" i="233"/>
  <c r="K122" i="233"/>
  <c r="K123" i="233"/>
  <c r="K124" i="233"/>
  <c r="K115" i="233"/>
  <c r="K126" i="233"/>
  <c r="K127" i="233"/>
  <c r="K128" i="233"/>
  <c r="K129" i="233"/>
  <c r="K130" i="233"/>
  <c r="K131" i="233"/>
  <c r="K132" i="233"/>
  <c r="K133" i="233"/>
  <c r="K134" i="233"/>
  <c r="K135" i="233"/>
  <c r="K136" i="233"/>
  <c r="K125" i="233"/>
  <c r="K138" i="233"/>
  <c r="K139" i="233"/>
  <c r="K140" i="233"/>
  <c r="K141" i="233"/>
  <c r="K142" i="233"/>
  <c r="K143" i="233"/>
  <c r="K144" i="233"/>
  <c r="K145" i="233"/>
  <c r="K146" i="233"/>
  <c r="K147" i="233"/>
  <c r="K148" i="233"/>
  <c r="K137" i="233"/>
  <c r="K150" i="233"/>
  <c r="K151" i="233"/>
  <c r="K152" i="233"/>
  <c r="K153" i="233"/>
  <c r="K154" i="233"/>
  <c r="K155" i="233"/>
  <c r="K156" i="233"/>
  <c r="K157" i="233"/>
  <c r="K158" i="233"/>
  <c r="K159" i="233"/>
  <c r="K160" i="233"/>
  <c r="K161" i="233"/>
  <c r="K162" i="233"/>
  <c r="K163" i="233"/>
  <c r="K164" i="233"/>
  <c r="K165" i="233"/>
  <c r="K166" i="233"/>
  <c r="K167" i="233"/>
  <c r="K168" i="233"/>
  <c r="K169" i="233"/>
  <c r="K170" i="233"/>
  <c r="K171" i="233"/>
  <c r="K172" i="233"/>
  <c r="K173" i="233"/>
  <c r="K174" i="233"/>
  <c r="K175" i="233"/>
  <c r="K176" i="233"/>
  <c r="K177" i="233"/>
  <c r="K178" i="233"/>
  <c r="K149" i="233"/>
  <c r="K180" i="233"/>
  <c r="K181" i="233"/>
  <c r="K182" i="233"/>
  <c r="K183" i="233"/>
  <c r="K184" i="233"/>
  <c r="K185" i="233"/>
  <c r="K186" i="233"/>
  <c r="K187" i="233"/>
  <c r="K188" i="233"/>
  <c r="K189" i="233"/>
  <c r="K190" i="233"/>
  <c r="K191" i="233"/>
  <c r="K192" i="233"/>
  <c r="K193" i="233"/>
  <c r="K194" i="233"/>
  <c r="K179" i="233"/>
  <c r="K196" i="233"/>
  <c r="K197" i="233"/>
  <c r="K198" i="233"/>
  <c r="K199" i="233"/>
  <c r="K200" i="233"/>
  <c r="K201" i="233"/>
  <c r="K202" i="233"/>
  <c r="K195" i="233"/>
  <c r="K54" i="233"/>
  <c r="K204" i="233"/>
  <c r="K203" i="233"/>
  <c r="K207" i="233"/>
  <c r="K208" i="233"/>
  <c r="K209" i="233"/>
  <c r="K210" i="233"/>
  <c r="K212" i="233"/>
  <c r="K213" i="233"/>
  <c r="K214" i="233"/>
  <c r="K215" i="233"/>
  <c r="K216" i="233"/>
  <c r="K217" i="233"/>
  <c r="K218" i="233"/>
  <c r="K219" i="233"/>
  <c r="K220" i="233"/>
  <c r="K211" i="233"/>
  <c r="K222" i="233"/>
  <c r="K223" i="233"/>
  <c r="K221" i="233"/>
  <c r="K206" i="233"/>
  <c r="K226" i="233"/>
  <c r="K227" i="233"/>
  <c r="K228" i="233"/>
  <c r="K225" i="233"/>
  <c r="K230" i="233"/>
  <c r="K231" i="233"/>
  <c r="K232" i="233"/>
  <c r="K229" i="233"/>
  <c r="K234" i="233"/>
  <c r="K235" i="233"/>
  <c r="K236" i="233"/>
  <c r="K237" i="233"/>
  <c r="K238" i="233"/>
  <c r="K239" i="233"/>
  <c r="K240" i="233"/>
  <c r="K241" i="233"/>
  <c r="K242" i="233"/>
  <c r="K243" i="233"/>
  <c r="K244" i="233"/>
  <c r="K245" i="233"/>
  <c r="K246" i="233"/>
  <c r="K247" i="233"/>
  <c r="K248" i="233"/>
  <c r="K249" i="233"/>
  <c r="K250" i="233"/>
  <c r="K251" i="233"/>
  <c r="K252" i="233"/>
  <c r="K253" i="233"/>
  <c r="K254" i="233"/>
  <c r="K255" i="233"/>
  <c r="K256" i="233"/>
  <c r="K257" i="233"/>
  <c r="K258" i="233"/>
  <c r="K259" i="233"/>
  <c r="K260" i="233"/>
  <c r="K261" i="233"/>
  <c r="K262" i="233"/>
  <c r="K263" i="233"/>
  <c r="K264" i="233"/>
  <c r="K265" i="233"/>
  <c r="K266" i="233"/>
  <c r="K233" i="233"/>
  <c r="K268" i="233"/>
  <c r="K269" i="233"/>
  <c r="K270" i="233"/>
  <c r="K271" i="233"/>
  <c r="K272" i="233"/>
  <c r="K273" i="233"/>
  <c r="K274" i="233"/>
  <c r="K275" i="233"/>
  <c r="K276" i="233"/>
  <c r="K277" i="233"/>
  <c r="K278" i="233"/>
  <c r="K279" i="233"/>
  <c r="K280" i="233"/>
  <c r="K281" i="233"/>
  <c r="K282" i="233"/>
  <c r="K283" i="233"/>
  <c r="K284" i="233"/>
  <c r="K267" i="233"/>
  <c r="K286" i="233"/>
  <c r="K287" i="233"/>
  <c r="K288" i="233"/>
  <c r="K289" i="233"/>
  <c r="K290" i="233"/>
  <c r="K291" i="233"/>
  <c r="K292" i="233"/>
  <c r="K293" i="233"/>
  <c r="K294" i="233"/>
  <c r="K295" i="233"/>
  <c r="K296" i="233"/>
  <c r="K297" i="233"/>
  <c r="K285" i="233"/>
  <c r="K299" i="233"/>
  <c r="K300" i="233"/>
  <c r="K301" i="233"/>
  <c r="K302" i="233"/>
  <c r="K303" i="233"/>
  <c r="K304" i="233"/>
  <c r="K305" i="233"/>
  <c r="K298" i="233"/>
  <c r="K307" i="233"/>
  <c r="K308" i="233"/>
  <c r="K309" i="233"/>
  <c r="K310" i="233"/>
  <c r="K311" i="233"/>
  <c r="K312" i="233"/>
  <c r="K313" i="233"/>
  <c r="K314" i="233"/>
  <c r="K315" i="233"/>
  <c r="K316" i="233"/>
  <c r="K317" i="233"/>
  <c r="K306" i="233"/>
  <c r="K319" i="233"/>
  <c r="K320" i="233"/>
  <c r="K321" i="233"/>
  <c r="K322" i="233"/>
  <c r="K323" i="233"/>
  <c r="K324" i="233"/>
  <c r="K325" i="233"/>
  <c r="K318" i="233"/>
  <c r="K224" i="233"/>
  <c r="K327" i="233"/>
  <c r="K328" i="233"/>
  <c r="K329" i="233"/>
  <c r="K330" i="233"/>
  <c r="K331" i="233"/>
  <c r="K332" i="233"/>
  <c r="K333" i="233"/>
  <c r="K334" i="233"/>
  <c r="K335" i="233"/>
  <c r="K336" i="233"/>
  <c r="K337" i="233"/>
  <c r="K338" i="233"/>
  <c r="K339" i="233"/>
  <c r="K340" i="233"/>
  <c r="K341" i="233"/>
  <c r="K342" i="233"/>
  <c r="K326" i="233"/>
  <c r="K344" i="233"/>
  <c r="K345" i="233"/>
  <c r="K346" i="233"/>
  <c r="K347" i="233"/>
  <c r="K348" i="233"/>
  <c r="K349" i="233"/>
  <c r="K350" i="233"/>
  <c r="K351" i="233"/>
  <c r="K352" i="233"/>
  <c r="K353" i="233"/>
  <c r="K354" i="233"/>
  <c r="K355" i="233"/>
  <c r="K356" i="233"/>
  <c r="K357" i="233"/>
  <c r="K358" i="233"/>
  <c r="K359" i="233"/>
  <c r="K360" i="233"/>
  <c r="K361" i="233"/>
  <c r="K362" i="233"/>
  <c r="K363" i="233"/>
  <c r="K364" i="233"/>
  <c r="K365" i="233"/>
  <c r="K343" i="233"/>
  <c r="K367" i="233"/>
  <c r="K368" i="233"/>
  <c r="K369" i="233"/>
  <c r="K370" i="233"/>
  <c r="K371" i="233"/>
  <c r="K372" i="233"/>
  <c r="K373" i="233"/>
  <c r="K374" i="233"/>
  <c r="K375" i="233"/>
  <c r="K376" i="233"/>
  <c r="K377" i="233"/>
  <c r="K378" i="233"/>
  <c r="K379" i="233"/>
  <c r="K380" i="233"/>
  <c r="K381" i="233"/>
  <c r="K382" i="233"/>
  <c r="K383" i="233"/>
  <c r="K384" i="233"/>
  <c r="K385" i="233"/>
  <c r="K386" i="233"/>
  <c r="K387" i="233"/>
  <c r="K388" i="233"/>
  <c r="K389" i="233"/>
  <c r="K390" i="233"/>
  <c r="K391" i="233"/>
  <c r="K392" i="233"/>
  <c r="K393" i="233"/>
  <c r="K394" i="233"/>
  <c r="K395" i="233"/>
  <c r="K396" i="233"/>
  <c r="K397" i="233"/>
  <c r="K398" i="233"/>
  <c r="K399" i="233"/>
  <c r="K205" i="233"/>
  <c r="K402" i="233"/>
  <c r="K403" i="233"/>
  <c r="K404" i="233"/>
  <c r="K405" i="233"/>
  <c r="K406" i="233"/>
  <c r="K407" i="233"/>
  <c r="K401" i="233"/>
  <c r="K409" i="233"/>
  <c r="K410" i="233"/>
  <c r="K411" i="233"/>
  <c r="K412" i="233"/>
  <c r="K413" i="233"/>
  <c r="K414" i="233"/>
  <c r="K415" i="233"/>
  <c r="K418" i="233"/>
  <c r="K419" i="233"/>
  <c r="K420" i="233"/>
  <c r="K421" i="233"/>
  <c r="K422" i="233"/>
  <c r="K423" i="233"/>
  <c r="K424" i="233"/>
  <c r="K425" i="233"/>
  <c r="K426" i="233"/>
  <c r="K427" i="233"/>
  <c r="K428" i="233"/>
  <c r="K400" i="233"/>
  <c r="K429" i="233"/>
  <c r="K431" i="233"/>
  <c r="K432" i="233"/>
  <c r="K435" i="233"/>
  <c r="K436" i="233"/>
  <c r="K437" i="233"/>
  <c r="K438" i="233"/>
  <c r="K439" i="233"/>
  <c r="K440" i="233"/>
  <c r="K441" i="233"/>
  <c r="K442" i="233"/>
  <c r="K443" i="233"/>
  <c r="K444" i="233"/>
  <c r="K445" i="233"/>
  <c r="K446" i="233"/>
  <c r="K447" i="233"/>
  <c r="K448" i="233"/>
  <c r="K449" i="233"/>
  <c r="K450" i="233"/>
  <c r="K451" i="233"/>
  <c r="K452" i="233"/>
  <c r="K453" i="233"/>
  <c r="K454" i="233"/>
  <c r="K455" i="233"/>
  <c r="K456" i="233"/>
  <c r="K457" i="233"/>
  <c r="K458" i="233"/>
  <c r="K459" i="233"/>
  <c r="K460" i="233"/>
  <c r="K461" i="233"/>
  <c r="K462" i="233"/>
  <c r="K463" i="233"/>
  <c r="K434" i="233"/>
  <c r="K464" i="233"/>
  <c r="K9" i="233"/>
  <c r="M849" i="234"/>
  <c r="M850" i="234"/>
  <c r="R849" i="234"/>
  <c r="O695" i="234"/>
  <c r="R695" i="234"/>
  <c r="N695" i="234"/>
  <c r="O694" i="234"/>
  <c r="R694" i="234"/>
  <c r="O644" i="234"/>
  <c r="N644" i="234"/>
  <c r="O643" i="234"/>
  <c r="R643" i="234"/>
  <c r="R42" i="233"/>
  <c r="S41" i="233"/>
  <c r="U42" i="233"/>
  <c r="V42" i="233"/>
  <c r="U41" i="233"/>
  <c r="V41" i="233"/>
  <c r="P430" i="233"/>
  <c r="I464" i="233"/>
  <c r="G468" i="232"/>
  <c r="H468" i="232"/>
  <c r="B463" i="232"/>
  <c r="C463" i="232"/>
  <c r="E463" i="232"/>
  <c r="B464" i="232"/>
  <c r="C464" i="232"/>
  <c r="E464" i="232"/>
  <c r="B465" i="232"/>
  <c r="C465" i="232"/>
  <c r="E465" i="232"/>
  <c r="B466" i="232"/>
  <c r="C466" i="232"/>
  <c r="E466" i="232"/>
  <c r="B467" i="232"/>
  <c r="C467" i="232"/>
  <c r="E467" i="232"/>
  <c r="M848" i="234"/>
  <c r="M847" i="234"/>
  <c r="M846" i="234"/>
  <c r="M845" i="234"/>
  <c r="M844" i="234"/>
  <c r="M843" i="234"/>
  <c r="M842" i="234"/>
  <c r="M841" i="234"/>
  <c r="R4823" i="234"/>
  <c r="L4823" i="234"/>
  <c r="S4824" i="234"/>
  <c r="J4823" i="234"/>
  <c r="J4824" i="234"/>
  <c r="C4817" i="234"/>
  <c r="B4817" i="234"/>
  <c r="C4816" i="234"/>
  <c r="B4816" i="234"/>
  <c r="V4825" i="234"/>
  <c r="V4824" i="234"/>
  <c r="V4823" i="234"/>
  <c r="V4822" i="234"/>
  <c r="V4821" i="234"/>
  <c r="V4820" i="234"/>
  <c r="V4819" i="234"/>
  <c r="V4818" i="234"/>
  <c r="V4817" i="234"/>
  <c r="V4816" i="234"/>
  <c r="V4826" i="234"/>
  <c r="S4825" i="234"/>
  <c r="S4823" i="234"/>
  <c r="I462" i="233"/>
  <c r="G462" i="233"/>
  <c r="J240" i="234"/>
  <c r="J201" i="234"/>
  <c r="J162" i="234"/>
  <c r="L4812" i="234"/>
  <c r="S4814" i="234"/>
  <c r="J4812" i="234"/>
  <c r="C4806" i="234"/>
  <c r="B4806" i="234"/>
  <c r="C4805" i="234"/>
  <c r="B4805" i="234"/>
  <c r="L4801" i="234"/>
  <c r="S4802" i="234"/>
  <c r="J4801" i="234"/>
  <c r="C4795" i="234"/>
  <c r="B4795" i="234"/>
  <c r="C4794" i="234"/>
  <c r="B4794" i="234"/>
  <c r="L4790" i="234"/>
  <c r="S4792" i="234"/>
  <c r="J4790" i="234"/>
  <c r="C4783" i="234"/>
  <c r="B4783" i="234"/>
  <c r="C4782" i="234"/>
  <c r="B4782" i="234"/>
  <c r="L4778" i="234"/>
  <c r="S4779" i="234"/>
  <c r="J4778" i="234"/>
  <c r="C4772" i="234"/>
  <c r="B4772" i="234"/>
  <c r="C4771" i="234"/>
  <c r="B4771" i="234"/>
  <c r="G461" i="233"/>
  <c r="G463" i="233"/>
  <c r="G459" i="233"/>
  <c r="F458" i="233"/>
  <c r="I459" i="233"/>
  <c r="I463" i="233"/>
  <c r="I461" i="233"/>
  <c r="I460" i="233"/>
  <c r="G460" i="233"/>
  <c r="R4812" i="234"/>
  <c r="S4812" i="234"/>
  <c r="S4813" i="234"/>
  <c r="R4801" i="234"/>
  <c r="S4803" i="234"/>
  <c r="S4801" i="234"/>
  <c r="R4790" i="234"/>
  <c r="S4790" i="234"/>
  <c r="S4791" i="234"/>
  <c r="R4778" i="234"/>
  <c r="S4780" i="234"/>
  <c r="S4778" i="234"/>
  <c r="P461" i="233"/>
  <c r="D465" i="232"/>
  <c r="G465" i="232"/>
  <c r="H465" i="232"/>
  <c r="V4803" i="234"/>
  <c r="V4802" i="234"/>
  <c r="V4801" i="234"/>
  <c r="V4800" i="234"/>
  <c r="V4799" i="234"/>
  <c r="V4798" i="234"/>
  <c r="J4802" i="234"/>
  <c r="J4813" i="234"/>
  <c r="J4791" i="234"/>
  <c r="J4779" i="234"/>
  <c r="V4797" i="234"/>
  <c r="V4796" i="234"/>
  <c r="V4795" i="234"/>
  <c r="V4794" i="234"/>
  <c r="V4804" i="234"/>
  <c r="P459" i="233"/>
  <c r="D463" i="232"/>
  <c r="G463" i="232"/>
  <c r="H463" i="232"/>
  <c r="V4814" i="234"/>
  <c r="V4813" i="234"/>
  <c r="V4812" i="234"/>
  <c r="V4811" i="234"/>
  <c r="V4810" i="234"/>
  <c r="D467" i="232"/>
  <c r="G467" i="232"/>
  <c r="H467" i="232"/>
  <c r="D466" i="232"/>
  <c r="G466" i="232"/>
  <c r="H466" i="232"/>
  <c r="V4792" i="234"/>
  <c r="V4791" i="234"/>
  <c r="V4790" i="234"/>
  <c r="V4789" i="234"/>
  <c r="V4788" i="234"/>
  <c r="V4787" i="234"/>
  <c r="V4786" i="234"/>
  <c r="V4785" i="234"/>
  <c r="V4784" i="234"/>
  <c r="V4783" i="234"/>
  <c r="V4782" i="234"/>
  <c r="V4793" i="234"/>
  <c r="V4780" i="234"/>
  <c r="V4779" i="234"/>
  <c r="V4778" i="234"/>
  <c r="V4777" i="234"/>
  <c r="V4776" i="234"/>
  <c r="V4775" i="234"/>
  <c r="V4774" i="234"/>
  <c r="V4773" i="234"/>
  <c r="V4772" i="234"/>
  <c r="V4771" i="234"/>
  <c r="V4781" i="234"/>
  <c r="V4809" i="234"/>
  <c r="V4808" i="234"/>
  <c r="V4807" i="234"/>
  <c r="V4806" i="234"/>
  <c r="V4805" i="234"/>
  <c r="V4815" i="234"/>
  <c r="D464" i="232"/>
  <c r="G464" i="232"/>
  <c r="H464" i="232"/>
  <c r="AT848" i="234"/>
  <c r="AT847" i="234"/>
  <c r="AT846" i="234"/>
  <c r="AT845" i="234"/>
  <c r="AT844" i="234"/>
  <c r="AT843" i="234"/>
  <c r="AT842" i="234"/>
  <c r="AT841" i="234"/>
  <c r="P460" i="233"/>
  <c r="P463" i="233"/>
  <c r="P462" i="233"/>
  <c r="H125" i="218"/>
  <c r="H124" i="218"/>
  <c r="H123" i="218"/>
  <c r="H126" i="218"/>
  <c r="H122" i="218"/>
  <c r="AA160" i="218"/>
  <c r="AQ79" i="220"/>
  <c r="AQ73" i="220"/>
  <c r="AQ74" i="220"/>
  <c r="AQ75" i="220"/>
  <c r="AQ76" i="220"/>
  <c r="AQ77" i="220"/>
  <c r="AQ80" i="220"/>
  <c r="AQ81" i="220"/>
  <c r="AQ82" i="220"/>
  <c r="AN68" i="220"/>
  <c r="AN59" i="220"/>
  <c r="AN57" i="220"/>
  <c r="AN58" i="220"/>
  <c r="AN53" i="220"/>
  <c r="AN51" i="220"/>
  <c r="AN47" i="220"/>
  <c r="AN45" i="220"/>
  <c r="AN46" i="220"/>
  <c r="AN41" i="220"/>
  <c r="AN37" i="220"/>
  <c r="AN35" i="220"/>
  <c r="AN36" i="220"/>
  <c r="AN31" i="220"/>
  <c r="AN27" i="220"/>
  <c r="AN25" i="220"/>
  <c r="AN26" i="220"/>
  <c r="AN22" i="220"/>
  <c r="AN20" i="220"/>
  <c r="AN21" i="220"/>
  <c r="AN16" i="220"/>
  <c r="AN15" i="220"/>
  <c r="AN11" i="220"/>
  <c r="AN10" i="220"/>
  <c r="AM78" i="220"/>
  <c r="AQ78" i="220"/>
  <c r="F45" i="219"/>
  <c r="F46" i="219"/>
  <c r="F44" i="219"/>
  <c r="F43" i="219"/>
  <c r="C60" i="232"/>
  <c r="B37" i="232"/>
  <c r="C37" i="232"/>
  <c r="O2319" i="234"/>
  <c r="R2319" i="234"/>
  <c r="K832" i="234"/>
  <c r="M832" i="234"/>
  <c r="R832" i="234"/>
  <c r="M835" i="234"/>
  <c r="R835" i="234"/>
  <c r="M834" i="234"/>
  <c r="R834" i="234"/>
  <c r="M833" i="234"/>
  <c r="R833" i="234"/>
  <c r="M831" i="234"/>
  <c r="R831" i="234"/>
  <c r="K837" i="234"/>
  <c r="M837" i="234"/>
  <c r="R837" i="234"/>
  <c r="M839" i="234"/>
  <c r="R839" i="234"/>
  <c r="M838" i="234"/>
  <c r="R838" i="234"/>
  <c r="M840" i="234"/>
  <c r="R840" i="234"/>
  <c r="M836" i="234"/>
  <c r="R836" i="234"/>
  <c r="R830" i="234"/>
  <c r="M830" i="234"/>
  <c r="N1000" i="234"/>
  <c r="R1000" i="234"/>
  <c r="N1001" i="234"/>
  <c r="R1001" i="234"/>
  <c r="N999" i="234"/>
  <c r="R999" i="234"/>
  <c r="N998" i="234"/>
  <c r="R998" i="234"/>
  <c r="N1048" i="234"/>
  <c r="N1664" i="234"/>
  <c r="R1664" i="234"/>
  <c r="N1585" i="234"/>
  <c r="R1585" i="234"/>
  <c r="N1584" i="234"/>
  <c r="R1584" i="234"/>
  <c r="C4014" i="234"/>
  <c r="C4013" i="234"/>
  <c r="C3974" i="234"/>
  <c r="C3973" i="234"/>
  <c r="O989" i="234"/>
  <c r="R989" i="234"/>
  <c r="N989" i="234"/>
  <c r="O988" i="234"/>
  <c r="R988" i="234"/>
  <c r="N988" i="234"/>
  <c r="F47" i="219"/>
  <c r="N248" i="218"/>
  <c r="L248" i="218"/>
  <c r="U265" i="218"/>
  <c r="C121" i="232"/>
  <c r="B121" i="232"/>
  <c r="O532" i="234"/>
  <c r="R532" i="234"/>
  <c r="N532" i="234"/>
  <c r="O531" i="234"/>
  <c r="R531" i="234"/>
  <c r="N531" i="234"/>
  <c r="O530" i="234"/>
  <c r="R530" i="234"/>
  <c r="N530" i="234"/>
  <c r="O519" i="234"/>
  <c r="R519" i="234"/>
  <c r="N519" i="234"/>
  <c r="O518" i="234"/>
  <c r="R518" i="234"/>
  <c r="N518" i="234"/>
  <c r="O517" i="234"/>
  <c r="R517" i="234"/>
  <c r="N517" i="234"/>
  <c r="N1494" i="234"/>
  <c r="R1494" i="234"/>
  <c r="N1493" i="234"/>
  <c r="R1493" i="234"/>
  <c r="O987" i="234"/>
  <c r="R987" i="234"/>
  <c r="N987" i="234"/>
  <c r="O986" i="234"/>
  <c r="R986" i="234"/>
  <c r="N986" i="234"/>
  <c r="O985" i="234"/>
  <c r="R985" i="234"/>
  <c r="N985" i="234"/>
  <c r="N968" i="234"/>
  <c r="O968" i="234"/>
  <c r="R968" i="234"/>
  <c r="O967" i="234"/>
  <c r="R967" i="234"/>
  <c r="N967" i="234"/>
  <c r="N966" i="234"/>
  <c r="O966" i="234"/>
  <c r="R966" i="234"/>
  <c r="O965" i="234"/>
  <c r="R965" i="234"/>
  <c r="N965" i="234"/>
  <c r="O964" i="234"/>
  <c r="R964" i="234"/>
  <c r="N964" i="234"/>
  <c r="L937" i="234"/>
  <c r="N937" i="234"/>
  <c r="N936" i="234"/>
  <c r="R936" i="234"/>
  <c r="L935" i="234"/>
  <c r="N935" i="234"/>
  <c r="L934" i="234"/>
  <c r="N934" i="234"/>
  <c r="R934" i="234"/>
  <c r="N938" i="234"/>
  <c r="L933" i="234"/>
  <c r="N933" i="234"/>
  <c r="R933" i="234"/>
  <c r="L932" i="234"/>
  <c r="N932" i="234"/>
  <c r="R932" i="234"/>
  <c r="I252" i="233"/>
  <c r="F42" i="219"/>
  <c r="F41" i="219"/>
  <c r="B4" i="219"/>
  <c r="N4760" i="234"/>
  <c r="R4760" i="234"/>
  <c r="N4761" i="234"/>
  <c r="R4761" i="234"/>
  <c r="N4762" i="234"/>
  <c r="R4762" i="234"/>
  <c r="N4764" i="234"/>
  <c r="R4764" i="234"/>
  <c r="J4463" i="234"/>
  <c r="O4391" i="234"/>
  <c r="R4391" i="234"/>
  <c r="R4393" i="234"/>
  <c r="O4394" i="234"/>
  <c r="R4394" i="234"/>
  <c r="O4395" i="234"/>
  <c r="R4395" i="234"/>
  <c r="O4396" i="234"/>
  <c r="R4396" i="234"/>
  <c r="O4397" i="234"/>
  <c r="R4397" i="234"/>
  <c r="R4398" i="234"/>
  <c r="R4399" i="234"/>
  <c r="O4400" i="234"/>
  <c r="R4400" i="234"/>
  <c r="O4401" i="234"/>
  <c r="R4401" i="234"/>
  <c r="O4402" i="234"/>
  <c r="R4402" i="234"/>
  <c r="O4403" i="234"/>
  <c r="R4403" i="234"/>
  <c r="O4404" i="234"/>
  <c r="R4404" i="234"/>
  <c r="O4405" i="234"/>
  <c r="R4405" i="234"/>
  <c r="O4406" i="234"/>
  <c r="R4406" i="234"/>
  <c r="O4407" i="234"/>
  <c r="R4407" i="234"/>
  <c r="O4410" i="234"/>
  <c r="R4410" i="234"/>
  <c r="O4411" i="234"/>
  <c r="R4411" i="234"/>
  <c r="O4412" i="234"/>
  <c r="R4412" i="234"/>
  <c r="R4413" i="234"/>
  <c r="R4414" i="234"/>
  <c r="R4415" i="234"/>
  <c r="O4416" i="234"/>
  <c r="R4416" i="234"/>
  <c r="O4417" i="234"/>
  <c r="R4417" i="234"/>
  <c r="O4418" i="234"/>
  <c r="R4418" i="234"/>
  <c r="O4419" i="234"/>
  <c r="R4419" i="234"/>
  <c r="O4420" i="234"/>
  <c r="R4420" i="234"/>
  <c r="O4421" i="234"/>
  <c r="R4421" i="234"/>
  <c r="O4422" i="234"/>
  <c r="R4422" i="234"/>
  <c r="O4423" i="234"/>
  <c r="R4423" i="234"/>
  <c r="R4425" i="234"/>
  <c r="O4426" i="234"/>
  <c r="R4426" i="234"/>
  <c r="O4427" i="234"/>
  <c r="R4427" i="234"/>
  <c r="O4428" i="234"/>
  <c r="R4428" i="234"/>
  <c r="O4429" i="234"/>
  <c r="R4429" i="234"/>
  <c r="O4430" i="234"/>
  <c r="R4430" i="234"/>
  <c r="O4431" i="234"/>
  <c r="R4431" i="234"/>
  <c r="O4432" i="234"/>
  <c r="R4432" i="234"/>
  <c r="O4433" i="234"/>
  <c r="R4433" i="234"/>
  <c r="O4434" i="234"/>
  <c r="R4434" i="234"/>
  <c r="O4435" i="234"/>
  <c r="R4435" i="234"/>
  <c r="R4437" i="234"/>
  <c r="O4438" i="234"/>
  <c r="R4438" i="234"/>
  <c r="O4439" i="234"/>
  <c r="R4439" i="234"/>
  <c r="R4440" i="234"/>
  <c r="R4441" i="234"/>
  <c r="R4442" i="234"/>
  <c r="O4443" i="234"/>
  <c r="R4443" i="234"/>
  <c r="O4444" i="234"/>
  <c r="R4444" i="234"/>
  <c r="O4445" i="234"/>
  <c r="R4445" i="234"/>
  <c r="O4446" i="234"/>
  <c r="R4446" i="234"/>
  <c r="O4447" i="234"/>
  <c r="R4447" i="234"/>
  <c r="R4449" i="234"/>
  <c r="O4450" i="234"/>
  <c r="R4450" i="234"/>
  <c r="O4451" i="234"/>
  <c r="R4451" i="234"/>
  <c r="O4452" i="234"/>
  <c r="R4452" i="234"/>
  <c r="O4453" i="234"/>
  <c r="R4453" i="234"/>
  <c r="O4454" i="234"/>
  <c r="R4454" i="234"/>
  <c r="O4455" i="234"/>
  <c r="R4455" i="234"/>
  <c r="O4456" i="234"/>
  <c r="R4456" i="234"/>
  <c r="R4460" i="234"/>
  <c r="J123" i="234"/>
  <c r="K4763" i="234"/>
  <c r="N4763" i="234"/>
  <c r="R4763" i="234"/>
  <c r="N2237" i="234"/>
  <c r="R2237" i="234"/>
  <c r="K2238" i="234"/>
  <c r="N2238" i="234"/>
  <c r="R2238" i="234"/>
  <c r="R2962" i="234"/>
  <c r="I276" i="233"/>
  <c r="E33" i="254"/>
  <c r="C4" i="219"/>
  <c r="F10" i="219"/>
  <c r="F11" i="219"/>
  <c r="F12" i="219"/>
  <c r="F13" i="219"/>
  <c r="F14" i="219"/>
  <c r="F15" i="219"/>
  <c r="F16" i="219"/>
  <c r="F17" i="219"/>
  <c r="F18" i="219"/>
  <c r="F20" i="219"/>
  <c r="F21" i="219"/>
  <c r="F22" i="219"/>
  <c r="F23" i="219"/>
  <c r="F24" i="219"/>
  <c r="F25" i="219"/>
  <c r="F27" i="219"/>
  <c r="F28" i="219"/>
  <c r="F29" i="219"/>
  <c r="F30" i="219"/>
  <c r="F31" i="219"/>
  <c r="F32" i="219"/>
  <c r="F34" i="219"/>
  <c r="F35" i="219"/>
  <c r="F36" i="219"/>
  <c r="F37" i="219"/>
  <c r="F38" i="219"/>
  <c r="F39" i="219"/>
  <c r="C459" i="232"/>
  <c r="B454" i="232"/>
  <c r="C454" i="232"/>
  <c r="E454" i="232"/>
  <c r="B455" i="232"/>
  <c r="C455" i="232"/>
  <c r="E455" i="232"/>
  <c r="B456" i="232"/>
  <c r="C456" i="232"/>
  <c r="E456" i="232"/>
  <c r="B457" i="232"/>
  <c r="C457" i="232"/>
  <c r="E457" i="232"/>
  <c r="B458" i="232"/>
  <c r="C458" i="232"/>
  <c r="E458" i="232"/>
  <c r="B459" i="232"/>
  <c r="E459" i="232"/>
  <c r="B460" i="232"/>
  <c r="C460" i="232"/>
  <c r="E460" i="232"/>
  <c r="B461" i="232"/>
  <c r="C461" i="232"/>
  <c r="E461" i="232"/>
  <c r="B462" i="232"/>
  <c r="C462" i="232"/>
  <c r="E462" i="232"/>
  <c r="R851" i="234"/>
  <c r="O651" i="234"/>
  <c r="R651" i="234"/>
  <c r="O652" i="234"/>
  <c r="R652" i="234"/>
  <c r="N653" i="234"/>
  <c r="O653" i="234"/>
  <c r="R653" i="234"/>
  <c r="N654" i="234"/>
  <c r="O654" i="234"/>
  <c r="R654" i="234"/>
  <c r="N655" i="234"/>
  <c r="O655" i="234"/>
  <c r="R655" i="234"/>
  <c r="N656" i="234"/>
  <c r="O656" i="234"/>
  <c r="R656" i="234"/>
  <c r="N657" i="234"/>
  <c r="O657" i="234"/>
  <c r="R657" i="234"/>
  <c r="N658" i="234"/>
  <c r="O658" i="234"/>
  <c r="R658" i="234"/>
  <c r="N659" i="234"/>
  <c r="O659" i="234"/>
  <c r="R659" i="234"/>
  <c r="N660" i="234"/>
  <c r="O660" i="234"/>
  <c r="R660" i="234"/>
  <c r="K661" i="234"/>
  <c r="N661" i="234"/>
  <c r="O661" i="234"/>
  <c r="R661" i="234"/>
  <c r="N662" i="234"/>
  <c r="O662" i="234"/>
  <c r="R662" i="234"/>
  <c r="N663" i="234"/>
  <c r="O663" i="234"/>
  <c r="R663" i="234"/>
  <c r="N664" i="234"/>
  <c r="O664" i="234"/>
  <c r="R664" i="234"/>
  <c r="N665" i="234"/>
  <c r="O665" i="234"/>
  <c r="R665" i="234"/>
  <c r="N666" i="234"/>
  <c r="O666" i="234"/>
  <c r="R666" i="234"/>
  <c r="N667" i="234"/>
  <c r="O667" i="234"/>
  <c r="R667" i="234"/>
  <c r="N668" i="234"/>
  <c r="O668" i="234"/>
  <c r="R668" i="234"/>
  <c r="N669" i="234"/>
  <c r="O669" i="234"/>
  <c r="R669" i="234"/>
  <c r="N670" i="234"/>
  <c r="O670" i="234"/>
  <c r="P670" i="234"/>
  <c r="N671" i="234"/>
  <c r="O671" i="234"/>
  <c r="P671" i="234"/>
  <c r="N672" i="234"/>
  <c r="O672" i="234"/>
  <c r="R672" i="234"/>
  <c r="N673" i="234"/>
  <c r="O673" i="234"/>
  <c r="R673" i="234"/>
  <c r="N674" i="234"/>
  <c r="O674" i="234"/>
  <c r="R674" i="234"/>
  <c r="N675" i="234"/>
  <c r="O675" i="234"/>
  <c r="R675" i="234"/>
  <c r="N676" i="234"/>
  <c r="O676" i="234"/>
  <c r="R676" i="234"/>
  <c r="N677" i="234"/>
  <c r="M677" i="234"/>
  <c r="N678" i="234"/>
  <c r="O678" i="234"/>
  <c r="R678" i="234"/>
  <c r="N679" i="234"/>
  <c r="M679" i="234"/>
  <c r="N680" i="234"/>
  <c r="O680" i="234"/>
  <c r="R680" i="234"/>
  <c r="N681" i="234"/>
  <c r="O681" i="234"/>
  <c r="R681" i="234"/>
  <c r="N682" i="234"/>
  <c r="O682" i="234"/>
  <c r="R682" i="234"/>
  <c r="N683" i="234"/>
  <c r="O683" i="234"/>
  <c r="R683" i="234"/>
  <c r="N684" i="234"/>
  <c r="O684" i="234"/>
  <c r="R684" i="234"/>
  <c r="N685" i="234"/>
  <c r="O685" i="234"/>
  <c r="R685" i="234"/>
  <c r="N686" i="234"/>
  <c r="O686" i="234"/>
  <c r="P686" i="234"/>
  <c r="N687" i="234"/>
  <c r="O687" i="234"/>
  <c r="R687" i="234"/>
  <c r="N688" i="234"/>
  <c r="O688" i="234"/>
  <c r="R688" i="234"/>
  <c r="N689" i="234"/>
  <c r="O689" i="234"/>
  <c r="P689" i="234"/>
  <c r="N690" i="234"/>
  <c r="O690" i="234"/>
  <c r="R690" i="234"/>
  <c r="O600" i="234"/>
  <c r="R600" i="234"/>
  <c r="O601" i="234"/>
  <c r="R601" i="234"/>
  <c r="N602" i="234"/>
  <c r="O602" i="234"/>
  <c r="R602" i="234"/>
  <c r="N603" i="234"/>
  <c r="O603" i="234"/>
  <c r="R603" i="234"/>
  <c r="N604" i="234"/>
  <c r="O604" i="234"/>
  <c r="R604" i="234"/>
  <c r="N605" i="234"/>
  <c r="O605" i="234"/>
  <c r="R605" i="234"/>
  <c r="N606" i="234"/>
  <c r="O606" i="234"/>
  <c r="R606" i="234"/>
  <c r="N607" i="234"/>
  <c r="O607" i="234"/>
  <c r="R607" i="234"/>
  <c r="N608" i="234"/>
  <c r="O608" i="234"/>
  <c r="R608" i="234"/>
  <c r="N609" i="234"/>
  <c r="O609" i="234"/>
  <c r="R609" i="234"/>
  <c r="K610" i="234"/>
  <c r="N610" i="234"/>
  <c r="O610" i="234"/>
  <c r="R610" i="234"/>
  <c r="N611" i="234"/>
  <c r="O611" i="234"/>
  <c r="R611" i="234"/>
  <c r="N612" i="234"/>
  <c r="O612" i="234"/>
  <c r="R612" i="234"/>
  <c r="N613" i="234"/>
  <c r="O613" i="234"/>
  <c r="R613" i="234"/>
  <c r="N614" i="234"/>
  <c r="O614" i="234"/>
  <c r="R614" i="234"/>
  <c r="N615" i="234"/>
  <c r="O615" i="234"/>
  <c r="R615" i="234"/>
  <c r="N616" i="234"/>
  <c r="O616" i="234"/>
  <c r="R616" i="234"/>
  <c r="N617" i="234"/>
  <c r="O617" i="234"/>
  <c r="R617" i="234"/>
  <c r="N618" i="234"/>
  <c r="O618" i="234"/>
  <c r="R618" i="234"/>
  <c r="N619" i="234"/>
  <c r="O619" i="234"/>
  <c r="P619" i="234"/>
  <c r="N620" i="234"/>
  <c r="O620" i="234"/>
  <c r="P620" i="234"/>
  <c r="N621" i="234"/>
  <c r="O621" i="234"/>
  <c r="R621" i="234"/>
  <c r="N622" i="234"/>
  <c r="O622" i="234"/>
  <c r="R622" i="234"/>
  <c r="N623" i="234"/>
  <c r="O623" i="234"/>
  <c r="R623" i="234"/>
  <c r="N624" i="234"/>
  <c r="O624" i="234"/>
  <c r="R624" i="234"/>
  <c r="N625" i="234"/>
  <c r="O625" i="234"/>
  <c r="R625" i="234"/>
  <c r="N626" i="234"/>
  <c r="O626" i="234"/>
  <c r="R626" i="234"/>
  <c r="N627" i="234"/>
  <c r="O627" i="234"/>
  <c r="R627" i="234"/>
  <c r="N628" i="234"/>
  <c r="O628" i="234"/>
  <c r="R628" i="234"/>
  <c r="N629" i="234"/>
  <c r="O629" i="234"/>
  <c r="R629" i="234"/>
  <c r="N630" i="234"/>
  <c r="O630" i="234"/>
  <c r="R630" i="234"/>
  <c r="N631" i="234"/>
  <c r="O631" i="234"/>
  <c r="R631" i="234"/>
  <c r="N632" i="234"/>
  <c r="O632" i="234"/>
  <c r="R632" i="234"/>
  <c r="N633" i="234"/>
  <c r="O633" i="234"/>
  <c r="R633" i="234"/>
  <c r="N634" i="234"/>
  <c r="O634" i="234"/>
  <c r="R634" i="234"/>
  <c r="N635" i="234"/>
  <c r="O635" i="234"/>
  <c r="P635" i="234"/>
  <c r="N636" i="234"/>
  <c r="O636" i="234"/>
  <c r="R636" i="234"/>
  <c r="N637" i="234"/>
  <c r="O637" i="234"/>
  <c r="R637" i="234"/>
  <c r="N638" i="234"/>
  <c r="O638" i="234"/>
  <c r="P638" i="234"/>
  <c r="N639" i="234"/>
  <c r="O639" i="234"/>
  <c r="R639" i="234"/>
  <c r="R644" i="234"/>
  <c r="O323" i="234"/>
  <c r="R323" i="234"/>
  <c r="O324" i="234"/>
  <c r="R324" i="234"/>
  <c r="O325" i="234"/>
  <c r="R325" i="234"/>
  <c r="O326" i="234"/>
  <c r="R326" i="234"/>
  <c r="O327" i="234"/>
  <c r="R327" i="234"/>
  <c r="O328" i="234"/>
  <c r="R328" i="234"/>
  <c r="O329" i="234"/>
  <c r="R329" i="234"/>
  <c r="O330" i="234"/>
  <c r="R330" i="234"/>
  <c r="O331" i="234"/>
  <c r="R331" i="234"/>
  <c r="O332" i="234"/>
  <c r="R332" i="234"/>
  <c r="O333" i="234"/>
  <c r="R333" i="234"/>
  <c r="O334" i="234"/>
  <c r="R334" i="234"/>
  <c r="R336" i="234"/>
  <c r="O337" i="234"/>
  <c r="R337" i="234"/>
  <c r="O338" i="234"/>
  <c r="R338" i="234"/>
  <c r="O339" i="234"/>
  <c r="R339" i="234"/>
  <c r="O340" i="234"/>
  <c r="R340" i="234"/>
  <c r="O341" i="234"/>
  <c r="R341" i="234"/>
  <c r="O342" i="234"/>
  <c r="R342" i="234"/>
  <c r="O343" i="234"/>
  <c r="R343" i="234"/>
  <c r="O344" i="234"/>
  <c r="R344" i="234"/>
  <c r="O345" i="234"/>
  <c r="R345" i="234"/>
  <c r="R347" i="234"/>
  <c r="O348" i="234"/>
  <c r="R348" i="234"/>
  <c r="O349" i="234"/>
  <c r="R349" i="234"/>
  <c r="O350" i="234"/>
  <c r="R350" i="234"/>
  <c r="O351" i="234"/>
  <c r="R351" i="234"/>
  <c r="O352" i="234"/>
  <c r="R352" i="234"/>
  <c r="O353" i="234"/>
  <c r="R353" i="234"/>
  <c r="O354" i="234"/>
  <c r="R354" i="234"/>
  <c r="O355" i="234"/>
  <c r="R355" i="234"/>
  <c r="O356" i="234"/>
  <c r="R356" i="234"/>
  <c r="O357" i="234"/>
  <c r="R357" i="234"/>
  <c r="O358" i="234"/>
  <c r="R358" i="234"/>
  <c r="O359" i="234"/>
  <c r="R359" i="234"/>
  <c r="O360" i="234"/>
  <c r="R360" i="234"/>
  <c r="O361" i="234"/>
  <c r="R361" i="234"/>
  <c r="O364" i="234"/>
  <c r="R364" i="234"/>
  <c r="O365" i="234"/>
  <c r="R365" i="234"/>
  <c r="R367" i="234"/>
  <c r="R372" i="234"/>
  <c r="R378" i="234"/>
  <c r="O379" i="234"/>
  <c r="R379" i="234"/>
  <c r="O380" i="234"/>
  <c r="R380" i="234"/>
  <c r="O381" i="234"/>
  <c r="R381" i="234"/>
  <c r="O382" i="234"/>
  <c r="R382" i="234"/>
  <c r="O383" i="234"/>
  <c r="R383" i="234"/>
  <c r="R385" i="234"/>
  <c r="O386" i="234"/>
  <c r="R386" i="234"/>
  <c r="O387" i="234"/>
  <c r="R387" i="234"/>
  <c r="O388" i="234"/>
  <c r="R388" i="234"/>
  <c r="O389" i="234"/>
  <c r="R389" i="234"/>
  <c r="O390" i="234"/>
  <c r="R390" i="234"/>
  <c r="O391" i="234"/>
  <c r="R391" i="234"/>
  <c r="O392" i="234"/>
  <c r="R392" i="234"/>
  <c r="O393" i="234"/>
  <c r="R393" i="234"/>
  <c r="O394" i="234"/>
  <c r="R394" i="234"/>
  <c r="O395" i="234"/>
  <c r="R395" i="234"/>
  <c r="O4470" i="234"/>
  <c r="R4470" i="234"/>
  <c r="O4471" i="234"/>
  <c r="R4471" i="234"/>
  <c r="O4472" i="234"/>
  <c r="R4472" i="234"/>
  <c r="O4473" i="234"/>
  <c r="R4473" i="234"/>
  <c r="O4474" i="234"/>
  <c r="R4474" i="234"/>
  <c r="O4475" i="234"/>
  <c r="R4475" i="234"/>
  <c r="O4476" i="234"/>
  <c r="R4476" i="234"/>
  <c r="O4477" i="234"/>
  <c r="R4477" i="234"/>
  <c r="O4478" i="234"/>
  <c r="R4478" i="234"/>
  <c r="O4479" i="234"/>
  <c r="R4479" i="234"/>
  <c r="O4480" i="234"/>
  <c r="R4480" i="234"/>
  <c r="O4481" i="234"/>
  <c r="R4481" i="234"/>
  <c r="O4482" i="234"/>
  <c r="R4482" i="234"/>
  <c r="O4483" i="234"/>
  <c r="R4483" i="234"/>
  <c r="O4484" i="234"/>
  <c r="R4484" i="234"/>
  <c r="R4485" i="234"/>
  <c r="O4487" i="234"/>
  <c r="R4487" i="234"/>
  <c r="O4488" i="234"/>
  <c r="R4488" i="234"/>
  <c r="O4489" i="234"/>
  <c r="R4489" i="234"/>
  <c r="O4490" i="234"/>
  <c r="R4490" i="234"/>
  <c r="O4491" i="234"/>
  <c r="R4491" i="234"/>
  <c r="O4492" i="234"/>
  <c r="R4492" i="234"/>
  <c r="O4493" i="234"/>
  <c r="R4493" i="234"/>
  <c r="O4494" i="234"/>
  <c r="R4494" i="234"/>
  <c r="O4495" i="234"/>
  <c r="R4495" i="234"/>
  <c r="O4496" i="234"/>
  <c r="R4496" i="234"/>
  <c r="O4497" i="234"/>
  <c r="R4497" i="234"/>
  <c r="O4498" i="234"/>
  <c r="R4498" i="234"/>
  <c r="R4500" i="234"/>
  <c r="O4501" i="234"/>
  <c r="R4501" i="234"/>
  <c r="O4502" i="234"/>
  <c r="R4502" i="234"/>
  <c r="O4503" i="234"/>
  <c r="R4503" i="234"/>
  <c r="O4504" i="234"/>
  <c r="R4504" i="234"/>
  <c r="O4505" i="234"/>
  <c r="R4505" i="234"/>
  <c r="O4506" i="234"/>
  <c r="R4506" i="234"/>
  <c r="O4507" i="234"/>
  <c r="R4507" i="234"/>
  <c r="O4508" i="234"/>
  <c r="R4508" i="234"/>
  <c r="O4509" i="234"/>
  <c r="R4509" i="234"/>
  <c r="O4510" i="234"/>
  <c r="R4510" i="234"/>
  <c r="O4511" i="234"/>
  <c r="R4511" i="234"/>
  <c r="O4512" i="234"/>
  <c r="R4512" i="234"/>
  <c r="O4513" i="234"/>
  <c r="R4513" i="234"/>
  <c r="O4514" i="234"/>
  <c r="R4514" i="234"/>
  <c r="O4515" i="234"/>
  <c r="R4515" i="234"/>
  <c r="O4518" i="234"/>
  <c r="R4518" i="234"/>
  <c r="O4519" i="234"/>
  <c r="R4519" i="234"/>
  <c r="O4520" i="234"/>
  <c r="R4520" i="234"/>
  <c r="O4521" i="234"/>
  <c r="R4521" i="234"/>
  <c r="O4522" i="234"/>
  <c r="R4522" i="234"/>
  <c r="O4523" i="234"/>
  <c r="R4523" i="234"/>
  <c r="O4524" i="234"/>
  <c r="R4524" i="234"/>
  <c r="O4525" i="234"/>
  <c r="R4525" i="234"/>
  <c r="O4526" i="234"/>
  <c r="R4526" i="234"/>
  <c r="O4527" i="234"/>
  <c r="R4527" i="234"/>
  <c r="O4528" i="234"/>
  <c r="R4528" i="234"/>
  <c r="O4529" i="234"/>
  <c r="R4529" i="234"/>
  <c r="J4540" i="234"/>
  <c r="R4540" i="234"/>
  <c r="R4553" i="234"/>
  <c r="J4559" i="234"/>
  <c r="R4559" i="234"/>
  <c r="R4560" i="234"/>
  <c r="R4569" i="234"/>
  <c r="R4570" i="234"/>
  <c r="R4583" i="234"/>
  <c r="R4593" i="234"/>
  <c r="R4603" i="234"/>
  <c r="I442" i="233"/>
  <c r="R4613" i="234"/>
  <c r="R4623" i="234"/>
  <c r="R4634" i="234"/>
  <c r="R4644" i="234"/>
  <c r="R4654" i="234"/>
  <c r="R4664" i="234"/>
  <c r="R4674" i="234"/>
  <c r="R4684" i="234"/>
  <c r="R4694" i="234"/>
  <c r="R4704" i="234"/>
  <c r="R4714" i="234"/>
  <c r="R4724" i="234"/>
  <c r="R4734" i="234"/>
  <c r="R4744" i="234"/>
  <c r="R4754" i="234"/>
  <c r="E127" i="221"/>
  <c r="F127" i="221"/>
  <c r="G127" i="221"/>
  <c r="H127" i="221"/>
  <c r="I127" i="221"/>
  <c r="J127" i="221"/>
  <c r="K127" i="221"/>
  <c r="L127" i="221"/>
  <c r="M127" i="221"/>
  <c r="N127" i="221"/>
  <c r="O127" i="221"/>
  <c r="P127" i="221"/>
  <c r="Q127" i="221"/>
  <c r="R127" i="221"/>
  <c r="S127" i="221"/>
  <c r="T127" i="221"/>
  <c r="U127" i="221"/>
  <c r="V127" i="221"/>
  <c r="W127" i="221"/>
  <c r="X127" i="221"/>
  <c r="Y127" i="221"/>
  <c r="Z127" i="221"/>
  <c r="AA127" i="221"/>
  <c r="AB127" i="221"/>
  <c r="AC127" i="221"/>
  <c r="AD127" i="221"/>
  <c r="AE127" i="221"/>
  <c r="AF127" i="221"/>
  <c r="AG127" i="221"/>
  <c r="AH127" i="221"/>
  <c r="AI127" i="221"/>
  <c r="AJ127" i="221"/>
  <c r="AK127" i="221"/>
  <c r="AL127" i="221"/>
  <c r="AM127" i="221"/>
  <c r="AN127" i="221"/>
  <c r="AH53" i="220"/>
  <c r="AH51" i="220"/>
  <c r="AH22" i="220"/>
  <c r="AH37" i="220"/>
  <c r="AH35" i="220"/>
  <c r="AH16" i="220"/>
  <c r="AH11" i="220"/>
  <c r="AH9" i="220"/>
  <c r="AH27" i="220"/>
  <c r="AH25" i="220"/>
  <c r="AH32" i="220"/>
  <c r="AH30" i="220"/>
  <c r="AH42" i="220"/>
  <c r="AH40" i="220"/>
  <c r="AH47" i="220"/>
  <c r="AH59" i="220"/>
  <c r="AI53" i="220"/>
  <c r="AI51" i="220"/>
  <c r="AI22" i="220"/>
  <c r="AI37" i="220"/>
  <c r="AI35" i="220"/>
  <c r="AI16" i="220"/>
  <c r="AI11" i="220"/>
  <c r="AI9" i="220"/>
  <c r="AI32" i="220"/>
  <c r="AI30" i="220"/>
  <c r="AG53" i="220"/>
  <c r="AG51" i="220"/>
  <c r="AG22" i="220"/>
  <c r="AG37" i="220"/>
  <c r="AG35" i="220"/>
  <c r="AG16" i="220"/>
  <c r="AG11" i="220"/>
  <c r="AG9" i="220"/>
  <c r="AG27" i="220"/>
  <c r="AG32" i="220"/>
  <c r="AG30" i="220"/>
  <c r="AG42" i="220"/>
  <c r="AG47" i="220"/>
  <c r="AG59" i="220"/>
  <c r="AF53" i="220"/>
  <c r="AF51" i="220"/>
  <c r="AF22" i="220"/>
  <c r="AF37" i="220"/>
  <c r="AF35" i="220"/>
  <c r="AF16" i="220"/>
  <c r="AF11" i="220"/>
  <c r="AF9" i="220"/>
  <c r="AF27" i="220"/>
  <c r="AF32" i="220"/>
  <c r="AF30" i="220"/>
  <c r="AF42" i="220"/>
  <c r="AF47" i="220"/>
  <c r="AF45" i="220"/>
  <c r="AF59" i="220"/>
  <c r="AF57" i="220"/>
  <c r="AE53" i="220"/>
  <c r="AE51" i="220"/>
  <c r="AE22" i="220"/>
  <c r="AE37" i="220"/>
  <c r="AE35" i="220"/>
  <c r="AE16" i="220"/>
  <c r="AE11" i="220"/>
  <c r="AE9" i="220"/>
  <c r="AE27" i="220"/>
  <c r="AE32" i="220"/>
  <c r="AE30" i="220"/>
  <c r="AE42" i="220"/>
  <c r="AE47" i="220"/>
  <c r="AE45" i="220"/>
  <c r="AE59" i="220"/>
  <c r="AD53" i="220"/>
  <c r="AD51" i="220"/>
  <c r="AD22" i="220"/>
  <c r="AD37" i="220"/>
  <c r="AD35" i="220"/>
  <c r="AD16" i="220"/>
  <c r="AD11" i="220"/>
  <c r="AD9" i="220"/>
  <c r="AD27" i="220"/>
  <c r="AD32" i="220"/>
  <c r="AD30" i="220"/>
  <c r="AD42" i="220"/>
  <c r="AD40" i="220"/>
  <c r="AD47" i="220"/>
  <c r="AD59" i="220"/>
  <c r="AC53" i="220"/>
  <c r="AC51" i="220"/>
  <c r="AC22" i="220"/>
  <c r="AC37" i="220"/>
  <c r="AC35" i="220"/>
  <c r="AC16" i="220"/>
  <c r="AC11" i="220"/>
  <c r="AC9" i="220"/>
  <c r="AC27" i="220"/>
  <c r="C28" i="220"/>
  <c r="P26" i="220"/>
  <c r="AC32" i="220"/>
  <c r="AC30" i="220"/>
  <c r="AC42" i="220"/>
  <c r="AC40" i="220"/>
  <c r="AC47" i="220"/>
  <c r="AC59" i="220"/>
  <c r="AB53" i="220"/>
  <c r="AB51" i="220"/>
  <c r="AB22" i="220"/>
  <c r="AB37" i="220"/>
  <c r="AB35" i="220"/>
  <c r="AB16" i="220"/>
  <c r="AB14" i="220"/>
  <c r="AB11" i="220"/>
  <c r="AB27" i="220"/>
  <c r="AB25" i="220"/>
  <c r="AB32" i="220"/>
  <c r="AB30" i="220"/>
  <c r="AB42" i="220"/>
  <c r="AB40" i="220"/>
  <c r="AB47" i="220"/>
  <c r="AB45" i="220"/>
  <c r="AB59" i="220"/>
  <c r="AB57" i="220"/>
  <c r="AA53" i="220"/>
  <c r="AA51" i="220"/>
  <c r="AA22" i="220"/>
  <c r="AA37" i="220"/>
  <c r="AA35" i="220"/>
  <c r="AA16" i="220"/>
  <c r="AA11" i="220"/>
  <c r="AA9" i="220"/>
  <c r="AA27" i="220"/>
  <c r="AA32" i="220"/>
  <c r="AA30" i="220"/>
  <c r="AA42" i="220"/>
  <c r="AA40" i="220"/>
  <c r="AA47" i="220"/>
  <c r="AA45" i="220"/>
  <c r="AA59" i="220"/>
  <c r="Z53" i="220"/>
  <c r="Z51" i="220"/>
  <c r="Z22" i="220"/>
  <c r="Z37" i="220"/>
  <c r="Z35" i="220"/>
  <c r="Z16" i="220"/>
  <c r="Z11" i="220"/>
  <c r="Z9" i="220"/>
  <c r="Z27" i="220"/>
  <c r="Z32" i="220"/>
  <c r="Z30" i="220"/>
  <c r="Z42" i="220"/>
  <c r="Z40" i="220"/>
  <c r="Z47" i="220"/>
  <c r="Z45" i="220"/>
  <c r="Z59" i="220"/>
  <c r="Y53" i="220"/>
  <c r="Y51" i="220"/>
  <c r="Y22" i="220"/>
  <c r="Y37" i="220"/>
  <c r="Y35" i="220"/>
  <c r="Y16" i="220"/>
  <c r="Y11" i="220"/>
  <c r="Y9" i="220"/>
  <c r="Y27" i="220"/>
  <c r="Y32" i="220"/>
  <c r="Y30" i="220"/>
  <c r="Y42" i="220"/>
  <c r="Y40" i="220"/>
  <c r="Y47" i="220"/>
  <c r="Y45" i="220"/>
  <c r="Y59" i="220"/>
  <c r="X53" i="220"/>
  <c r="X51" i="220"/>
  <c r="X22" i="220"/>
  <c r="X37" i="220"/>
  <c r="X35" i="220"/>
  <c r="X16" i="220"/>
  <c r="X11" i="220"/>
  <c r="X27" i="220"/>
  <c r="X32" i="220"/>
  <c r="X30" i="220"/>
  <c r="X42" i="220"/>
  <c r="X40" i="220"/>
  <c r="X47" i="220"/>
  <c r="X45" i="220"/>
  <c r="X59" i="220"/>
  <c r="W53" i="220"/>
  <c r="W51" i="220"/>
  <c r="W22" i="220"/>
  <c r="W37" i="220"/>
  <c r="W16" i="220"/>
  <c r="W11" i="220"/>
  <c r="W9" i="220"/>
  <c r="W27" i="220"/>
  <c r="W32" i="220"/>
  <c r="W30" i="220"/>
  <c r="W42" i="220"/>
  <c r="W40" i="220"/>
  <c r="W47" i="220"/>
  <c r="W45" i="220"/>
  <c r="W59" i="220"/>
  <c r="V53" i="220"/>
  <c r="V51" i="220"/>
  <c r="V22" i="220"/>
  <c r="V37" i="220"/>
  <c r="V35" i="220"/>
  <c r="V16" i="220"/>
  <c r="V11" i="220"/>
  <c r="V9" i="220"/>
  <c r="V27" i="220"/>
  <c r="V32" i="220"/>
  <c r="V30" i="220"/>
  <c r="V42" i="220"/>
  <c r="V40" i="220"/>
  <c r="V47" i="220"/>
  <c r="V45" i="220"/>
  <c r="V59" i="220"/>
  <c r="U53" i="220"/>
  <c r="U51" i="220"/>
  <c r="U22" i="220"/>
  <c r="U37" i="220"/>
  <c r="U35" i="220"/>
  <c r="U16" i="220"/>
  <c r="U11" i="220"/>
  <c r="U9" i="220"/>
  <c r="U27" i="220"/>
  <c r="U25" i="220"/>
  <c r="U32" i="220"/>
  <c r="U30" i="220"/>
  <c r="U42" i="220"/>
  <c r="U40" i="220"/>
  <c r="U47" i="220"/>
  <c r="U45" i="220"/>
  <c r="U59" i="220"/>
  <c r="T53" i="220"/>
  <c r="T51" i="220"/>
  <c r="T22" i="220"/>
  <c r="T37" i="220"/>
  <c r="T35" i="220"/>
  <c r="T16" i="220"/>
  <c r="T14" i="220"/>
  <c r="T11" i="220"/>
  <c r="T27" i="220"/>
  <c r="T32" i="220"/>
  <c r="T30" i="220"/>
  <c r="T42" i="220"/>
  <c r="T47" i="220"/>
  <c r="T45" i="220"/>
  <c r="T59" i="220"/>
  <c r="N592" i="234"/>
  <c r="R592" i="234"/>
  <c r="N593" i="234"/>
  <c r="R593" i="234"/>
  <c r="L526" i="234"/>
  <c r="N526" i="234"/>
  <c r="O526" i="234"/>
  <c r="R526" i="234"/>
  <c r="K539" i="234"/>
  <c r="R539" i="234"/>
  <c r="N540" i="234"/>
  <c r="R540" i="234"/>
  <c r="K541" i="234"/>
  <c r="N541" i="234"/>
  <c r="R541" i="234"/>
  <c r="K542" i="234"/>
  <c r="N542" i="234"/>
  <c r="R542" i="234"/>
  <c r="K543" i="234"/>
  <c r="N543" i="234"/>
  <c r="R543" i="234"/>
  <c r="K544" i="234"/>
  <c r="N544" i="234"/>
  <c r="R544" i="234"/>
  <c r="K545" i="234"/>
  <c r="N545" i="234"/>
  <c r="R545" i="234"/>
  <c r="K546" i="234"/>
  <c r="N546" i="234"/>
  <c r="R546" i="234"/>
  <c r="K547" i="234"/>
  <c r="N547" i="234"/>
  <c r="R547" i="234"/>
  <c r="N548" i="234"/>
  <c r="R548" i="234"/>
  <c r="K549" i="234"/>
  <c r="N549" i="234"/>
  <c r="R549" i="234"/>
  <c r="K550" i="234"/>
  <c r="N550" i="234"/>
  <c r="R550" i="234"/>
  <c r="K551" i="234"/>
  <c r="N551" i="234"/>
  <c r="R551" i="234"/>
  <c r="K552" i="234"/>
  <c r="N552" i="234"/>
  <c r="R552" i="234"/>
  <c r="K553" i="234"/>
  <c r="N553" i="234"/>
  <c r="R553" i="234"/>
  <c r="K554" i="234"/>
  <c r="N554" i="234"/>
  <c r="R554" i="234"/>
  <c r="K555" i="234"/>
  <c r="N555" i="234"/>
  <c r="R555" i="234"/>
  <c r="K556" i="234"/>
  <c r="N556" i="234"/>
  <c r="R556" i="234"/>
  <c r="K557" i="234"/>
  <c r="N557" i="234"/>
  <c r="R557" i="234"/>
  <c r="N558" i="234"/>
  <c r="R558" i="234"/>
  <c r="N559" i="234"/>
  <c r="R559" i="234"/>
  <c r="N560" i="234"/>
  <c r="P560" i="234"/>
  <c r="N561" i="234"/>
  <c r="P561" i="234"/>
  <c r="N562" i="234"/>
  <c r="P562" i="234"/>
  <c r="K563" i="234"/>
  <c r="N563" i="234"/>
  <c r="R563" i="234"/>
  <c r="K564" i="234"/>
  <c r="N564" i="234"/>
  <c r="R564" i="234"/>
  <c r="N565" i="234"/>
  <c r="R565" i="234"/>
  <c r="N566" i="234"/>
  <c r="R566" i="234"/>
  <c r="N567" i="234"/>
  <c r="R567" i="234"/>
  <c r="K568" i="234"/>
  <c r="N568" i="234"/>
  <c r="R568" i="234"/>
  <c r="K569" i="234"/>
  <c r="N569" i="234"/>
  <c r="R569" i="234"/>
  <c r="K570" i="234"/>
  <c r="N570" i="234"/>
  <c r="R570" i="234"/>
  <c r="K571" i="234"/>
  <c r="N571" i="234"/>
  <c r="R571" i="234"/>
  <c r="K572" i="234"/>
  <c r="M572" i="234"/>
  <c r="K573" i="234"/>
  <c r="M573" i="234"/>
  <c r="K574" i="234"/>
  <c r="M574" i="234"/>
  <c r="K575" i="234"/>
  <c r="N575" i="234"/>
  <c r="R575" i="234"/>
  <c r="N576" i="234"/>
  <c r="R576" i="234"/>
  <c r="N577" i="234"/>
  <c r="R577" i="234"/>
  <c r="N578" i="234"/>
  <c r="R578" i="234"/>
  <c r="N579" i="234"/>
  <c r="R579" i="234"/>
  <c r="N580" i="234"/>
  <c r="P580" i="234"/>
  <c r="N581" i="234"/>
  <c r="R581" i="234"/>
  <c r="N582" i="234"/>
  <c r="R582" i="234"/>
  <c r="N583" i="234"/>
  <c r="R583" i="234"/>
  <c r="N584" i="234"/>
  <c r="R584" i="234"/>
  <c r="N585" i="234"/>
  <c r="R585" i="234"/>
  <c r="N586" i="234"/>
  <c r="R586" i="234"/>
  <c r="N587" i="234"/>
  <c r="R587" i="234"/>
  <c r="G191" i="233"/>
  <c r="G180" i="233"/>
  <c r="G181" i="233"/>
  <c r="G182" i="233"/>
  <c r="G183" i="233"/>
  <c r="G184" i="233"/>
  <c r="G185" i="233"/>
  <c r="G186" i="233"/>
  <c r="G187" i="233"/>
  <c r="G188" i="233"/>
  <c r="G189" i="233"/>
  <c r="G190" i="233"/>
  <c r="G192" i="233"/>
  <c r="G193" i="233"/>
  <c r="G194" i="233"/>
  <c r="G435" i="233"/>
  <c r="G436" i="233"/>
  <c r="G437" i="233"/>
  <c r="G438" i="233"/>
  <c r="G439" i="233"/>
  <c r="G440" i="233"/>
  <c r="G441" i="233"/>
  <c r="G442" i="233"/>
  <c r="G443" i="233"/>
  <c r="G444" i="233"/>
  <c r="G445" i="233"/>
  <c r="G446" i="233"/>
  <c r="G447" i="233"/>
  <c r="G448" i="233"/>
  <c r="G449" i="233"/>
  <c r="G450" i="233"/>
  <c r="G451" i="233"/>
  <c r="G452" i="233"/>
  <c r="G453" i="233"/>
  <c r="G454" i="233"/>
  <c r="G455" i="233"/>
  <c r="G456" i="233"/>
  <c r="G457" i="233"/>
  <c r="G458" i="233"/>
  <c r="R227" i="234"/>
  <c r="R241" i="234"/>
  <c r="R110" i="234"/>
  <c r="R124" i="234"/>
  <c r="R149" i="234"/>
  <c r="R163" i="234"/>
  <c r="R173" i="234"/>
  <c r="R174" i="234"/>
  <c r="R188" i="234"/>
  <c r="L4767" i="234"/>
  <c r="C4759" i="234"/>
  <c r="B4759" i="234"/>
  <c r="C4758" i="234"/>
  <c r="B4758" i="234"/>
  <c r="L4754" i="234"/>
  <c r="S4755" i="234"/>
  <c r="J4754" i="234"/>
  <c r="C4749" i="234"/>
  <c r="B4749" i="234"/>
  <c r="C4748" i="234"/>
  <c r="B4748" i="234"/>
  <c r="L4744" i="234"/>
  <c r="J4744" i="234"/>
  <c r="C4739" i="234"/>
  <c r="B4739" i="234"/>
  <c r="C4738" i="234"/>
  <c r="B4738" i="234"/>
  <c r="L4734" i="234"/>
  <c r="S4735" i="234"/>
  <c r="J4734" i="234"/>
  <c r="C4729" i="234"/>
  <c r="B4729" i="234"/>
  <c r="C4728" i="234"/>
  <c r="B4728" i="234"/>
  <c r="L4724" i="234"/>
  <c r="S4726" i="234"/>
  <c r="J4724" i="234"/>
  <c r="C4719" i="234"/>
  <c r="B4719" i="234"/>
  <c r="C4718" i="234"/>
  <c r="B4718" i="234"/>
  <c r="L4714" i="234"/>
  <c r="S4715" i="234"/>
  <c r="J4714" i="234"/>
  <c r="C4709" i="234"/>
  <c r="B4709" i="234"/>
  <c r="C4708" i="234"/>
  <c r="B4708" i="234"/>
  <c r="L4704" i="234"/>
  <c r="J4704" i="234"/>
  <c r="C4699" i="234"/>
  <c r="B4699" i="234"/>
  <c r="C4698" i="234"/>
  <c r="B4698" i="234"/>
  <c r="L4694" i="234"/>
  <c r="S4695" i="234"/>
  <c r="J4694" i="234"/>
  <c r="C4689" i="234"/>
  <c r="B4689" i="234"/>
  <c r="C4688" i="234"/>
  <c r="B4688" i="234"/>
  <c r="L4684" i="234"/>
  <c r="J4684" i="234"/>
  <c r="C4679" i="234"/>
  <c r="B4679" i="234"/>
  <c r="C4678" i="234"/>
  <c r="B4678" i="234"/>
  <c r="I450" i="233"/>
  <c r="I451" i="233"/>
  <c r="I452" i="233"/>
  <c r="I453" i="233"/>
  <c r="I454" i="233"/>
  <c r="I455" i="233"/>
  <c r="I456" i="233"/>
  <c r="I457" i="233"/>
  <c r="I458" i="233"/>
  <c r="C12" i="220"/>
  <c r="AH10" i="220"/>
  <c r="C17" i="220"/>
  <c r="Y15" i="220"/>
  <c r="C23" i="220"/>
  <c r="AA21" i="220"/>
  <c r="C33" i="220"/>
  <c r="AF31" i="220"/>
  <c r="C38" i="220"/>
  <c r="AE36" i="220"/>
  <c r="C43" i="220"/>
  <c r="AH41" i="220"/>
  <c r="C48" i="220"/>
  <c r="C54" i="220"/>
  <c r="AI52" i="220"/>
  <c r="C60" i="220"/>
  <c r="X58" i="220"/>
  <c r="N53" i="220"/>
  <c r="N51" i="220"/>
  <c r="N22" i="220"/>
  <c r="N20" i="220"/>
  <c r="N37" i="220"/>
  <c r="N35" i="220"/>
  <c r="N16" i="220"/>
  <c r="N11" i="220"/>
  <c r="N9" i="220"/>
  <c r="N27" i="220"/>
  <c r="N25" i="220"/>
  <c r="N32" i="220"/>
  <c r="N42" i="220"/>
  <c r="N40" i="220"/>
  <c r="N47" i="220"/>
  <c r="N45" i="220"/>
  <c r="I53" i="220"/>
  <c r="I51" i="220"/>
  <c r="I22" i="220"/>
  <c r="I20" i="220"/>
  <c r="I37" i="220"/>
  <c r="I35" i="220"/>
  <c r="I16" i="220"/>
  <c r="I11" i="220"/>
  <c r="I9" i="220"/>
  <c r="I27" i="220"/>
  <c r="I32" i="220"/>
  <c r="I30" i="220"/>
  <c r="I42" i="220"/>
  <c r="I40" i="220"/>
  <c r="I47" i="220"/>
  <c r="I45" i="220"/>
  <c r="N68" i="220"/>
  <c r="N66" i="220"/>
  <c r="M129" i="221"/>
  <c r="I68" i="220"/>
  <c r="I66" i="220"/>
  <c r="H129" i="221"/>
  <c r="I268" i="233"/>
  <c r="I269" i="233"/>
  <c r="M2" i="233"/>
  <c r="U3" i="234"/>
  <c r="H227" i="218"/>
  <c r="J227" i="218"/>
  <c r="L227" i="218"/>
  <c r="N227" i="218"/>
  <c r="P227" i="218"/>
  <c r="R227" i="218"/>
  <c r="T227" i="218"/>
  <c r="V227" i="218"/>
  <c r="X227" i="218"/>
  <c r="Z227" i="218"/>
  <c r="AB227" i="218"/>
  <c r="AD227" i="218"/>
  <c r="F235" i="218"/>
  <c r="H235" i="218"/>
  <c r="J235" i="218"/>
  <c r="L235" i="218"/>
  <c r="N235" i="218"/>
  <c r="P235" i="218"/>
  <c r="R235" i="218"/>
  <c r="T235" i="218"/>
  <c r="V235" i="218"/>
  <c r="X235" i="218"/>
  <c r="Z235" i="218"/>
  <c r="AB235" i="218"/>
  <c r="AD235" i="218"/>
  <c r="F243" i="218"/>
  <c r="H243" i="218"/>
  <c r="J243" i="218"/>
  <c r="L243" i="218"/>
  <c r="N243" i="218"/>
  <c r="C354" i="218"/>
  <c r="AA354" i="218"/>
  <c r="AA419" i="218"/>
  <c r="C419" i="218"/>
  <c r="C291" i="218"/>
  <c r="AA291" i="218"/>
  <c r="I281" i="233"/>
  <c r="B46" i="232"/>
  <c r="B47" i="232"/>
  <c r="N589" i="234"/>
  <c r="I227" i="233"/>
  <c r="I231" i="233"/>
  <c r="O713" i="234"/>
  <c r="N588" i="234"/>
  <c r="I412" i="233"/>
  <c r="R2888" i="234"/>
  <c r="R2892" i="234"/>
  <c r="R2918" i="234"/>
  <c r="R2922" i="234"/>
  <c r="R2908" i="234"/>
  <c r="R2912" i="234"/>
  <c r="AO68" i="220"/>
  <c r="AM68" i="220"/>
  <c r="AL68" i="220"/>
  <c r="AK68" i="220"/>
  <c r="AJ68" i="220"/>
  <c r="AI68" i="220"/>
  <c r="AB68" i="220"/>
  <c r="AA68" i="220"/>
  <c r="Z68" i="220"/>
  <c r="Y68" i="220"/>
  <c r="X68" i="220"/>
  <c r="W68" i="220"/>
  <c r="V68" i="220"/>
  <c r="U68" i="220"/>
  <c r="T68" i="220"/>
  <c r="S68" i="220"/>
  <c r="R68" i="220"/>
  <c r="Q68" i="220"/>
  <c r="P68" i="220"/>
  <c r="O68" i="220"/>
  <c r="M68" i="220"/>
  <c r="L68" i="220"/>
  <c r="K68" i="220"/>
  <c r="J68" i="220"/>
  <c r="H68" i="220"/>
  <c r="G68" i="220"/>
  <c r="F68" i="220"/>
  <c r="E68" i="220"/>
  <c r="AO59" i="220"/>
  <c r="AO57" i="220"/>
  <c r="S59" i="220"/>
  <c r="S57" i="220"/>
  <c r="R59" i="220"/>
  <c r="Q59" i="220"/>
  <c r="P59" i="220"/>
  <c r="O59" i="220"/>
  <c r="N59" i="220"/>
  <c r="N57" i="220"/>
  <c r="M59" i="220"/>
  <c r="M57" i="220"/>
  <c r="L59" i="220"/>
  <c r="L57" i="220"/>
  <c r="K59" i="220"/>
  <c r="K57" i="220"/>
  <c r="J59" i="220"/>
  <c r="J57" i="220"/>
  <c r="I59" i="220"/>
  <c r="I57" i="220"/>
  <c r="H59" i="220"/>
  <c r="H57" i="220"/>
  <c r="G59" i="220"/>
  <c r="G57" i="220"/>
  <c r="F59" i="220"/>
  <c r="F57" i="220"/>
  <c r="E59" i="220"/>
  <c r="E57" i="220"/>
  <c r="AO58" i="220"/>
  <c r="AM58" i="220"/>
  <c r="AL58" i="220"/>
  <c r="AK58" i="220"/>
  <c r="AJ58" i="220"/>
  <c r="AI58" i="220"/>
  <c r="AH58" i="220"/>
  <c r="AG58" i="220"/>
  <c r="AF58" i="220"/>
  <c r="AE58" i="220"/>
  <c r="S58" i="220"/>
  <c r="N58" i="220"/>
  <c r="M58" i="220"/>
  <c r="L58" i="220"/>
  <c r="K58" i="220"/>
  <c r="J58" i="220"/>
  <c r="I58" i="220"/>
  <c r="H58" i="220"/>
  <c r="G58" i="220"/>
  <c r="F58" i="220"/>
  <c r="E58" i="220"/>
  <c r="AO53" i="220"/>
  <c r="AO51" i="220"/>
  <c r="AM53" i="220"/>
  <c r="AM51" i="220"/>
  <c r="AL53" i="220"/>
  <c r="AL51" i="220"/>
  <c r="AK53" i="220"/>
  <c r="AK51" i="220"/>
  <c r="AJ53" i="220"/>
  <c r="AJ51" i="220"/>
  <c r="S53" i="220"/>
  <c r="S51" i="220"/>
  <c r="R53" i="220"/>
  <c r="R51" i="220"/>
  <c r="Q53" i="220"/>
  <c r="Q51" i="220"/>
  <c r="P53" i="220"/>
  <c r="O53" i="220"/>
  <c r="O51" i="220"/>
  <c r="M53" i="220"/>
  <c r="M51" i="220"/>
  <c r="L53" i="220"/>
  <c r="K53" i="220"/>
  <c r="K51" i="220"/>
  <c r="J53" i="220"/>
  <c r="H53" i="220"/>
  <c r="H51" i="220"/>
  <c r="G53" i="220"/>
  <c r="G51" i="220"/>
  <c r="F53" i="220"/>
  <c r="F51" i="220"/>
  <c r="E53" i="220"/>
  <c r="AH52" i="220"/>
  <c r="AG52" i="220"/>
  <c r="AF52" i="220"/>
  <c r="AE52" i="220"/>
  <c r="AD52" i="220"/>
  <c r="AC52" i="220"/>
  <c r="AB52" i="220"/>
  <c r="AA52" i="220"/>
  <c r="Z52" i="220"/>
  <c r="Y52" i="220"/>
  <c r="X52" i="220"/>
  <c r="W52" i="220"/>
  <c r="V52" i="220"/>
  <c r="U52" i="220"/>
  <c r="T52" i="220"/>
  <c r="S52" i="220"/>
  <c r="R52" i="220"/>
  <c r="Q52" i="220"/>
  <c r="P52" i="220"/>
  <c r="O52" i="220"/>
  <c r="N52" i="220"/>
  <c r="M52" i="220"/>
  <c r="L52" i="220"/>
  <c r="K52" i="220"/>
  <c r="J52" i="220"/>
  <c r="I52" i="220"/>
  <c r="H52" i="220"/>
  <c r="G52" i="220"/>
  <c r="F52" i="220"/>
  <c r="E52" i="220"/>
  <c r="AH48" i="220"/>
  <c r="AF48" i="220"/>
  <c r="AE48" i="220"/>
  <c r="AQ48" i="220"/>
  <c r="AO47" i="220"/>
  <c r="AO45" i="220"/>
  <c r="AM47" i="220"/>
  <c r="AM45" i="220"/>
  <c r="AK47" i="220"/>
  <c r="AK45" i="220"/>
  <c r="S47" i="220"/>
  <c r="S45" i="220"/>
  <c r="R47" i="220"/>
  <c r="R45" i="220"/>
  <c r="Q47" i="220"/>
  <c r="Q45" i="220"/>
  <c r="P47" i="220"/>
  <c r="O47" i="220"/>
  <c r="M47" i="220"/>
  <c r="M45" i="220"/>
  <c r="L47" i="220"/>
  <c r="L45" i="220"/>
  <c r="K47" i="220"/>
  <c r="K45" i="220"/>
  <c r="J47" i="220"/>
  <c r="H47" i="220"/>
  <c r="H45" i="220"/>
  <c r="G47" i="220"/>
  <c r="G45" i="220"/>
  <c r="F47" i="220"/>
  <c r="F45" i="220"/>
  <c r="E47" i="220"/>
  <c r="E45" i="220"/>
  <c r="AO46" i="220"/>
  <c r="AM46" i="220"/>
  <c r="AL46" i="220"/>
  <c r="AK46" i="220"/>
  <c r="AJ46" i="220"/>
  <c r="AI46" i="220"/>
  <c r="AD46" i="220"/>
  <c r="AC46" i="220"/>
  <c r="AB46" i="220"/>
  <c r="AA46" i="220"/>
  <c r="Z46" i="220"/>
  <c r="Y46" i="220"/>
  <c r="X46" i="220"/>
  <c r="W46" i="220"/>
  <c r="V46" i="220"/>
  <c r="U46" i="220"/>
  <c r="T46" i="220"/>
  <c r="S46" i="220"/>
  <c r="R46" i="220"/>
  <c r="Q46" i="220"/>
  <c r="N46" i="220"/>
  <c r="M46" i="220"/>
  <c r="L46" i="220"/>
  <c r="K46" i="220"/>
  <c r="I46" i="220"/>
  <c r="H46" i="220"/>
  <c r="G46" i="220"/>
  <c r="F46" i="220"/>
  <c r="E46" i="220"/>
  <c r="AF43" i="220"/>
  <c r="AQ43" i="220"/>
  <c r="AO42" i="220"/>
  <c r="AO40" i="220"/>
  <c r="AM42" i="220"/>
  <c r="AM40" i="220"/>
  <c r="S42" i="220"/>
  <c r="S40" i="220"/>
  <c r="R42" i="220"/>
  <c r="R40" i="220"/>
  <c r="Q42" i="220"/>
  <c r="Q40" i="220"/>
  <c r="P42" i="220"/>
  <c r="P40" i="220"/>
  <c r="O42" i="220"/>
  <c r="O40" i="220"/>
  <c r="M42" i="220"/>
  <c r="M40" i="220"/>
  <c r="L42" i="220"/>
  <c r="L40" i="220"/>
  <c r="K42" i="220"/>
  <c r="K40" i="220"/>
  <c r="J42" i="220"/>
  <c r="J40" i="220"/>
  <c r="H42" i="220"/>
  <c r="H40" i="220"/>
  <c r="G42" i="220"/>
  <c r="G40" i="220"/>
  <c r="F42" i="220"/>
  <c r="F40" i="220"/>
  <c r="E42" i="220"/>
  <c r="E40" i="220"/>
  <c r="AO41" i="220"/>
  <c r="AM41" i="220"/>
  <c r="AL41" i="220"/>
  <c r="AK41" i="220"/>
  <c r="AJ41" i="220"/>
  <c r="AI41" i="220"/>
  <c r="AD41" i="220"/>
  <c r="AC41" i="220"/>
  <c r="AB41" i="220"/>
  <c r="AA41" i="220"/>
  <c r="Z41" i="220"/>
  <c r="Y41" i="220"/>
  <c r="X41" i="220"/>
  <c r="W41" i="220"/>
  <c r="V41" i="220"/>
  <c r="U41" i="220"/>
  <c r="T41" i="220"/>
  <c r="S41" i="220"/>
  <c r="R41" i="220"/>
  <c r="Q41" i="220"/>
  <c r="P41" i="220"/>
  <c r="O41" i="220"/>
  <c r="N41" i="220"/>
  <c r="M41" i="220"/>
  <c r="L41" i="220"/>
  <c r="K41" i="220"/>
  <c r="J41" i="220"/>
  <c r="I41" i="220"/>
  <c r="H41" i="220"/>
  <c r="G41" i="220"/>
  <c r="F41" i="220"/>
  <c r="E41" i="220"/>
  <c r="AF38" i="220"/>
  <c r="AQ38" i="220"/>
  <c r="AO37" i="220"/>
  <c r="AO35" i="220"/>
  <c r="AM37" i="220"/>
  <c r="AL37" i="220"/>
  <c r="AL35" i="220"/>
  <c r="AK37" i="220"/>
  <c r="AK35" i="220"/>
  <c r="AJ37" i="220"/>
  <c r="AJ35" i="220"/>
  <c r="S37" i="220"/>
  <c r="S35" i="220"/>
  <c r="R37" i="220"/>
  <c r="R35" i="220"/>
  <c r="Q37" i="220"/>
  <c r="Q35" i="220"/>
  <c r="P37" i="220"/>
  <c r="P35" i="220"/>
  <c r="O37" i="220"/>
  <c r="O35" i="220"/>
  <c r="M37" i="220"/>
  <c r="M35" i="220"/>
  <c r="L37" i="220"/>
  <c r="L35" i="220"/>
  <c r="K37" i="220"/>
  <c r="K35" i="220"/>
  <c r="J37" i="220"/>
  <c r="J35" i="220"/>
  <c r="H37" i="220"/>
  <c r="H35" i="220"/>
  <c r="G37" i="220"/>
  <c r="G35" i="220"/>
  <c r="F37" i="220"/>
  <c r="F35" i="220"/>
  <c r="E37" i="220"/>
  <c r="E35" i="220"/>
  <c r="AO36" i="220"/>
  <c r="AM36" i="220"/>
  <c r="AL36" i="220"/>
  <c r="AK36" i="220"/>
  <c r="AJ36" i="220"/>
  <c r="AI36" i="220"/>
  <c r="AH36" i="220"/>
  <c r="AG36" i="220"/>
  <c r="AD36" i="220"/>
  <c r="AC36" i="220"/>
  <c r="AB36" i="220"/>
  <c r="AA36" i="220"/>
  <c r="Z36" i="220"/>
  <c r="Y36" i="220"/>
  <c r="X36" i="220"/>
  <c r="W36" i="220"/>
  <c r="V36" i="220"/>
  <c r="U36" i="220"/>
  <c r="T36" i="220"/>
  <c r="S36" i="220"/>
  <c r="R36" i="220"/>
  <c r="Q36" i="220"/>
  <c r="P36" i="220"/>
  <c r="O36" i="220"/>
  <c r="N36" i="220"/>
  <c r="M36" i="220"/>
  <c r="L36" i="220"/>
  <c r="K36" i="220"/>
  <c r="J36" i="220"/>
  <c r="I36" i="220"/>
  <c r="H36" i="220"/>
  <c r="G36" i="220"/>
  <c r="F36" i="220"/>
  <c r="E36" i="220"/>
  <c r="AC33" i="220"/>
  <c r="AQ33" i="220"/>
  <c r="AJ32" i="220"/>
  <c r="S32" i="220"/>
  <c r="S30" i="220"/>
  <c r="R32" i="220"/>
  <c r="R30" i="220"/>
  <c r="Q32" i="220"/>
  <c r="Q30" i="220"/>
  <c r="P32" i="220"/>
  <c r="P30" i="220"/>
  <c r="O32" i="220"/>
  <c r="O30" i="220"/>
  <c r="N30" i="220"/>
  <c r="M32" i="220"/>
  <c r="M30" i="220"/>
  <c r="L32" i="220"/>
  <c r="L30" i="220"/>
  <c r="K32" i="220"/>
  <c r="K30" i="220"/>
  <c r="J32" i="220"/>
  <c r="J30" i="220"/>
  <c r="H32" i="220"/>
  <c r="H30" i="220"/>
  <c r="G32" i="220"/>
  <c r="G30" i="220"/>
  <c r="F32" i="220"/>
  <c r="F30" i="220"/>
  <c r="E32" i="220"/>
  <c r="E30" i="220"/>
  <c r="AO31" i="220"/>
  <c r="AM31" i="220"/>
  <c r="AL31" i="220"/>
  <c r="AK31" i="220"/>
  <c r="AJ31" i="220"/>
  <c r="AI31" i="220"/>
  <c r="AH31" i="220"/>
  <c r="AB31" i="220"/>
  <c r="AA31" i="220"/>
  <c r="Z31" i="220"/>
  <c r="Y31" i="220"/>
  <c r="X31" i="220"/>
  <c r="W31" i="220"/>
  <c r="V31" i="220"/>
  <c r="U31" i="220"/>
  <c r="T31" i="220"/>
  <c r="S31" i="220"/>
  <c r="R31" i="220"/>
  <c r="Q31" i="220"/>
  <c r="P31" i="220"/>
  <c r="O31" i="220"/>
  <c r="N31" i="220"/>
  <c r="M31" i="220"/>
  <c r="L31" i="220"/>
  <c r="K31" i="220"/>
  <c r="J31" i="220"/>
  <c r="I31" i="220"/>
  <c r="H31" i="220"/>
  <c r="G31" i="220"/>
  <c r="F31" i="220"/>
  <c r="E31" i="220"/>
  <c r="AO27" i="220"/>
  <c r="AL27" i="220"/>
  <c r="AL25" i="220"/>
  <c r="AK27" i="220"/>
  <c r="S27" i="220"/>
  <c r="R27" i="220"/>
  <c r="Q27" i="220"/>
  <c r="P27" i="220"/>
  <c r="O27" i="220"/>
  <c r="M27" i="220"/>
  <c r="L27" i="220"/>
  <c r="K27" i="220"/>
  <c r="J27" i="220"/>
  <c r="I25" i="220"/>
  <c r="H27" i="220"/>
  <c r="G27" i="220"/>
  <c r="F27" i="220"/>
  <c r="E27" i="220"/>
  <c r="E25" i="220"/>
  <c r="AO26" i="220"/>
  <c r="AM26" i="220"/>
  <c r="AL26" i="220"/>
  <c r="AK26" i="220"/>
  <c r="AJ26" i="220"/>
  <c r="AI26" i="220"/>
  <c r="AH26" i="220"/>
  <c r="AG26" i="220"/>
  <c r="AF26" i="220"/>
  <c r="N26" i="220"/>
  <c r="I26" i="220"/>
  <c r="E26" i="220"/>
  <c r="AH23" i="220"/>
  <c r="AG23" i="220"/>
  <c r="AF23" i="220"/>
  <c r="AE23" i="220"/>
  <c r="AD23" i="220"/>
  <c r="AD68" i="220"/>
  <c r="AC23" i="220"/>
  <c r="AO22" i="220"/>
  <c r="AM22" i="220"/>
  <c r="AL22" i="220"/>
  <c r="AJ22" i="220"/>
  <c r="AJ20" i="220"/>
  <c r="S22" i="220"/>
  <c r="R22" i="220"/>
  <c r="Q22" i="220"/>
  <c r="P22" i="220"/>
  <c r="O22" i="220"/>
  <c r="M22" i="220"/>
  <c r="L22" i="220"/>
  <c r="K22" i="220"/>
  <c r="J22" i="220"/>
  <c r="H22" i="220"/>
  <c r="G22" i="220"/>
  <c r="F22" i="220"/>
  <c r="E22" i="220"/>
  <c r="E20" i="220"/>
  <c r="AO21" i="220"/>
  <c r="AM21" i="220"/>
  <c r="AL21" i="220"/>
  <c r="AK21" i="220"/>
  <c r="AJ21" i="220"/>
  <c r="AI21" i="220"/>
  <c r="N21" i="220"/>
  <c r="I21" i="220"/>
  <c r="E21" i="220"/>
  <c r="AH17" i="220"/>
  <c r="AQ17" i="220"/>
  <c r="AO16" i="220"/>
  <c r="AO14" i="220"/>
  <c r="AM16" i="220"/>
  <c r="AL16" i="220"/>
  <c r="AK16" i="220"/>
  <c r="AJ16" i="220"/>
  <c r="S16" i="220"/>
  <c r="R16" i="220"/>
  <c r="Q16" i="220"/>
  <c r="P16" i="220"/>
  <c r="O16" i="220"/>
  <c r="M16" i="220"/>
  <c r="L16" i="220"/>
  <c r="K16" i="220"/>
  <c r="J16" i="220"/>
  <c r="H16" i="220"/>
  <c r="G16" i="220"/>
  <c r="F16" i="220"/>
  <c r="E16" i="220"/>
  <c r="AO15" i="220"/>
  <c r="AM15" i="220"/>
  <c r="AL15" i="220"/>
  <c r="AK15" i="220"/>
  <c r="AJ15" i="220"/>
  <c r="AI15" i="220"/>
  <c r="U15" i="220"/>
  <c r="T15" i="220"/>
  <c r="N15" i="220"/>
  <c r="I15" i="220"/>
  <c r="I14" i="220"/>
  <c r="AO11" i="220"/>
  <c r="AO9" i="220"/>
  <c r="AM11" i="220"/>
  <c r="AM9" i="220"/>
  <c r="AL11" i="220"/>
  <c r="AL9" i="220"/>
  <c r="AK11" i="220"/>
  <c r="AK9" i="220"/>
  <c r="AJ11" i="220"/>
  <c r="AJ9" i="220"/>
  <c r="S11" i="220"/>
  <c r="S9" i="220"/>
  <c r="R11" i="220"/>
  <c r="Q11" i="220"/>
  <c r="Q9" i="220"/>
  <c r="P11" i="220"/>
  <c r="P9" i="220"/>
  <c r="O11" i="220"/>
  <c r="O9" i="220"/>
  <c r="M11" i="220"/>
  <c r="M9" i="220"/>
  <c r="L11" i="220"/>
  <c r="L9" i="220"/>
  <c r="K11" i="220"/>
  <c r="K9" i="220"/>
  <c r="J11" i="220"/>
  <c r="J9" i="220"/>
  <c r="H11" i="220"/>
  <c r="H9" i="220"/>
  <c r="G11" i="220"/>
  <c r="G9" i="220"/>
  <c r="F11" i="220"/>
  <c r="F9" i="220"/>
  <c r="E11" i="220"/>
  <c r="AO10" i="220"/>
  <c r="AM10" i="220"/>
  <c r="AL10" i="220"/>
  <c r="AK10" i="220"/>
  <c r="AJ10" i="220"/>
  <c r="AI10" i="220"/>
  <c r="AG10" i="220"/>
  <c r="AF10" i="220"/>
  <c r="AE10" i="220"/>
  <c r="AD10" i="220"/>
  <c r="AC10" i="220"/>
  <c r="AB10" i="220"/>
  <c r="AA10" i="220"/>
  <c r="Z10" i="220"/>
  <c r="Y10" i="220"/>
  <c r="X10" i="220"/>
  <c r="W10" i="220"/>
  <c r="V10" i="220"/>
  <c r="U10" i="220"/>
  <c r="T10" i="220"/>
  <c r="S10" i="220"/>
  <c r="Q10" i="220"/>
  <c r="P10" i="220"/>
  <c r="O10" i="220"/>
  <c r="N10" i="220"/>
  <c r="M10" i="220"/>
  <c r="L10" i="220"/>
  <c r="K10" i="220"/>
  <c r="J10" i="220"/>
  <c r="I10" i="220"/>
  <c r="H10" i="220"/>
  <c r="G10" i="220"/>
  <c r="F10" i="220"/>
  <c r="AC88" i="220"/>
  <c r="G34" i="219"/>
  <c r="K34" i="219"/>
  <c r="AB88" i="220"/>
  <c r="AA88" i="220"/>
  <c r="G32" i="219"/>
  <c r="K32" i="219"/>
  <c r="Z88" i="220"/>
  <c r="G31" i="219"/>
  <c r="K31" i="219"/>
  <c r="Y88" i="220"/>
  <c r="X88" i="220"/>
  <c r="G29" i="219"/>
  <c r="K29" i="219"/>
  <c r="W88" i="220"/>
  <c r="V88" i="220"/>
  <c r="U88" i="220"/>
  <c r="G25" i="219"/>
  <c r="N25" i="219"/>
  <c r="T88" i="220"/>
  <c r="G24" i="219"/>
  <c r="K24" i="219"/>
  <c r="S88" i="220"/>
  <c r="R88" i="220"/>
  <c r="Q88" i="220"/>
  <c r="P88" i="220"/>
  <c r="O88" i="220"/>
  <c r="N88" i="220"/>
  <c r="M88" i="220"/>
  <c r="L88" i="220"/>
  <c r="K88" i="220"/>
  <c r="J88" i="220"/>
  <c r="I88" i="220"/>
  <c r="H88" i="220"/>
  <c r="G88" i="220"/>
  <c r="F88" i="220"/>
  <c r="E88" i="220"/>
  <c r="L51" i="220"/>
  <c r="P51" i="220"/>
  <c r="AG68" i="220"/>
  <c r="R485" i="234"/>
  <c r="R282" i="234"/>
  <c r="BQ185" i="218"/>
  <c r="BP185" i="218"/>
  <c r="BO185" i="218"/>
  <c r="BN185" i="218"/>
  <c r="BM185" i="218"/>
  <c r="BL185" i="218"/>
  <c r="BK185" i="218"/>
  <c r="BJ185" i="218"/>
  <c r="BI185" i="218"/>
  <c r="BH185" i="218"/>
  <c r="BG185" i="218"/>
  <c r="BF185" i="218"/>
  <c r="BE185" i="218"/>
  <c r="BD185" i="218"/>
  <c r="BC185" i="218"/>
  <c r="BB185" i="218"/>
  <c r="BA185" i="218"/>
  <c r="AZ185" i="218"/>
  <c r="AY185" i="218"/>
  <c r="AX185" i="218"/>
  <c r="AW185" i="218"/>
  <c r="AV185" i="218"/>
  <c r="AU185" i="218"/>
  <c r="AT185" i="218"/>
  <c r="AS185" i="218"/>
  <c r="AR185" i="218"/>
  <c r="AQ185" i="218"/>
  <c r="AP185" i="218"/>
  <c r="AO185" i="218"/>
  <c r="AN185" i="218"/>
  <c r="AM185" i="218"/>
  <c r="BS183" i="218"/>
  <c r="Y171" i="218"/>
  <c r="BS182" i="218"/>
  <c r="BS181" i="218"/>
  <c r="BS180" i="218"/>
  <c r="BS179" i="218"/>
  <c r="BS178" i="218"/>
  <c r="BS177" i="218"/>
  <c r="BS176" i="218"/>
  <c r="BS175" i="218"/>
  <c r="BS174" i="218"/>
  <c r="BS173" i="218"/>
  <c r="BS172" i="218"/>
  <c r="AI167" i="218"/>
  <c r="BS171" i="218"/>
  <c r="BS170" i="218"/>
  <c r="BS169" i="218"/>
  <c r="BS168" i="218"/>
  <c r="BS167" i="218"/>
  <c r="BS166" i="218"/>
  <c r="H105" i="218"/>
  <c r="H104" i="218"/>
  <c r="U102" i="218"/>
  <c r="H102" i="218"/>
  <c r="BQ153" i="218"/>
  <c r="BP153" i="218"/>
  <c r="BO153" i="218"/>
  <c r="BN153" i="218"/>
  <c r="BM153" i="218"/>
  <c r="BL153" i="218"/>
  <c r="BK153" i="218"/>
  <c r="BJ153" i="218"/>
  <c r="BI153" i="218"/>
  <c r="BH153" i="218"/>
  <c r="BG153" i="218"/>
  <c r="BF153" i="218"/>
  <c r="BE153" i="218"/>
  <c r="BD153" i="218"/>
  <c r="BC153" i="218"/>
  <c r="BB153" i="218"/>
  <c r="BA153" i="218"/>
  <c r="AZ153" i="218"/>
  <c r="AY153" i="218"/>
  <c r="AX153" i="218"/>
  <c r="AW153" i="218"/>
  <c r="AV153" i="218"/>
  <c r="AU153" i="218"/>
  <c r="AT153" i="218"/>
  <c r="AS153" i="218"/>
  <c r="AR153" i="218"/>
  <c r="AQ153" i="218"/>
  <c r="AP153" i="218"/>
  <c r="AO153" i="218"/>
  <c r="AN153" i="218"/>
  <c r="AM153" i="218"/>
  <c r="BR134" i="218"/>
  <c r="AB104" i="218"/>
  <c r="BR133" i="218"/>
  <c r="AB124" i="218"/>
  <c r="BR132" i="218"/>
  <c r="BR131" i="218"/>
  <c r="AB122" i="218"/>
  <c r="BR130" i="218"/>
  <c r="BR129" i="218"/>
  <c r="AB125" i="218"/>
  <c r="BR128" i="218"/>
  <c r="BR127" i="218"/>
  <c r="BR126" i="218"/>
  <c r="AB126" i="218"/>
  <c r="BR125" i="218"/>
  <c r="BR124" i="218"/>
  <c r="BR123" i="218"/>
  <c r="AB123" i="218"/>
  <c r="BR122" i="218"/>
  <c r="AB102" i="218"/>
  <c r="BR119" i="218"/>
  <c r="AB105" i="218"/>
  <c r="AI106" i="218"/>
  <c r="BR118" i="218"/>
  <c r="BR117" i="218"/>
  <c r="BR116" i="218"/>
  <c r="BR115" i="218"/>
  <c r="BR114" i="218"/>
  <c r="BR113" i="218"/>
  <c r="BR112" i="218"/>
  <c r="BR111" i="218"/>
  <c r="BR110" i="218"/>
  <c r="AB103" i="218"/>
  <c r="BR109" i="218"/>
  <c r="BR108" i="218"/>
  <c r="BR107" i="218"/>
  <c r="BR106" i="218"/>
  <c r="BR105" i="218"/>
  <c r="BR104" i="218"/>
  <c r="BR103" i="218"/>
  <c r="BR102" i="218"/>
  <c r="R487" i="234"/>
  <c r="R484" i="234"/>
  <c r="R483" i="234"/>
  <c r="R482" i="234"/>
  <c r="R481" i="234"/>
  <c r="R480" i="234"/>
  <c r="R479" i="234"/>
  <c r="R478" i="234"/>
  <c r="R477" i="234"/>
  <c r="R476" i="234"/>
  <c r="R475" i="234"/>
  <c r="R474" i="234"/>
  <c r="R473" i="234"/>
  <c r="R472" i="234"/>
  <c r="R471" i="234"/>
  <c r="R470" i="234"/>
  <c r="R469" i="234"/>
  <c r="R468" i="234"/>
  <c r="R467" i="234"/>
  <c r="R466" i="234"/>
  <c r="R465" i="234"/>
  <c r="R464" i="234"/>
  <c r="R463" i="234"/>
  <c r="L462" i="234"/>
  <c r="R462" i="234"/>
  <c r="L461" i="234"/>
  <c r="R461" i="234"/>
  <c r="L460" i="234"/>
  <c r="R460" i="234"/>
  <c r="R459" i="234"/>
  <c r="R458" i="234"/>
  <c r="R457" i="234"/>
  <c r="R456" i="234"/>
  <c r="L455" i="234"/>
  <c r="R455" i="234"/>
  <c r="L454" i="234"/>
  <c r="R454" i="234"/>
  <c r="L453" i="234"/>
  <c r="R453" i="234"/>
  <c r="R452" i="234"/>
  <c r="R451" i="234"/>
  <c r="R450" i="234"/>
  <c r="R449" i="234"/>
  <c r="R448" i="234"/>
  <c r="R447" i="234"/>
  <c r="R446" i="234"/>
  <c r="R445" i="234"/>
  <c r="R444" i="234"/>
  <c r="R443" i="234"/>
  <c r="R442" i="234"/>
  <c r="R441" i="234"/>
  <c r="R440" i="234"/>
  <c r="R439" i="234"/>
  <c r="R438" i="234"/>
  <c r="R437" i="234"/>
  <c r="R436" i="234"/>
  <c r="R435" i="234"/>
  <c r="R434" i="234"/>
  <c r="L433" i="234"/>
  <c r="R433" i="234"/>
  <c r="L432" i="234"/>
  <c r="R432" i="234"/>
  <c r="R424" i="234"/>
  <c r="O376" i="234"/>
  <c r="O375" i="234"/>
  <c r="O374" i="234"/>
  <c r="O373" i="234"/>
  <c r="O370" i="234"/>
  <c r="O369" i="234"/>
  <c r="O368" i="234"/>
  <c r="O321" i="234"/>
  <c r="R321" i="234"/>
  <c r="O320" i="234"/>
  <c r="R320" i="234"/>
  <c r="O319" i="234"/>
  <c r="R319" i="234"/>
  <c r="O318" i="234"/>
  <c r="R318" i="234"/>
  <c r="O317" i="234"/>
  <c r="R317" i="234"/>
  <c r="O316" i="234"/>
  <c r="R316" i="234"/>
  <c r="O315" i="234"/>
  <c r="R315" i="234"/>
  <c r="O314" i="234"/>
  <c r="R314" i="234"/>
  <c r="O313" i="234"/>
  <c r="R313" i="234"/>
  <c r="N311" i="234"/>
  <c r="O311" i="234"/>
  <c r="R311" i="234"/>
  <c r="R288" i="234"/>
  <c r="R281" i="234"/>
  <c r="R280" i="234"/>
  <c r="R279" i="234"/>
  <c r="R278" i="234"/>
  <c r="R277" i="234"/>
  <c r="R276" i="234"/>
  <c r="R275" i="234"/>
  <c r="R274" i="234"/>
  <c r="R273" i="234"/>
  <c r="R272" i="234"/>
  <c r="R271" i="234"/>
  <c r="R270" i="234"/>
  <c r="R269" i="234"/>
  <c r="R268" i="234"/>
  <c r="R267" i="234"/>
  <c r="R266" i="234"/>
  <c r="R265" i="234"/>
  <c r="R264" i="234"/>
  <c r="R263" i="234"/>
  <c r="L262" i="234"/>
  <c r="R262" i="234"/>
  <c r="R261" i="234"/>
  <c r="J226" i="234"/>
  <c r="J225" i="234"/>
  <c r="J224" i="234"/>
  <c r="J223" i="234"/>
  <c r="J222" i="234"/>
  <c r="J220" i="234"/>
  <c r="J219" i="234"/>
  <c r="J218" i="234"/>
  <c r="J217" i="234"/>
  <c r="J215" i="234"/>
  <c r="J214" i="234"/>
  <c r="J213" i="234"/>
  <c r="J212" i="234"/>
  <c r="J211" i="234"/>
  <c r="J210" i="234"/>
  <c r="J209" i="234"/>
  <c r="J208" i="234"/>
  <c r="J186" i="234"/>
  <c r="J184" i="234"/>
  <c r="J183" i="234"/>
  <c r="J181" i="234"/>
  <c r="J180" i="234"/>
  <c r="J179" i="234"/>
  <c r="J178" i="234"/>
  <c r="J176" i="234"/>
  <c r="J175" i="234"/>
  <c r="J174" i="234"/>
  <c r="J173" i="234"/>
  <c r="J172" i="234"/>
  <c r="J171" i="234"/>
  <c r="J170" i="234"/>
  <c r="J169" i="234"/>
  <c r="J147" i="234"/>
  <c r="J145" i="234"/>
  <c r="J144" i="234"/>
  <c r="J142" i="234"/>
  <c r="J141" i="234"/>
  <c r="J140" i="234"/>
  <c r="J139" i="234"/>
  <c r="J137" i="234"/>
  <c r="J136" i="234"/>
  <c r="J135" i="234"/>
  <c r="J134" i="234"/>
  <c r="J133" i="234"/>
  <c r="J132" i="234"/>
  <c r="J131" i="234"/>
  <c r="J130" i="234"/>
  <c r="J107" i="234"/>
  <c r="J106" i="234"/>
  <c r="J105" i="234"/>
  <c r="J103" i="234"/>
  <c r="J102" i="234"/>
  <c r="J101" i="234"/>
  <c r="J100" i="234"/>
  <c r="J98" i="234"/>
  <c r="J97" i="234"/>
  <c r="J96" i="234"/>
  <c r="J95" i="234"/>
  <c r="J94" i="234"/>
  <c r="J93" i="234"/>
  <c r="J92" i="234"/>
  <c r="J91" i="234"/>
  <c r="B452" i="232"/>
  <c r="C452" i="232"/>
  <c r="E452" i="232"/>
  <c r="B453" i="232"/>
  <c r="C453" i="232"/>
  <c r="E453" i="232"/>
  <c r="B448" i="232"/>
  <c r="C448" i="232"/>
  <c r="E448" i="232"/>
  <c r="B449" i="232"/>
  <c r="C449" i="232"/>
  <c r="E449" i="232"/>
  <c r="B450" i="232"/>
  <c r="C450" i="232"/>
  <c r="E450" i="232"/>
  <c r="B451" i="232"/>
  <c r="C451" i="232"/>
  <c r="E451" i="232"/>
  <c r="L4674" i="234"/>
  <c r="J4674" i="234"/>
  <c r="C4669" i="234"/>
  <c r="B4669" i="234"/>
  <c r="C4668" i="234"/>
  <c r="B4668" i="234"/>
  <c r="I448" i="233"/>
  <c r="F43" i="233"/>
  <c r="F42" i="233"/>
  <c r="F41" i="233"/>
  <c r="AQ12" i="220"/>
  <c r="AQ28" i="220"/>
  <c r="AQ60" i="220"/>
  <c r="AQ54" i="220"/>
  <c r="J25" i="219"/>
  <c r="J27" i="219"/>
  <c r="F428" i="233"/>
  <c r="B4658" i="234"/>
  <c r="C4658" i="234"/>
  <c r="B4659" i="234"/>
  <c r="C4659" i="234"/>
  <c r="J4664" i="234"/>
  <c r="L4664" i="234"/>
  <c r="S4665" i="234"/>
  <c r="L4654" i="234"/>
  <c r="J4654" i="234"/>
  <c r="C4649" i="234"/>
  <c r="B4649" i="234"/>
  <c r="C4648" i="234"/>
  <c r="B4648" i="234"/>
  <c r="L4644" i="234"/>
  <c r="S4644" i="234"/>
  <c r="J4644" i="234"/>
  <c r="C4639" i="234"/>
  <c r="B4639" i="234"/>
  <c r="C4638" i="234"/>
  <c r="B4638" i="234"/>
  <c r="L4634" i="234"/>
  <c r="J4634" i="234"/>
  <c r="C4628" i="234"/>
  <c r="B4628" i="234"/>
  <c r="C4627" i="234"/>
  <c r="B4627" i="234"/>
  <c r="I443" i="233"/>
  <c r="I444" i="233"/>
  <c r="I445" i="233"/>
  <c r="I446" i="233"/>
  <c r="I447" i="233"/>
  <c r="I449" i="233"/>
  <c r="L4623" i="234"/>
  <c r="J4623" i="234"/>
  <c r="C4618" i="234"/>
  <c r="B4618" i="234"/>
  <c r="C4617" i="234"/>
  <c r="B4617" i="234"/>
  <c r="M712" i="234"/>
  <c r="M819" i="234"/>
  <c r="M820" i="234"/>
  <c r="M821" i="234"/>
  <c r="M822" i="234"/>
  <c r="M823" i="234"/>
  <c r="M824" i="234"/>
  <c r="M825" i="234"/>
  <c r="M826" i="234"/>
  <c r="M827" i="234"/>
  <c r="M817" i="234"/>
  <c r="M818" i="234"/>
  <c r="J124" i="234"/>
  <c r="L124" i="234"/>
  <c r="G30" i="219"/>
  <c r="B3" i="234"/>
  <c r="J248" i="218"/>
  <c r="M811" i="234"/>
  <c r="M812" i="234"/>
  <c r="M813" i="234"/>
  <c r="M814" i="234"/>
  <c r="M815" i="234"/>
  <c r="M816" i="234"/>
  <c r="AA223" i="218"/>
  <c r="AQ69" i="220"/>
  <c r="G28" i="219"/>
  <c r="N28" i="219"/>
  <c r="M810" i="234"/>
  <c r="M809" i="234"/>
  <c r="X240" i="218"/>
  <c r="O423" i="234"/>
  <c r="R423" i="234"/>
  <c r="O422" i="234"/>
  <c r="R422" i="234"/>
  <c r="G27" i="219"/>
  <c r="B447" i="232"/>
  <c r="C447" i="232"/>
  <c r="E447" i="232"/>
  <c r="B446" i="232"/>
  <c r="C446" i="232"/>
  <c r="E446" i="232"/>
  <c r="B445" i="232"/>
  <c r="C445" i="232"/>
  <c r="E445" i="232"/>
  <c r="B444" i="232"/>
  <c r="C444" i="232"/>
  <c r="E444" i="232"/>
  <c r="B443" i="232"/>
  <c r="C443" i="232"/>
  <c r="E443" i="232"/>
  <c r="L4613" i="234"/>
  <c r="S4614" i="234"/>
  <c r="C4608" i="234"/>
  <c r="B4608" i="234"/>
  <c r="C4607" i="234"/>
  <c r="B4607" i="234"/>
  <c r="L4603" i="234"/>
  <c r="J4603" i="234"/>
  <c r="C4598" i="234"/>
  <c r="B4598" i="234"/>
  <c r="C4597" i="234"/>
  <c r="B4597" i="234"/>
  <c r="L4593" i="234"/>
  <c r="S4593" i="234"/>
  <c r="J4593" i="234"/>
  <c r="C4588" i="234"/>
  <c r="B4588" i="234"/>
  <c r="C4587" i="234"/>
  <c r="B4587" i="234"/>
  <c r="L4583" i="234"/>
  <c r="C4578" i="234"/>
  <c r="B4578" i="234"/>
  <c r="C4577" i="234"/>
  <c r="B4577" i="234"/>
  <c r="L4573" i="234"/>
  <c r="S4574" i="234"/>
  <c r="J4573" i="234"/>
  <c r="C4568" i="234"/>
  <c r="B4568" i="234"/>
  <c r="C4567" i="234"/>
  <c r="B4567" i="234"/>
  <c r="K4833" i="234"/>
  <c r="M4834" i="234"/>
  <c r="I439" i="233"/>
  <c r="I440" i="233"/>
  <c r="I441" i="233"/>
  <c r="I438" i="233"/>
  <c r="J4302" i="234"/>
  <c r="F44" i="233"/>
  <c r="F40" i="233"/>
  <c r="F39" i="233"/>
  <c r="J533" i="234"/>
  <c r="F38" i="233"/>
  <c r="F35" i="233"/>
  <c r="O421" i="234"/>
  <c r="R421" i="234"/>
  <c r="Q420" i="234"/>
  <c r="R420" i="234"/>
  <c r="L4463" i="234"/>
  <c r="S4463" i="234"/>
  <c r="I19" i="233"/>
  <c r="Q419" i="234"/>
  <c r="R419" i="234"/>
  <c r="R418" i="234"/>
  <c r="I44" i="233"/>
  <c r="M808" i="234"/>
  <c r="M807" i="234"/>
  <c r="M805" i="234"/>
  <c r="M806" i="234"/>
  <c r="M803" i="234"/>
  <c r="M800" i="234"/>
  <c r="M801" i="234"/>
  <c r="M802" i="234"/>
  <c r="M796" i="234"/>
  <c r="M797" i="234"/>
  <c r="M798" i="234"/>
  <c r="M795" i="234"/>
  <c r="M799" i="234"/>
  <c r="M786" i="234"/>
  <c r="M787" i="234"/>
  <c r="M788" i="234"/>
  <c r="M789" i="234"/>
  <c r="M790" i="234"/>
  <c r="M791" i="234"/>
  <c r="M792" i="234"/>
  <c r="M793" i="234"/>
  <c r="M794" i="234"/>
  <c r="M804" i="234"/>
  <c r="M785" i="234"/>
  <c r="M784" i="234"/>
  <c r="M783" i="234"/>
  <c r="M782" i="234"/>
  <c r="M781" i="234"/>
  <c r="M711" i="234"/>
  <c r="M710" i="234"/>
  <c r="L709" i="234"/>
  <c r="M708" i="234"/>
  <c r="M706" i="234"/>
  <c r="M707" i="234"/>
  <c r="M705" i="234"/>
  <c r="M704" i="234"/>
  <c r="M703" i="234"/>
  <c r="M702" i="234"/>
  <c r="M780" i="234"/>
  <c r="M779" i="234"/>
  <c r="R4177" i="234"/>
  <c r="Q417" i="234"/>
  <c r="Q416" i="234"/>
  <c r="O417" i="234"/>
  <c r="O416" i="234"/>
  <c r="B440" i="232"/>
  <c r="C440" i="232"/>
  <c r="E440" i="232"/>
  <c r="B441" i="232"/>
  <c r="C441" i="232"/>
  <c r="E441" i="232"/>
  <c r="B442" i="232"/>
  <c r="C442" i="232"/>
  <c r="E442" i="232"/>
  <c r="E439" i="232"/>
  <c r="C439" i="232"/>
  <c r="B439" i="232"/>
  <c r="B437" i="232"/>
  <c r="C438" i="232"/>
  <c r="B438" i="232"/>
  <c r="B435" i="232"/>
  <c r="O415" i="234"/>
  <c r="R415" i="234"/>
  <c r="O414" i="234"/>
  <c r="R414" i="234"/>
  <c r="R413" i="234"/>
  <c r="O434" i="233"/>
  <c r="R4176" i="234"/>
  <c r="O872" i="234"/>
  <c r="L4563" i="234"/>
  <c r="S4564" i="234"/>
  <c r="C4558" i="234"/>
  <c r="B4558" i="234"/>
  <c r="C4557" i="234"/>
  <c r="B4557" i="234"/>
  <c r="L4553" i="234"/>
  <c r="S4555" i="234"/>
  <c r="J4553" i="234"/>
  <c r="C4539" i="234"/>
  <c r="B4539" i="234"/>
  <c r="C4538" i="234"/>
  <c r="B4538" i="234"/>
  <c r="L4534" i="234"/>
  <c r="S4535" i="234"/>
  <c r="J4534" i="234"/>
  <c r="C4468" i="234"/>
  <c r="B4468" i="234"/>
  <c r="C4467" i="234"/>
  <c r="B4467" i="234"/>
  <c r="C4390" i="234"/>
  <c r="B4390" i="234"/>
  <c r="C4389" i="234"/>
  <c r="B4389" i="234"/>
  <c r="I436" i="233"/>
  <c r="I437" i="233"/>
  <c r="I431" i="233"/>
  <c r="I432" i="233"/>
  <c r="G431" i="233"/>
  <c r="G432" i="233"/>
  <c r="M778" i="234"/>
  <c r="M777" i="234"/>
  <c r="M776" i="234"/>
  <c r="M775" i="234"/>
  <c r="M774" i="234"/>
  <c r="A1" i="223"/>
  <c r="E1" i="223"/>
  <c r="A34" i="223"/>
  <c r="M762" i="234"/>
  <c r="M760" i="234"/>
  <c r="M761" i="234"/>
  <c r="M763" i="234"/>
  <c r="M765" i="234"/>
  <c r="M766" i="234"/>
  <c r="M769" i="234"/>
  <c r="M770" i="234"/>
  <c r="M771" i="234"/>
  <c r="M772" i="234"/>
  <c r="M764" i="234"/>
  <c r="M767" i="234"/>
  <c r="M768" i="234"/>
  <c r="M773" i="234"/>
  <c r="I28" i="233"/>
  <c r="I37" i="233"/>
  <c r="I38" i="233"/>
  <c r="I39" i="233"/>
  <c r="I41" i="233"/>
  <c r="I42" i="233"/>
  <c r="I43" i="233"/>
  <c r="I45" i="233"/>
  <c r="I46" i="233"/>
  <c r="I47" i="233"/>
  <c r="I35" i="233"/>
  <c r="I20" i="233"/>
  <c r="I21" i="233"/>
  <c r="I22" i="233"/>
  <c r="I18" i="233"/>
  <c r="M758" i="234"/>
  <c r="M757" i="234"/>
  <c r="M751" i="234"/>
  <c r="M750" i="234"/>
  <c r="M749" i="234"/>
  <c r="M748" i="234"/>
  <c r="M752" i="234"/>
  <c r="M753" i="234"/>
  <c r="M754" i="234"/>
  <c r="M755" i="234"/>
  <c r="M756" i="234"/>
  <c r="M747" i="234"/>
  <c r="M746" i="234"/>
  <c r="M744" i="234"/>
  <c r="M745" i="234"/>
  <c r="M743" i="234"/>
  <c r="M742" i="234"/>
  <c r="M741" i="234"/>
  <c r="M740" i="234"/>
  <c r="M739" i="234"/>
  <c r="M737" i="234"/>
  <c r="M738" i="234"/>
  <c r="M736" i="234"/>
  <c r="M735" i="234"/>
  <c r="M734" i="234"/>
  <c r="M733" i="234"/>
  <c r="M728" i="234"/>
  <c r="M722" i="234"/>
  <c r="M732" i="234"/>
  <c r="M731" i="234"/>
  <c r="M730" i="234"/>
  <c r="M725" i="234"/>
  <c r="M726" i="234"/>
  <c r="M727" i="234"/>
  <c r="M729" i="234"/>
  <c r="M724" i="234"/>
  <c r="M723" i="234"/>
  <c r="Y172" i="218"/>
  <c r="N651" i="234"/>
  <c r="N600" i="234"/>
  <c r="A23" i="222"/>
  <c r="E1" i="222"/>
  <c r="A1" i="222"/>
  <c r="AD154" i="218"/>
  <c r="AD217" i="218"/>
  <c r="AD290" i="218"/>
  <c r="AD353" i="218"/>
  <c r="AD418" i="218"/>
  <c r="AD484" i="218"/>
  <c r="AD550" i="218"/>
  <c r="AD616" i="218"/>
  <c r="AD682" i="218"/>
  <c r="C524" i="234"/>
  <c r="X524" i="234"/>
  <c r="C525" i="234"/>
  <c r="C513" i="234"/>
  <c r="X513" i="234"/>
  <c r="C514" i="234"/>
  <c r="X288" i="234"/>
  <c r="X262" i="234"/>
  <c r="X261" i="234"/>
  <c r="X260" i="234"/>
  <c r="X259" i="234"/>
  <c r="G15" i="219"/>
  <c r="K15" i="219"/>
  <c r="R871" i="234"/>
  <c r="R873" i="234"/>
  <c r="M721" i="234"/>
  <c r="M720" i="234"/>
  <c r="N515" i="234"/>
  <c r="M515" i="234"/>
  <c r="I33" i="233"/>
  <c r="I34" i="233"/>
  <c r="I48" i="233"/>
  <c r="I406" i="233"/>
  <c r="R411" i="234"/>
  <c r="O408" i="233"/>
  <c r="O401" i="233"/>
  <c r="O400" i="233"/>
  <c r="O366" i="233"/>
  <c r="O343" i="233"/>
  <c r="O326" i="233"/>
  <c r="O318" i="233"/>
  <c r="O306" i="233"/>
  <c r="O298" i="233"/>
  <c r="O285" i="233"/>
  <c r="O267" i="233"/>
  <c r="O233" i="233"/>
  <c r="O229" i="233"/>
  <c r="O225" i="233"/>
  <c r="O224" i="233"/>
  <c r="O221" i="233"/>
  <c r="O211" i="233"/>
  <c r="O206" i="233"/>
  <c r="O205" i="233"/>
  <c r="O203" i="233"/>
  <c r="O195" i="233"/>
  <c r="O179" i="233"/>
  <c r="O149" i="233"/>
  <c r="O137" i="233"/>
  <c r="O125" i="233"/>
  <c r="O115" i="233"/>
  <c r="O112" i="233"/>
  <c r="O104" i="233"/>
  <c r="O93" i="233"/>
  <c r="O76" i="233"/>
  <c r="R4175" i="234"/>
  <c r="C217" i="232"/>
  <c r="B217" i="232"/>
  <c r="C235" i="232"/>
  <c r="B235" i="232"/>
  <c r="I27" i="233"/>
  <c r="I30" i="233"/>
  <c r="Y173" i="218"/>
  <c r="K281" i="218"/>
  <c r="U270" i="218"/>
  <c r="K270" i="218"/>
  <c r="U271" i="218"/>
  <c r="P264" i="218"/>
  <c r="P265" i="218"/>
  <c r="P258" i="218"/>
  <c r="P259" i="218"/>
  <c r="H248" i="218"/>
  <c r="F248" i="218"/>
  <c r="AD240" i="218"/>
  <c r="AB240" i="218"/>
  <c r="Z240" i="218"/>
  <c r="V240" i="218"/>
  <c r="T240" i="218"/>
  <c r="R240" i="218"/>
  <c r="P240" i="218"/>
  <c r="N240" i="218"/>
  <c r="L240" i="218"/>
  <c r="J240" i="218"/>
  <c r="H240" i="218"/>
  <c r="F240" i="218"/>
  <c r="AD232" i="218"/>
  <c r="AB232" i="218"/>
  <c r="Z232" i="218"/>
  <c r="X232" i="218"/>
  <c r="V232" i="218"/>
  <c r="T232" i="218"/>
  <c r="R232" i="218"/>
  <c r="P232" i="218"/>
  <c r="N232" i="218"/>
  <c r="L232" i="218"/>
  <c r="J232" i="218"/>
  <c r="H232" i="218"/>
  <c r="F232" i="218"/>
  <c r="R409" i="234"/>
  <c r="O864" i="234"/>
  <c r="O410" i="234"/>
  <c r="R410" i="234"/>
  <c r="O857" i="234"/>
  <c r="R857" i="234"/>
  <c r="R858" i="234"/>
  <c r="B436" i="232"/>
  <c r="B434" i="232"/>
  <c r="B433" i="232"/>
  <c r="B432" i="232"/>
  <c r="B431" i="232"/>
  <c r="B430" i="232"/>
  <c r="B429" i="232"/>
  <c r="B428" i="232"/>
  <c r="B427" i="232"/>
  <c r="B426" i="232"/>
  <c r="B425" i="232"/>
  <c r="B424" i="232"/>
  <c r="B421" i="232"/>
  <c r="B420" i="232"/>
  <c r="B419" i="232"/>
  <c r="B418" i="232"/>
  <c r="B417" i="232"/>
  <c r="B416" i="232"/>
  <c r="B415" i="232"/>
  <c r="B413" i="232"/>
  <c r="B412" i="232"/>
  <c r="B411" i="232"/>
  <c r="B410" i="232"/>
  <c r="B409" i="232"/>
  <c r="B408" i="232"/>
  <c r="B405" i="232"/>
  <c r="B404" i="232"/>
  <c r="B403" i="232"/>
  <c r="B402" i="232"/>
  <c r="B401" i="232"/>
  <c r="B400" i="232"/>
  <c r="B399" i="232"/>
  <c r="B398" i="232"/>
  <c r="B397" i="232"/>
  <c r="B396" i="232"/>
  <c r="B395" i="232"/>
  <c r="B394" i="232"/>
  <c r="B393" i="232"/>
  <c r="B392" i="232"/>
  <c r="B391" i="232"/>
  <c r="B390" i="232"/>
  <c r="B389" i="232"/>
  <c r="B388" i="232"/>
  <c r="B387" i="232"/>
  <c r="B386" i="232"/>
  <c r="B385" i="232"/>
  <c r="B384" i="232"/>
  <c r="B383" i="232"/>
  <c r="B382" i="232"/>
  <c r="B381" i="232"/>
  <c r="B380" i="232"/>
  <c r="B379" i="232"/>
  <c r="B378" i="232"/>
  <c r="B377" i="232"/>
  <c r="B376" i="232"/>
  <c r="B375" i="232"/>
  <c r="B374" i="232"/>
  <c r="B373" i="232"/>
  <c r="B371" i="232"/>
  <c r="B370" i="232"/>
  <c r="B369" i="232"/>
  <c r="B368" i="232"/>
  <c r="B367" i="232"/>
  <c r="B366" i="232"/>
  <c r="B365" i="232"/>
  <c r="B364" i="232"/>
  <c r="B363" i="232"/>
  <c r="B362" i="232"/>
  <c r="B361" i="232"/>
  <c r="B360" i="232"/>
  <c r="B359" i="232"/>
  <c r="B358" i="232"/>
  <c r="B357" i="232"/>
  <c r="B356" i="232"/>
  <c r="B355" i="232"/>
  <c r="B354" i="232"/>
  <c r="B353" i="232"/>
  <c r="B352" i="232"/>
  <c r="B351" i="232"/>
  <c r="B350" i="232"/>
  <c r="B348" i="232"/>
  <c r="B347" i="232"/>
  <c r="B346" i="232"/>
  <c r="B345" i="232"/>
  <c r="B344" i="232"/>
  <c r="B343" i="232"/>
  <c r="B342" i="232"/>
  <c r="B341" i="232"/>
  <c r="B340" i="232"/>
  <c r="B339" i="232"/>
  <c r="B338" i="232"/>
  <c r="B337" i="232"/>
  <c r="B336" i="232"/>
  <c r="B335" i="232"/>
  <c r="B334" i="232"/>
  <c r="B333" i="232"/>
  <c r="B331" i="232"/>
  <c r="B330" i="232"/>
  <c r="B329" i="232"/>
  <c r="B328" i="232"/>
  <c r="B327" i="232"/>
  <c r="B326" i="232"/>
  <c r="B325" i="232"/>
  <c r="B323" i="232"/>
  <c r="B322" i="232"/>
  <c r="B321" i="232"/>
  <c r="B320" i="232"/>
  <c r="B319" i="232"/>
  <c r="B318" i="232"/>
  <c r="B317" i="232"/>
  <c r="B316" i="232"/>
  <c r="B315" i="232"/>
  <c r="B314" i="232"/>
  <c r="B313" i="232"/>
  <c r="B311" i="232"/>
  <c r="B310" i="232"/>
  <c r="B309" i="232"/>
  <c r="B308" i="232"/>
  <c r="B307" i="232"/>
  <c r="B306" i="232"/>
  <c r="B305" i="232"/>
  <c r="B303" i="232"/>
  <c r="B302" i="232"/>
  <c r="B301" i="232"/>
  <c r="B300" i="232"/>
  <c r="B299" i="232"/>
  <c r="B298" i="232"/>
  <c r="B297" i="232"/>
  <c r="B296" i="232"/>
  <c r="B295" i="232"/>
  <c r="B294" i="232"/>
  <c r="B293" i="232"/>
  <c r="B292" i="232"/>
  <c r="B290" i="232"/>
  <c r="B289" i="232"/>
  <c r="B288" i="232"/>
  <c r="B287" i="232"/>
  <c r="B286" i="232"/>
  <c r="B285" i="232"/>
  <c r="B284" i="232"/>
  <c r="B283" i="232"/>
  <c r="B282" i="232"/>
  <c r="B281" i="232"/>
  <c r="B280" i="232"/>
  <c r="B279" i="232"/>
  <c r="B278" i="232"/>
  <c r="B277" i="232"/>
  <c r="B276" i="232"/>
  <c r="B275" i="232"/>
  <c r="B274" i="232"/>
  <c r="B272" i="232"/>
  <c r="B271" i="232"/>
  <c r="B270" i="232"/>
  <c r="B269" i="232"/>
  <c r="B268" i="232"/>
  <c r="B267" i="232"/>
  <c r="B266" i="232"/>
  <c r="B265" i="232"/>
  <c r="B264" i="232"/>
  <c r="B263" i="232"/>
  <c r="B262" i="232"/>
  <c r="B261" i="232"/>
  <c r="B260" i="232"/>
  <c r="B259" i="232"/>
  <c r="B258" i="232"/>
  <c r="B257" i="232"/>
  <c r="B256" i="232"/>
  <c r="B255" i="232"/>
  <c r="B254" i="232"/>
  <c r="B253" i="232"/>
  <c r="B252" i="232"/>
  <c r="B251" i="232"/>
  <c r="B250" i="232"/>
  <c r="B249" i="232"/>
  <c r="B248" i="232"/>
  <c r="B247" i="232"/>
  <c r="B246" i="232"/>
  <c r="B245" i="232"/>
  <c r="B244" i="232"/>
  <c r="B243" i="232"/>
  <c r="B242" i="232"/>
  <c r="B241" i="232"/>
  <c r="B240" i="232"/>
  <c r="B238" i="232"/>
  <c r="B237" i="232"/>
  <c r="B236" i="232"/>
  <c r="B234" i="232"/>
  <c r="B233" i="232"/>
  <c r="B232" i="232"/>
  <c r="B229" i="232"/>
  <c r="B228" i="232"/>
  <c r="B226" i="232"/>
  <c r="B225" i="232"/>
  <c r="B224" i="232"/>
  <c r="B223" i="232"/>
  <c r="B222" i="232"/>
  <c r="B221" i="232"/>
  <c r="B220" i="232"/>
  <c r="B219" i="232"/>
  <c r="B218" i="232"/>
  <c r="B216" i="232"/>
  <c r="B215" i="232"/>
  <c r="B214" i="232"/>
  <c r="B213" i="232"/>
  <c r="B210" i="232"/>
  <c r="B208" i="232"/>
  <c r="B207" i="232"/>
  <c r="B206" i="232"/>
  <c r="B205" i="232"/>
  <c r="B204" i="232"/>
  <c r="B203" i="232"/>
  <c r="B202" i="232"/>
  <c r="B200" i="232"/>
  <c r="B199" i="232"/>
  <c r="B198" i="232"/>
  <c r="B197" i="232"/>
  <c r="B196" i="232"/>
  <c r="B195" i="232"/>
  <c r="B194" i="232"/>
  <c r="B193" i="232"/>
  <c r="B192" i="232"/>
  <c r="B191" i="232"/>
  <c r="B190" i="232"/>
  <c r="B189" i="232"/>
  <c r="B188" i="232"/>
  <c r="B187" i="232"/>
  <c r="B186" i="232"/>
  <c r="B184" i="232"/>
  <c r="B183" i="232"/>
  <c r="B182" i="232"/>
  <c r="B181" i="232"/>
  <c r="B180" i="232"/>
  <c r="B179" i="232"/>
  <c r="B178" i="232"/>
  <c r="B177" i="232"/>
  <c r="B176" i="232"/>
  <c r="B175" i="232"/>
  <c r="B174" i="232"/>
  <c r="B173" i="232"/>
  <c r="B172" i="232"/>
  <c r="B171" i="232"/>
  <c r="B170" i="232"/>
  <c r="B169" i="232"/>
  <c r="B168" i="232"/>
  <c r="B167" i="232"/>
  <c r="B166" i="232"/>
  <c r="B165" i="232"/>
  <c r="B164" i="232"/>
  <c r="B163" i="232"/>
  <c r="B162" i="232"/>
  <c r="B161" i="232"/>
  <c r="B160" i="232"/>
  <c r="B159" i="232"/>
  <c r="B158" i="232"/>
  <c r="B157" i="232"/>
  <c r="B156" i="232"/>
  <c r="B154" i="232"/>
  <c r="B153" i="232"/>
  <c r="B152" i="232"/>
  <c r="B151" i="232"/>
  <c r="B150" i="232"/>
  <c r="B149" i="232"/>
  <c r="B148" i="232"/>
  <c r="B147" i="232"/>
  <c r="B146" i="232"/>
  <c r="B145" i="232"/>
  <c r="B144" i="232"/>
  <c r="B142" i="232"/>
  <c r="B141" i="232"/>
  <c r="B140" i="232"/>
  <c r="B139" i="232"/>
  <c r="B138" i="232"/>
  <c r="B137" i="232"/>
  <c r="B136" i="232"/>
  <c r="B135" i="232"/>
  <c r="B134" i="232"/>
  <c r="B133" i="232"/>
  <c r="B132" i="232"/>
  <c r="B130" i="232"/>
  <c r="B129" i="232"/>
  <c r="B128" i="232"/>
  <c r="B127" i="232"/>
  <c r="B126" i="232"/>
  <c r="B125" i="232"/>
  <c r="B124" i="232"/>
  <c r="B123" i="232"/>
  <c r="B122" i="232"/>
  <c r="B120" i="232"/>
  <c r="B119" i="232"/>
  <c r="B117" i="232"/>
  <c r="B116" i="232"/>
  <c r="B115" i="232"/>
  <c r="B114" i="232"/>
  <c r="B113" i="232"/>
  <c r="B112" i="232"/>
  <c r="B111" i="232"/>
  <c r="B109" i="232"/>
  <c r="B108" i="232"/>
  <c r="B107" i="232"/>
  <c r="B106" i="232"/>
  <c r="B105" i="232"/>
  <c r="B104" i="232"/>
  <c r="B103" i="232"/>
  <c r="B102" i="232"/>
  <c r="B101" i="232"/>
  <c r="B100" i="232"/>
  <c r="B98" i="232"/>
  <c r="B97" i="232"/>
  <c r="B96" i="232"/>
  <c r="B95" i="232"/>
  <c r="B94" i="232"/>
  <c r="B93" i="232"/>
  <c r="B92" i="232"/>
  <c r="B91" i="232"/>
  <c r="B90" i="232"/>
  <c r="B89" i="232"/>
  <c r="B88" i="232"/>
  <c r="B87" i="232"/>
  <c r="B86" i="232"/>
  <c r="B85" i="232"/>
  <c r="B84" i="232"/>
  <c r="B83" i="232"/>
  <c r="B81" i="232"/>
  <c r="B80" i="232"/>
  <c r="B79" i="232"/>
  <c r="B78" i="232"/>
  <c r="B77" i="232"/>
  <c r="B76" i="232"/>
  <c r="B75" i="232"/>
  <c r="B74" i="232"/>
  <c r="B73" i="232"/>
  <c r="B72" i="232"/>
  <c r="B71" i="232"/>
  <c r="B70" i="232"/>
  <c r="B69" i="232"/>
  <c r="B68" i="232"/>
  <c r="B66" i="232"/>
  <c r="B65" i="232"/>
  <c r="B64" i="232"/>
  <c r="B63" i="232"/>
  <c r="B62" i="232"/>
  <c r="B59" i="232"/>
  <c r="B58" i="232"/>
  <c r="B57" i="232"/>
  <c r="B56" i="232"/>
  <c r="B54" i="232"/>
  <c r="B53" i="232"/>
  <c r="B52" i="232"/>
  <c r="B51" i="232"/>
  <c r="B50" i="232"/>
  <c r="B49" i="232"/>
  <c r="B48" i="232"/>
  <c r="B45" i="232"/>
  <c r="B44" i="232"/>
  <c r="B43" i="232"/>
  <c r="B42" i="232"/>
  <c r="B41" i="232"/>
  <c r="B40" i="232"/>
  <c r="B39" i="232"/>
  <c r="B36" i="232"/>
  <c r="B34" i="232"/>
  <c r="B33" i="232"/>
  <c r="B29" i="232"/>
  <c r="B28" i="232"/>
  <c r="B27" i="232"/>
  <c r="B26" i="232"/>
  <c r="B25" i="232"/>
  <c r="B23" i="232"/>
  <c r="B22" i="232"/>
  <c r="B21" i="232"/>
  <c r="B20" i="232"/>
  <c r="B19" i="232"/>
  <c r="B18" i="232"/>
  <c r="B17" i="232"/>
  <c r="N503" i="234"/>
  <c r="R503" i="234"/>
  <c r="N504" i="234"/>
  <c r="R504" i="234"/>
  <c r="N502" i="234"/>
  <c r="R502" i="234"/>
  <c r="C2245" i="234"/>
  <c r="B2245" i="234"/>
  <c r="C2095" i="234"/>
  <c r="C2094" i="234"/>
  <c r="B2094" i="234"/>
  <c r="R2141" i="234"/>
  <c r="R2221" i="234"/>
  <c r="R1820" i="234"/>
  <c r="R1860" i="234"/>
  <c r="R1890" i="234"/>
  <c r="R1980" i="234"/>
  <c r="R2020" i="234"/>
  <c r="C1803" i="234"/>
  <c r="B1803" i="234"/>
  <c r="R1719" i="234"/>
  <c r="R1759" i="234"/>
  <c r="R1608" i="234"/>
  <c r="R1648" i="234"/>
  <c r="R1688" i="234"/>
  <c r="R1497" i="234"/>
  <c r="R1577" i="234"/>
  <c r="R1415" i="234"/>
  <c r="R1324" i="234"/>
  <c r="R1173" i="234"/>
  <c r="R1183" i="234"/>
  <c r="R1213" i="234"/>
  <c r="R1002" i="234"/>
  <c r="R1032" i="234"/>
  <c r="R1122" i="234"/>
  <c r="R2302" i="234"/>
  <c r="R2323" i="234"/>
  <c r="R2467" i="234"/>
  <c r="R2601" i="234"/>
  <c r="R2631" i="234"/>
  <c r="R2681" i="234"/>
  <c r="R2721" i="234"/>
  <c r="R2761" i="234"/>
  <c r="R2801" i="234"/>
  <c r="R2952" i="234"/>
  <c r="R2992" i="234"/>
  <c r="R3002" i="234"/>
  <c r="R3032" i="234"/>
  <c r="R3083" i="234"/>
  <c r="R3245" i="234"/>
  <c r="R3285" i="234"/>
  <c r="R3315" i="234"/>
  <c r="R3366" i="234"/>
  <c r="R3406" i="234"/>
  <c r="R3416" i="234"/>
  <c r="R3477" i="234"/>
  <c r="R3517" i="234"/>
  <c r="R3537" i="234"/>
  <c r="R3608" i="234"/>
  <c r="R3638" i="234"/>
  <c r="R3648" i="234"/>
  <c r="R3688" i="234"/>
  <c r="R3698" i="234"/>
  <c r="R3708" i="234"/>
  <c r="R3728" i="234"/>
  <c r="R3748" i="234"/>
  <c r="R3758" i="234"/>
  <c r="R3768" i="234"/>
  <c r="R3809" i="234"/>
  <c r="R3929" i="234"/>
  <c r="R3939" i="234"/>
  <c r="R3999" i="234"/>
  <c r="R4099" i="234"/>
  <c r="R4118" i="234"/>
  <c r="R4127" i="234"/>
  <c r="R4159" i="234"/>
  <c r="R4169" i="234"/>
  <c r="R4220" i="234"/>
  <c r="R4260" i="234"/>
  <c r="R4302" i="234"/>
  <c r="R4312" i="234"/>
  <c r="R4322" i="234"/>
  <c r="R4342" i="234"/>
  <c r="R4352" i="234"/>
  <c r="R914" i="234"/>
  <c r="R297" i="234"/>
  <c r="R14" i="234"/>
  <c r="R24" i="234"/>
  <c r="R34" i="234"/>
  <c r="R44" i="234"/>
  <c r="R54" i="234"/>
  <c r="R64" i="234"/>
  <c r="R74" i="234"/>
  <c r="R85" i="234"/>
  <c r="R253" i="234"/>
  <c r="R304" i="234"/>
  <c r="R494" i="234"/>
  <c r="R496" i="234"/>
  <c r="R865" i="234"/>
  <c r="R883" i="234"/>
  <c r="R894" i="234"/>
  <c r="R904" i="234"/>
  <c r="R924" i="234"/>
  <c r="R939" i="234"/>
  <c r="R949" i="234"/>
  <c r="R958" i="234"/>
  <c r="R979" i="234"/>
  <c r="R991" i="234"/>
  <c r="R1012" i="234"/>
  <c r="R1022" i="234"/>
  <c r="R1042" i="234"/>
  <c r="R1052" i="234"/>
  <c r="R1062" i="234"/>
  <c r="R1072" i="234"/>
  <c r="R1082" i="234"/>
  <c r="R1092" i="234"/>
  <c r="R1102" i="234"/>
  <c r="R1112" i="234"/>
  <c r="R1132" i="234"/>
  <c r="R1143" i="234"/>
  <c r="R1153" i="234"/>
  <c r="R1163" i="234"/>
  <c r="R1193" i="234"/>
  <c r="R1203" i="234"/>
  <c r="R1223" i="234"/>
  <c r="R1233" i="234"/>
  <c r="R1243" i="234"/>
  <c r="R1253" i="234"/>
  <c r="R1263" i="234"/>
  <c r="R1273" i="234"/>
  <c r="R1283" i="234"/>
  <c r="R1293" i="234"/>
  <c r="R1304" i="234"/>
  <c r="R1314" i="234"/>
  <c r="R1334" i="234"/>
  <c r="R1344" i="234"/>
  <c r="R1354" i="234"/>
  <c r="R1364" i="234"/>
  <c r="R1374" i="234"/>
  <c r="R1384" i="234"/>
  <c r="R1394" i="234"/>
  <c r="R1405" i="234"/>
  <c r="R1425" i="234"/>
  <c r="R1435" i="234"/>
  <c r="R1445" i="234"/>
  <c r="R1455" i="234"/>
  <c r="R1465" i="234"/>
  <c r="R1476" i="234"/>
  <c r="R1486" i="234"/>
  <c r="R1507" i="234"/>
  <c r="R1517" i="234"/>
  <c r="R1527" i="234"/>
  <c r="R1537" i="234"/>
  <c r="R1547" i="234"/>
  <c r="R1557" i="234"/>
  <c r="R1567" i="234"/>
  <c r="R1588" i="234"/>
  <c r="R1598" i="234"/>
  <c r="R1618" i="234"/>
  <c r="R1628" i="234"/>
  <c r="R1638" i="234"/>
  <c r="R1658" i="234"/>
  <c r="R1668" i="234"/>
  <c r="R1678" i="234"/>
  <c r="R1699" i="234"/>
  <c r="R1709" i="234"/>
  <c r="R1729" i="234"/>
  <c r="R1739" i="234"/>
  <c r="R1749" i="234"/>
  <c r="R1769" i="234"/>
  <c r="R1779" i="234"/>
  <c r="R1789" i="234"/>
  <c r="R1799" i="234"/>
  <c r="R1810" i="234"/>
  <c r="R1830" i="234"/>
  <c r="R1840" i="234"/>
  <c r="R1850" i="234"/>
  <c r="R1870" i="234"/>
  <c r="R1880" i="234"/>
  <c r="R1900" i="234"/>
  <c r="R1910" i="234"/>
  <c r="R1920" i="234"/>
  <c r="R1930" i="234"/>
  <c r="R1940" i="234"/>
  <c r="R1950" i="234"/>
  <c r="R1960" i="234"/>
  <c r="R1970" i="234"/>
  <c r="R1990" i="234"/>
  <c r="R2000" i="234"/>
  <c r="R2010" i="234"/>
  <c r="R2030" i="234"/>
  <c r="R2040" i="234"/>
  <c r="R2050" i="234"/>
  <c r="R2060" i="234"/>
  <c r="R2070" i="234"/>
  <c r="R2080" i="234"/>
  <c r="R2090" i="234"/>
  <c r="R2101" i="234"/>
  <c r="R2111" i="234"/>
  <c r="R2121" i="234"/>
  <c r="R2181" i="234"/>
  <c r="R2191" i="234"/>
  <c r="R2201" i="234"/>
  <c r="R2231" i="234"/>
  <c r="R2252" i="234"/>
  <c r="R2262" i="234"/>
  <c r="R2272" i="234"/>
  <c r="R2282" i="234"/>
  <c r="R2292" i="234"/>
  <c r="R2312" i="234"/>
  <c r="R2335" i="234"/>
  <c r="R2345" i="234"/>
  <c r="R2355" i="234"/>
  <c r="R2365" i="234"/>
  <c r="R2376" i="234"/>
  <c r="R2386" i="234"/>
  <c r="R2396" i="234"/>
  <c r="R2406" i="234"/>
  <c r="R2416" i="234"/>
  <c r="R2426" i="234"/>
  <c r="R2436" i="234"/>
  <c r="R2446" i="234"/>
  <c r="R2456" i="234"/>
  <c r="R2477" i="234"/>
  <c r="R2489" i="234"/>
  <c r="R2499" i="234"/>
  <c r="R2509" i="234"/>
  <c r="R2520" i="234"/>
  <c r="R2530" i="234"/>
  <c r="R2540" i="234"/>
  <c r="R2551" i="234"/>
  <c r="R2561" i="234"/>
  <c r="R2571" i="234"/>
  <c r="R2581" i="234"/>
  <c r="R2591" i="234"/>
  <c r="R2611" i="234"/>
  <c r="R2621" i="234"/>
  <c r="R2641" i="234"/>
  <c r="R2651" i="234"/>
  <c r="R2661" i="234"/>
  <c r="R2671" i="234"/>
  <c r="R2691" i="234"/>
  <c r="R2701" i="234"/>
  <c r="R2711" i="234"/>
  <c r="R2741" i="234"/>
  <c r="R2751" i="234"/>
  <c r="R2771" i="234"/>
  <c r="R2781" i="234"/>
  <c r="R2791" i="234"/>
  <c r="R2811" i="234"/>
  <c r="R2821" i="234"/>
  <c r="R2831" i="234"/>
  <c r="R2841" i="234"/>
  <c r="R2851" i="234"/>
  <c r="R2861" i="234"/>
  <c r="R2871" i="234"/>
  <c r="R2882" i="234"/>
  <c r="R2902" i="234"/>
  <c r="R2932" i="234"/>
  <c r="R2942" i="234"/>
  <c r="R2972" i="234"/>
  <c r="R2982" i="234"/>
  <c r="R3022" i="234"/>
  <c r="R3042" i="234"/>
  <c r="R3053" i="234"/>
  <c r="R3063" i="234"/>
  <c r="R3073" i="234"/>
  <c r="R3093" i="234"/>
  <c r="R3103" i="234"/>
  <c r="R3113" i="234"/>
  <c r="R3123" i="234"/>
  <c r="R3133" i="234"/>
  <c r="R3143" i="234"/>
  <c r="R3153" i="234"/>
  <c r="R3163" i="234"/>
  <c r="R3174" i="234"/>
  <c r="R3184" i="234"/>
  <c r="R3194" i="234"/>
  <c r="R3204" i="234"/>
  <c r="R3214" i="234"/>
  <c r="R3224" i="234"/>
  <c r="R3234" i="234"/>
  <c r="R3255" i="234"/>
  <c r="R3265" i="234"/>
  <c r="R3275" i="234"/>
  <c r="R3295" i="234"/>
  <c r="R3305" i="234"/>
  <c r="R3325" i="234"/>
  <c r="R3335" i="234"/>
  <c r="R3345" i="234"/>
  <c r="R3356" i="234"/>
  <c r="R3376" i="234"/>
  <c r="R3386" i="234"/>
  <c r="R3396" i="234"/>
  <c r="R3427" i="234"/>
  <c r="R3437" i="234"/>
  <c r="R3447" i="234"/>
  <c r="R3457" i="234"/>
  <c r="R3467" i="234"/>
  <c r="R3487" i="234"/>
  <c r="R3497" i="234"/>
  <c r="R3507" i="234"/>
  <c r="R3527" i="234"/>
  <c r="R3547" i="234"/>
  <c r="R3557" i="234"/>
  <c r="R3567" i="234"/>
  <c r="R3577" i="234"/>
  <c r="R3588" i="234"/>
  <c r="R3598" i="234"/>
  <c r="R3618" i="234"/>
  <c r="R3628" i="234"/>
  <c r="R3658" i="234"/>
  <c r="R3668" i="234"/>
  <c r="R3678" i="234"/>
  <c r="R3718" i="234"/>
  <c r="R3738" i="234"/>
  <c r="R3778" i="234"/>
  <c r="R3788" i="234"/>
  <c r="R3798" i="234"/>
  <c r="R3819" i="234"/>
  <c r="R3829" i="234"/>
  <c r="R3839" i="234"/>
  <c r="R3849" i="234"/>
  <c r="R3859" i="234"/>
  <c r="R3869" i="234"/>
  <c r="R3879" i="234"/>
  <c r="R3889" i="234"/>
  <c r="R3899" i="234"/>
  <c r="R3909" i="234"/>
  <c r="R3919" i="234"/>
  <c r="R3949" i="234"/>
  <c r="R3959" i="234"/>
  <c r="R3969" i="234"/>
  <c r="R3979" i="234"/>
  <c r="R3989" i="234"/>
  <c r="R4009" i="234"/>
  <c r="R4019" i="234"/>
  <c r="R4029" i="234"/>
  <c r="R4039" i="234"/>
  <c r="R4049" i="234"/>
  <c r="R4059" i="234"/>
  <c r="R4069" i="234"/>
  <c r="R4079" i="234"/>
  <c r="R4089" i="234"/>
  <c r="R4109" i="234"/>
  <c r="R4139" i="234"/>
  <c r="R4149" i="234"/>
  <c r="R4189" i="234"/>
  <c r="R4200" i="234"/>
  <c r="R4210" i="234"/>
  <c r="R4230" i="234"/>
  <c r="R4240" i="234"/>
  <c r="R4250" i="234"/>
  <c r="R4272" i="234"/>
  <c r="R4282" i="234"/>
  <c r="R4292" i="234"/>
  <c r="R4332" i="234"/>
  <c r="R4362" i="234"/>
  <c r="R4373" i="234"/>
  <c r="R4384" i="234"/>
  <c r="R2731" i="234"/>
  <c r="R3012" i="234"/>
  <c r="I422" i="233"/>
  <c r="L1445" i="234"/>
  <c r="J1445" i="234"/>
  <c r="C1440" i="234"/>
  <c r="B1440" i="234"/>
  <c r="C1439" i="234"/>
  <c r="B1439" i="234"/>
  <c r="C99" i="232"/>
  <c r="B99" i="232"/>
  <c r="C423" i="232"/>
  <c r="B423" i="232"/>
  <c r="C422" i="232"/>
  <c r="B422" i="232"/>
  <c r="C414" i="232"/>
  <c r="B414" i="232"/>
  <c r="C407" i="232"/>
  <c r="B407" i="232"/>
  <c r="E408" i="232"/>
  <c r="C408" i="232"/>
  <c r="C406" i="232"/>
  <c r="B406" i="232"/>
  <c r="E399" i="232"/>
  <c r="C399" i="232"/>
  <c r="E391" i="232"/>
  <c r="C391" i="232"/>
  <c r="E390" i="232"/>
  <c r="C390" i="232"/>
  <c r="C372" i="232"/>
  <c r="B372" i="232"/>
  <c r="E359" i="232"/>
  <c r="C359" i="232"/>
  <c r="C349" i="232"/>
  <c r="B349" i="232"/>
  <c r="E336" i="232"/>
  <c r="C336" i="232"/>
  <c r="C332" i="232"/>
  <c r="B332" i="232"/>
  <c r="C324" i="232"/>
  <c r="B324" i="232"/>
  <c r="E321" i="232"/>
  <c r="C321" i="232"/>
  <c r="C312" i="232"/>
  <c r="B312" i="232"/>
  <c r="E313" i="232"/>
  <c r="C313" i="232"/>
  <c r="C304" i="232"/>
  <c r="B304" i="232"/>
  <c r="E294" i="232"/>
  <c r="C294" i="232"/>
  <c r="C291" i="232"/>
  <c r="B291" i="232"/>
  <c r="E289" i="232"/>
  <c r="C289" i="232"/>
  <c r="E281" i="232"/>
  <c r="C281" i="232"/>
  <c r="C273" i="232"/>
  <c r="B273" i="232"/>
  <c r="E266" i="232"/>
  <c r="C266" i="232"/>
  <c r="C239" i="232"/>
  <c r="B239" i="232"/>
  <c r="C231" i="232"/>
  <c r="B231" i="232"/>
  <c r="C230" i="232"/>
  <c r="B230" i="232"/>
  <c r="C227" i="232"/>
  <c r="B227" i="232"/>
  <c r="E226" i="232"/>
  <c r="C226" i="232"/>
  <c r="E221" i="232"/>
  <c r="C221" i="232"/>
  <c r="E220" i="232"/>
  <c r="C220" i="232"/>
  <c r="E219" i="232"/>
  <c r="C219" i="232"/>
  <c r="E218" i="232"/>
  <c r="C218" i="232"/>
  <c r="G217" i="232"/>
  <c r="E216" i="232"/>
  <c r="C216" i="232"/>
  <c r="E215" i="232"/>
  <c r="C215" i="232"/>
  <c r="E214" i="232"/>
  <c r="C214" i="232"/>
  <c r="E213" i="232"/>
  <c r="C213" i="232"/>
  <c r="C212" i="232"/>
  <c r="B212" i="232"/>
  <c r="C211" i="232"/>
  <c r="B211" i="232"/>
  <c r="C209" i="232"/>
  <c r="B209" i="232"/>
  <c r="E210" i="232"/>
  <c r="C210" i="232"/>
  <c r="E204" i="232"/>
  <c r="C204" i="232"/>
  <c r="C201" i="232"/>
  <c r="B201" i="232"/>
  <c r="E190" i="232"/>
  <c r="C190" i="232"/>
  <c r="C185" i="232"/>
  <c r="B185" i="232"/>
  <c r="E161" i="232"/>
  <c r="C161" i="232"/>
  <c r="C155" i="232"/>
  <c r="B155" i="232"/>
  <c r="L1769" i="234"/>
  <c r="S1770" i="234"/>
  <c r="J1769" i="234"/>
  <c r="L1759" i="234"/>
  <c r="S1759" i="234"/>
  <c r="J1759" i="234"/>
  <c r="E151" i="232"/>
  <c r="C151" i="232"/>
  <c r="E150" i="232"/>
  <c r="C150" i="232"/>
  <c r="E149" i="232"/>
  <c r="C149" i="232"/>
  <c r="C143" i="232"/>
  <c r="B143" i="232"/>
  <c r="E135" i="232"/>
  <c r="C135" i="232"/>
  <c r="C131" i="232"/>
  <c r="B131" i="232"/>
  <c r="E125" i="232"/>
  <c r="C125" i="232"/>
  <c r="E124" i="232"/>
  <c r="C124" i="232"/>
  <c r="E123" i="232"/>
  <c r="C123" i="232"/>
  <c r="E122" i="232"/>
  <c r="C122" i="232"/>
  <c r="C118" i="232"/>
  <c r="B118" i="232"/>
  <c r="E114" i="232"/>
  <c r="C114" i="232"/>
  <c r="C110" i="232"/>
  <c r="B110" i="232"/>
  <c r="E103" i="232"/>
  <c r="C103" i="232"/>
  <c r="C84" i="232"/>
  <c r="E84" i="232"/>
  <c r="C82" i="232"/>
  <c r="C83" i="232"/>
  <c r="E69" i="232"/>
  <c r="E68" i="232"/>
  <c r="C69" i="232"/>
  <c r="C68" i="232"/>
  <c r="C67" i="232"/>
  <c r="B67" i="232"/>
  <c r="C61" i="232"/>
  <c r="B61" i="232"/>
  <c r="B60" i="232"/>
  <c r="C56" i="232"/>
  <c r="C55" i="232"/>
  <c r="B55" i="232"/>
  <c r="C66" i="232"/>
  <c r="C65" i="232"/>
  <c r="C64" i="232"/>
  <c r="C63" i="232"/>
  <c r="C62" i="232"/>
  <c r="E56" i="232"/>
  <c r="E49" i="232"/>
  <c r="C49" i="232"/>
  <c r="C38" i="232"/>
  <c r="B38" i="232"/>
  <c r="C36" i="232"/>
  <c r="B30" i="232"/>
  <c r="B24" i="232"/>
  <c r="C24" i="232"/>
  <c r="C4366" i="234"/>
  <c r="B4366" i="234"/>
  <c r="C4265" i="234"/>
  <c r="B4265" i="234"/>
  <c r="C4264" i="234"/>
  <c r="B4264" i="234"/>
  <c r="C4193" i="234"/>
  <c r="B4193" i="234"/>
  <c r="C4132" i="234"/>
  <c r="B4132" i="234"/>
  <c r="C4131" i="234"/>
  <c r="B4131" i="234"/>
  <c r="C3802" i="234"/>
  <c r="B3802" i="234"/>
  <c r="C3581" i="234"/>
  <c r="B3581" i="234"/>
  <c r="C3420" i="234"/>
  <c r="B3420" i="234"/>
  <c r="C3349" i="234"/>
  <c r="B3349" i="234"/>
  <c r="C3238" i="234"/>
  <c r="B3238" i="234"/>
  <c r="C3167" i="234"/>
  <c r="B3167" i="234"/>
  <c r="C3046" i="234"/>
  <c r="B3046" i="234"/>
  <c r="C2875" i="234"/>
  <c r="B2875" i="234"/>
  <c r="C2544" i="234"/>
  <c r="B2544" i="234"/>
  <c r="C2513" i="234"/>
  <c r="B2513" i="234"/>
  <c r="C2481" i="234"/>
  <c r="B2481" i="234"/>
  <c r="C2482" i="234"/>
  <c r="B2482" i="234"/>
  <c r="C2460" i="234"/>
  <c r="B2460" i="234"/>
  <c r="L2456" i="234"/>
  <c r="S2458" i="234"/>
  <c r="J2456" i="234"/>
  <c r="C2451" i="234"/>
  <c r="B2451" i="234"/>
  <c r="C2450" i="234"/>
  <c r="B2450" i="234"/>
  <c r="C2369" i="234"/>
  <c r="B2369" i="234"/>
  <c r="C2328" i="234"/>
  <c r="B2328" i="234"/>
  <c r="C2327" i="234"/>
  <c r="B2327" i="234"/>
  <c r="C2316" i="234"/>
  <c r="B2316" i="234"/>
  <c r="C1763" i="234"/>
  <c r="B1763" i="234"/>
  <c r="C1753" i="234"/>
  <c r="B1753" i="234"/>
  <c r="C1692" i="234"/>
  <c r="B1692" i="234"/>
  <c r="C1581" i="234"/>
  <c r="B1581" i="234"/>
  <c r="C1490" i="234"/>
  <c r="B1490" i="234"/>
  <c r="C1469" i="234"/>
  <c r="B1469" i="234"/>
  <c r="C1398" i="234"/>
  <c r="B1398" i="234"/>
  <c r="C1297" i="234"/>
  <c r="B1297" i="234"/>
  <c r="C1136" i="234"/>
  <c r="B1136" i="234"/>
  <c r="C995" i="234"/>
  <c r="B995" i="234"/>
  <c r="C996" i="234"/>
  <c r="B996" i="234"/>
  <c r="C997" i="234"/>
  <c r="B997" i="234"/>
  <c r="C983" i="234"/>
  <c r="B983" i="234"/>
  <c r="C984" i="234"/>
  <c r="B984" i="234"/>
  <c r="C962" i="234"/>
  <c r="B962" i="234"/>
  <c r="C963" i="234"/>
  <c r="B963" i="234"/>
  <c r="C953" i="234"/>
  <c r="B953" i="234"/>
  <c r="C954" i="234"/>
  <c r="B954" i="234"/>
  <c r="C944" i="234"/>
  <c r="B944" i="234"/>
  <c r="C943" i="234"/>
  <c r="B943" i="234"/>
  <c r="C931" i="234"/>
  <c r="B931" i="234"/>
  <c r="C930" i="234"/>
  <c r="B930" i="234"/>
  <c r="B929" i="234"/>
  <c r="C929" i="234"/>
  <c r="C928" i="234"/>
  <c r="B928" i="234"/>
  <c r="B888" i="234"/>
  <c r="B887" i="234"/>
  <c r="C887" i="234"/>
  <c r="B308" i="234"/>
  <c r="C308" i="234"/>
  <c r="B309" i="234"/>
  <c r="C310" i="234"/>
  <c r="B310" i="234"/>
  <c r="C309" i="234"/>
  <c r="C293" i="234"/>
  <c r="B293" i="234"/>
  <c r="C247" i="234"/>
  <c r="B247" i="234"/>
  <c r="C78" i="234"/>
  <c r="B78" i="234"/>
  <c r="I435" i="233"/>
  <c r="I428" i="233"/>
  <c r="G428" i="233"/>
  <c r="I427" i="233"/>
  <c r="G427" i="233"/>
  <c r="I424" i="233"/>
  <c r="G424" i="233"/>
  <c r="I423" i="233"/>
  <c r="G423" i="233"/>
  <c r="G422" i="233"/>
  <c r="I421" i="233"/>
  <c r="G421" i="233"/>
  <c r="I420" i="233"/>
  <c r="G420" i="233"/>
  <c r="I419" i="233"/>
  <c r="G419" i="233"/>
  <c r="I418" i="233"/>
  <c r="G418" i="233"/>
  <c r="I407" i="233"/>
  <c r="G407" i="233"/>
  <c r="G406" i="233"/>
  <c r="I426" i="233"/>
  <c r="G426" i="233"/>
  <c r="I425" i="233"/>
  <c r="G425" i="233"/>
  <c r="I415" i="233"/>
  <c r="G415" i="233"/>
  <c r="I414" i="233"/>
  <c r="G414" i="233"/>
  <c r="I413" i="233"/>
  <c r="G413" i="233"/>
  <c r="G412" i="233"/>
  <c r="I411" i="233"/>
  <c r="G411" i="233"/>
  <c r="I410" i="233"/>
  <c r="G410" i="233"/>
  <c r="I409" i="233"/>
  <c r="G409" i="233"/>
  <c r="I405" i="233"/>
  <c r="G405" i="233"/>
  <c r="I404" i="233"/>
  <c r="G404" i="233"/>
  <c r="I403" i="233"/>
  <c r="G403" i="233"/>
  <c r="I402" i="233"/>
  <c r="G402" i="233"/>
  <c r="G365" i="233"/>
  <c r="G364" i="233"/>
  <c r="G363" i="233"/>
  <c r="G362" i="233"/>
  <c r="G361" i="233"/>
  <c r="G360" i="233"/>
  <c r="G359" i="233"/>
  <c r="G358" i="233"/>
  <c r="G357" i="233"/>
  <c r="G356" i="233"/>
  <c r="G355" i="233"/>
  <c r="G354" i="233"/>
  <c r="G353" i="233"/>
  <c r="G352" i="233"/>
  <c r="G351" i="233"/>
  <c r="G350" i="233"/>
  <c r="G349" i="233"/>
  <c r="G348" i="233"/>
  <c r="G347" i="233"/>
  <c r="G346" i="233"/>
  <c r="G345" i="233"/>
  <c r="G344" i="233"/>
  <c r="G342" i="233"/>
  <c r="G341" i="233"/>
  <c r="G340" i="233"/>
  <c r="G339" i="233"/>
  <c r="G338" i="233"/>
  <c r="G337" i="233"/>
  <c r="G336" i="233"/>
  <c r="G335" i="233"/>
  <c r="G334" i="233"/>
  <c r="G333" i="233"/>
  <c r="G332" i="233"/>
  <c r="G331" i="233"/>
  <c r="G330" i="233"/>
  <c r="G329" i="233"/>
  <c r="G328" i="233"/>
  <c r="G327" i="233"/>
  <c r="G325" i="233"/>
  <c r="G324" i="233"/>
  <c r="G323" i="233"/>
  <c r="G322" i="233"/>
  <c r="G321" i="233"/>
  <c r="G320" i="233"/>
  <c r="G319" i="233"/>
  <c r="G317" i="233"/>
  <c r="G316" i="233"/>
  <c r="G315" i="233"/>
  <c r="G314" i="233"/>
  <c r="G313" i="233"/>
  <c r="G312" i="233"/>
  <c r="G311" i="233"/>
  <c r="G310" i="233"/>
  <c r="G309" i="233"/>
  <c r="G308" i="233"/>
  <c r="G307" i="233"/>
  <c r="G305" i="233"/>
  <c r="G304" i="233"/>
  <c r="G303" i="233"/>
  <c r="G302" i="233"/>
  <c r="G301" i="233"/>
  <c r="G300" i="233"/>
  <c r="G299" i="233"/>
  <c r="G297" i="233"/>
  <c r="G296" i="233"/>
  <c r="G295" i="233"/>
  <c r="G294" i="233"/>
  <c r="G293" i="233"/>
  <c r="G292" i="233"/>
  <c r="G291" i="233"/>
  <c r="G290" i="233"/>
  <c r="G289" i="233"/>
  <c r="G288" i="233"/>
  <c r="G287" i="233"/>
  <c r="G286" i="233"/>
  <c r="G284" i="233"/>
  <c r="G283" i="233"/>
  <c r="G282" i="233"/>
  <c r="G281" i="233"/>
  <c r="G280" i="233"/>
  <c r="G279" i="233"/>
  <c r="G278" i="233"/>
  <c r="G277" i="233"/>
  <c r="G276" i="233"/>
  <c r="G275" i="233"/>
  <c r="G274" i="233"/>
  <c r="G273" i="233"/>
  <c r="G272" i="233"/>
  <c r="G271" i="233"/>
  <c r="G270" i="233"/>
  <c r="G269" i="233"/>
  <c r="G268" i="233"/>
  <c r="G266" i="233"/>
  <c r="G265" i="233"/>
  <c r="G264" i="233"/>
  <c r="G263" i="233"/>
  <c r="G262" i="233"/>
  <c r="G261" i="233"/>
  <c r="G260" i="233"/>
  <c r="G259" i="233"/>
  <c r="G258" i="233"/>
  <c r="G257" i="233"/>
  <c r="G256" i="233"/>
  <c r="G255" i="233"/>
  <c r="G254" i="233"/>
  <c r="G253" i="233"/>
  <c r="G252" i="233"/>
  <c r="G251" i="233"/>
  <c r="G250" i="233"/>
  <c r="G249" i="233"/>
  <c r="G248" i="233"/>
  <c r="G247" i="233"/>
  <c r="G246" i="233"/>
  <c r="G245" i="233"/>
  <c r="G244" i="233"/>
  <c r="G243" i="233"/>
  <c r="G242" i="233"/>
  <c r="G241" i="233"/>
  <c r="G240" i="233"/>
  <c r="G239" i="233"/>
  <c r="G238" i="233"/>
  <c r="G237" i="233"/>
  <c r="G236" i="233"/>
  <c r="G235" i="233"/>
  <c r="G234" i="233"/>
  <c r="G232" i="233"/>
  <c r="G231" i="233"/>
  <c r="G230" i="233"/>
  <c r="G228" i="233"/>
  <c r="G227" i="233"/>
  <c r="G226" i="233"/>
  <c r="G223" i="233"/>
  <c r="G222" i="233"/>
  <c r="G220" i="233"/>
  <c r="G219" i="233"/>
  <c r="G218" i="233"/>
  <c r="I202" i="233"/>
  <c r="G202" i="233"/>
  <c r="I201" i="233"/>
  <c r="G201" i="233"/>
  <c r="I194" i="233"/>
  <c r="I193" i="233"/>
  <c r="I178" i="233"/>
  <c r="G178" i="233"/>
  <c r="I124" i="233"/>
  <c r="G124" i="233"/>
  <c r="I123" i="233"/>
  <c r="G123" i="233"/>
  <c r="I91" i="233"/>
  <c r="G91" i="233"/>
  <c r="I75" i="233"/>
  <c r="G75" i="233"/>
  <c r="I74" i="233"/>
  <c r="G74" i="233"/>
  <c r="I73" i="233"/>
  <c r="G73" i="233"/>
  <c r="I60" i="233"/>
  <c r="G60" i="233"/>
  <c r="I59" i="233"/>
  <c r="G59" i="233"/>
  <c r="I58" i="233"/>
  <c r="G58" i="233"/>
  <c r="G48" i="233"/>
  <c r="G47" i="233"/>
  <c r="G46" i="233"/>
  <c r="I31" i="233"/>
  <c r="G31" i="233"/>
  <c r="G30" i="233"/>
  <c r="D7" i="221"/>
  <c r="C5" i="220"/>
  <c r="AL35" i="218"/>
  <c r="C11" i="232"/>
  <c r="C10" i="232"/>
  <c r="C9" i="232"/>
  <c r="C8" i="232"/>
  <c r="C7" i="232"/>
  <c r="C484" i="218"/>
  <c r="Y180" i="218"/>
  <c r="Y181" i="218"/>
  <c r="Y182" i="218"/>
  <c r="Y183" i="218"/>
  <c r="Y174" i="218"/>
  <c r="AA617" i="218"/>
  <c r="C617" i="218"/>
  <c r="C682" i="218"/>
  <c r="I10" i="233"/>
  <c r="Q15" i="219"/>
  <c r="C616" i="218"/>
  <c r="AA551" i="218"/>
  <c r="C551" i="218"/>
  <c r="C550" i="218"/>
  <c r="AA485" i="218"/>
  <c r="C485" i="218"/>
  <c r="C418" i="218"/>
  <c r="C353" i="218"/>
  <c r="G10" i="219"/>
  <c r="H10" i="219"/>
  <c r="AQ87" i="220"/>
  <c r="AQ86" i="220"/>
  <c r="AQ85" i="220"/>
  <c r="AQ84" i="220"/>
  <c r="AQ83" i="220"/>
  <c r="L4384" i="234"/>
  <c r="S4385" i="234"/>
  <c r="J4384" i="234"/>
  <c r="C4379" i="234"/>
  <c r="B4379" i="234"/>
  <c r="C4378" i="234"/>
  <c r="B4378" i="234"/>
  <c r="L4373" i="234"/>
  <c r="S4373" i="234"/>
  <c r="J4373" i="234"/>
  <c r="C4368" i="234"/>
  <c r="B4368" i="234"/>
  <c r="C4367" i="234"/>
  <c r="B4367" i="234"/>
  <c r="L4362" i="234"/>
  <c r="S4362" i="234"/>
  <c r="J4362" i="234"/>
  <c r="C4357" i="234"/>
  <c r="B4357" i="234"/>
  <c r="C4356" i="234"/>
  <c r="B4356" i="234"/>
  <c r="L4352" i="234"/>
  <c r="S4352" i="234"/>
  <c r="J4352" i="234"/>
  <c r="C4347" i="234"/>
  <c r="B4347" i="234"/>
  <c r="C4346" i="234"/>
  <c r="B4346" i="234"/>
  <c r="L4342" i="234"/>
  <c r="S4342" i="234"/>
  <c r="J4342" i="234"/>
  <c r="C4337" i="234"/>
  <c r="B4337" i="234"/>
  <c r="C4336" i="234"/>
  <c r="B4336" i="234"/>
  <c r="L4332" i="234"/>
  <c r="S4333" i="234"/>
  <c r="J4332" i="234"/>
  <c r="C4327" i="234"/>
  <c r="B4327" i="234"/>
  <c r="C4326" i="234"/>
  <c r="B4326" i="234"/>
  <c r="L4322" i="234"/>
  <c r="S4324" i="234"/>
  <c r="J4322" i="234"/>
  <c r="C4317" i="234"/>
  <c r="B4317" i="234"/>
  <c r="C4316" i="234"/>
  <c r="B4316" i="234"/>
  <c r="L4312" i="234"/>
  <c r="S4312" i="234"/>
  <c r="J4312" i="234"/>
  <c r="C4307" i="234"/>
  <c r="B4307" i="234"/>
  <c r="C4306" i="234"/>
  <c r="B4306" i="234"/>
  <c r="L4302" i="234"/>
  <c r="S4304" i="234"/>
  <c r="C4297" i="234"/>
  <c r="B4297" i="234"/>
  <c r="C4296" i="234"/>
  <c r="B4296" i="234"/>
  <c r="L4292" i="234"/>
  <c r="S4294" i="234"/>
  <c r="J4292" i="234"/>
  <c r="C4287" i="234"/>
  <c r="B4287" i="234"/>
  <c r="C4286" i="234"/>
  <c r="B4286" i="234"/>
  <c r="L4282" i="234"/>
  <c r="J4282" i="234"/>
  <c r="C4277" i="234"/>
  <c r="B4277" i="234"/>
  <c r="C4276" i="234"/>
  <c r="B4276" i="234"/>
  <c r="L4272" i="234"/>
  <c r="S4273" i="234"/>
  <c r="J4272" i="234"/>
  <c r="C4267" i="234"/>
  <c r="B4267" i="234"/>
  <c r="C4266" i="234"/>
  <c r="B4266" i="234"/>
  <c r="L4260" i="234"/>
  <c r="S4261" i="234"/>
  <c r="J4260" i="234"/>
  <c r="C4255" i="234"/>
  <c r="B4255" i="234"/>
  <c r="C4254" i="234"/>
  <c r="B4254" i="234"/>
  <c r="L4250" i="234"/>
  <c r="S4250" i="234"/>
  <c r="J4250" i="234"/>
  <c r="C4245" i="234"/>
  <c r="B4245" i="234"/>
  <c r="C4244" i="234"/>
  <c r="B4244" i="234"/>
  <c r="L4240" i="234"/>
  <c r="S4242" i="234"/>
  <c r="J4240" i="234"/>
  <c r="C4235" i="234"/>
  <c r="B4235" i="234"/>
  <c r="C4234" i="234"/>
  <c r="B4234" i="234"/>
  <c r="L4230" i="234"/>
  <c r="J4230" i="234"/>
  <c r="C4225" i="234"/>
  <c r="B4225" i="234"/>
  <c r="C4224" i="234"/>
  <c r="B4224" i="234"/>
  <c r="L4220" i="234"/>
  <c r="J4220" i="234"/>
  <c r="C4215" i="234"/>
  <c r="B4215" i="234"/>
  <c r="C4214" i="234"/>
  <c r="B4214" i="234"/>
  <c r="L4210" i="234"/>
  <c r="J4210" i="234"/>
  <c r="C4205" i="234"/>
  <c r="B4205" i="234"/>
  <c r="C4204" i="234"/>
  <c r="B4204" i="234"/>
  <c r="L4200" i="234"/>
  <c r="J4200" i="234"/>
  <c r="C4195" i="234"/>
  <c r="B4195" i="234"/>
  <c r="C4194" i="234"/>
  <c r="B4194" i="234"/>
  <c r="L4189" i="234"/>
  <c r="S4189" i="234"/>
  <c r="J4189" i="234"/>
  <c r="C4184" i="234"/>
  <c r="B4184" i="234"/>
  <c r="C4183" i="234"/>
  <c r="B4183" i="234"/>
  <c r="L4179" i="234"/>
  <c r="J4179" i="234"/>
  <c r="C4174" i="234"/>
  <c r="B4174" i="234"/>
  <c r="C4173" i="234"/>
  <c r="B4173" i="234"/>
  <c r="L4169" i="234"/>
  <c r="J4169" i="234"/>
  <c r="C4164" i="234"/>
  <c r="B4164" i="234"/>
  <c r="C4163" i="234"/>
  <c r="B4163" i="234"/>
  <c r="L4159" i="234"/>
  <c r="J4159" i="234"/>
  <c r="C4154" i="234"/>
  <c r="B4154" i="234"/>
  <c r="C4153" i="234"/>
  <c r="B4153" i="234"/>
  <c r="L4149" i="234"/>
  <c r="S4149" i="234"/>
  <c r="J4149" i="234"/>
  <c r="C4144" i="234"/>
  <c r="B4144" i="234"/>
  <c r="C4143" i="234"/>
  <c r="B4143" i="234"/>
  <c r="L4139" i="234"/>
  <c r="J4139" i="234"/>
  <c r="C4134" i="234"/>
  <c r="B4134" i="234"/>
  <c r="C4133" i="234"/>
  <c r="B4133" i="234"/>
  <c r="L4127" i="234"/>
  <c r="J4127" i="234"/>
  <c r="C4123" i="234"/>
  <c r="B4123" i="234"/>
  <c r="C4122" i="234"/>
  <c r="B4122" i="234"/>
  <c r="L4118" i="234"/>
  <c r="S4118" i="234"/>
  <c r="J4118" i="234"/>
  <c r="C4114" i="234"/>
  <c r="B4114" i="234"/>
  <c r="C4113" i="234"/>
  <c r="B4113" i="234"/>
  <c r="L4109" i="234"/>
  <c r="J4109" i="234"/>
  <c r="C4104" i="234"/>
  <c r="B4104" i="234"/>
  <c r="C4103" i="234"/>
  <c r="B4103" i="234"/>
  <c r="L4099" i="234"/>
  <c r="J4099" i="234"/>
  <c r="C4094" i="234"/>
  <c r="B4094" i="234"/>
  <c r="C4093" i="234"/>
  <c r="B4093" i="234"/>
  <c r="L4089" i="234"/>
  <c r="J4089" i="234"/>
  <c r="C4084" i="234"/>
  <c r="B4084" i="234"/>
  <c r="C4083" i="234"/>
  <c r="B4083" i="234"/>
  <c r="L4079" i="234"/>
  <c r="J4079" i="234"/>
  <c r="C4074" i="234"/>
  <c r="B4074" i="234"/>
  <c r="C4073" i="234"/>
  <c r="B4073" i="234"/>
  <c r="L4069" i="234"/>
  <c r="S4069" i="234"/>
  <c r="J4069" i="234"/>
  <c r="C4064" i="234"/>
  <c r="B4064" i="234"/>
  <c r="C4063" i="234"/>
  <c r="B4063" i="234"/>
  <c r="L4059" i="234"/>
  <c r="J4059" i="234"/>
  <c r="C4054" i="234"/>
  <c r="B4054" i="234"/>
  <c r="C4053" i="234"/>
  <c r="B4053" i="234"/>
  <c r="L4049" i="234"/>
  <c r="S4050" i="234"/>
  <c r="J4049" i="234"/>
  <c r="C4044" i="234"/>
  <c r="B4044" i="234"/>
  <c r="C4043" i="234"/>
  <c r="B4043" i="234"/>
  <c r="L4039" i="234"/>
  <c r="J4039" i="234"/>
  <c r="C4034" i="234"/>
  <c r="B4034" i="234"/>
  <c r="C4033" i="234"/>
  <c r="B4033" i="234"/>
  <c r="L4029" i="234"/>
  <c r="J4029" i="234"/>
  <c r="C4024" i="234"/>
  <c r="B4024" i="234"/>
  <c r="C4023" i="234"/>
  <c r="B4023" i="234"/>
  <c r="L4019" i="234"/>
  <c r="J4019" i="234"/>
  <c r="B4014" i="234"/>
  <c r="B4013" i="234"/>
  <c r="L4009" i="234"/>
  <c r="J4009" i="234"/>
  <c r="C4004" i="234"/>
  <c r="B4004" i="234"/>
  <c r="C4003" i="234"/>
  <c r="B4003" i="234"/>
  <c r="L3999" i="234"/>
  <c r="S4001" i="234"/>
  <c r="J3999" i="234"/>
  <c r="C3994" i="234"/>
  <c r="B3994" i="234"/>
  <c r="C3993" i="234"/>
  <c r="B3993" i="234"/>
  <c r="L3989" i="234"/>
  <c r="S3990" i="234"/>
  <c r="J3989" i="234"/>
  <c r="C3984" i="234"/>
  <c r="B3984" i="234"/>
  <c r="C3983" i="234"/>
  <c r="B3983" i="234"/>
  <c r="L3979" i="234"/>
  <c r="S3981" i="234"/>
  <c r="J3979" i="234"/>
  <c r="B3974" i="234"/>
  <c r="B3973" i="234"/>
  <c r="L3969" i="234"/>
  <c r="J3969" i="234"/>
  <c r="C3964" i="234"/>
  <c r="B3964" i="234"/>
  <c r="C3963" i="234"/>
  <c r="B3963" i="234"/>
  <c r="L3959" i="234"/>
  <c r="J3959" i="234"/>
  <c r="C3954" i="234"/>
  <c r="B3954" i="234"/>
  <c r="C3953" i="234"/>
  <c r="B3953" i="234"/>
  <c r="L3949" i="234"/>
  <c r="J3949" i="234"/>
  <c r="C3944" i="234"/>
  <c r="B3944" i="234"/>
  <c r="C3943" i="234"/>
  <c r="B3943" i="234"/>
  <c r="L3939" i="234"/>
  <c r="J3939" i="234"/>
  <c r="C3934" i="234"/>
  <c r="B3934" i="234"/>
  <c r="C3933" i="234"/>
  <c r="B3933" i="234"/>
  <c r="L3929" i="234"/>
  <c r="J3929" i="234"/>
  <c r="C3924" i="234"/>
  <c r="B3924" i="234"/>
  <c r="C3923" i="234"/>
  <c r="B3923" i="234"/>
  <c r="L3919" i="234"/>
  <c r="J3919" i="234"/>
  <c r="C3914" i="234"/>
  <c r="B3914" i="234"/>
  <c r="C3913" i="234"/>
  <c r="B3913" i="234"/>
  <c r="L3909" i="234"/>
  <c r="J3909" i="234"/>
  <c r="C3904" i="234"/>
  <c r="B3904" i="234"/>
  <c r="C3903" i="234"/>
  <c r="B3903" i="234"/>
  <c r="L3899" i="234"/>
  <c r="J3899" i="234"/>
  <c r="C3894" i="234"/>
  <c r="B3894" i="234"/>
  <c r="C3893" i="234"/>
  <c r="B3893" i="234"/>
  <c r="L3889" i="234"/>
  <c r="S3889" i="234"/>
  <c r="J3889" i="234"/>
  <c r="C3884" i="234"/>
  <c r="B3884" i="234"/>
  <c r="C3883" i="234"/>
  <c r="B3883" i="234"/>
  <c r="L3879" i="234"/>
  <c r="J3879" i="234"/>
  <c r="C3874" i="234"/>
  <c r="B3874" i="234"/>
  <c r="C3873" i="234"/>
  <c r="B3873" i="234"/>
  <c r="L3869" i="234"/>
  <c r="J3869" i="234"/>
  <c r="C3864" i="234"/>
  <c r="B3864" i="234"/>
  <c r="C3863" i="234"/>
  <c r="B3863" i="234"/>
  <c r="L3859" i="234"/>
  <c r="S3860" i="234"/>
  <c r="J3859" i="234"/>
  <c r="C3854" i="234"/>
  <c r="B3854" i="234"/>
  <c r="C3853" i="234"/>
  <c r="B3853" i="234"/>
  <c r="L3849" i="234"/>
  <c r="J3849" i="234"/>
  <c r="C3844" i="234"/>
  <c r="B3844" i="234"/>
  <c r="C3843" i="234"/>
  <c r="B3843" i="234"/>
  <c r="L3839" i="234"/>
  <c r="J3839" i="234"/>
  <c r="C3834" i="234"/>
  <c r="B3834" i="234"/>
  <c r="C3833" i="234"/>
  <c r="B3833" i="234"/>
  <c r="L3829" i="234"/>
  <c r="J3829" i="234"/>
  <c r="C3824" i="234"/>
  <c r="B3824" i="234"/>
  <c r="C3823" i="234"/>
  <c r="B3823" i="234"/>
  <c r="L3819" i="234"/>
  <c r="J3819" i="234"/>
  <c r="C3814" i="234"/>
  <c r="B3814" i="234"/>
  <c r="C3813" i="234"/>
  <c r="B3813" i="234"/>
  <c r="L3809" i="234"/>
  <c r="S3810" i="234"/>
  <c r="J3809" i="234"/>
  <c r="C3804" i="234"/>
  <c r="B3804" i="234"/>
  <c r="C3803" i="234"/>
  <c r="B3803" i="234"/>
  <c r="L3798" i="234"/>
  <c r="J3798" i="234"/>
  <c r="C3793" i="234"/>
  <c r="B3793" i="234"/>
  <c r="C3792" i="234"/>
  <c r="B3792" i="234"/>
  <c r="L3788" i="234"/>
  <c r="S3789" i="234"/>
  <c r="J3788" i="234"/>
  <c r="C3783" i="234"/>
  <c r="B3783" i="234"/>
  <c r="C3782" i="234"/>
  <c r="B3782" i="234"/>
  <c r="L3778" i="234"/>
  <c r="J3778" i="234"/>
  <c r="C3773" i="234"/>
  <c r="B3773" i="234"/>
  <c r="C3772" i="234"/>
  <c r="B3772" i="234"/>
  <c r="L3768" i="234"/>
  <c r="S3770" i="234"/>
  <c r="J3768" i="234"/>
  <c r="C3763" i="234"/>
  <c r="B3763" i="234"/>
  <c r="C3762" i="234"/>
  <c r="B3762" i="234"/>
  <c r="L3758" i="234"/>
  <c r="J3758" i="234"/>
  <c r="C3753" i="234"/>
  <c r="B3753" i="234"/>
  <c r="C3752" i="234"/>
  <c r="B3752" i="234"/>
  <c r="L3748" i="234"/>
  <c r="S3750" i="234"/>
  <c r="J3748" i="234"/>
  <c r="C3743" i="234"/>
  <c r="B3743" i="234"/>
  <c r="C3742" i="234"/>
  <c r="B3742" i="234"/>
  <c r="L3738" i="234"/>
  <c r="J3738" i="234"/>
  <c r="C3733" i="234"/>
  <c r="B3733" i="234"/>
  <c r="C3732" i="234"/>
  <c r="B3732" i="234"/>
  <c r="L3728" i="234"/>
  <c r="J3728" i="234"/>
  <c r="C3723" i="234"/>
  <c r="B3723" i="234"/>
  <c r="C3722" i="234"/>
  <c r="B3722" i="234"/>
  <c r="L3718" i="234"/>
  <c r="J3718" i="234"/>
  <c r="C3713" i="234"/>
  <c r="B3713" i="234"/>
  <c r="C3712" i="234"/>
  <c r="B3712" i="234"/>
  <c r="L3708" i="234"/>
  <c r="S3708" i="234"/>
  <c r="J3708" i="234"/>
  <c r="C3703" i="234"/>
  <c r="B3703" i="234"/>
  <c r="C3702" i="234"/>
  <c r="B3702" i="234"/>
  <c r="L3698" i="234"/>
  <c r="J3698" i="234"/>
  <c r="C3693" i="234"/>
  <c r="B3693" i="234"/>
  <c r="C3692" i="234"/>
  <c r="B3692" i="234"/>
  <c r="L3688" i="234"/>
  <c r="S3690" i="234"/>
  <c r="J3688" i="234"/>
  <c r="C3683" i="234"/>
  <c r="B3683" i="234"/>
  <c r="C3682" i="234"/>
  <c r="B3682" i="234"/>
  <c r="L3678" i="234"/>
  <c r="J3678" i="234"/>
  <c r="C3673" i="234"/>
  <c r="B3673" i="234"/>
  <c r="C3672" i="234"/>
  <c r="B3672" i="234"/>
  <c r="L3668" i="234"/>
  <c r="J3668" i="234"/>
  <c r="C3663" i="234"/>
  <c r="B3663" i="234"/>
  <c r="C3662" i="234"/>
  <c r="B3662" i="234"/>
  <c r="L3658" i="234"/>
  <c r="J3658" i="234"/>
  <c r="C3653" i="234"/>
  <c r="B3653" i="234"/>
  <c r="C3652" i="234"/>
  <c r="B3652" i="234"/>
  <c r="L3648" i="234"/>
  <c r="S3648" i="234"/>
  <c r="J3648" i="234"/>
  <c r="C3643" i="234"/>
  <c r="B3643" i="234"/>
  <c r="C3642" i="234"/>
  <c r="B3642" i="234"/>
  <c r="L3638" i="234"/>
  <c r="J3638" i="234"/>
  <c r="C3633" i="234"/>
  <c r="B3633" i="234"/>
  <c r="C3632" i="234"/>
  <c r="B3632" i="234"/>
  <c r="L3628" i="234"/>
  <c r="J3628" i="234"/>
  <c r="C3623" i="234"/>
  <c r="B3623" i="234"/>
  <c r="C3622" i="234"/>
  <c r="B3622" i="234"/>
  <c r="L3618" i="234"/>
  <c r="S3619" i="234"/>
  <c r="J3618" i="234"/>
  <c r="C3613" i="234"/>
  <c r="B3613" i="234"/>
  <c r="C3612" i="234"/>
  <c r="B3612" i="234"/>
  <c r="L3608" i="234"/>
  <c r="J3608" i="234"/>
  <c r="C3603" i="234"/>
  <c r="B3603" i="234"/>
  <c r="C3602" i="234"/>
  <c r="B3602" i="234"/>
  <c r="L3598" i="234"/>
  <c r="J3598" i="234"/>
  <c r="C3593" i="234"/>
  <c r="B3593" i="234"/>
  <c r="C3592" i="234"/>
  <c r="B3592" i="234"/>
  <c r="L3588" i="234"/>
  <c r="S3590" i="234"/>
  <c r="J3588" i="234"/>
  <c r="C3583" i="234"/>
  <c r="B3583" i="234"/>
  <c r="C3582" i="234"/>
  <c r="B3582" i="234"/>
  <c r="L3577" i="234"/>
  <c r="J3577" i="234"/>
  <c r="C3572" i="234"/>
  <c r="B3572" i="234"/>
  <c r="C3571" i="234"/>
  <c r="B3571" i="234"/>
  <c r="L3567" i="234"/>
  <c r="J3567" i="234"/>
  <c r="C3562" i="234"/>
  <c r="B3562" i="234"/>
  <c r="C3561" i="234"/>
  <c r="B3561" i="234"/>
  <c r="L3557" i="234"/>
  <c r="S3559" i="234"/>
  <c r="J3557" i="234"/>
  <c r="C3552" i="234"/>
  <c r="B3552" i="234"/>
  <c r="C3551" i="234"/>
  <c r="B3551" i="234"/>
  <c r="L3547" i="234"/>
  <c r="S3549" i="234"/>
  <c r="J3547" i="234"/>
  <c r="C3542" i="234"/>
  <c r="B3542" i="234"/>
  <c r="C3541" i="234"/>
  <c r="B3541" i="234"/>
  <c r="L3537" i="234"/>
  <c r="J3537" i="234"/>
  <c r="C3532" i="234"/>
  <c r="B3532" i="234"/>
  <c r="C3531" i="234"/>
  <c r="B3531" i="234"/>
  <c r="L3527" i="234"/>
  <c r="J3527" i="234"/>
  <c r="C3522" i="234"/>
  <c r="B3522" i="234"/>
  <c r="C3521" i="234"/>
  <c r="B3521" i="234"/>
  <c r="L3517" i="234"/>
  <c r="J3517" i="234"/>
  <c r="C3512" i="234"/>
  <c r="B3512" i="234"/>
  <c r="C3511" i="234"/>
  <c r="B3511" i="234"/>
  <c r="L3507" i="234"/>
  <c r="J3507" i="234"/>
  <c r="C3502" i="234"/>
  <c r="B3502" i="234"/>
  <c r="C3501" i="234"/>
  <c r="B3501" i="234"/>
  <c r="L3497" i="234"/>
  <c r="J3497" i="234"/>
  <c r="C3492" i="234"/>
  <c r="B3492" i="234"/>
  <c r="C3491" i="234"/>
  <c r="B3491" i="234"/>
  <c r="L3487" i="234"/>
  <c r="S3488" i="234"/>
  <c r="J3487" i="234"/>
  <c r="C3482" i="234"/>
  <c r="B3482" i="234"/>
  <c r="C3481" i="234"/>
  <c r="B3481" i="234"/>
  <c r="L3477" i="234"/>
  <c r="S3479" i="234"/>
  <c r="J3477" i="234"/>
  <c r="C3472" i="234"/>
  <c r="B3472" i="234"/>
  <c r="C3471" i="234"/>
  <c r="B3471" i="234"/>
  <c r="L3467" i="234"/>
  <c r="S3468" i="234"/>
  <c r="J3467" i="234"/>
  <c r="C3462" i="234"/>
  <c r="B3462" i="234"/>
  <c r="C3461" i="234"/>
  <c r="B3461" i="234"/>
  <c r="L3457" i="234"/>
  <c r="J3457" i="234"/>
  <c r="C3452" i="234"/>
  <c r="B3452" i="234"/>
  <c r="C3451" i="234"/>
  <c r="B3451" i="234"/>
  <c r="L3447" i="234"/>
  <c r="J3447" i="234"/>
  <c r="C3442" i="234"/>
  <c r="B3442" i="234"/>
  <c r="C3441" i="234"/>
  <c r="B3441" i="234"/>
  <c r="L3437" i="234"/>
  <c r="J3437" i="234"/>
  <c r="C3432" i="234"/>
  <c r="B3432" i="234"/>
  <c r="C3431" i="234"/>
  <c r="B3431" i="234"/>
  <c r="L3427" i="234"/>
  <c r="S3429" i="234"/>
  <c r="J3427" i="234"/>
  <c r="C3422" i="234"/>
  <c r="B3422" i="234"/>
  <c r="C3421" i="234"/>
  <c r="B3421" i="234"/>
  <c r="L3416" i="234"/>
  <c r="J3416" i="234"/>
  <c r="C3411" i="234"/>
  <c r="B3411" i="234"/>
  <c r="C3410" i="234"/>
  <c r="B3410" i="234"/>
  <c r="L3406" i="234"/>
  <c r="J3406" i="234"/>
  <c r="C3401" i="234"/>
  <c r="B3401" i="234"/>
  <c r="C3400" i="234"/>
  <c r="B3400" i="234"/>
  <c r="L3396" i="234"/>
  <c r="J3396" i="234"/>
  <c r="C3391" i="234"/>
  <c r="B3391" i="234"/>
  <c r="C3390" i="234"/>
  <c r="B3390" i="234"/>
  <c r="L3386" i="234"/>
  <c r="J3386" i="234"/>
  <c r="C3381" i="234"/>
  <c r="B3381" i="234"/>
  <c r="C3380" i="234"/>
  <c r="B3380" i="234"/>
  <c r="L3376" i="234"/>
  <c r="J3376" i="234"/>
  <c r="C3371" i="234"/>
  <c r="B3371" i="234"/>
  <c r="C3370" i="234"/>
  <c r="B3370" i="234"/>
  <c r="L3366" i="234"/>
  <c r="S3366" i="234"/>
  <c r="J3366" i="234"/>
  <c r="C3361" i="234"/>
  <c r="B3361" i="234"/>
  <c r="C3360" i="234"/>
  <c r="B3360" i="234"/>
  <c r="L3356" i="234"/>
  <c r="J3356" i="234"/>
  <c r="C3351" i="234"/>
  <c r="B3351" i="234"/>
  <c r="C3350" i="234"/>
  <c r="B3350" i="234"/>
  <c r="L3345" i="234"/>
  <c r="J3345" i="234"/>
  <c r="C3340" i="234"/>
  <c r="B3340" i="234"/>
  <c r="C3339" i="234"/>
  <c r="B3339" i="234"/>
  <c r="L3335" i="234"/>
  <c r="J3335" i="234"/>
  <c r="C3330" i="234"/>
  <c r="B3330" i="234"/>
  <c r="C3329" i="234"/>
  <c r="B3329" i="234"/>
  <c r="L3325" i="234"/>
  <c r="J3325" i="234"/>
  <c r="C3320" i="234"/>
  <c r="B3320" i="234"/>
  <c r="C3319" i="234"/>
  <c r="B3319" i="234"/>
  <c r="L3315" i="234"/>
  <c r="J3315" i="234"/>
  <c r="C3310" i="234"/>
  <c r="B3310" i="234"/>
  <c r="C3309" i="234"/>
  <c r="B3309" i="234"/>
  <c r="L3305" i="234"/>
  <c r="S3305" i="234"/>
  <c r="J3305" i="234"/>
  <c r="C3300" i="234"/>
  <c r="B3300" i="234"/>
  <c r="C3299" i="234"/>
  <c r="B3299" i="234"/>
  <c r="L3295" i="234"/>
  <c r="J3295" i="234"/>
  <c r="C3290" i="234"/>
  <c r="B3290" i="234"/>
  <c r="C3289" i="234"/>
  <c r="B3289" i="234"/>
  <c r="L3285" i="234"/>
  <c r="J3285" i="234"/>
  <c r="C3280" i="234"/>
  <c r="B3280" i="234"/>
  <c r="C3279" i="234"/>
  <c r="B3279" i="234"/>
  <c r="L3275" i="234"/>
  <c r="J3275" i="234"/>
  <c r="C3270" i="234"/>
  <c r="B3270" i="234"/>
  <c r="C3269" i="234"/>
  <c r="B3269" i="234"/>
  <c r="L3265" i="234"/>
  <c r="J3265" i="234"/>
  <c r="C3260" i="234"/>
  <c r="B3260" i="234"/>
  <c r="C3259" i="234"/>
  <c r="B3259" i="234"/>
  <c r="L3255" i="234"/>
  <c r="S3255" i="234"/>
  <c r="J3255" i="234"/>
  <c r="C3250" i="234"/>
  <c r="B3250" i="234"/>
  <c r="C3249" i="234"/>
  <c r="B3249" i="234"/>
  <c r="L3245" i="234"/>
  <c r="S3246" i="234"/>
  <c r="J3245" i="234"/>
  <c r="C3240" i="234"/>
  <c r="B3240" i="234"/>
  <c r="C3239" i="234"/>
  <c r="B3239" i="234"/>
  <c r="L3234" i="234"/>
  <c r="J3234" i="234"/>
  <c r="C3229" i="234"/>
  <c r="B3229" i="234"/>
  <c r="C3228" i="234"/>
  <c r="B3228" i="234"/>
  <c r="L3224" i="234"/>
  <c r="J3224" i="234"/>
  <c r="C3219" i="234"/>
  <c r="B3219" i="234"/>
  <c r="C3218" i="234"/>
  <c r="B3218" i="234"/>
  <c r="L3214" i="234"/>
  <c r="J3214" i="234"/>
  <c r="C3209" i="234"/>
  <c r="B3209" i="234"/>
  <c r="C3208" i="234"/>
  <c r="B3208" i="234"/>
  <c r="L3204" i="234"/>
  <c r="S3206" i="234"/>
  <c r="J3204" i="234"/>
  <c r="C3199" i="234"/>
  <c r="B3199" i="234"/>
  <c r="C3198" i="234"/>
  <c r="B3198" i="234"/>
  <c r="L3194" i="234"/>
  <c r="J3194" i="234"/>
  <c r="C3189" i="234"/>
  <c r="B3189" i="234"/>
  <c r="C3188" i="234"/>
  <c r="B3188" i="234"/>
  <c r="L3184" i="234"/>
  <c r="S3186" i="234"/>
  <c r="J3184" i="234"/>
  <c r="C3179" i="234"/>
  <c r="B3179" i="234"/>
  <c r="C3178" i="234"/>
  <c r="B3178" i="234"/>
  <c r="L3174" i="234"/>
  <c r="J3174" i="234"/>
  <c r="C3169" i="234"/>
  <c r="B3169" i="234"/>
  <c r="C3168" i="234"/>
  <c r="B3168" i="234"/>
  <c r="L3163" i="234"/>
  <c r="J3163" i="234"/>
  <c r="C3158" i="234"/>
  <c r="B3158" i="234"/>
  <c r="C3157" i="234"/>
  <c r="B3157" i="234"/>
  <c r="L3153" i="234"/>
  <c r="J3153" i="234"/>
  <c r="C3148" i="234"/>
  <c r="B3148" i="234"/>
  <c r="C3147" i="234"/>
  <c r="B3147" i="234"/>
  <c r="L3143" i="234"/>
  <c r="S3145" i="234"/>
  <c r="J3143" i="234"/>
  <c r="C3138" i="234"/>
  <c r="B3138" i="234"/>
  <c r="C3137" i="234"/>
  <c r="B3137" i="234"/>
  <c r="L3133" i="234"/>
  <c r="S3135" i="234"/>
  <c r="J3133" i="234"/>
  <c r="C3128" i="234"/>
  <c r="B3128" i="234"/>
  <c r="C3127" i="234"/>
  <c r="B3127" i="234"/>
  <c r="L3123" i="234"/>
  <c r="S3123" i="234"/>
  <c r="J3123" i="234"/>
  <c r="C3118" i="234"/>
  <c r="B3118" i="234"/>
  <c r="C3117" i="234"/>
  <c r="B3117" i="234"/>
  <c r="L3113" i="234"/>
  <c r="J3113" i="234"/>
  <c r="C3108" i="234"/>
  <c r="B3108" i="234"/>
  <c r="C3107" i="234"/>
  <c r="B3107" i="234"/>
  <c r="L3103" i="234"/>
  <c r="J3103" i="234"/>
  <c r="C3098" i="234"/>
  <c r="B3098" i="234"/>
  <c r="C3097" i="234"/>
  <c r="B3097" i="234"/>
  <c r="L3093" i="234"/>
  <c r="J3093" i="234"/>
  <c r="C3088" i="234"/>
  <c r="B3088" i="234"/>
  <c r="C3087" i="234"/>
  <c r="B3087" i="234"/>
  <c r="L3083" i="234"/>
  <c r="S3084" i="234"/>
  <c r="J3083" i="234"/>
  <c r="C3078" i="234"/>
  <c r="B3078" i="234"/>
  <c r="C3077" i="234"/>
  <c r="B3077" i="234"/>
  <c r="L3073" i="234"/>
  <c r="J3073" i="234"/>
  <c r="C3068" i="234"/>
  <c r="B3068" i="234"/>
  <c r="C3067" i="234"/>
  <c r="B3067" i="234"/>
  <c r="L3063" i="234"/>
  <c r="S3063" i="234"/>
  <c r="J3063" i="234"/>
  <c r="C3058" i="234"/>
  <c r="B3058" i="234"/>
  <c r="C3057" i="234"/>
  <c r="B3057" i="234"/>
  <c r="L3053" i="234"/>
  <c r="J3053" i="234"/>
  <c r="C3048" i="234"/>
  <c r="B3048" i="234"/>
  <c r="C3047" i="234"/>
  <c r="B3047" i="234"/>
  <c r="L3042" i="234"/>
  <c r="S3044" i="234"/>
  <c r="J3042" i="234"/>
  <c r="C3037" i="234"/>
  <c r="B3037" i="234"/>
  <c r="C3036" i="234"/>
  <c r="B3036" i="234"/>
  <c r="L3032" i="234"/>
  <c r="J3032" i="234"/>
  <c r="C3027" i="234"/>
  <c r="B3027" i="234"/>
  <c r="C3026" i="234"/>
  <c r="B3026" i="234"/>
  <c r="L3022" i="234"/>
  <c r="J3022" i="234"/>
  <c r="C3017" i="234"/>
  <c r="B3017" i="234"/>
  <c r="C3016" i="234"/>
  <c r="B3016" i="234"/>
  <c r="L3012" i="234"/>
  <c r="J3012" i="234"/>
  <c r="C3007" i="234"/>
  <c r="B3007" i="234"/>
  <c r="C3006" i="234"/>
  <c r="B3006" i="234"/>
  <c r="L3002" i="234"/>
  <c r="J3002" i="234"/>
  <c r="C2997" i="234"/>
  <c r="B2997" i="234"/>
  <c r="C2996" i="234"/>
  <c r="B2996" i="234"/>
  <c r="L2992" i="234"/>
  <c r="J2992" i="234"/>
  <c r="C2987" i="234"/>
  <c r="B2987" i="234"/>
  <c r="C2986" i="234"/>
  <c r="B2986" i="234"/>
  <c r="L2982" i="234"/>
  <c r="S2982" i="234"/>
  <c r="J2982" i="234"/>
  <c r="C2977" i="234"/>
  <c r="B2977" i="234"/>
  <c r="C2976" i="234"/>
  <c r="B2976" i="234"/>
  <c r="L2972" i="234"/>
  <c r="J2972" i="234"/>
  <c r="C2967" i="234"/>
  <c r="B2967" i="234"/>
  <c r="C2966" i="234"/>
  <c r="B2966" i="234"/>
  <c r="L2962" i="234"/>
  <c r="J2962" i="234"/>
  <c r="C2957" i="234"/>
  <c r="B2957" i="234"/>
  <c r="C2956" i="234"/>
  <c r="B2956" i="234"/>
  <c r="L2952" i="234"/>
  <c r="J2952" i="234"/>
  <c r="C2947" i="234"/>
  <c r="B2947" i="234"/>
  <c r="C2946" i="234"/>
  <c r="B2946" i="234"/>
  <c r="L2942" i="234"/>
  <c r="S2944" i="234"/>
  <c r="J2942" i="234"/>
  <c r="C2937" i="234"/>
  <c r="B2937" i="234"/>
  <c r="C2936" i="234"/>
  <c r="B2936" i="234"/>
  <c r="L2932" i="234"/>
  <c r="S2932" i="234"/>
  <c r="J2932" i="234"/>
  <c r="C2927" i="234"/>
  <c r="B2927" i="234"/>
  <c r="C2926" i="234"/>
  <c r="B2926" i="234"/>
  <c r="L2922" i="234"/>
  <c r="S2924" i="234"/>
  <c r="J2922" i="234"/>
  <c r="C2917" i="234"/>
  <c r="B2917" i="234"/>
  <c r="C2916" i="234"/>
  <c r="B2916" i="234"/>
  <c r="L2912" i="234"/>
  <c r="S2914" i="234"/>
  <c r="J2912" i="234"/>
  <c r="C2907" i="234"/>
  <c r="B2907" i="234"/>
  <c r="C2906" i="234"/>
  <c r="B2906" i="234"/>
  <c r="L2902" i="234"/>
  <c r="J2902" i="234"/>
  <c r="C2897" i="234"/>
  <c r="B2897" i="234"/>
  <c r="C2896" i="234"/>
  <c r="B2896" i="234"/>
  <c r="L2892" i="234"/>
  <c r="J2892" i="234"/>
  <c r="C2887" i="234"/>
  <c r="B2887" i="234"/>
  <c r="C2886" i="234"/>
  <c r="B2886" i="234"/>
  <c r="L2882" i="234"/>
  <c r="S2883" i="234"/>
  <c r="J2882" i="234"/>
  <c r="C2877" i="234"/>
  <c r="B2877" i="234"/>
  <c r="C2876" i="234"/>
  <c r="B2876" i="234"/>
  <c r="L2871" i="234"/>
  <c r="J2871" i="234"/>
  <c r="C2866" i="234"/>
  <c r="B2866" i="234"/>
  <c r="C2865" i="234"/>
  <c r="B2865" i="234"/>
  <c r="L2861" i="234"/>
  <c r="J2861" i="234"/>
  <c r="C2856" i="234"/>
  <c r="B2856" i="234"/>
  <c r="C2855" i="234"/>
  <c r="B2855" i="234"/>
  <c r="L2851" i="234"/>
  <c r="J2851" i="234"/>
  <c r="C2846" i="234"/>
  <c r="B2846" i="234"/>
  <c r="C2845" i="234"/>
  <c r="B2845" i="234"/>
  <c r="L2841" i="234"/>
  <c r="S2843" i="234"/>
  <c r="J2841" i="234"/>
  <c r="C2836" i="234"/>
  <c r="B2836" i="234"/>
  <c r="C2835" i="234"/>
  <c r="B2835" i="234"/>
  <c r="L2831" i="234"/>
  <c r="J2831" i="234"/>
  <c r="C2826" i="234"/>
  <c r="B2826" i="234"/>
  <c r="C2825" i="234"/>
  <c r="B2825" i="234"/>
  <c r="L2821" i="234"/>
  <c r="J2821" i="234"/>
  <c r="C2816" i="234"/>
  <c r="B2816" i="234"/>
  <c r="C2815" i="234"/>
  <c r="B2815" i="234"/>
  <c r="L2811" i="234"/>
  <c r="J2811" i="234"/>
  <c r="C2806" i="234"/>
  <c r="B2806" i="234"/>
  <c r="C2805" i="234"/>
  <c r="B2805" i="234"/>
  <c r="L2801" i="234"/>
  <c r="J2801" i="234"/>
  <c r="C2796" i="234"/>
  <c r="B2796" i="234"/>
  <c r="C2795" i="234"/>
  <c r="B2795" i="234"/>
  <c r="L2791" i="234"/>
  <c r="S2791" i="234"/>
  <c r="J2791" i="234"/>
  <c r="C2786" i="234"/>
  <c r="B2786" i="234"/>
  <c r="C2785" i="234"/>
  <c r="B2785" i="234"/>
  <c r="L2781" i="234"/>
  <c r="J2781" i="234"/>
  <c r="C2776" i="234"/>
  <c r="B2776" i="234"/>
  <c r="C2775" i="234"/>
  <c r="B2775" i="234"/>
  <c r="L2771" i="234"/>
  <c r="J2771" i="234"/>
  <c r="C2766" i="234"/>
  <c r="B2766" i="234"/>
  <c r="C2765" i="234"/>
  <c r="B2765" i="234"/>
  <c r="L2761" i="234"/>
  <c r="J2761" i="234"/>
  <c r="C2756" i="234"/>
  <c r="B2756" i="234"/>
  <c r="C2755" i="234"/>
  <c r="B2755" i="234"/>
  <c r="L2751" i="234"/>
  <c r="J2751" i="234"/>
  <c r="C2746" i="234"/>
  <c r="B2746" i="234"/>
  <c r="C2745" i="234"/>
  <c r="B2745" i="234"/>
  <c r="L2741" i="234"/>
  <c r="S2743" i="234"/>
  <c r="J2741" i="234"/>
  <c r="C2736" i="234"/>
  <c r="B2736" i="234"/>
  <c r="C2735" i="234"/>
  <c r="B2735" i="234"/>
  <c r="L2731" i="234"/>
  <c r="J2731" i="234"/>
  <c r="C2726" i="234"/>
  <c r="B2726" i="234"/>
  <c r="C2725" i="234"/>
  <c r="B2725" i="234"/>
  <c r="L2721" i="234"/>
  <c r="J2721" i="234"/>
  <c r="C2716" i="234"/>
  <c r="B2716" i="234"/>
  <c r="C2715" i="234"/>
  <c r="B2715" i="234"/>
  <c r="L2711" i="234"/>
  <c r="J2711" i="234"/>
  <c r="C2706" i="234"/>
  <c r="B2706" i="234"/>
  <c r="C2705" i="234"/>
  <c r="B2705" i="234"/>
  <c r="L2701" i="234"/>
  <c r="J2701" i="234"/>
  <c r="C2696" i="234"/>
  <c r="B2696" i="234"/>
  <c r="C2695" i="234"/>
  <c r="B2695" i="234"/>
  <c r="L2691" i="234"/>
  <c r="J2691" i="234"/>
  <c r="C2686" i="234"/>
  <c r="B2686" i="234"/>
  <c r="C2685" i="234"/>
  <c r="B2685" i="234"/>
  <c r="L2681" i="234"/>
  <c r="S2683" i="234"/>
  <c r="J2681" i="234"/>
  <c r="C2676" i="234"/>
  <c r="B2676" i="234"/>
  <c r="C2675" i="234"/>
  <c r="B2675" i="234"/>
  <c r="L2671" i="234"/>
  <c r="J2671" i="234"/>
  <c r="C2666" i="234"/>
  <c r="B2666" i="234"/>
  <c r="C2665" i="234"/>
  <c r="B2665" i="234"/>
  <c r="L2661" i="234"/>
  <c r="S2663" i="234"/>
  <c r="J2661" i="234"/>
  <c r="C2656" i="234"/>
  <c r="B2656" i="234"/>
  <c r="C2655" i="234"/>
  <c r="B2655" i="234"/>
  <c r="L2651" i="234"/>
  <c r="J2651" i="234"/>
  <c r="C2646" i="234"/>
  <c r="B2646" i="234"/>
  <c r="C2645" i="234"/>
  <c r="B2645" i="234"/>
  <c r="L2641" i="234"/>
  <c r="S2641" i="234"/>
  <c r="J2641" i="234"/>
  <c r="C2636" i="234"/>
  <c r="B2636" i="234"/>
  <c r="C2635" i="234"/>
  <c r="B2635" i="234"/>
  <c r="L2631" i="234"/>
  <c r="J2631" i="234"/>
  <c r="C2626" i="234"/>
  <c r="B2626" i="234"/>
  <c r="C2625" i="234"/>
  <c r="B2625" i="234"/>
  <c r="L2621" i="234"/>
  <c r="S2621" i="234"/>
  <c r="J2621" i="234"/>
  <c r="C2616" i="234"/>
  <c r="B2616" i="234"/>
  <c r="C2615" i="234"/>
  <c r="B2615" i="234"/>
  <c r="L2611" i="234"/>
  <c r="S2613" i="234"/>
  <c r="J2611" i="234"/>
  <c r="C2606" i="234"/>
  <c r="B2606" i="234"/>
  <c r="C2605" i="234"/>
  <c r="B2605" i="234"/>
  <c r="L2601" i="234"/>
  <c r="S2602" i="234"/>
  <c r="J2601" i="234"/>
  <c r="C2596" i="234"/>
  <c r="B2596" i="234"/>
  <c r="C2595" i="234"/>
  <c r="B2595" i="234"/>
  <c r="L2591" i="234"/>
  <c r="S2591" i="234"/>
  <c r="J2591" i="234"/>
  <c r="C2586" i="234"/>
  <c r="B2586" i="234"/>
  <c r="C2585" i="234"/>
  <c r="B2585" i="234"/>
  <c r="L2581" i="234"/>
  <c r="J2581" i="234"/>
  <c r="C2576" i="234"/>
  <c r="B2576" i="234"/>
  <c r="C2575" i="234"/>
  <c r="B2575" i="234"/>
  <c r="L2571" i="234"/>
  <c r="J2571" i="234"/>
  <c r="C2566" i="234"/>
  <c r="B2566" i="234"/>
  <c r="C2565" i="234"/>
  <c r="B2565" i="234"/>
  <c r="L2561" i="234"/>
  <c r="J2561" i="234"/>
  <c r="C2556" i="234"/>
  <c r="B2556" i="234"/>
  <c r="C2555" i="234"/>
  <c r="B2555" i="234"/>
  <c r="L2551" i="234"/>
  <c r="J2551" i="234"/>
  <c r="C2546" i="234"/>
  <c r="B2546" i="234"/>
  <c r="C2545" i="234"/>
  <c r="B2545" i="234"/>
  <c r="L2540" i="234"/>
  <c r="S2541" i="234"/>
  <c r="J2540" i="234"/>
  <c r="C2535" i="234"/>
  <c r="B2535" i="234"/>
  <c r="C2534" i="234"/>
  <c r="B2534" i="234"/>
  <c r="L2530" i="234"/>
  <c r="J2530" i="234"/>
  <c r="C2525" i="234"/>
  <c r="B2525" i="234"/>
  <c r="C2524" i="234"/>
  <c r="B2524" i="234"/>
  <c r="L2520" i="234"/>
  <c r="J2520" i="234"/>
  <c r="C2515" i="234"/>
  <c r="B2515" i="234"/>
  <c r="C2514" i="234"/>
  <c r="B2514" i="234"/>
  <c r="L2509" i="234"/>
  <c r="J2509" i="234"/>
  <c r="C2504" i="234"/>
  <c r="B2504" i="234"/>
  <c r="C2503" i="234"/>
  <c r="B2503" i="234"/>
  <c r="L2499" i="234"/>
  <c r="J2499" i="234"/>
  <c r="C2494" i="234"/>
  <c r="B2494" i="234"/>
  <c r="C2493" i="234"/>
  <c r="B2493" i="234"/>
  <c r="L2489" i="234"/>
  <c r="S2490" i="234"/>
  <c r="J2489" i="234"/>
  <c r="C2484" i="234"/>
  <c r="B2484" i="234"/>
  <c r="C2483" i="234"/>
  <c r="B2483" i="234"/>
  <c r="L2477" i="234"/>
  <c r="J2477" i="234"/>
  <c r="C2472" i="234"/>
  <c r="B2472" i="234"/>
  <c r="C2471" i="234"/>
  <c r="B2471" i="234"/>
  <c r="L2467" i="234"/>
  <c r="J2467" i="234"/>
  <c r="C2462" i="234"/>
  <c r="B2462" i="234"/>
  <c r="C2461" i="234"/>
  <c r="B2461" i="234"/>
  <c r="L2446" i="234"/>
  <c r="S2448" i="234"/>
  <c r="J2446" i="234"/>
  <c r="C2441" i="234"/>
  <c r="B2441" i="234"/>
  <c r="C2440" i="234"/>
  <c r="B2440" i="234"/>
  <c r="L2436" i="234"/>
  <c r="J2436" i="234"/>
  <c r="C2431" i="234"/>
  <c r="B2431" i="234"/>
  <c r="C2430" i="234"/>
  <c r="B2430" i="234"/>
  <c r="L2426" i="234"/>
  <c r="J2426" i="234"/>
  <c r="C2421" i="234"/>
  <c r="B2421" i="234"/>
  <c r="C2420" i="234"/>
  <c r="B2420" i="234"/>
  <c r="L2416" i="234"/>
  <c r="J2416" i="234"/>
  <c r="C2411" i="234"/>
  <c r="B2411" i="234"/>
  <c r="C2410" i="234"/>
  <c r="B2410" i="234"/>
  <c r="L2406" i="234"/>
  <c r="J2406" i="234"/>
  <c r="C2401" i="234"/>
  <c r="B2401" i="234"/>
  <c r="C2400" i="234"/>
  <c r="B2400" i="234"/>
  <c r="L2396" i="234"/>
  <c r="S2397" i="234"/>
  <c r="J2396" i="234"/>
  <c r="C2391" i="234"/>
  <c r="B2391" i="234"/>
  <c r="C2390" i="234"/>
  <c r="B2390" i="234"/>
  <c r="L2386" i="234"/>
  <c r="J2386" i="234"/>
  <c r="C2381" i="234"/>
  <c r="B2381" i="234"/>
  <c r="C2380" i="234"/>
  <c r="B2380" i="234"/>
  <c r="L2376" i="234"/>
  <c r="J2376" i="234"/>
  <c r="C2371" i="234"/>
  <c r="B2371" i="234"/>
  <c r="C2370" i="234"/>
  <c r="B2370" i="234"/>
  <c r="L2365" i="234"/>
  <c r="J2365" i="234"/>
  <c r="C2360" i="234"/>
  <c r="B2360" i="234"/>
  <c r="C2359" i="234"/>
  <c r="B2359" i="234"/>
  <c r="L2355" i="234"/>
  <c r="J2355" i="234"/>
  <c r="C2350" i="234"/>
  <c r="B2350" i="234"/>
  <c r="C2349" i="234"/>
  <c r="B2349" i="234"/>
  <c r="L2345" i="234"/>
  <c r="S2345" i="234"/>
  <c r="J2345" i="234"/>
  <c r="C2340" i="234"/>
  <c r="B2340" i="234"/>
  <c r="C2339" i="234"/>
  <c r="B2339" i="234"/>
  <c r="L2335" i="234"/>
  <c r="J2335" i="234"/>
  <c r="C2330" i="234"/>
  <c r="B2330" i="234"/>
  <c r="C2329" i="234"/>
  <c r="B2329" i="234"/>
  <c r="L2323" i="234"/>
  <c r="S2323" i="234"/>
  <c r="J2323" i="234"/>
  <c r="C2318" i="234"/>
  <c r="B2318" i="234"/>
  <c r="C2317" i="234"/>
  <c r="B2317" i="234"/>
  <c r="L2312" i="234"/>
  <c r="J2312" i="234"/>
  <c r="C2307" i="234"/>
  <c r="B2307" i="234"/>
  <c r="C2306" i="234"/>
  <c r="B2306" i="234"/>
  <c r="L2302" i="234"/>
  <c r="J2302" i="234"/>
  <c r="C2297" i="234"/>
  <c r="B2297" i="234"/>
  <c r="C2296" i="234"/>
  <c r="B2296" i="234"/>
  <c r="L2292" i="234"/>
  <c r="S2292" i="234"/>
  <c r="J2292" i="234"/>
  <c r="C2287" i="234"/>
  <c r="B2287" i="234"/>
  <c r="C2286" i="234"/>
  <c r="B2286" i="234"/>
  <c r="L2282" i="234"/>
  <c r="S2282" i="234"/>
  <c r="J2282" i="234"/>
  <c r="C2277" i="234"/>
  <c r="B2277" i="234"/>
  <c r="C2276" i="234"/>
  <c r="B2276" i="234"/>
  <c r="L2272" i="234"/>
  <c r="J2272" i="234"/>
  <c r="C2267" i="234"/>
  <c r="B2267" i="234"/>
  <c r="C2266" i="234"/>
  <c r="B2266" i="234"/>
  <c r="L2262" i="234"/>
  <c r="J2262" i="234"/>
  <c r="C2257" i="234"/>
  <c r="B2257" i="234"/>
  <c r="C2256" i="234"/>
  <c r="B2256" i="234"/>
  <c r="L2252" i="234"/>
  <c r="S2252" i="234"/>
  <c r="J2252" i="234"/>
  <c r="C2247" i="234"/>
  <c r="B2247" i="234"/>
  <c r="C2246" i="234"/>
  <c r="B2246" i="234"/>
  <c r="L2241" i="234"/>
  <c r="S2241" i="234"/>
  <c r="C2236" i="234"/>
  <c r="B2236" i="234"/>
  <c r="C2235" i="234"/>
  <c r="B2235" i="234"/>
  <c r="L2231" i="234"/>
  <c r="J2231" i="234"/>
  <c r="C2226" i="234"/>
  <c r="B2226" i="234"/>
  <c r="C2225" i="234"/>
  <c r="B2225" i="234"/>
  <c r="L2221" i="234"/>
  <c r="J2221" i="234"/>
  <c r="C2216" i="234"/>
  <c r="B2216" i="234"/>
  <c r="C2215" i="234"/>
  <c r="B2215" i="234"/>
  <c r="L2211" i="234"/>
  <c r="C2206" i="234"/>
  <c r="B2206" i="234"/>
  <c r="C2205" i="234"/>
  <c r="B2205" i="234"/>
  <c r="L2201" i="234"/>
  <c r="J2201" i="234"/>
  <c r="C2196" i="234"/>
  <c r="B2196" i="234"/>
  <c r="C2195" i="234"/>
  <c r="B2195" i="234"/>
  <c r="L2191" i="234"/>
  <c r="J2191" i="234"/>
  <c r="C2186" i="234"/>
  <c r="B2186" i="234"/>
  <c r="C2185" i="234"/>
  <c r="B2185" i="234"/>
  <c r="L2181" i="234"/>
  <c r="S2182" i="234"/>
  <c r="J2181" i="234"/>
  <c r="C2176" i="234"/>
  <c r="B2176" i="234"/>
  <c r="C2175" i="234"/>
  <c r="B2175" i="234"/>
  <c r="L2171" i="234"/>
  <c r="S2172" i="234"/>
  <c r="C2166" i="234"/>
  <c r="B2166" i="234"/>
  <c r="C2165" i="234"/>
  <c r="B2165" i="234"/>
  <c r="L2161" i="234"/>
  <c r="S2162" i="234"/>
  <c r="C2156" i="234"/>
  <c r="B2156" i="234"/>
  <c r="C2155" i="234"/>
  <c r="B2155" i="234"/>
  <c r="L2151" i="234"/>
  <c r="C2146" i="234"/>
  <c r="B2146" i="234"/>
  <c r="C2145" i="234"/>
  <c r="B2145" i="234"/>
  <c r="L2141" i="234"/>
  <c r="S2141" i="234"/>
  <c r="J2141" i="234"/>
  <c r="C2136" i="234"/>
  <c r="B2136" i="234"/>
  <c r="C2135" i="234"/>
  <c r="B2135" i="234"/>
  <c r="L2131" i="234"/>
  <c r="J2131" i="234"/>
  <c r="R2131" i="234"/>
  <c r="C2126" i="234"/>
  <c r="B2126" i="234"/>
  <c r="C2125" i="234"/>
  <c r="B2125" i="234"/>
  <c r="L2121" i="234"/>
  <c r="S2122" i="234"/>
  <c r="J2121" i="234"/>
  <c r="C2116" i="234"/>
  <c r="B2116" i="234"/>
  <c r="C2115" i="234"/>
  <c r="B2115" i="234"/>
  <c r="L2111" i="234"/>
  <c r="J2111" i="234"/>
  <c r="C2106" i="234"/>
  <c r="B2106" i="234"/>
  <c r="C2105" i="234"/>
  <c r="B2105" i="234"/>
  <c r="L2101" i="234"/>
  <c r="S2101" i="234"/>
  <c r="J2101" i="234"/>
  <c r="C2096" i="234"/>
  <c r="B2096" i="234"/>
  <c r="B2095" i="234"/>
  <c r="L2090" i="234"/>
  <c r="J2090" i="234"/>
  <c r="C2085" i="234"/>
  <c r="B2085" i="234"/>
  <c r="C2084" i="234"/>
  <c r="B2084" i="234"/>
  <c r="L2080" i="234"/>
  <c r="S2080" i="234"/>
  <c r="J2080" i="234"/>
  <c r="C2075" i="234"/>
  <c r="B2075" i="234"/>
  <c r="C2074" i="234"/>
  <c r="B2074" i="234"/>
  <c r="L2070" i="234"/>
  <c r="S2070" i="234"/>
  <c r="J2070" i="234"/>
  <c r="C2065" i="234"/>
  <c r="B2065" i="234"/>
  <c r="C2064" i="234"/>
  <c r="B2064" i="234"/>
  <c r="L2060" i="234"/>
  <c r="S2062" i="234"/>
  <c r="J2060" i="234"/>
  <c r="C2055" i="234"/>
  <c r="B2055" i="234"/>
  <c r="C2054" i="234"/>
  <c r="B2054" i="234"/>
  <c r="L2050" i="234"/>
  <c r="S2052" i="234"/>
  <c r="J2050" i="234"/>
  <c r="C2045" i="234"/>
  <c r="B2045" i="234"/>
  <c r="C2044" i="234"/>
  <c r="B2044" i="234"/>
  <c r="L2040" i="234"/>
  <c r="S2040" i="234"/>
  <c r="J2040" i="234"/>
  <c r="C2035" i="234"/>
  <c r="B2035" i="234"/>
  <c r="C2034" i="234"/>
  <c r="B2034" i="234"/>
  <c r="L2030" i="234"/>
  <c r="S2032" i="234"/>
  <c r="J2030" i="234"/>
  <c r="C2025" i="234"/>
  <c r="B2025" i="234"/>
  <c r="C2024" i="234"/>
  <c r="B2024" i="234"/>
  <c r="L2020" i="234"/>
  <c r="S2020" i="234"/>
  <c r="J2020" i="234"/>
  <c r="C2015" i="234"/>
  <c r="B2015" i="234"/>
  <c r="C2014" i="234"/>
  <c r="B2014" i="234"/>
  <c r="L2010" i="234"/>
  <c r="S2010" i="234"/>
  <c r="J2010" i="234"/>
  <c r="C2005" i="234"/>
  <c r="B2005" i="234"/>
  <c r="C2004" i="234"/>
  <c r="B2004" i="234"/>
  <c r="L2000" i="234"/>
  <c r="S2000" i="234"/>
  <c r="J2000" i="234"/>
  <c r="C1995" i="234"/>
  <c r="B1995" i="234"/>
  <c r="C1994" i="234"/>
  <c r="B1994" i="234"/>
  <c r="L1990" i="234"/>
  <c r="S1992" i="234"/>
  <c r="J1990" i="234"/>
  <c r="C1985" i="234"/>
  <c r="B1985" i="234"/>
  <c r="C1984" i="234"/>
  <c r="B1984" i="234"/>
  <c r="L1980" i="234"/>
  <c r="S1982" i="234"/>
  <c r="J1980" i="234"/>
  <c r="C1975" i="234"/>
  <c r="B1975" i="234"/>
  <c r="C1974" i="234"/>
  <c r="B1974" i="234"/>
  <c r="L1970" i="234"/>
  <c r="S1970" i="234"/>
  <c r="J1970" i="234"/>
  <c r="C1965" i="234"/>
  <c r="B1965" i="234"/>
  <c r="C1964" i="234"/>
  <c r="B1964" i="234"/>
  <c r="L1960" i="234"/>
  <c r="S1961" i="234"/>
  <c r="J1960" i="234"/>
  <c r="C1955" i="234"/>
  <c r="B1955" i="234"/>
  <c r="C1954" i="234"/>
  <c r="B1954" i="234"/>
  <c r="L1950" i="234"/>
  <c r="S1950" i="234"/>
  <c r="J1950" i="234"/>
  <c r="C1945" i="234"/>
  <c r="B1945" i="234"/>
  <c r="C1944" i="234"/>
  <c r="B1944" i="234"/>
  <c r="L1940" i="234"/>
  <c r="S1942" i="234"/>
  <c r="J1940" i="234"/>
  <c r="C1935" i="234"/>
  <c r="B1935" i="234"/>
  <c r="C1934" i="234"/>
  <c r="B1934" i="234"/>
  <c r="L1930" i="234"/>
  <c r="S1930" i="234"/>
  <c r="J1930" i="234"/>
  <c r="C1925" i="234"/>
  <c r="B1925" i="234"/>
  <c r="C1924" i="234"/>
  <c r="B1924" i="234"/>
  <c r="L1920" i="234"/>
  <c r="S1921" i="234"/>
  <c r="J1920" i="234"/>
  <c r="C1915" i="234"/>
  <c r="B1915" i="234"/>
  <c r="C1914" i="234"/>
  <c r="B1914" i="234"/>
  <c r="L1910" i="234"/>
  <c r="S1911" i="234"/>
  <c r="J1910" i="234"/>
  <c r="C1905" i="234"/>
  <c r="B1905" i="234"/>
  <c r="C1904" i="234"/>
  <c r="B1904" i="234"/>
  <c r="L1900" i="234"/>
  <c r="S1902" i="234"/>
  <c r="J1900" i="234"/>
  <c r="C1895" i="234"/>
  <c r="B1895" i="234"/>
  <c r="C1894" i="234"/>
  <c r="B1894" i="234"/>
  <c r="L1890" i="234"/>
  <c r="S1892" i="234"/>
  <c r="J1890" i="234"/>
  <c r="C1885" i="234"/>
  <c r="B1885" i="234"/>
  <c r="C1884" i="234"/>
  <c r="B1884" i="234"/>
  <c r="L1880" i="234"/>
  <c r="S1882" i="234"/>
  <c r="J1880" i="234"/>
  <c r="C1875" i="234"/>
  <c r="B1875" i="234"/>
  <c r="C1874" i="234"/>
  <c r="B1874" i="234"/>
  <c r="L1870" i="234"/>
  <c r="S1872" i="234"/>
  <c r="J1870" i="234"/>
  <c r="C1865" i="234"/>
  <c r="B1865" i="234"/>
  <c r="C1864" i="234"/>
  <c r="B1864" i="234"/>
  <c r="L1860" i="234"/>
  <c r="S1861" i="234"/>
  <c r="J1860" i="234"/>
  <c r="C1855" i="234"/>
  <c r="B1855" i="234"/>
  <c r="C1854" i="234"/>
  <c r="B1854" i="234"/>
  <c r="L1850" i="234"/>
  <c r="S1851" i="234"/>
  <c r="J1850" i="234"/>
  <c r="C1845" i="234"/>
  <c r="B1845" i="234"/>
  <c r="C1844" i="234"/>
  <c r="B1844" i="234"/>
  <c r="L1840" i="234"/>
  <c r="S1842" i="234"/>
  <c r="J1840" i="234"/>
  <c r="C1835" i="234"/>
  <c r="B1835" i="234"/>
  <c r="C1834" i="234"/>
  <c r="B1834" i="234"/>
  <c r="L1830" i="234"/>
  <c r="S1830" i="234"/>
  <c r="J1830" i="234"/>
  <c r="C1825" i="234"/>
  <c r="B1825" i="234"/>
  <c r="C1824" i="234"/>
  <c r="B1824" i="234"/>
  <c r="L1820" i="234"/>
  <c r="S1821" i="234"/>
  <c r="J1820" i="234"/>
  <c r="C1815" i="234"/>
  <c r="B1815" i="234"/>
  <c r="C1814" i="234"/>
  <c r="B1814" i="234"/>
  <c r="L1810" i="234"/>
  <c r="S1812" i="234"/>
  <c r="J1810" i="234"/>
  <c r="C1805" i="234"/>
  <c r="B1805" i="234"/>
  <c r="C1804" i="234"/>
  <c r="B1804" i="234"/>
  <c r="L1799" i="234"/>
  <c r="S1799" i="234"/>
  <c r="J1799" i="234"/>
  <c r="C1794" i="234"/>
  <c r="B1794" i="234"/>
  <c r="C1793" i="234"/>
  <c r="B1793" i="234"/>
  <c r="L1789" i="234"/>
  <c r="S1791" i="234"/>
  <c r="J1789" i="234"/>
  <c r="C1784" i="234"/>
  <c r="B1784" i="234"/>
  <c r="C1783" i="234"/>
  <c r="B1783" i="234"/>
  <c r="L1779" i="234"/>
  <c r="S1780" i="234"/>
  <c r="J1779" i="234"/>
  <c r="C1774" i="234"/>
  <c r="B1774" i="234"/>
  <c r="C1773" i="234"/>
  <c r="B1773" i="234"/>
  <c r="C1764" i="234"/>
  <c r="B1764" i="234"/>
  <c r="C1754" i="234"/>
  <c r="B1754" i="234"/>
  <c r="L1749" i="234"/>
  <c r="S1751" i="234"/>
  <c r="J1749" i="234"/>
  <c r="C1744" i="234"/>
  <c r="B1744" i="234"/>
  <c r="C1743" i="234"/>
  <c r="B1743" i="234"/>
  <c r="L1739" i="234"/>
  <c r="S1739" i="234"/>
  <c r="J1739" i="234"/>
  <c r="C1734" i="234"/>
  <c r="B1734" i="234"/>
  <c r="C1733" i="234"/>
  <c r="B1733" i="234"/>
  <c r="L1729" i="234"/>
  <c r="S1729" i="234"/>
  <c r="J1729" i="234"/>
  <c r="C1724" i="234"/>
  <c r="B1724" i="234"/>
  <c r="C1723" i="234"/>
  <c r="B1723" i="234"/>
  <c r="L1719" i="234"/>
  <c r="S1720" i="234"/>
  <c r="J1719" i="234"/>
  <c r="C1714" i="234"/>
  <c r="B1714" i="234"/>
  <c r="C1713" i="234"/>
  <c r="B1713" i="234"/>
  <c r="L1709" i="234"/>
  <c r="S1711" i="234"/>
  <c r="J1709" i="234"/>
  <c r="C1704" i="234"/>
  <c r="B1704" i="234"/>
  <c r="C1703" i="234"/>
  <c r="B1703" i="234"/>
  <c r="L1699" i="234"/>
  <c r="S1701" i="234"/>
  <c r="J1699" i="234"/>
  <c r="C1694" i="234"/>
  <c r="B1694" i="234"/>
  <c r="C1693" i="234"/>
  <c r="B1693" i="234"/>
  <c r="L1688" i="234"/>
  <c r="S1689" i="234"/>
  <c r="J1688" i="234"/>
  <c r="C1683" i="234"/>
  <c r="B1683" i="234"/>
  <c r="C1682" i="234"/>
  <c r="B1682" i="234"/>
  <c r="L1678" i="234"/>
  <c r="S1679" i="234"/>
  <c r="J1678" i="234"/>
  <c r="C1673" i="234"/>
  <c r="B1673" i="234"/>
  <c r="C1672" i="234"/>
  <c r="B1672" i="234"/>
  <c r="L1668" i="234"/>
  <c r="S1669" i="234"/>
  <c r="J1668" i="234"/>
  <c r="C1663" i="234"/>
  <c r="B1663" i="234"/>
  <c r="C1662" i="234"/>
  <c r="B1662" i="234"/>
  <c r="L1658" i="234"/>
  <c r="S1660" i="234"/>
  <c r="J1658" i="234"/>
  <c r="C1653" i="234"/>
  <c r="B1653" i="234"/>
  <c r="C1652" i="234"/>
  <c r="B1652" i="234"/>
  <c r="L1648" i="234"/>
  <c r="S1648" i="234"/>
  <c r="J1648" i="234"/>
  <c r="C1643" i="234"/>
  <c r="B1643" i="234"/>
  <c r="C1642" i="234"/>
  <c r="B1642" i="234"/>
  <c r="L1638" i="234"/>
  <c r="S1639" i="234"/>
  <c r="J1638" i="234"/>
  <c r="C1633" i="234"/>
  <c r="B1633" i="234"/>
  <c r="C1632" i="234"/>
  <c r="B1632" i="234"/>
  <c r="L1628" i="234"/>
  <c r="J1628" i="234"/>
  <c r="C1623" i="234"/>
  <c r="B1623" i="234"/>
  <c r="C1622" i="234"/>
  <c r="B1622" i="234"/>
  <c r="L1618" i="234"/>
  <c r="S1620" i="234"/>
  <c r="J1618" i="234"/>
  <c r="C1613" i="234"/>
  <c r="B1613" i="234"/>
  <c r="C1612" i="234"/>
  <c r="B1612" i="234"/>
  <c r="L1608" i="234"/>
  <c r="S1610" i="234"/>
  <c r="J1608" i="234"/>
  <c r="C1603" i="234"/>
  <c r="B1603" i="234"/>
  <c r="C1602" i="234"/>
  <c r="B1602" i="234"/>
  <c r="L1598" i="234"/>
  <c r="S1598" i="234"/>
  <c r="J1598" i="234"/>
  <c r="C1593" i="234"/>
  <c r="B1593" i="234"/>
  <c r="C1592" i="234"/>
  <c r="B1592" i="234"/>
  <c r="L1588" i="234"/>
  <c r="S1590" i="234"/>
  <c r="J1588" i="234"/>
  <c r="C1583" i="234"/>
  <c r="B1583" i="234"/>
  <c r="C1582" i="234"/>
  <c r="B1582" i="234"/>
  <c r="L1577" i="234"/>
  <c r="S1579" i="234"/>
  <c r="J1577" i="234"/>
  <c r="C1572" i="234"/>
  <c r="B1572" i="234"/>
  <c r="C1571" i="234"/>
  <c r="B1571" i="234"/>
  <c r="L1567" i="234"/>
  <c r="S1567" i="234"/>
  <c r="J1567" i="234"/>
  <c r="C1562" i="234"/>
  <c r="B1562" i="234"/>
  <c r="C1561" i="234"/>
  <c r="B1561" i="234"/>
  <c r="L1557" i="234"/>
  <c r="S1558" i="234"/>
  <c r="J1557" i="234"/>
  <c r="C1552" i="234"/>
  <c r="B1552" i="234"/>
  <c r="C1551" i="234"/>
  <c r="B1551" i="234"/>
  <c r="L1547" i="234"/>
  <c r="S1549" i="234"/>
  <c r="J1547" i="234"/>
  <c r="C1542" i="234"/>
  <c r="B1542" i="234"/>
  <c r="C1541" i="234"/>
  <c r="B1541" i="234"/>
  <c r="L1537" i="234"/>
  <c r="S1539" i="234"/>
  <c r="J1537" i="234"/>
  <c r="C1532" i="234"/>
  <c r="B1532" i="234"/>
  <c r="C1531" i="234"/>
  <c r="B1531" i="234"/>
  <c r="L1527" i="234"/>
  <c r="S1529" i="234"/>
  <c r="J1527" i="234"/>
  <c r="C1522" i="234"/>
  <c r="B1522" i="234"/>
  <c r="C1521" i="234"/>
  <c r="B1521" i="234"/>
  <c r="L1517" i="234"/>
  <c r="S1519" i="234"/>
  <c r="J1517" i="234"/>
  <c r="C1512" i="234"/>
  <c r="B1512" i="234"/>
  <c r="C1511" i="234"/>
  <c r="B1511" i="234"/>
  <c r="L1507" i="234"/>
  <c r="S1509" i="234"/>
  <c r="J1507" i="234"/>
  <c r="C1502" i="234"/>
  <c r="B1502" i="234"/>
  <c r="C1501" i="234"/>
  <c r="B1501" i="234"/>
  <c r="L1497" i="234"/>
  <c r="S1497" i="234"/>
  <c r="J1497" i="234"/>
  <c r="C1492" i="234"/>
  <c r="B1492" i="234"/>
  <c r="C1491" i="234"/>
  <c r="B1491" i="234"/>
  <c r="L1486" i="234"/>
  <c r="S1488" i="234"/>
  <c r="J1486" i="234"/>
  <c r="C1481" i="234"/>
  <c r="B1481" i="234"/>
  <c r="C1480" i="234"/>
  <c r="B1480" i="234"/>
  <c r="L1476" i="234"/>
  <c r="S1478" i="234"/>
  <c r="J1476" i="234"/>
  <c r="C1471" i="234"/>
  <c r="B1471" i="234"/>
  <c r="C1470" i="234"/>
  <c r="B1470" i="234"/>
  <c r="L1465" i="234"/>
  <c r="S1467" i="234"/>
  <c r="J1465" i="234"/>
  <c r="C1460" i="234"/>
  <c r="B1460" i="234"/>
  <c r="C1459" i="234"/>
  <c r="B1459" i="234"/>
  <c r="L1455" i="234"/>
  <c r="S1456" i="234"/>
  <c r="J1455" i="234"/>
  <c r="C1450" i="234"/>
  <c r="B1450" i="234"/>
  <c r="C1449" i="234"/>
  <c r="B1449" i="234"/>
  <c r="L1435" i="234"/>
  <c r="S1437" i="234"/>
  <c r="J1435" i="234"/>
  <c r="C1430" i="234"/>
  <c r="B1430" i="234"/>
  <c r="C1429" i="234"/>
  <c r="B1429" i="234"/>
  <c r="L1425" i="234"/>
  <c r="S1427" i="234"/>
  <c r="J1425" i="234"/>
  <c r="C1420" i="234"/>
  <c r="B1420" i="234"/>
  <c r="C1419" i="234"/>
  <c r="B1419" i="234"/>
  <c r="L1415" i="234"/>
  <c r="S1417" i="234"/>
  <c r="J1415" i="234"/>
  <c r="C1410" i="234"/>
  <c r="B1410" i="234"/>
  <c r="C1409" i="234"/>
  <c r="B1409" i="234"/>
  <c r="L1405" i="234"/>
  <c r="S1406" i="234"/>
  <c r="J1405" i="234"/>
  <c r="C1400" i="234"/>
  <c r="B1400" i="234"/>
  <c r="C1399" i="234"/>
  <c r="B1399" i="234"/>
  <c r="L1394" i="234"/>
  <c r="S1394" i="234"/>
  <c r="J1394" i="234"/>
  <c r="C1389" i="234"/>
  <c r="B1389" i="234"/>
  <c r="C1388" i="234"/>
  <c r="B1388" i="234"/>
  <c r="L1384" i="234"/>
  <c r="S1385" i="234"/>
  <c r="J1384" i="234"/>
  <c r="C1379" i="234"/>
  <c r="B1379" i="234"/>
  <c r="C1378" i="234"/>
  <c r="B1378" i="234"/>
  <c r="L1374" i="234"/>
  <c r="S1376" i="234"/>
  <c r="J1374" i="234"/>
  <c r="C1369" i="234"/>
  <c r="B1369" i="234"/>
  <c r="C1368" i="234"/>
  <c r="B1368" i="234"/>
  <c r="L1364" i="234"/>
  <c r="S1366" i="234"/>
  <c r="J1364" i="234"/>
  <c r="C1359" i="234"/>
  <c r="B1359" i="234"/>
  <c r="C1358" i="234"/>
  <c r="B1358" i="234"/>
  <c r="L1354" i="234"/>
  <c r="S1355" i="234"/>
  <c r="J1354" i="234"/>
  <c r="C1349" i="234"/>
  <c r="B1349" i="234"/>
  <c r="C1348" i="234"/>
  <c r="B1348" i="234"/>
  <c r="L1344" i="234"/>
  <c r="S1346" i="234"/>
  <c r="J1344" i="234"/>
  <c r="C1339" i="234"/>
  <c r="B1339" i="234"/>
  <c r="C1338" i="234"/>
  <c r="B1338" i="234"/>
  <c r="L1334" i="234"/>
  <c r="S1334" i="234"/>
  <c r="J1334" i="234"/>
  <c r="C1329" i="234"/>
  <c r="B1329" i="234"/>
  <c r="C1328" i="234"/>
  <c r="B1328" i="234"/>
  <c r="L1324" i="234"/>
  <c r="S1325" i="234"/>
  <c r="J1324" i="234"/>
  <c r="C1319" i="234"/>
  <c r="B1319" i="234"/>
  <c r="C1318" i="234"/>
  <c r="B1318" i="234"/>
  <c r="L1314" i="234"/>
  <c r="S1315" i="234"/>
  <c r="J1314" i="234"/>
  <c r="C1309" i="234"/>
  <c r="B1309" i="234"/>
  <c r="C1308" i="234"/>
  <c r="B1308" i="234"/>
  <c r="L1304" i="234"/>
  <c r="S1306" i="234"/>
  <c r="J1304" i="234"/>
  <c r="C1299" i="234"/>
  <c r="B1299" i="234"/>
  <c r="C1298" i="234"/>
  <c r="B1298" i="234"/>
  <c r="L1293" i="234"/>
  <c r="S1293" i="234"/>
  <c r="J1293" i="234"/>
  <c r="C1288" i="234"/>
  <c r="B1288" i="234"/>
  <c r="C1287" i="234"/>
  <c r="B1287" i="234"/>
  <c r="L1283" i="234"/>
  <c r="S1284" i="234"/>
  <c r="J1283" i="234"/>
  <c r="C1278" i="234"/>
  <c r="B1278" i="234"/>
  <c r="C1277" i="234"/>
  <c r="B1277" i="234"/>
  <c r="L1273" i="234"/>
  <c r="S1274" i="234"/>
  <c r="J1273" i="234"/>
  <c r="C1268" i="234"/>
  <c r="B1268" i="234"/>
  <c r="C1267" i="234"/>
  <c r="B1267" i="234"/>
  <c r="L1263" i="234"/>
  <c r="S1264" i="234"/>
  <c r="J1263" i="234"/>
  <c r="C1258" i="234"/>
  <c r="B1258" i="234"/>
  <c r="C1257" i="234"/>
  <c r="B1257" i="234"/>
  <c r="L1253" i="234"/>
  <c r="S1254" i="234"/>
  <c r="J1253" i="234"/>
  <c r="C1248" i="234"/>
  <c r="B1248" i="234"/>
  <c r="C1247" i="234"/>
  <c r="B1247" i="234"/>
  <c r="L1243" i="234"/>
  <c r="S1245" i="234"/>
  <c r="J1243" i="234"/>
  <c r="C1238" i="234"/>
  <c r="B1238" i="234"/>
  <c r="C1237" i="234"/>
  <c r="B1237" i="234"/>
  <c r="L1233" i="234"/>
  <c r="S1235" i="234"/>
  <c r="J1233" i="234"/>
  <c r="C1228" i="234"/>
  <c r="B1228" i="234"/>
  <c r="C1227" i="234"/>
  <c r="B1227" i="234"/>
  <c r="L1223" i="234"/>
  <c r="S1223" i="234"/>
  <c r="J1223" i="234"/>
  <c r="C1218" i="234"/>
  <c r="B1218" i="234"/>
  <c r="C1217" i="234"/>
  <c r="B1217" i="234"/>
  <c r="L1213" i="234"/>
  <c r="S1213" i="234"/>
  <c r="J1213" i="234"/>
  <c r="C1208" i="234"/>
  <c r="B1208" i="234"/>
  <c r="C1207" i="234"/>
  <c r="B1207" i="234"/>
  <c r="L1203" i="234"/>
  <c r="S1204" i="234"/>
  <c r="J1203" i="234"/>
  <c r="C1198" i="234"/>
  <c r="B1198" i="234"/>
  <c r="C1197" i="234"/>
  <c r="B1197" i="234"/>
  <c r="L1193" i="234"/>
  <c r="S1193" i="234"/>
  <c r="J1193" i="234"/>
  <c r="C1188" i="234"/>
  <c r="B1188" i="234"/>
  <c r="C1187" i="234"/>
  <c r="B1187" i="234"/>
  <c r="L1183" i="234"/>
  <c r="S1185" i="234"/>
  <c r="J1183" i="234"/>
  <c r="C1178" i="234"/>
  <c r="B1178" i="234"/>
  <c r="C1177" i="234"/>
  <c r="B1177" i="234"/>
  <c r="L1173" i="234"/>
  <c r="S1175" i="234"/>
  <c r="J1173" i="234"/>
  <c r="C1168" i="234"/>
  <c r="B1168" i="234"/>
  <c r="C1167" i="234"/>
  <c r="B1167" i="234"/>
  <c r="L1163" i="234"/>
  <c r="S1163" i="234"/>
  <c r="J1163" i="234"/>
  <c r="C1158" i="234"/>
  <c r="B1158" i="234"/>
  <c r="C1157" i="234"/>
  <c r="B1157" i="234"/>
  <c r="L1153" i="234"/>
  <c r="S1154" i="234"/>
  <c r="J1153" i="234"/>
  <c r="C1148" i="234"/>
  <c r="B1148" i="234"/>
  <c r="C1147" i="234"/>
  <c r="B1147" i="234"/>
  <c r="L1143" i="234"/>
  <c r="S1144" i="234"/>
  <c r="J1143" i="234"/>
  <c r="C1138" i="234"/>
  <c r="B1138" i="234"/>
  <c r="C1137" i="234"/>
  <c r="B1137" i="234"/>
  <c r="L1132" i="234"/>
  <c r="S1133" i="234"/>
  <c r="J1132" i="234"/>
  <c r="C1127" i="234"/>
  <c r="B1127" i="234"/>
  <c r="C1126" i="234"/>
  <c r="B1126" i="234"/>
  <c r="L1122" i="234"/>
  <c r="S1122" i="234"/>
  <c r="J1122" i="234"/>
  <c r="C1117" i="234"/>
  <c r="B1117" i="234"/>
  <c r="C1116" i="234"/>
  <c r="B1116" i="234"/>
  <c r="L1112" i="234"/>
  <c r="S1113" i="234"/>
  <c r="J1112" i="234"/>
  <c r="C1107" i="234"/>
  <c r="B1107" i="234"/>
  <c r="C1106" i="234"/>
  <c r="B1106" i="234"/>
  <c r="L1102" i="234"/>
  <c r="S1103" i="234"/>
  <c r="J1102" i="234"/>
  <c r="C1097" i="234"/>
  <c r="B1097" i="234"/>
  <c r="C1096" i="234"/>
  <c r="B1096" i="234"/>
  <c r="L1092" i="234"/>
  <c r="S1093" i="234"/>
  <c r="J1092" i="234"/>
  <c r="C1087" i="234"/>
  <c r="B1087" i="234"/>
  <c r="C1086" i="234"/>
  <c r="B1086" i="234"/>
  <c r="L1082" i="234"/>
  <c r="S1084" i="234"/>
  <c r="J1082" i="234"/>
  <c r="C1077" i="234"/>
  <c r="B1077" i="234"/>
  <c r="C1076" i="234"/>
  <c r="B1076" i="234"/>
  <c r="L1072" i="234"/>
  <c r="S1072" i="234"/>
  <c r="J1072" i="234"/>
  <c r="C1067" i="234"/>
  <c r="B1067" i="234"/>
  <c r="C1066" i="234"/>
  <c r="B1066" i="234"/>
  <c r="L1062" i="234"/>
  <c r="S1062" i="234"/>
  <c r="J1062" i="234"/>
  <c r="C1057" i="234"/>
  <c r="B1057" i="234"/>
  <c r="C1056" i="234"/>
  <c r="B1056" i="234"/>
  <c r="L1052" i="234"/>
  <c r="S1054" i="234"/>
  <c r="J1052" i="234"/>
  <c r="C1047" i="234"/>
  <c r="B1047" i="234"/>
  <c r="C1046" i="234"/>
  <c r="B1046" i="234"/>
  <c r="L1042" i="234"/>
  <c r="S1042" i="234"/>
  <c r="J1042" i="234"/>
  <c r="C1037" i="234"/>
  <c r="B1037" i="234"/>
  <c r="C1036" i="234"/>
  <c r="B1036" i="234"/>
  <c r="L1032" i="234"/>
  <c r="S1033" i="234"/>
  <c r="J1032" i="234"/>
  <c r="C1027" i="234"/>
  <c r="B1027" i="234"/>
  <c r="C1026" i="234"/>
  <c r="B1026" i="234"/>
  <c r="L1022" i="234"/>
  <c r="S1024" i="234"/>
  <c r="J1022" i="234"/>
  <c r="C1017" i="234"/>
  <c r="B1017" i="234"/>
  <c r="C1016" i="234"/>
  <c r="B1016" i="234"/>
  <c r="L1012" i="234"/>
  <c r="S1013" i="234"/>
  <c r="J1012" i="234"/>
  <c r="C1007" i="234"/>
  <c r="B1007" i="234"/>
  <c r="C1006" i="234"/>
  <c r="B1006" i="234"/>
  <c r="L1002" i="234"/>
  <c r="S1004" i="234"/>
  <c r="J1002" i="234"/>
  <c r="L991" i="234"/>
  <c r="S993" i="234"/>
  <c r="J991" i="234"/>
  <c r="L979" i="234"/>
  <c r="S980" i="234"/>
  <c r="J979" i="234"/>
  <c r="L958" i="234"/>
  <c r="S959" i="234"/>
  <c r="J958" i="234"/>
  <c r="L949" i="234"/>
  <c r="S950" i="234"/>
  <c r="J949" i="234"/>
  <c r="L939" i="234"/>
  <c r="S941" i="234"/>
  <c r="J939" i="234"/>
  <c r="L924" i="234"/>
  <c r="S926" i="234"/>
  <c r="J924" i="234"/>
  <c r="C919" i="234"/>
  <c r="B919" i="234"/>
  <c r="C918" i="234"/>
  <c r="B918" i="234"/>
  <c r="L914" i="234"/>
  <c r="S916" i="234"/>
  <c r="J914" i="234"/>
  <c r="C909" i="234"/>
  <c r="B909" i="234"/>
  <c r="C908" i="234"/>
  <c r="B908" i="234"/>
  <c r="L904" i="234"/>
  <c r="J904" i="234"/>
  <c r="C899" i="234"/>
  <c r="B899" i="234"/>
  <c r="C898" i="234"/>
  <c r="B898" i="234"/>
  <c r="L894" i="234"/>
  <c r="S894" i="234"/>
  <c r="J894" i="234"/>
  <c r="C889" i="234"/>
  <c r="B889" i="234"/>
  <c r="C888" i="234"/>
  <c r="L883" i="234"/>
  <c r="S884" i="234"/>
  <c r="J883" i="234"/>
  <c r="C878" i="234"/>
  <c r="B878" i="234"/>
  <c r="C877" i="234"/>
  <c r="B877" i="234"/>
  <c r="L873" i="234"/>
  <c r="J873" i="234"/>
  <c r="C870" i="234"/>
  <c r="B870" i="234"/>
  <c r="C869" i="234"/>
  <c r="B869" i="234"/>
  <c r="L865" i="234"/>
  <c r="J865" i="234"/>
  <c r="C863" i="234"/>
  <c r="B863" i="234"/>
  <c r="C862" i="234"/>
  <c r="B862" i="234"/>
  <c r="L858" i="234"/>
  <c r="S860" i="234"/>
  <c r="J858" i="234"/>
  <c r="C856" i="234"/>
  <c r="B856" i="234"/>
  <c r="C855" i="234"/>
  <c r="B855" i="234"/>
  <c r="L851" i="234"/>
  <c r="J851" i="234"/>
  <c r="C719" i="234"/>
  <c r="B719" i="234"/>
  <c r="C718" i="234"/>
  <c r="B718" i="234"/>
  <c r="L714" i="234"/>
  <c r="S716" i="234"/>
  <c r="J714" i="234"/>
  <c r="C701" i="234"/>
  <c r="B701" i="234"/>
  <c r="C700" i="234"/>
  <c r="B700" i="234"/>
  <c r="L696" i="234"/>
  <c r="J696" i="234"/>
  <c r="C650" i="234"/>
  <c r="B650" i="234"/>
  <c r="C649" i="234"/>
  <c r="B649" i="234"/>
  <c r="L645" i="234"/>
  <c r="S647" i="234"/>
  <c r="J645" i="234"/>
  <c r="C599" i="234"/>
  <c r="B599" i="234"/>
  <c r="C598" i="234"/>
  <c r="B598" i="234"/>
  <c r="L594" i="234"/>
  <c r="S596" i="234"/>
  <c r="J594" i="234"/>
  <c r="C538" i="234"/>
  <c r="B538" i="234"/>
  <c r="C537" i="234"/>
  <c r="B537" i="234"/>
  <c r="L533" i="234"/>
  <c r="S533" i="234"/>
  <c r="B525" i="234"/>
  <c r="B524" i="234"/>
  <c r="L520" i="234"/>
  <c r="S522" i="234"/>
  <c r="J520" i="234"/>
  <c r="B514" i="234"/>
  <c r="B513" i="234"/>
  <c r="L509" i="234"/>
  <c r="S510" i="234"/>
  <c r="J509" i="234"/>
  <c r="C501" i="234"/>
  <c r="B501" i="234"/>
  <c r="C500" i="234"/>
  <c r="B500" i="234"/>
  <c r="L496" i="234"/>
  <c r="J496" i="234"/>
  <c r="C493" i="234"/>
  <c r="B493" i="234"/>
  <c r="C492" i="234"/>
  <c r="B492" i="234"/>
  <c r="L488" i="234"/>
  <c r="S489" i="234"/>
  <c r="J488" i="234"/>
  <c r="C431" i="234"/>
  <c r="B431" i="234"/>
  <c r="C430" i="234"/>
  <c r="X430" i="234"/>
  <c r="B430" i="234"/>
  <c r="L426" i="234"/>
  <c r="S427" i="234"/>
  <c r="J426" i="234"/>
  <c r="C408" i="234"/>
  <c r="B408" i="234"/>
  <c r="C407" i="234"/>
  <c r="B407" i="234"/>
  <c r="L403" i="234"/>
  <c r="S404" i="234"/>
  <c r="J403" i="234"/>
  <c r="L304" i="234"/>
  <c r="J304" i="234"/>
  <c r="C302" i="234"/>
  <c r="B302" i="234"/>
  <c r="C301" i="234"/>
  <c r="B301" i="234"/>
  <c r="L297" i="234"/>
  <c r="J297" i="234"/>
  <c r="C295" i="234"/>
  <c r="B295" i="234"/>
  <c r="C294" i="234"/>
  <c r="B294" i="234"/>
  <c r="L289" i="234"/>
  <c r="S290" i="234"/>
  <c r="J289" i="234"/>
  <c r="C258" i="234"/>
  <c r="X258" i="234"/>
  <c r="B258" i="234"/>
  <c r="C257" i="234"/>
  <c r="X257" i="234"/>
  <c r="B257" i="234"/>
  <c r="L253" i="234"/>
  <c r="J253" i="234"/>
  <c r="C249" i="234"/>
  <c r="B249" i="234"/>
  <c r="C248" i="234"/>
  <c r="B248" i="234"/>
  <c r="C246" i="234"/>
  <c r="B246" i="234"/>
  <c r="L241" i="234"/>
  <c r="S242" i="234"/>
  <c r="J241" i="234"/>
  <c r="C207" i="234"/>
  <c r="B207" i="234"/>
  <c r="C206" i="234"/>
  <c r="B206" i="234"/>
  <c r="L202" i="234"/>
  <c r="S203" i="234"/>
  <c r="J202" i="234"/>
  <c r="C168" i="234"/>
  <c r="B168" i="234"/>
  <c r="C167" i="234"/>
  <c r="B167" i="234"/>
  <c r="L163" i="234"/>
  <c r="S164" i="234"/>
  <c r="J163" i="234"/>
  <c r="C129" i="234"/>
  <c r="B129" i="234"/>
  <c r="C128" i="234"/>
  <c r="B128" i="234"/>
  <c r="C90" i="234"/>
  <c r="B90" i="234"/>
  <c r="C89" i="234"/>
  <c r="B89" i="234"/>
  <c r="L85" i="234"/>
  <c r="S87" i="234"/>
  <c r="J85" i="234"/>
  <c r="C80" i="234"/>
  <c r="B80" i="234"/>
  <c r="C79" i="234"/>
  <c r="B79" i="234"/>
  <c r="L74" i="234"/>
  <c r="J74" i="234"/>
  <c r="C69" i="234"/>
  <c r="B69" i="234"/>
  <c r="C68" i="234"/>
  <c r="B68" i="234"/>
  <c r="L64" i="234"/>
  <c r="J64" i="234"/>
  <c r="C59" i="234"/>
  <c r="B59" i="234"/>
  <c r="C58" i="234"/>
  <c r="B58" i="234"/>
  <c r="L54" i="234"/>
  <c r="S54" i="234"/>
  <c r="J54" i="234"/>
  <c r="C49" i="234"/>
  <c r="B49" i="234"/>
  <c r="C48" i="234"/>
  <c r="B48" i="234"/>
  <c r="L44" i="234"/>
  <c r="J44" i="234"/>
  <c r="C39" i="234"/>
  <c r="B39" i="234"/>
  <c r="C38" i="234"/>
  <c r="B38" i="234"/>
  <c r="L34" i="234"/>
  <c r="J34" i="234"/>
  <c r="C29" i="234"/>
  <c r="B29" i="234"/>
  <c r="C28" i="234"/>
  <c r="B28" i="234"/>
  <c r="L24" i="234"/>
  <c r="J24" i="234"/>
  <c r="C19" i="234"/>
  <c r="B19" i="234"/>
  <c r="C18" i="234"/>
  <c r="B18" i="234"/>
  <c r="L14" i="234"/>
  <c r="S15" i="234"/>
  <c r="J14" i="234"/>
  <c r="C9" i="234"/>
  <c r="B9" i="234"/>
  <c r="C8" i="234"/>
  <c r="B8" i="234"/>
  <c r="C7" i="234"/>
  <c r="B7" i="234"/>
  <c r="I399" i="233"/>
  <c r="G399" i="233"/>
  <c r="I398" i="233"/>
  <c r="G398" i="233"/>
  <c r="I397" i="233"/>
  <c r="G397" i="233"/>
  <c r="I396" i="233"/>
  <c r="G396" i="233"/>
  <c r="I395" i="233"/>
  <c r="G395" i="233"/>
  <c r="I394" i="233"/>
  <c r="G394" i="233"/>
  <c r="I393" i="233"/>
  <c r="G393" i="233"/>
  <c r="I392" i="233"/>
  <c r="G392" i="233"/>
  <c r="I391" i="233"/>
  <c r="G391" i="233"/>
  <c r="I390" i="233"/>
  <c r="G390" i="233"/>
  <c r="I389" i="233"/>
  <c r="G389" i="233"/>
  <c r="I388" i="233"/>
  <c r="G388" i="233"/>
  <c r="I387" i="233"/>
  <c r="G387" i="233"/>
  <c r="I386" i="233"/>
  <c r="G386" i="233"/>
  <c r="I385" i="233"/>
  <c r="G385" i="233"/>
  <c r="I384" i="233"/>
  <c r="G384" i="233"/>
  <c r="I383" i="233"/>
  <c r="G383" i="233"/>
  <c r="I382" i="233"/>
  <c r="G382" i="233"/>
  <c r="I381" i="233"/>
  <c r="G381" i="233"/>
  <c r="I380" i="233"/>
  <c r="G380" i="233"/>
  <c r="I379" i="233"/>
  <c r="G379" i="233"/>
  <c r="I378" i="233"/>
  <c r="G378" i="233"/>
  <c r="I377" i="233"/>
  <c r="G377" i="233"/>
  <c r="I376" i="233"/>
  <c r="G376" i="233"/>
  <c r="I375" i="233"/>
  <c r="G375" i="233"/>
  <c r="I374" i="233"/>
  <c r="G374" i="233"/>
  <c r="I373" i="233"/>
  <c r="G373" i="233"/>
  <c r="I372" i="233"/>
  <c r="G372" i="233"/>
  <c r="I371" i="233"/>
  <c r="G371" i="233"/>
  <c r="I370" i="233"/>
  <c r="G370" i="233"/>
  <c r="I369" i="233"/>
  <c r="G369" i="233"/>
  <c r="I368" i="233"/>
  <c r="G368" i="233"/>
  <c r="I367" i="233"/>
  <c r="G367" i="233"/>
  <c r="I365" i="233"/>
  <c r="I364" i="233"/>
  <c r="I363" i="233"/>
  <c r="I362" i="233"/>
  <c r="I361" i="233"/>
  <c r="I360" i="233"/>
  <c r="I359" i="233"/>
  <c r="I358" i="233"/>
  <c r="I357" i="233"/>
  <c r="I356" i="233"/>
  <c r="I355" i="233"/>
  <c r="I354" i="233"/>
  <c r="I353" i="233"/>
  <c r="I352" i="233"/>
  <c r="I351" i="233"/>
  <c r="I350" i="233"/>
  <c r="I349" i="233"/>
  <c r="I348" i="233"/>
  <c r="I347" i="233"/>
  <c r="I346" i="233"/>
  <c r="I345" i="233"/>
  <c r="I344" i="233"/>
  <c r="I342" i="233"/>
  <c r="I341" i="233"/>
  <c r="I340" i="233"/>
  <c r="I339" i="233"/>
  <c r="I338" i="233"/>
  <c r="I337" i="233"/>
  <c r="I336" i="233"/>
  <c r="I335" i="233"/>
  <c r="I334" i="233"/>
  <c r="I333" i="233"/>
  <c r="I332" i="233"/>
  <c r="I331" i="233"/>
  <c r="I330" i="233"/>
  <c r="I329" i="233"/>
  <c r="I328" i="233"/>
  <c r="I327" i="233"/>
  <c r="I325" i="233"/>
  <c r="I324" i="233"/>
  <c r="I323" i="233"/>
  <c r="I322" i="233"/>
  <c r="I321" i="233"/>
  <c r="I320" i="233"/>
  <c r="I319" i="233"/>
  <c r="I317" i="233"/>
  <c r="I316" i="233"/>
  <c r="I315" i="233"/>
  <c r="I314" i="233"/>
  <c r="I313" i="233"/>
  <c r="I312" i="233"/>
  <c r="I311" i="233"/>
  <c r="I310" i="233"/>
  <c r="I309" i="233"/>
  <c r="I308" i="233"/>
  <c r="I307" i="233"/>
  <c r="I305" i="233"/>
  <c r="I304" i="233"/>
  <c r="I303" i="233"/>
  <c r="I302" i="233"/>
  <c r="I301" i="233"/>
  <c r="I300" i="233"/>
  <c r="I299" i="233"/>
  <c r="I297" i="233"/>
  <c r="I296" i="233"/>
  <c r="I295" i="233"/>
  <c r="I294" i="233"/>
  <c r="I293" i="233"/>
  <c r="I292" i="233"/>
  <c r="I291" i="233"/>
  <c r="I290" i="233"/>
  <c r="I289" i="233"/>
  <c r="I288" i="233"/>
  <c r="I287" i="233"/>
  <c r="I286" i="233"/>
  <c r="I284" i="233"/>
  <c r="I283" i="233"/>
  <c r="I282" i="233"/>
  <c r="I280" i="233"/>
  <c r="I279" i="233"/>
  <c r="I278" i="233"/>
  <c r="I277" i="233"/>
  <c r="I275" i="233"/>
  <c r="I274" i="233"/>
  <c r="I273" i="233"/>
  <c r="I272" i="233"/>
  <c r="I271" i="233"/>
  <c r="I270" i="233"/>
  <c r="I266" i="233"/>
  <c r="I265" i="233"/>
  <c r="I264" i="233"/>
  <c r="I263" i="233"/>
  <c r="I262" i="233"/>
  <c r="I261" i="233"/>
  <c r="I260" i="233"/>
  <c r="I259" i="233"/>
  <c r="I258" i="233"/>
  <c r="I257" i="233"/>
  <c r="I256" i="233"/>
  <c r="I255" i="233"/>
  <c r="I254" i="233"/>
  <c r="I253" i="233"/>
  <c r="I251" i="233"/>
  <c r="I250" i="233"/>
  <c r="I249" i="233"/>
  <c r="I248" i="233"/>
  <c r="I247" i="233"/>
  <c r="I246" i="233"/>
  <c r="I245" i="233"/>
  <c r="I244" i="233"/>
  <c r="I243" i="233"/>
  <c r="I242" i="233"/>
  <c r="I241" i="233"/>
  <c r="I240" i="233"/>
  <c r="I239" i="233"/>
  <c r="I238" i="233"/>
  <c r="I237" i="233"/>
  <c r="I236" i="233"/>
  <c r="I235" i="233"/>
  <c r="I234" i="233"/>
  <c r="I232" i="233"/>
  <c r="I230" i="233"/>
  <c r="I228" i="233"/>
  <c r="I226" i="233"/>
  <c r="I223" i="233"/>
  <c r="I222" i="233"/>
  <c r="I220" i="233"/>
  <c r="I219" i="233"/>
  <c r="I218" i="233"/>
  <c r="I217" i="233"/>
  <c r="G217" i="233"/>
  <c r="I216" i="233"/>
  <c r="G216" i="233"/>
  <c r="I215" i="233"/>
  <c r="G215" i="233"/>
  <c r="I214" i="233"/>
  <c r="G214" i="233"/>
  <c r="I213" i="233"/>
  <c r="G213" i="233"/>
  <c r="I212" i="233"/>
  <c r="G212" i="233"/>
  <c r="I210" i="233"/>
  <c r="G210" i="233"/>
  <c r="I209" i="233"/>
  <c r="G209" i="233"/>
  <c r="I208" i="233"/>
  <c r="G208" i="233"/>
  <c r="I207" i="233"/>
  <c r="G207" i="233"/>
  <c r="I204" i="233"/>
  <c r="I203" i="233"/>
  <c r="G204" i="233"/>
  <c r="G203" i="233"/>
  <c r="I200" i="233"/>
  <c r="G200" i="233"/>
  <c r="I199" i="233"/>
  <c r="G199" i="233"/>
  <c r="I198" i="233"/>
  <c r="G198" i="233"/>
  <c r="I197" i="233"/>
  <c r="G197" i="233"/>
  <c r="I196" i="233"/>
  <c r="G196" i="233"/>
  <c r="I192" i="233"/>
  <c r="I191" i="233"/>
  <c r="I190" i="233"/>
  <c r="I189" i="233"/>
  <c r="I188" i="233"/>
  <c r="I187" i="233"/>
  <c r="I186" i="233"/>
  <c r="I185" i="233"/>
  <c r="I184" i="233"/>
  <c r="I183" i="233"/>
  <c r="I182" i="233"/>
  <c r="I181" i="233"/>
  <c r="I180" i="233"/>
  <c r="I177" i="233"/>
  <c r="G177" i="233"/>
  <c r="I176" i="233"/>
  <c r="G176" i="233"/>
  <c r="I175" i="233"/>
  <c r="G175" i="233"/>
  <c r="I174" i="233"/>
  <c r="G174" i="233"/>
  <c r="I173" i="233"/>
  <c r="G173" i="233"/>
  <c r="I172" i="233"/>
  <c r="G172" i="233"/>
  <c r="I171" i="233"/>
  <c r="G171" i="233"/>
  <c r="I170" i="233"/>
  <c r="G170" i="233"/>
  <c r="I169" i="233"/>
  <c r="G169" i="233"/>
  <c r="I168" i="233"/>
  <c r="G168" i="233"/>
  <c r="I167" i="233"/>
  <c r="G167" i="233"/>
  <c r="I166" i="233"/>
  <c r="G166" i="233"/>
  <c r="I165" i="233"/>
  <c r="G165" i="233"/>
  <c r="I164" i="233"/>
  <c r="G164" i="233"/>
  <c r="I163" i="233"/>
  <c r="G163" i="233"/>
  <c r="I162" i="233"/>
  <c r="G162" i="233"/>
  <c r="I161" i="233"/>
  <c r="G161" i="233"/>
  <c r="I160" i="233"/>
  <c r="G160" i="233"/>
  <c r="I159" i="233"/>
  <c r="G159" i="233"/>
  <c r="I158" i="233"/>
  <c r="G158" i="233"/>
  <c r="I157" i="233"/>
  <c r="G157" i="233"/>
  <c r="I156" i="233"/>
  <c r="G156" i="233"/>
  <c r="I155" i="233"/>
  <c r="G155" i="233"/>
  <c r="I154" i="233"/>
  <c r="G154" i="233"/>
  <c r="I153" i="233"/>
  <c r="G153" i="233"/>
  <c r="I152" i="233"/>
  <c r="G152" i="233"/>
  <c r="I151" i="233"/>
  <c r="G151" i="233"/>
  <c r="I150" i="233"/>
  <c r="G150" i="233"/>
  <c r="I148" i="233"/>
  <c r="G148" i="233"/>
  <c r="I147" i="233"/>
  <c r="G147" i="233"/>
  <c r="I146" i="233"/>
  <c r="G146" i="233"/>
  <c r="I145" i="233"/>
  <c r="G145" i="233"/>
  <c r="I144" i="233"/>
  <c r="G144" i="233"/>
  <c r="I143" i="233"/>
  <c r="G143" i="233"/>
  <c r="I142" i="233"/>
  <c r="G142" i="233"/>
  <c r="I141" i="233"/>
  <c r="G141" i="233"/>
  <c r="I140" i="233"/>
  <c r="G140" i="233"/>
  <c r="I139" i="233"/>
  <c r="G139" i="233"/>
  <c r="I138" i="233"/>
  <c r="G138" i="233"/>
  <c r="I136" i="233"/>
  <c r="G136" i="233"/>
  <c r="I135" i="233"/>
  <c r="G135" i="233"/>
  <c r="I134" i="233"/>
  <c r="G134" i="233"/>
  <c r="I133" i="233"/>
  <c r="G133" i="233"/>
  <c r="I132" i="233"/>
  <c r="G132" i="233"/>
  <c r="I131" i="233"/>
  <c r="G131" i="233"/>
  <c r="I130" i="233"/>
  <c r="G130" i="233"/>
  <c r="I129" i="233"/>
  <c r="G129" i="233"/>
  <c r="I128" i="233"/>
  <c r="G128" i="233"/>
  <c r="I127" i="233"/>
  <c r="G127" i="233"/>
  <c r="I126" i="233"/>
  <c r="G126" i="233"/>
  <c r="I122" i="233"/>
  <c r="G122" i="233"/>
  <c r="I121" i="233"/>
  <c r="G121" i="233"/>
  <c r="I120" i="233"/>
  <c r="G120" i="233"/>
  <c r="I119" i="233"/>
  <c r="G119" i="233"/>
  <c r="I118" i="233"/>
  <c r="G118" i="233"/>
  <c r="I117" i="233"/>
  <c r="G117" i="233"/>
  <c r="I116" i="233"/>
  <c r="G116" i="233"/>
  <c r="I114" i="233"/>
  <c r="G114" i="233"/>
  <c r="I113" i="233"/>
  <c r="G113" i="233"/>
  <c r="I111" i="233"/>
  <c r="G111" i="233"/>
  <c r="I110" i="233"/>
  <c r="G110" i="233"/>
  <c r="I109" i="233"/>
  <c r="G109" i="233"/>
  <c r="I108" i="233"/>
  <c r="G108" i="233"/>
  <c r="I107" i="233"/>
  <c r="G107" i="233"/>
  <c r="I106" i="233"/>
  <c r="G106" i="233"/>
  <c r="I105" i="233"/>
  <c r="G105" i="233"/>
  <c r="I103" i="233"/>
  <c r="G103" i="233"/>
  <c r="I102" i="233"/>
  <c r="G102" i="233"/>
  <c r="I101" i="233"/>
  <c r="G101" i="233"/>
  <c r="I100" i="233"/>
  <c r="G100" i="233"/>
  <c r="I99" i="233"/>
  <c r="G99" i="233"/>
  <c r="I98" i="233"/>
  <c r="G98" i="233"/>
  <c r="I97" i="233"/>
  <c r="G97" i="233"/>
  <c r="I96" i="233"/>
  <c r="G96" i="233"/>
  <c r="I95" i="233"/>
  <c r="G95" i="233"/>
  <c r="I94" i="233"/>
  <c r="G94" i="233"/>
  <c r="I92" i="233"/>
  <c r="G92" i="233"/>
  <c r="I90" i="233"/>
  <c r="G90" i="233"/>
  <c r="I89" i="233"/>
  <c r="G89" i="233"/>
  <c r="I88" i="233"/>
  <c r="G88" i="233"/>
  <c r="I87" i="233"/>
  <c r="G87" i="233"/>
  <c r="I86" i="233"/>
  <c r="G86" i="233"/>
  <c r="I85" i="233"/>
  <c r="G85" i="233"/>
  <c r="I84" i="233"/>
  <c r="G84" i="233"/>
  <c r="I83" i="233"/>
  <c r="G83" i="233"/>
  <c r="I82" i="233"/>
  <c r="G82" i="233"/>
  <c r="I81" i="233"/>
  <c r="G81" i="233"/>
  <c r="I80" i="233"/>
  <c r="G80" i="233"/>
  <c r="I79" i="233"/>
  <c r="G79" i="233"/>
  <c r="I78" i="233"/>
  <c r="G78" i="233"/>
  <c r="I77" i="233"/>
  <c r="G77" i="233"/>
  <c r="I72" i="233"/>
  <c r="G72" i="233"/>
  <c r="I71" i="233"/>
  <c r="G71" i="233"/>
  <c r="I70" i="233"/>
  <c r="G70" i="233"/>
  <c r="I69" i="233"/>
  <c r="G69" i="233"/>
  <c r="I68" i="233"/>
  <c r="G68" i="233"/>
  <c r="I67" i="233"/>
  <c r="G67" i="233"/>
  <c r="I66" i="233"/>
  <c r="G66" i="233"/>
  <c r="I65" i="233"/>
  <c r="G65" i="233"/>
  <c r="I64" i="233"/>
  <c r="G64" i="233"/>
  <c r="I63" i="233"/>
  <c r="G63" i="233"/>
  <c r="I62" i="233"/>
  <c r="G62" i="233"/>
  <c r="I57" i="233"/>
  <c r="G57" i="233"/>
  <c r="I56" i="233"/>
  <c r="G56" i="233"/>
  <c r="I53" i="233"/>
  <c r="G53" i="233"/>
  <c r="I52" i="233"/>
  <c r="G52" i="233"/>
  <c r="I51" i="233"/>
  <c r="G51" i="233"/>
  <c r="I50" i="233"/>
  <c r="G50" i="233"/>
  <c r="G45" i="233"/>
  <c r="G44" i="233"/>
  <c r="G43" i="233"/>
  <c r="G42" i="233"/>
  <c r="G41" i="233"/>
  <c r="G40" i="233"/>
  <c r="G39" i="233"/>
  <c r="G38" i="233"/>
  <c r="G37" i="233"/>
  <c r="G36" i="233"/>
  <c r="G35" i="233"/>
  <c r="G34" i="233"/>
  <c r="G33" i="233"/>
  <c r="G28" i="233"/>
  <c r="G27" i="233"/>
  <c r="G22" i="233"/>
  <c r="G21" i="233"/>
  <c r="G20" i="233"/>
  <c r="G19" i="233"/>
  <c r="G18" i="233"/>
  <c r="I16" i="233"/>
  <c r="G16" i="233"/>
  <c r="I15" i="233"/>
  <c r="G15" i="233"/>
  <c r="I14" i="233"/>
  <c r="G14" i="233"/>
  <c r="I13" i="233"/>
  <c r="G13" i="233"/>
  <c r="I12" i="233"/>
  <c r="G12" i="233"/>
  <c r="I11" i="233"/>
  <c r="G11" i="233"/>
  <c r="G10" i="233"/>
  <c r="N945" i="232"/>
  <c r="N930" i="232"/>
  <c r="N726" i="232"/>
  <c r="N727" i="232"/>
  <c r="E436" i="232"/>
  <c r="C436" i="232"/>
  <c r="E434" i="232"/>
  <c r="C434" i="232"/>
  <c r="E433" i="232"/>
  <c r="C433" i="232"/>
  <c r="E432" i="232"/>
  <c r="C432" i="232"/>
  <c r="E431" i="232"/>
  <c r="C431" i="232"/>
  <c r="E430" i="232"/>
  <c r="C430" i="232"/>
  <c r="E429" i="232"/>
  <c r="C429" i="232"/>
  <c r="E428" i="232"/>
  <c r="C428" i="232"/>
  <c r="E427" i="232"/>
  <c r="C427" i="232"/>
  <c r="E426" i="232"/>
  <c r="C426" i="232"/>
  <c r="E425" i="232"/>
  <c r="C425" i="232"/>
  <c r="E424" i="232"/>
  <c r="C424" i="232"/>
  <c r="E421" i="232"/>
  <c r="C421" i="232"/>
  <c r="E420" i="232"/>
  <c r="C420" i="232"/>
  <c r="E419" i="232"/>
  <c r="C419" i="232"/>
  <c r="E418" i="232"/>
  <c r="C418" i="232"/>
  <c r="E417" i="232"/>
  <c r="C417" i="232"/>
  <c r="E416" i="232"/>
  <c r="C416" i="232"/>
  <c r="E415" i="232"/>
  <c r="C415" i="232"/>
  <c r="E413" i="232"/>
  <c r="C413" i="232"/>
  <c r="E412" i="232"/>
  <c r="C412" i="232"/>
  <c r="E411" i="232"/>
  <c r="C411" i="232"/>
  <c r="E410" i="232"/>
  <c r="C410" i="232"/>
  <c r="E409" i="232"/>
  <c r="C409" i="232"/>
  <c r="E405" i="232"/>
  <c r="C405" i="232"/>
  <c r="E404" i="232"/>
  <c r="C404" i="232"/>
  <c r="E403" i="232"/>
  <c r="C403" i="232"/>
  <c r="E402" i="232"/>
  <c r="C402" i="232"/>
  <c r="E401" i="232"/>
  <c r="C401" i="232"/>
  <c r="E400" i="232"/>
  <c r="C400" i="232"/>
  <c r="E398" i="232"/>
  <c r="C398" i="232"/>
  <c r="E397" i="232"/>
  <c r="C397" i="232"/>
  <c r="E396" i="232"/>
  <c r="C396" i="232"/>
  <c r="E395" i="232"/>
  <c r="C395" i="232"/>
  <c r="E394" i="232"/>
  <c r="C394" i="232"/>
  <c r="E393" i="232"/>
  <c r="C393" i="232"/>
  <c r="E392" i="232"/>
  <c r="C392" i="232"/>
  <c r="E389" i="232"/>
  <c r="C389" i="232"/>
  <c r="E388" i="232"/>
  <c r="C388" i="232"/>
  <c r="E387" i="232"/>
  <c r="C387" i="232"/>
  <c r="E386" i="232"/>
  <c r="C386" i="232"/>
  <c r="E385" i="232"/>
  <c r="C385" i="232"/>
  <c r="E384" i="232"/>
  <c r="C384" i="232"/>
  <c r="E383" i="232"/>
  <c r="C383" i="232"/>
  <c r="E382" i="232"/>
  <c r="C382" i="232"/>
  <c r="E381" i="232"/>
  <c r="C381" i="232"/>
  <c r="E380" i="232"/>
  <c r="C380" i="232"/>
  <c r="E379" i="232"/>
  <c r="C379" i="232"/>
  <c r="E378" i="232"/>
  <c r="C378" i="232"/>
  <c r="E377" i="232"/>
  <c r="C377" i="232"/>
  <c r="E376" i="232"/>
  <c r="C376" i="232"/>
  <c r="E375" i="232"/>
  <c r="C375" i="232"/>
  <c r="E374" i="232"/>
  <c r="C374" i="232"/>
  <c r="E373" i="232"/>
  <c r="C373" i="232"/>
  <c r="E371" i="232"/>
  <c r="C371" i="232"/>
  <c r="E370" i="232"/>
  <c r="C370" i="232"/>
  <c r="E369" i="232"/>
  <c r="C369" i="232"/>
  <c r="E368" i="232"/>
  <c r="C368" i="232"/>
  <c r="E367" i="232"/>
  <c r="C367" i="232"/>
  <c r="E366" i="232"/>
  <c r="C366" i="232"/>
  <c r="E365" i="232"/>
  <c r="C365" i="232"/>
  <c r="E364" i="232"/>
  <c r="C364" i="232"/>
  <c r="E363" i="232"/>
  <c r="C363" i="232"/>
  <c r="E362" i="232"/>
  <c r="C362" i="232"/>
  <c r="E361" i="232"/>
  <c r="C361" i="232"/>
  <c r="E360" i="232"/>
  <c r="C360" i="232"/>
  <c r="E358" i="232"/>
  <c r="C358" i="232"/>
  <c r="E357" i="232"/>
  <c r="C357" i="232"/>
  <c r="E356" i="232"/>
  <c r="C356" i="232"/>
  <c r="E355" i="232"/>
  <c r="C355" i="232"/>
  <c r="E354" i="232"/>
  <c r="C354" i="232"/>
  <c r="E353" i="232"/>
  <c r="C353" i="232"/>
  <c r="E352" i="232"/>
  <c r="C352" i="232"/>
  <c r="E351" i="232"/>
  <c r="C351" i="232"/>
  <c r="E350" i="232"/>
  <c r="C350" i="232"/>
  <c r="E348" i="232"/>
  <c r="C348" i="232"/>
  <c r="E347" i="232"/>
  <c r="C347" i="232"/>
  <c r="E346" i="232"/>
  <c r="C346" i="232"/>
  <c r="E345" i="232"/>
  <c r="C345" i="232"/>
  <c r="E344" i="232"/>
  <c r="C344" i="232"/>
  <c r="E343" i="232"/>
  <c r="C343" i="232"/>
  <c r="E342" i="232"/>
  <c r="C342" i="232"/>
  <c r="E341" i="232"/>
  <c r="C341" i="232"/>
  <c r="E340" i="232"/>
  <c r="C340" i="232"/>
  <c r="E339" i="232"/>
  <c r="C339" i="232"/>
  <c r="E338" i="232"/>
  <c r="C338" i="232"/>
  <c r="E337" i="232"/>
  <c r="C337" i="232"/>
  <c r="E335" i="232"/>
  <c r="C335" i="232"/>
  <c r="E334" i="232"/>
  <c r="C334" i="232"/>
  <c r="E333" i="232"/>
  <c r="C333" i="232"/>
  <c r="E331" i="232"/>
  <c r="C331" i="232"/>
  <c r="E330" i="232"/>
  <c r="C330" i="232"/>
  <c r="E329" i="232"/>
  <c r="C329" i="232"/>
  <c r="E328" i="232"/>
  <c r="C328" i="232"/>
  <c r="E327" i="232"/>
  <c r="C327" i="232"/>
  <c r="E326" i="232"/>
  <c r="C326" i="232"/>
  <c r="E325" i="232"/>
  <c r="C325" i="232"/>
  <c r="E323" i="232"/>
  <c r="C323" i="232"/>
  <c r="E322" i="232"/>
  <c r="C322" i="232"/>
  <c r="E320" i="232"/>
  <c r="C320" i="232"/>
  <c r="E319" i="232"/>
  <c r="C319" i="232"/>
  <c r="E318" i="232"/>
  <c r="C318" i="232"/>
  <c r="E317" i="232"/>
  <c r="C317" i="232"/>
  <c r="E316" i="232"/>
  <c r="C316" i="232"/>
  <c r="E315" i="232"/>
  <c r="C315" i="232"/>
  <c r="E314" i="232"/>
  <c r="C314" i="232"/>
  <c r="E311" i="232"/>
  <c r="C311" i="232"/>
  <c r="E310" i="232"/>
  <c r="C310" i="232"/>
  <c r="E309" i="232"/>
  <c r="C309" i="232"/>
  <c r="E308" i="232"/>
  <c r="C308" i="232"/>
  <c r="E307" i="232"/>
  <c r="C307" i="232"/>
  <c r="E306" i="232"/>
  <c r="C306" i="232"/>
  <c r="E305" i="232"/>
  <c r="C305" i="232"/>
  <c r="E303" i="232"/>
  <c r="C303" i="232"/>
  <c r="E302" i="232"/>
  <c r="C302" i="232"/>
  <c r="E301" i="232"/>
  <c r="C301" i="232"/>
  <c r="E300" i="232"/>
  <c r="C300" i="232"/>
  <c r="E299" i="232"/>
  <c r="C299" i="232"/>
  <c r="E298" i="232"/>
  <c r="C298" i="232"/>
  <c r="E297" i="232"/>
  <c r="C297" i="232"/>
  <c r="E296" i="232"/>
  <c r="C296" i="232"/>
  <c r="E295" i="232"/>
  <c r="C295" i="232"/>
  <c r="E293" i="232"/>
  <c r="C293" i="232"/>
  <c r="E292" i="232"/>
  <c r="C292" i="232"/>
  <c r="E290" i="232"/>
  <c r="C290" i="232"/>
  <c r="E288" i="232"/>
  <c r="C288" i="232"/>
  <c r="E287" i="232"/>
  <c r="C287" i="232"/>
  <c r="E286" i="232"/>
  <c r="C286" i="232"/>
  <c r="E285" i="232"/>
  <c r="C285" i="232"/>
  <c r="E284" i="232"/>
  <c r="C284" i="232"/>
  <c r="E283" i="232"/>
  <c r="C283" i="232"/>
  <c r="E282" i="232"/>
  <c r="C282" i="232"/>
  <c r="E280" i="232"/>
  <c r="C280" i="232"/>
  <c r="E279" i="232"/>
  <c r="C279" i="232"/>
  <c r="E278" i="232"/>
  <c r="C278" i="232"/>
  <c r="E277" i="232"/>
  <c r="C277" i="232"/>
  <c r="E276" i="232"/>
  <c r="C276" i="232"/>
  <c r="E275" i="232"/>
  <c r="C275" i="232"/>
  <c r="E274" i="232"/>
  <c r="C274" i="232"/>
  <c r="E272" i="232"/>
  <c r="C272" i="232"/>
  <c r="E271" i="232"/>
  <c r="C271" i="232"/>
  <c r="E270" i="232"/>
  <c r="C270" i="232"/>
  <c r="E269" i="232"/>
  <c r="C269" i="232"/>
  <c r="E268" i="232"/>
  <c r="C268" i="232"/>
  <c r="E267" i="232"/>
  <c r="C267" i="232"/>
  <c r="E265" i="232"/>
  <c r="C265" i="232"/>
  <c r="E264" i="232"/>
  <c r="C264" i="232"/>
  <c r="E263" i="232"/>
  <c r="C263" i="232"/>
  <c r="E262" i="232"/>
  <c r="C262" i="232"/>
  <c r="E261" i="232"/>
  <c r="C261" i="232"/>
  <c r="E260" i="232"/>
  <c r="C260" i="232"/>
  <c r="E259" i="232"/>
  <c r="C259" i="232"/>
  <c r="E258" i="232"/>
  <c r="C258" i="232"/>
  <c r="E257" i="232"/>
  <c r="C257" i="232"/>
  <c r="E256" i="232"/>
  <c r="C256" i="232"/>
  <c r="E255" i="232"/>
  <c r="C255" i="232"/>
  <c r="E254" i="232"/>
  <c r="C254" i="232"/>
  <c r="E253" i="232"/>
  <c r="C253" i="232"/>
  <c r="E252" i="232"/>
  <c r="C252" i="232"/>
  <c r="E251" i="232"/>
  <c r="C251" i="232"/>
  <c r="E250" i="232"/>
  <c r="C250" i="232"/>
  <c r="E249" i="232"/>
  <c r="C249" i="232"/>
  <c r="E248" i="232"/>
  <c r="C248" i="232"/>
  <c r="E247" i="232"/>
  <c r="C247" i="232"/>
  <c r="E246" i="232"/>
  <c r="C246" i="232"/>
  <c r="E245" i="232"/>
  <c r="C245" i="232"/>
  <c r="E244" i="232"/>
  <c r="C244" i="232"/>
  <c r="E243" i="232"/>
  <c r="C243" i="232"/>
  <c r="E242" i="232"/>
  <c r="C242" i="232"/>
  <c r="E241" i="232"/>
  <c r="C241" i="232"/>
  <c r="E240" i="232"/>
  <c r="C240" i="232"/>
  <c r="E238" i="232"/>
  <c r="C238" i="232"/>
  <c r="E237" i="232"/>
  <c r="C237" i="232"/>
  <c r="E236" i="232"/>
  <c r="C236" i="232"/>
  <c r="E234" i="232"/>
  <c r="C234" i="232"/>
  <c r="E233" i="232"/>
  <c r="C233" i="232"/>
  <c r="E232" i="232"/>
  <c r="C232" i="232"/>
  <c r="E229" i="232"/>
  <c r="C229" i="232"/>
  <c r="E228" i="232"/>
  <c r="C228" i="232"/>
  <c r="E225" i="232"/>
  <c r="C225" i="232"/>
  <c r="E224" i="232"/>
  <c r="C224" i="232"/>
  <c r="E223" i="232"/>
  <c r="C223" i="232"/>
  <c r="E222" i="232"/>
  <c r="C222" i="232"/>
  <c r="E208" i="232"/>
  <c r="C208" i="232"/>
  <c r="E207" i="232"/>
  <c r="C207" i="232"/>
  <c r="E206" i="232"/>
  <c r="C206" i="232"/>
  <c r="E205" i="232"/>
  <c r="C205" i="232"/>
  <c r="E203" i="232"/>
  <c r="C203" i="232"/>
  <c r="E202" i="232"/>
  <c r="C202" i="232"/>
  <c r="E200" i="232"/>
  <c r="C200" i="232"/>
  <c r="E199" i="232"/>
  <c r="C199" i="232"/>
  <c r="E198" i="232"/>
  <c r="C198" i="232"/>
  <c r="E197" i="232"/>
  <c r="C197" i="232"/>
  <c r="E196" i="232"/>
  <c r="C196" i="232"/>
  <c r="E195" i="232"/>
  <c r="C195" i="232"/>
  <c r="E194" i="232"/>
  <c r="C194" i="232"/>
  <c r="E193" i="232"/>
  <c r="C193" i="232"/>
  <c r="E192" i="232"/>
  <c r="C192" i="232"/>
  <c r="E191" i="232"/>
  <c r="C191" i="232"/>
  <c r="E189" i="232"/>
  <c r="C189" i="232"/>
  <c r="E188" i="232"/>
  <c r="C188" i="232"/>
  <c r="E187" i="232"/>
  <c r="C187" i="232"/>
  <c r="E186" i="232"/>
  <c r="C186" i="232"/>
  <c r="E184" i="232"/>
  <c r="C184" i="232"/>
  <c r="E183" i="232"/>
  <c r="C183" i="232"/>
  <c r="E182" i="232"/>
  <c r="C182" i="232"/>
  <c r="E181" i="232"/>
  <c r="C181" i="232"/>
  <c r="E180" i="232"/>
  <c r="C180" i="232"/>
  <c r="E179" i="232"/>
  <c r="C179" i="232"/>
  <c r="E178" i="232"/>
  <c r="C178" i="232"/>
  <c r="E177" i="232"/>
  <c r="C177" i="232"/>
  <c r="E176" i="232"/>
  <c r="C176" i="232"/>
  <c r="E175" i="232"/>
  <c r="C175" i="232"/>
  <c r="E174" i="232"/>
  <c r="C174" i="232"/>
  <c r="E173" i="232"/>
  <c r="C173" i="232"/>
  <c r="E172" i="232"/>
  <c r="C172" i="232"/>
  <c r="E171" i="232"/>
  <c r="C171" i="232"/>
  <c r="E170" i="232"/>
  <c r="C170" i="232"/>
  <c r="E169" i="232"/>
  <c r="C169" i="232"/>
  <c r="E168" i="232"/>
  <c r="C168" i="232"/>
  <c r="E167" i="232"/>
  <c r="C167" i="232"/>
  <c r="E166" i="232"/>
  <c r="C166" i="232"/>
  <c r="E165" i="232"/>
  <c r="C165" i="232"/>
  <c r="E164" i="232"/>
  <c r="C164" i="232"/>
  <c r="E163" i="232"/>
  <c r="C163" i="232"/>
  <c r="E162" i="232"/>
  <c r="C162" i="232"/>
  <c r="E160" i="232"/>
  <c r="C160" i="232"/>
  <c r="E159" i="232"/>
  <c r="C159" i="232"/>
  <c r="E158" i="232"/>
  <c r="C158" i="232"/>
  <c r="E157" i="232"/>
  <c r="C157" i="232"/>
  <c r="E156" i="232"/>
  <c r="C156" i="232"/>
  <c r="E154" i="232"/>
  <c r="C154" i="232"/>
  <c r="E153" i="232"/>
  <c r="C153" i="232"/>
  <c r="E152" i="232"/>
  <c r="C152" i="232"/>
  <c r="E148" i="232"/>
  <c r="C148" i="232"/>
  <c r="E147" i="232"/>
  <c r="C147" i="232"/>
  <c r="E146" i="232"/>
  <c r="C146" i="232"/>
  <c r="E145" i="232"/>
  <c r="C145" i="232"/>
  <c r="E144" i="232"/>
  <c r="C144" i="232"/>
  <c r="E142" i="232"/>
  <c r="C142" i="232"/>
  <c r="E141" i="232"/>
  <c r="C141" i="232"/>
  <c r="E140" i="232"/>
  <c r="C140" i="232"/>
  <c r="E139" i="232"/>
  <c r="C139" i="232"/>
  <c r="E138" i="232"/>
  <c r="C138" i="232"/>
  <c r="E137" i="232"/>
  <c r="C137" i="232"/>
  <c r="E136" i="232"/>
  <c r="C136" i="232"/>
  <c r="E134" i="232"/>
  <c r="C134" i="232"/>
  <c r="E133" i="232"/>
  <c r="C133" i="232"/>
  <c r="E132" i="232"/>
  <c r="C132" i="232"/>
  <c r="E130" i="232"/>
  <c r="C130" i="232"/>
  <c r="E129" i="232"/>
  <c r="C129" i="232"/>
  <c r="E128" i="232"/>
  <c r="C128" i="232"/>
  <c r="E127" i="232"/>
  <c r="C127" i="232"/>
  <c r="E126" i="232"/>
  <c r="C126" i="232"/>
  <c r="E120" i="232"/>
  <c r="C120" i="232"/>
  <c r="E119" i="232"/>
  <c r="C119" i="232"/>
  <c r="E117" i="232"/>
  <c r="C117" i="232"/>
  <c r="E116" i="232"/>
  <c r="C116" i="232"/>
  <c r="E115" i="232"/>
  <c r="C115" i="232"/>
  <c r="E113" i="232"/>
  <c r="C113" i="232"/>
  <c r="E112" i="232"/>
  <c r="C112" i="232"/>
  <c r="E111" i="232"/>
  <c r="C111" i="232"/>
  <c r="E109" i="232"/>
  <c r="C109" i="232"/>
  <c r="E108" i="232"/>
  <c r="C108" i="232"/>
  <c r="E107" i="232"/>
  <c r="C107" i="232"/>
  <c r="E106" i="232"/>
  <c r="C106" i="232"/>
  <c r="E105" i="232"/>
  <c r="C105" i="232"/>
  <c r="E104" i="232"/>
  <c r="C104" i="232"/>
  <c r="E102" i="232"/>
  <c r="C102" i="232"/>
  <c r="E101" i="232"/>
  <c r="C101" i="232"/>
  <c r="E100" i="232"/>
  <c r="C100" i="232"/>
  <c r="E98" i="232"/>
  <c r="C98" i="232"/>
  <c r="E97" i="232"/>
  <c r="C97" i="232"/>
  <c r="E96" i="232"/>
  <c r="C96" i="232"/>
  <c r="E95" i="232"/>
  <c r="C95" i="232"/>
  <c r="E94" i="232"/>
  <c r="C94" i="232"/>
  <c r="E93" i="232"/>
  <c r="C93" i="232"/>
  <c r="E92" i="232"/>
  <c r="C92" i="232"/>
  <c r="E91" i="232"/>
  <c r="C91" i="232"/>
  <c r="E90" i="232"/>
  <c r="C90" i="232"/>
  <c r="E89" i="232"/>
  <c r="C89" i="232"/>
  <c r="E88" i="232"/>
  <c r="C88" i="232"/>
  <c r="E87" i="232"/>
  <c r="C87" i="232"/>
  <c r="E86" i="232"/>
  <c r="C86" i="232"/>
  <c r="E85" i="232"/>
  <c r="C85" i="232"/>
  <c r="E83" i="232"/>
  <c r="B82" i="232"/>
  <c r="E81" i="232"/>
  <c r="C81" i="232"/>
  <c r="E80" i="232"/>
  <c r="C80" i="232"/>
  <c r="E79" i="232"/>
  <c r="C79" i="232"/>
  <c r="E78" i="232"/>
  <c r="C78" i="232"/>
  <c r="E77" i="232"/>
  <c r="C77" i="232"/>
  <c r="E76" i="232"/>
  <c r="C76" i="232"/>
  <c r="E75" i="232"/>
  <c r="C75" i="232"/>
  <c r="E74" i="232"/>
  <c r="C74" i="232"/>
  <c r="E73" i="232"/>
  <c r="C73" i="232"/>
  <c r="E72" i="232"/>
  <c r="C72" i="232"/>
  <c r="E71" i="232"/>
  <c r="C71" i="232"/>
  <c r="E70" i="232"/>
  <c r="C70" i="232"/>
  <c r="E66" i="232"/>
  <c r="E65" i="232"/>
  <c r="E64" i="232"/>
  <c r="E63" i="232"/>
  <c r="E62" i="232"/>
  <c r="E59" i="232"/>
  <c r="C59" i="232"/>
  <c r="E58" i="232"/>
  <c r="C58" i="232"/>
  <c r="E57" i="232"/>
  <c r="C57" i="232"/>
  <c r="E54" i="232"/>
  <c r="C54" i="232"/>
  <c r="E53" i="232"/>
  <c r="C53" i="232"/>
  <c r="E52" i="232"/>
  <c r="C52" i="232"/>
  <c r="E51" i="232"/>
  <c r="C51" i="232"/>
  <c r="E50" i="232"/>
  <c r="C50" i="232"/>
  <c r="E48" i="232"/>
  <c r="C48" i="232"/>
  <c r="E47" i="232"/>
  <c r="C47" i="232"/>
  <c r="E46" i="232"/>
  <c r="C46" i="232"/>
  <c r="E45" i="232"/>
  <c r="C45" i="232"/>
  <c r="E44" i="232"/>
  <c r="C44" i="232"/>
  <c r="E43" i="232"/>
  <c r="C43" i="232"/>
  <c r="E42" i="232"/>
  <c r="C42" i="232"/>
  <c r="E41" i="232"/>
  <c r="C41" i="232"/>
  <c r="E40" i="232"/>
  <c r="C40" i="232"/>
  <c r="E39" i="232"/>
  <c r="C39" i="232"/>
  <c r="E37" i="232"/>
  <c r="E36" i="232"/>
  <c r="C35" i="232"/>
  <c r="B35" i="232"/>
  <c r="E34" i="232"/>
  <c r="C34" i="232"/>
  <c r="E33" i="232"/>
  <c r="C33" i="232"/>
  <c r="C32" i="232"/>
  <c r="B32" i="232"/>
  <c r="C31" i="232"/>
  <c r="B31" i="232"/>
  <c r="E29" i="232"/>
  <c r="C29" i="232"/>
  <c r="E28" i="232"/>
  <c r="C28" i="232"/>
  <c r="E27" i="232"/>
  <c r="C27" i="232"/>
  <c r="E26" i="232"/>
  <c r="C26" i="232"/>
  <c r="E25" i="232"/>
  <c r="C25" i="232"/>
  <c r="E23" i="232"/>
  <c r="C23" i="232"/>
  <c r="E22" i="232"/>
  <c r="C22" i="232"/>
  <c r="E21" i="232"/>
  <c r="C21" i="232"/>
  <c r="E20" i="232"/>
  <c r="C20" i="232"/>
  <c r="E19" i="232"/>
  <c r="C19" i="232"/>
  <c r="E18" i="232"/>
  <c r="C18" i="232"/>
  <c r="E17" i="232"/>
  <c r="C17" i="232"/>
  <c r="C16" i="232"/>
  <c r="B16" i="232"/>
  <c r="B15" i="232"/>
  <c r="F6" i="220"/>
  <c r="G6" i="220"/>
  <c r="H6" i="220"/>
  <c r="I6" i="220"/>
  <c r="J6" i="220"/>
  <c r="K6" i="220"/>
  <c r="L6" i="220"/>
  <c r="M6" i="220"/>
  <c r="N6" i="220"/>
  <c r="O6" i="220"/>
  <c r="P6" i="220"/>
  <c r="Q6" i="220"/>
  <c r="R6" i="220"/>
  <c r="S6" i="220"/>
  <c r="T6" i="220"/>
  <c r="U6" i="220"/>
  <c r="V6" i="220"/>
  <c r="W6" i="220"/>
  <c r="X6" i="220"/>
  <c r="Y6" i="220"/>
  <c r="Z6" i="220"/>
  <c r="AA6" i="220"/>
  <c r="AB6" i="220"/>
  <c r="AC6" i="220"/>
  <c r="AD6" i="220"/>
  <c r="AE6" i="220"/>
  <c r="AF6" i="220"/>
  <c r="AG6" i="220"/>
  <c r="AH6" i="220"/>
  <c r="AI6" i="220"/>
  <c r="AJ6" i="220"/>
  <c r="AK6" i="220"/>
  <c r="AL6" i="220"/>
  <c r="AM6" i="220"/>
  <c r="AN6" i="220"/>
  <c r="AO6" i="220"/>
  <c r="AR7" i="221"/>
  <c r="AR6" i="221"/>
  <c r="D6" i="221"/>
  <c r="L5" i="220"/>
  <c r="L4" i="220"/>
  <c r="C4" i="220"/>
  <c r="F4" i="219"/>
  <c r="AA98" i="218"/>
  <c r="H96" i="218"/>
  <c r="C290" i="218"/>
  <c r="C217" i="218"/>
  <c r="C154" i="218"/>
  <c r="AA218" i="218"/>
  <c r="C218" i="218"/>
  <c r="AA155" i="218"/>
  <c r="AA91" i="218"/>
  <c r="C155" i="218"/>
  <c r="C91" i="218"/>
  <c r="C81" i="220"/>
  <c r="C80" i="220"/>
  <c r="C79" i="220"/>
  <c r="C78" i="220"/>
  <c r="C77" i="220"/>
  <c r="C76" i="220"/>
  <c r="C75" i="220"/>
  <c r="C74" i="220"/>
  <c r="C73" i="220"/>
  <c r="C14" i="221"/>
  <c r="I52" i="219"/>
  <c r="H52" i="219"/>
  <c r="H56" i="219"/>
  <c r="H50" i="219"/>
  <c r="H51" i="219"/>
  <c r="H162" i="218"/>
  <c r="H225" i="218"/>
  <c r="G14" i="219"/>
  <c r="K14" i="219"/>
  <c r="I29" i="233"/>
  <c r="G12" i="219"/>
  <c r="K12" i="219"/>
  <c r="G11" i="219"/>
  <c r="K11" i="219"/>
  <c r="G13" i="219"/>
  <c r="N13" i="219"/>
  <c r="O412" i="234"/>
  <c r="G16" i="219"/>
  <c r="K16" i="219"/>
  <c r="G17" i="219"/>
  <c r="K17" i="219"/>
  <c r="M759" i="234"/>
  <c r="G18" i="219"/>
  <c r="K18" i="219"/>
  <c r="G20" i="219"/>
  <c r="K20" i="219"/>
  <c r="G21" i="219"/>
  <c r="I26" i="233"/>
  <c r="I36" i="233"/>
  <c r="I40" i="233"/>
  <c r="G22" i="219"/>
  <c r="K22" i="219"/>
  <c r="G23" i="219"/>
  <c r="K23" i="219"/>
  <c r="K30" i="219"/>
  <c r="G29" i="233"/>
  <c r="J4563" i="234"/>
  <c r="G221" i="233"/>
  <c r="G229" i="233"/>
  <c r="G306" i="233"/>
  <c r="G343" i="233"/>
  <c r="G401" i="233"/>
  <c r="M828" i="234"/>
  <c r="AD88" i="220"/>
  <c r="G35" i="219"/>
  <c r="K35" i="219"/>
  <c r="AE88" i="220"/>
  <c r="G36" i="219"/>
  <c r="K36" i="219"/>
  <c r="R714" i="234"/>
  <c r="AF88" i="220"/>
  <c r="G37" i="219"/>
  <c r="K37" i="219"/>
  <c r="AG88" i="220"/>
  <c r="G38" i="219"/>
  <c r="K38" i="219"/>
  <c r="AH88" i="220"/>
  <c r="G39" i="219"/>
  <c r="K39" i="219"/>
  <c r="AI27" i="220"/>
  <c r="AI42" i="220"/>
  <c r="AI47" i="220"/>
  <c r="S14" i="220"/>
  <c r="AH15" i="220"/>
  <c r="J15" i="220"/>
  <c r="Q15" i="220"/>
  <c r="P58" i="220"/>
  <c r="J48" i="219"/>
  <c r="K27" i="219"/>
  <c r="L10" i="219"/>
  <c r="L11" i="219"/>
  <c r="AO52" i="220"/>
  <c r="AI59" i="220"/>
  <c r="AI88" i="220"/>
  <c r="G41" i="219"/>
  <c r="AJ27" i="220"/>
  <c r="AJ25" i="220"/>
  <c r="AJ42" i="220"/>
  <c r="AJ47" i="220"/>
  <c r="AJ88" i="220"/>
  <c r="G42" i="219"/>
  <c r="K42" i="219"/>
  <c r="AJ59" i="220"/>
  <c r="P458" i="233"/>
  <c r="M14" i="220"/>
  <c r="AD15" i="220"/>
  <c r="AI45" i="220"/>
  <c r="AC15" i="220"/>
  <c r="R26" i="220"/>
  <c r="AR17" i="220"/>
  <c r="AE68" i="220"/>
  <c r="AC68" i="220"/>
  <c r="O67" i="220"/>
  <c r="S67" i="220"/>
  <c r="AH68" i="220"/>
  <c r="G464" i="233"/>
  <c r="G434" i="233"/>
  <c r="I225" i="233"/>
  <c r="I229" i="233"/>
  <c r="J4613" i="234"/>
  <c r="J4614" i="234"/>
  <c r="G366" i="233"/>
  <c r="J4583" i="234"/>
  <c r="J4584" i="234"/>
  <c r="G55" i="233"/>
  <c r="G61" i="233"/>
  <c r="G112" i="233"/>
  <c r="G115" i="233"/>
  <c r="G9" i="233"/>
  <c r="G26" i="233"/>
  <c r="G25" i="233"/>
  <c r="I49" i="233"/>
  <c r="I61" i="233"/>
  <c r="I112" i="233"/>
  <c r="I115" i="233"/>
  <c r="I125" i="233"/>
  <c r="G195" i="233"/>
  <c r="G211" i="233"/>
  <c r="G206" i="233"/>
  <c r="I318" i="233"/>
  <c r="I25" i="233"/>
  <c r="O45" i="220"/>
  <c r="G179" i="233"/>
  <c r="I32" i="233"/>
  <c r="G17" i="233"/>
  <c r="G49" i="233"/>
  <c r="G32" i="233"/>
  <c r="G76" i="233"/>
  <c r="G93" i="233"/>
  <c r="G104" i="233"/>
  <c r="G125" i="233"/>
  <c r="G137" i="233"/>
  <c r="G149" i="233"/>
  <c r="I326" i="233"/>
  <c r="G225" i="233"/>
  <c r="G233" i="233"/>
  <c r="G267" i="233"/>
  <c r="G285" i="233"/>
  <c r="G298" i="233"/>
  <c r="G318" i="233"/>
  <c r="G326" i="233"/>
  <c r="G408" i="233"/>
  <c r="G417" i="233"/>
  <c r="G416" i="233"/>
  <c r="F67" i="220"/>
  <c r="K14" i="220"/>
  <c r="Q20" i="220"/>
  <c r="AB21" i="220"/>
  <c r="AC26" i="220"/>
  <c r="V26" i="220"/>
  <c r="S25" i="220"/>
  <c r="R25" i="220"/>
  <c r="W26" i="220"/>
  <c r="Q58" i="220"/>
  <c r="AK25" i="220"/>
  <c r="K26" i="220"/>
  <c r="AB58" i="220"/>
  <c r="E10" i="220"/>
  <c r="AO25" i="220"/>
  <c r="Q26" i="220"/>
  <c r="L25" i="220"/>
  <c r="R10" i="220"/>
  <c r="AQ10" i="220"/>
  <c r="AE26" i="220"/>
  <c r="Q67" i="220"/>
  <c r="L67" i="220"/>
  <c r="N67" i="220"/>
  <c r="N65" i="220"/>
  <c r="M128" i="221"/>
  <c r="AQ23" i="220"/>
  <c r="AF68" i="220"/>
  <c r="AQ68" i="220"/>
  <c r="J67" i="220"/>
  <c r="AM14" i="220"/>
  <c r="F48" i="219"/>
  <c r="H54" i="219"/>
  <c r="H55" i="219"/>
  <c r="H160" i="218"/>
  <c r="H223" i="218"/>
  <c r="I221" i="233"/>
  <c r="I298" i="233"/>
  <c r="M67" i="220"/>
  <c r="E67" i="220"/>
  <c r="I104" i="233"/>
  <c r="I137" i="233"/>
  <c r="I267" i="233"/>
  <c r="G67" i="220"/>
  <c r="K67" i="220"/>
  <c r="H67" i="220"/>
  <c r="R67" i="220"/>
  <c r="U275" i="218"/>
  <c r="P275" i="218"/>
  <c r="P276" i="218"/>
  <c r="AG57" i="220"/>
  <c r="AJ14" i="220"/>
  <c r="AI40" i="220"/>
  <c r="AH46" i="220"/>
  <c r="AE46" i="220"/>
  <c r="F20" i="220"/>
  <c r="Q21" i="220"/>
  <c r="AM20" i="220"/>
  <c r="AB15" i="220"/>
  <c r="AN14" i="220"/>
  <c r="M21" i="220"/>
  <c r="AR43" i="220"/>
  <c r="S21" i="220"/>
  <c r="AL52" i="220"/>
  <c r="AN52" i="220"/>
  <c r="AJ40" i="220"/>
  <c r="AF21" i="220"/>
  <c r="E51" i="220"/>
  <c r="J51" i="220"/>
  <c r="I67" i="220"/>
  <c r="I65" i="220"/>
  <c r="H128" i="221"/>
  <c r="R14" i="220"/>
  <c r="N14" i="220"/>
  <c r="P67" i="220"/>
  <c r="AM35" i="220"/>
  <c r="AK14" i="220"/>
  <c r="W25" i="220"/>
  <c r="F15" i="220"/>
  <c r="AL14" i="220"/>
  <c r="AF40" i="220"/>
  <c r="H20" i="220"/>
  <c r="K21" i="220"/>
  <c r="AG15" i="220"/>
  <c r="H14" i="220"/>
  <c r="AA15" i="220"/>
  <c r="Q14" i="220"/>
  <c r="W15" i="220"/>
  <c r="U20" i="220"/>
  <c r="V14" i="220"/>
  <c r="Y20" i="220"/>
  <c r="AA25" i="220"/>
  <c r="X14" i="220"/>
  <c r="K10" i="219"/>
  <c r="N47" i="218"/>
  <c r="N22" i="219"/>
  <c r="N32" i="219"/>
  <c r="N39" i="219"/>
  <c r="H11" i="219"/>
  <c r="O11" i="219"/>
  <c r="N20" i="219"/>
  <c r="N14" i="219"/>
  <c r="N30" i="219"/>
  <c r="K25" i="219"/>
  <c r="N18" i="219"/>
  <c r="N17" i="219"/>
  <c r="N35" i="219"/>
  <c r="N34" i="219"/>
  <c r="N38" i="219"/>
  <c r="N21" i="219"/>
  <c r="N15" i="219"/>
  <c r="K28" i="219"/>
  <c r="N27" i="219"/>
  <c r="N37" i="219"/>
  <c r="N31" i="219"/>
  <c r="I285" i="233"/>
  <c r="I195" i="233"/>
  <c r="I93" i="233"/>
  <c r="I76" i="233"/>
  <c r="N42" i="219"/>
  <c r="N41" i="219"/>
  <c r="R560" i="234"/>
  <c r="O515" i="234"/>
  <c r="R515" i="234"/>
  <c r="R520" i="234"/>
  <c r="D44" i="232"/>
  <c r="G44" i="232"/>
  <c r="H44" i="232"/>
  <c r="R561" i="234"/>
  <c r="J2222" i="234"/>
  <c r="D51" i="232"/>
  <c r="G51" i="232"/>
  <c r="H51" i="232"/>
  <c r="J2602" i="234"/>
  <c r="J2762" i="234"/>
  <c r="AB26" i="220"/>
  <c r="G26" i="220"/>
  <c r="E9" i="220"/>
  <c r="Z58" i="220"/>
  <c r="O25" i="220"/>
  <c r="U26" i="220"/>
  <c r="AD26" i="220"/>
  <c r="AC31" i="220"/>
  <c r="O58" i="220"/>
  <c r="AC58" i="220"/>
  <c r="AI25" i="220"/>
  <c r="AR38" i="220"/>
  <c r="K25" i="220"/>
  <c r="M25" i="220"/>
  <c r="AA26" i="220"/>
  <c r="T26" i="220"/>
  <c r="M26" i="220"/>
  <c r="F26" i="220"/>
  <c r="H25" i="220"/>
  <c r="F25" i="220"/>
  <c r="J25" i="220"/>
  <c r="R9" i="220"/>
  <c r="V58" i="220"/>
  <c r="W58" i="220"/>
  <c r="Q25" i="220"/>
  <c r="O26" i="220"/>
  <c r="J26" i="220"/>
  <c r="H26" i="220"/>
  <c r="AR12" i="220"/>
  <c r="W57" i="220"/>
  <c r="AC57" i="220"/>
  <c r="AF36" i="220"/>
  <c r="AQ36" i="220"/>
  <c r="AH57" i="220"/>
  <c r="AR28" i="220"/>
  <c r="G25" i="220"/>
  <c r="Y26" i="220"/>
  <c r="S26" i="220"/>
  <c r="L26" i="220"/>
  <c r="P25" i="220"/>
  <c r="Z26" i="220"/>
  <c r="X26" i="220"/>
  <c r="I179" i="233"/>
  <c r="I149" i="233"/>
  <c r="I23" i="233"/>
  <c r="J242" i="234"/>
  <c r="AA57" i="220"/>
  <c r="AE57" i="220"/>
  <c r="AE25" i="220"/>
  <c r="AG25" i="220"/>
  <c r="V25" i="220"/>
  <c r="W14" i="220"/>
  <c r="X25" i="220"/>
  <c r="Z25" i="220"/>
  <c r="AA14" i="220"/>
  <c r="AD57" i="220"/>
  <c r="AD25" i="220"/>
  <c r="AD20" i="220"/>
  <c r="AF25" i="220"/>
  <c r="AG40" i="220"/>
  <c r="AI20" i="220"/>
  <c r="AH14" i="220"/>
  <c r="I55" i="233"/>
  <c r="AG45" i="220"/>
  <c r="V67" i="220"/>
  <c r="AQ37" i="220"/>
  <c r="AA67" i="220"/>
  <c r="AQ53" i="220"/>
  <c r="AL20" i="220"/>
  <c r="AO20" i="220"/>
  <c r="AJ67" i="220"/>
  <c r="T40" i="220"/>
  <c r="AQ11" i="220"/>
  <c r="W35" i="220"/>
  <c r="Z67" i="220"/>
  <c r="AQ16" i="220"/>
  <c r="Y67" i="220"/>
  <c r="AD67" i="220"/>
  <c r="Y14" i="220"/>
  <c r="U67" i="220"/>
  <c r="W67" i="220"/>
  <c r="AB67" i="220"/>
  <c r="AB65" i="220"/>
  <c r="AA128" i="221"/>
  <c r="AH67" i="220"/>
  <c r="T67" i="220"/>
  <c r="U14" i="220"/>
  <c r="AB20" i="220"/>
  <c r="Y25" i="220"/>
  <c r="AE67" i="220"/>
  <c r="AF67" i="220"/>
  <c r="T9" i="220"/>
  <c r="AG67" i="220"/>
  <c r="X67" i="220"/>
  <c r="T25" i="220"/>
  <c r="AI67" i="220"/>
  <c r="AC67" i="220"/>
  <c r="K41" i="219"/>
  <c r="L12" i="219"/>
  <c r="L13" i="219"/>
  <c r="L14" i="219"/>
  <c r="L15" i="219"/>
  <c r="L16" i="219"/>
  <c r="L17" i="219"/>
  <c r="L18" i="219"/>
  <c r="L20" i="219"/>
  <c r="L21" i="219"/>
  <c r="L22" i="219"/>
  <c r="L23" i="219"/>
  <c r="L24" i="219"/>
  <c r="L25" i="219"/>
  <c r="L27" i="219"/>
  <c r="L28" i="219"/>
  <c r="L29" i="219"/>
  <c r="L30" i="219"/>
  <c r="L31" i="219"/>
  <c r="L32" i="219"/>
  <c r="L34" i="219"/>
  <c r="L35" i="219"/>
  <c r="L36" i="219"/>
  <c r="L37" i="219"/>
  <c r="L38" i="219"/>
  <c r="L39" i="219"/>
  <c r="L41" i="219"/>
  <c r="L42" i="219"/>
  <c r="L43" i="219"/>
  <c r="L44" i="219"/>
  <c r="L45" i="219"/>
  <c r="L46" i="219"/>
  <c r="L47" i="219"/>
  <c r="N29" i="219"/>
  <c r="N16" i="219"/>
  <c r="N36" i="219"/>
  <c r="N23" i="219"/>
  <c r="N12" i="219"/>
  <c r="N24" i="219"/>
  <c r="I10" i="219"/>
  <c r="K21" i="219"/>
  <c r="K13" i="219"/>
  <c r="N11" i="219"/>
  <c r="N10" i="219"/>
  <c r="O10" i="219"/>
  <c r="L48" i="219"/>
  <c r="N48" i="218"/>
  <c r="P270" i="218"/>
  <c r="P271" i="218"/>
  <c r="AE31" i="220"/>
  <c r="AR54" i="220"/>
  <c r="AJ52" i="220"/>
  <c r="AG31" i="220"/>
  <c r="AD31" i="220"/>
  <c r="AM52" i="220"/>
  <c r="AR33" i="220"/>
  <c r="AK52" i="220"/>
  <c r="J20" i="220"/>
  <c r="G14" i="220"/>
  <c r="Z14" i="220"/>
  <c r="AF15" i="220"/>
  <c r="P57" i="220"/>
  <c r="AJ30" i="220"/>
  <c r="J2923" i="234"/>
  <c r="J2172" i="234"/>
  <c r="J3558" i="234"/>
  <c r="J4020" i="234"/>
  <c r="J4060" i="234"/>
  <c r="J3023" i="234"/>
  <c r="J3124" i="234"/>
  <c r="J3164" i="234"/>
  <c r="J3205" i="234"/>
  <c r="J3306" i="234"/>
  <c r="J3428" i="234"/>
  <c r="J3468" i="234"/>
  <c r="J3749" i="234"/>
  <c r="J3769" i="234"/>
  <c r="J3850" i="234"/>
  <c r="J3890" i="234"/>
  <c r="J3950" i="234"/>
  <c r="J3990" i="234"/>
  <c r="J4150" i="234"/>
  <c r="J3528" i="234"/>
  <c r="J3629" i="234"/>
  <c r="J4231" i="234"/>
  <c r="J905" i="234"/>
  <c r="J1023" i="234"/>
  <c r="J1164" i="234"/>
  <c r="J1365" i="234"/>
  <c r="J1406" i="234"/>
  <c r="J1456" i="234"/>
  <c r="J1599" i="234"/>
  <c r="J1659" i="234"/>
  <c r="J1921" i="234"/>
  <c r="J1961" i="234"/>
  <c r="J2061" i="234"/>
  <c r="J4323" i="234"/>
  <c r="J4363" i="234"/>
  <c r="J915" i="234"/>
  <c r="J959" i="234"/>
  <c r="J1073" i="234"/>
  <c r="J1113" i="234"/>
  <c r="J1234" i="234"/>
  <c r="J1274" i="234"/>
  <c r="J1294" i="234"/>
  <c r="J1315" i="234"/>
  <c r="J1416" i="234"/>
  <c r="J1436" i="234"/>
  <c r="J1508" i="234"/>
  <c r="J1528" i="234"/>
  <c r="J1548" i="234"/>
  <c r="J1568" i="234"/>
  <c r="J1629" i="234"/>
  <c r="J1689" i="234"/>
  <c r="J1710" i="234"/>
  <c r="J1790" i="234"/>
  <c r="J1811" i="234"/>
  <c r="J1991" i="234"/>
  <c r="J4313" i="234"/>
  <c r="J925" i="234"/>
  <c r="J980" i="234"/>
  <c r="J1043" i="234"/>
  <c r="J1083" i="234"/>
  <c r="J1123" i="234"/>
  <c r="J1184" i="234"/>
  <c r="J1244" i="234"/>
  <c r="J1578" i="234"/>
  <c r="J1981" i="234"/>
  <c r="J1133" i="234"/>
  <c r="J1194" i="234"/>
  <c r="J1214" i="234"/>
  <c r="J1649" i="234"/>
  <c r="D49" i="232"/>
  <c r="G49" i="232"/>
  <c r="H49" i="232"/>
  <c r="S4573" i="234"/>
  <c r="J895" i="234"/>
  <c r="J1013" i="234"/>
  <c r="J1033" i="234"/>
  <c r="J1154" i="234"/>
  <c r="J1174" i="234"/>
  <c r="J1355" i="234"/>
  <c r="J1395" i="234"/>
  <c r="J1487" i="234"/>
  <c r="J1589" i="234"/>
  <c r="J1750" i="234"/>
  <c r="J1851" i="234"/>
  <c r="J1891" i="234"/>
  <c r="J1911" i="234"/>
  <c r="J1951" i="234"/>
  <c r="J2051" i="234"/>
  <c r="J2091" i="234"/>
  <c r="O677" i="234"/>
  <c r="R677" i="234"/>
  <c r="J1871" i="234"/>
  <c r="J2011" i="234"/>
  <c r="J3003" i="234"/>
  <c r="J3286" i="234"/>
  <c r="J25" i="234"/>
  <c r="J45" i="234"/>
  <c r="J65" i="234"/>
  <c r="J86" i="234"/>
  <c r="J866" i="234"/>
  <c r="J2632" i="234"/>
  <c r="J3417" i="234"/>
  <c r="J3518" i="234"/>
  <c r="J3699" i="234"/>
  <c r="J3940" i="234"/>
  <c r="J4374" i="234"/>
  <c r="S4563" i="234"/>
  <c r="J254" i="234"/>
  <c r="J298" i="234"/>
  <c r="V4585" i="234"/>
  <c r="V4584" i="234"/>
  <c r="V4583" i="234"/>
  <c r="V4582" i="234"/>
  <c r="V4581" i="234"/>
  <c r="V4580" i="234"/>
  <c r="V4579" i="234"/>
  <c r="V4578" i="234"/>
  <c r="V4577" i="234"/>
  <c r="V4586" i="234"/>
  <c r="R417" i="234"/>
  <c r="R289" i="234"/>
  <c r="J290" i="234"/>
  <c r="R4563" i="234"/>
  <c r="V4565" i="234"/>
  <c r="V4564" i="234"/>
  <c r="V4563" i="234"/>
  <c r="V4562" i="234"/>
  <c r="V4561" i="234"/>
  <c r="V4560" i="234"/>
  <c r="V4559" i="234"/>
  <c r="V4558" i="234"/>
  <c r="V4557" i="234"/>
  <c r="V4566" i="234"/>
  <c r="J2142" i="234"/>
  <c r="J2682" i="234"/>
  <c r="J4635" i="234"/>
  <c r="J4655" i="234"/>
  <c r="J4675" i="234"/>
  <c r="J1003" i="234"/>
  <c r="J1325" i="234"/>
  <c r="J1720" i="234"/>
  <c r="J1861" i="234"/>
  <c r="S4716" i="234"/>
  <c r="J2122" i="234"/>
  <c r="J2303" i="234"/>
  <c r="J2324" i="234"/>
  <c r="J4594" i="234"/>
  <c r="J1345" i="234"/>
  <c r="J1385" i="234"/>
  <c r="J1477" i="234"/>
  <c r="J1679" i="234"/>
  <c r="J1821" i="234"/>
  <c r="J2021" i="234"/>
  <c r="V1195" i="234"/>
  <c r="V1194" i="234"/>
  <c r="V1193" i="234"/>
  <c r="V1192" i="234"/>
  <c r="V1191" i="234"/>
  <c r="V1190" i="234"/>
  <c r="V1189" i="234"/>
  <c r="V1188" i="234"/>
  <c r="V1187" i="234"/>
  <c r="V1196" i="234"/>
  <c r="D193" i="232"/>
  <c r="G193" i="232"/>
  <c r="H193" i="232"/>
  <c r="J4665" i="234"/>
  <c r="J497" i="234"/>
  <c r="J2152" i="234"/>
  <c r="J2232" i="234"/>
  <c r="J2313" i="234"/>
  <c r="J3114" i="234"/>
  <c r="J3154" i="234"/>
  <c r="J3195" i="234"/>
  <c r="J3235" i="234"/>
  <c r="J3296" i="234"/>
  <c r="J3397" i="234"/>
  <c r="J3458" i="234"/>
  <c r="J3619" i="234"/>
  <c r="J3679" i="234"/>
  <c r="O166" i="233"/>
  <c r="R533" i="234"/>
  <c r="V535" i="234"/>
  <c r="V534" i="234"/>
  <c r="V533" i="234"/>
  <c r="V532" i="234"/>
  <c r="R4573" i="234"/>
  <c r="O439" i="233"/>
  <c r="D219" i="232"/>
  <c r="G219" i="232"/>
  <c r="H219" i="232"/>
  <c r="V1478" i="234"/>
  <c r="V1477" i="234"/>
  <c r="V1476" i="234"/>
  <c r="V1475" i="234"/>
  <c r="V1474" i="234"/>
  <c r="V1473" i="234"/>
  <c r="V1472" i="234"/>
  <c r="V1471" i="234"/>
  <c r="V1470" i="234"/>
  <c r="V1479" i="234"/>
  <c r="V1962" i="234"/>
  <c r="V1961" i="234"/>
  <c r="V1960" i="234"/>
  <c r="V1959" i="234"/>
  <c r="V1958" i="234"/>
  <c r="V1957" i="234"/>
  <c r="V1956" i="234"/>
  <c r="V1955" i="234"/>
  <c r="V1954" i="234"/>
  <c r="V1963" i="234"/>
  <c r="V498" i="234"/>
  <c r="V497" i="234"/>
  <c r="V496" i="234"/>
  <c r="V495" i="234"/>
  <c r="V494" i="234"/>
  <c r="V493" i="234"/>
  <c r="V492" i="234"/>
  <c r="V499" i="234"/>
  <c r="J2102" i="234"/>
  <c r="J2182" i="234"/>
  <c r="J2202" i="234"/>
  <c r="J2263" i="234"/>
  <c r="J2283" i="234"/>
  <c r="J2346" i="234"/>
  <c r="J2366" i="234"/>
  <c r="J2387" i="234"/>
  <c r="J2407" i="234"/>
  <c r="J2427" i="234"/>
  <c r="J2447" i="234"/>
  <c r="J2478" i="234"/>
  <c r="J2500" i="234"/>
  <c r="J2521" i="234"/>
  <c r="J2541" i="234"/>
  <c r="J2562" i="234"/>
  <c r="J2582" i="234"/>
  <c r="J2642" i="234"/>
  <c r="J2662" i="234"/>
  <c r="J2802" i="234"/>
  <c r="J2983" i="234"/>
  <c r="J3084" i="234"/>
  <c r="J3346" i="234"/>
  <c r="J3367" i="234"/>
  <c r="J3508" i="234"/>
  <c r="J3568" i="234"/>
  <c r="J3789" i="234"/>
  <c r="J4030" i="234"/>
  <c r="J4070" i="234"/>
  <c r="J4624" i="234"/>
  <c r="S4696" i="234"/>
  <c r="S4694" i="234"/>
  <c r="S4736" i="234"/>
  <c r="S4664" i="234"/>
  <c r="S4714" i="234"/>
  <c r="S4756" i="234"/>
  <c r="S4734" i="234"/>
  <c r="S4754" i="234"/>
  <c r="J4554" i="234"/>
  <c r="J2913" i="234"/>
  <c r="J3649" i="234"/>
  <c r="J3729" i="234"/>
  <c r="J3810" i="234"/>
  <c r="J4170" i="234"/>
  <c r="N573" i="234"/>
  <c r="R573" i="234"/>
  <c r="J4695" i="234"/>
  <c r="J4715" i="234"/>
  <c r="J4735" i="234"/>
  <c r="J4755" i="234"/>
  <c r="O679" i="234"/>
  <c r="R679" i="234"/>
  <c r="V165" i="234"/>
  <c r="V164" i="234"/>
  <c r="V163" i="234"/>
  <c r="S4645" i="234"/>
  <c r="J859" i="234"/>
  <c r="J2622" i="234"/>
  <c r="J2742" i="234"/>
  <c r="J2842" i="234"/>
  <c r="J2883" i="234"/>
  <c r="J2963" i="234"/>
  <c r="J950" i="234"/>
  <c r="J1063" i="234"/>
  <c r="J1103" i="234"/>
  <c r="J1224" i="234"/>
  <c r="J1264" i="234"/>
  <c r="J1305" i="234"/>
  <c r="J1538" i="234"/>
  <c r="J1639" i="234"/>
  <c r="J1700" i="234"/>
  <c r="J1740" i="234"/>
  <c r="J1800" i="234"/>
  <c r="J1841" i="234"/>
  <c r="J1901" i="234"/>
  <c r="J1941" i="234"/>
  <c r="J2001" i="234"/>
  <c r="J2041" i="234"/>
  <c r="J2081" i="234"/>
  <c r="J4705" i="234"/>
  <c r="J4745" i="234"/>
  <c r="V4686" i="234"/>
  <c r="V4685" i="234"/>
  <c r="V4684" i="234"/>
  <c r="V4683" i="234"/>
  <c r="V4682" i="234"/>
  <c r="V4681" i="234"/>
  <c r="V4680" i="234"/>
  <c r="V4679" i="234"/>
  <c r="V4678" i="234"/>
  <c r="V4687" i="234"/>
  <c r="O448" i="233"/>
  <c r="S4646" i="234"/>
  <c r="J852" i="234"/>
  <c r="J2132" i="234"/>
  <c r="J2192" i="234"/>
  <c r="J2253" i="234"/>
  <c r="J2293" i="234"/>
  <c r="J2356" i="234"/>
  <c r="J2397" i="234"/>
  <c r="J2437" i="234"/>
  <c r="J2490" i="234"/>
  <c r="J2531" i="234"/>
  <c r="J2572" i="234"/>
  <c r="J2612" i="234"/>
  <c r="J2672" i="234"/>
  <c r="J2712" i="234"/>
  <c r="J2792" i="234"/>
  <c r="J2832" i="234"/>
  <c r="J2872" i="234"/>
  <c r="J2933" i="234"/>
  <c r="J2953" i="234"/>
  <c r="J2993" i="234"/>
  <c r="J3256" i="234"/>
  <c r="J3357" i="234"/>
  <c r="J3578" i="234"/>
  <c r="J3719" i="234"/>
  <c r="J3799" i="234"/>
  <c r="J4040" i="234"/>
  <c r="J4080" i="234"/>
  <c r="R4179" i="234"/>
  <c r="J4645" i="234"/>
  <c r="R403" i="234"/>
  <c r="J404" i="234"/>
  <c r="J164" i="234"/>
  <c r="J4353" i="234"/>
  <c r="V867" i="234"/>
  <c r="V866" i="234"/>
  <c r="V865" i="234"/>
  <c r="V864" i="234"/>
  <c r="V863" i="234"/>
  <c r="V862" i="234"/>
  <c r="V868" i="234"/>
  <c r="V926" i="234"/>
  <c r="V925" i="234"/>
  <c r="V924" i="234"/>
  <c r="V923" i="234"/>
  <c r="V922" i="234"/>
  <c r="V921" i="234"/>
  <c r="V920" i="234"/>
  <c r="V919" i="234"/>
  <c r="V918" i="234"/>
  <c r="V927" i="234"/>
  <c r="V1084" i="234"/>
  <c r="V1083" i="234"/>
  <c r="V1082" i="234"/>
  <c r="V1081" i="234"/>
  <c r="V1080" i="234"/>
  <c r="V1079" i="234"/>
  <c r="V1078" i="234"/>
  <c r="V1077" i="234"/>
  <c r="V1076" i="234"/>
  <c r="V1085" i="234"/>
  <c r="V1044" i="234"/>
  <c r="V1043" i="234"/>
  <c r="V1042" i="234"/>
  <c r="V1041" i="234"/>
  <c r="V1040" i="234"/>
  <c r="V1039" i="234"/>
  <c r="V1038" i="234"/>
  <c r="V1037" i="234"/>
  <c r="V1036" i="234"/>
  <c r="V1045" i="234"/>
  <c r="R4534" i="234"/>
  <c r="J4535" i="234"/>
  <c r="J4211" i="234"/>
  <c r="J4273" i="234"/>
  <c r="D22" i="232"/>
  <c r="G22" i="232"/>
  <c r="H22" i="232"/>
  <c r="V46" i="234"/>
  <c r="V45" i="234"/>
  <c r="V44" i="234"/>
  <c r="V43" i="234"/>
  <c r="V42" i="234"/>
  <c r="V41" i="234"/>
  <c r="V40" i="234"/>
  <c r="V39" i="234"/>
  <c r="V38" i="234"/>
  <c r="V47" i="234"/>
  <c r="V87" i="234"/>
  <c r="V86" i="234"/>
  <c r="V85" i="234"/>
  <c r="V84" i="234"/>
  <c r="V83" i="234"/>
  <c r="V82" i="234"/>
  <c r="V81" i="234"/>
  <c r="V80" i="234"/>
  <c r="V79" i="234"/>
  <c r="V4151" i="234"/>
  <c r="V4150" i="234"/>
  <c r="V4149" i="234"/>
  <c r="V4148" i="234"/>
  <c r="V4147" i="234"/>
  <c r="V4146" i="234"/>
  <c r="V4145" i="234"/>
  <c r="V4144" i="234"/>
  <c r="V4143" i="234"/>
  <c r="V4152" i="234"/>
  <c r="D391" i="232"/>
  <c r="G391" i="232"/>
  <c r="H391" i="232"/>
  <c r="V3951" i="234"/>
  <c r="V3950" i="234"/>
  <c r="V3949" i="234"/>
  <c r="V3948" i="234"/>
  <c r="V3947" i="234"/>
  <c r="V3946" i="234"/>
  <c r="V3945" i="234"/>
  <c r="V3944" i="234"/>
  <c r="V3943" i="234"/>
  <c r="V3952" i="234"/>
  <c r="V3891" i="234"/>
  <c r="V3890" i="234"/>
  <c r="V3889" i="234"/>
  <c r="V3888" i="234"/>
  <c r="V3887" i="234"/>
  <c r="V3886" i="234"/>
  <c r="V3885" i="234"/>
  <c r="V3884" i="234"/>
  <c r="V3883" i="234"/>
  <c r="V3892" i="234"/>
  <c r="N574" i="234"/>
  <c r="R574" i="234"/>
  <c r="N572" i="234"/>
  <c r="R572" i="234"/>
  <c r="J2242" i="234"/>
  <c r="O357" i="233"/>
  <c r="V2304" i="234"/>
  <c r="V2303" i="234"/>
  <c r="V2302" i="234"/>
  <c r="V2301" i="234"/>
  <c r="V2300" i="234"/>
  <c r="V2299" i="234"/>
  <c r="V2298" i="234"/>
  <c r="V2297" i="234"/>
  <c r="V2296" i="234"/>
  <c r="V2305" i="234"/>
  <c r="R416" i="234"/>
  <c r="R426" i="234"/>
  <c r="R562" i="234"/>
  <c r="V126" i="234"/>
  <c r="V125" i="234"/>
  <c r="V124" i="234"/>
  <c r="J2943" i="234"/>
  <c r="J3043" i="234"/>
  <c r="J3266" i="234"/>
  <c r="J3326" i="234"/>
  <c r="J3488" i="234"/>
  <c r="J3548" i="234"/>
  <c r="R509" i="234"/>
  <c r="J510" i="234"/>
  <c r="R488" i="234"/>
  <c r="V490" i="234"/>
  <c r="V489" i="234"/>
  <c r="V488" i="234"/>
  <c r="V487" i="234"/>
  <c r="V457" i="234"/>
  <c r="V456" i="234"/>
  <c r="V455" i="234"/>
  <c r="V454" i="234"/>
  <c r="V453" i="234"/>
  <c r="V452" i="234"/>
  <c r="V451" i="234"/>
  <c r="V450" i="234"/>
  <c r="V449" i="234"/>
  <c r="V448" i="234"/>
  <c r="V447" i="234"/>
  <c r="V446" i="234"/>
  <c r="V445" i="234"/>
  <c r="V444" i="234"/>
  <c r="V443" i="234"/>
  <c r="V442" i="234"/>
  <c r="V441" i="234"/>
  <c r="V440" i="234"/>
  <c r="V439" i="234"/>
  <c r="V438" i="234"/>
  <c r="V437" i="234"/>
  <c r="V436" i="234"/>
  <c r="V435" i="234"/>
  <c r="V434" i="234"/>
  <c r="V433" i="234"/>
  <c r="V432" i="234"/>
  <c r="V431" i="234"/>
  <c r="V430" i="234"/>
  <c r="J3589" i="234"/>
  <c r="J3609" i="234"/>
  <c r="J4010" i="234"/>
  <c r="J4050" i="234"/>
  <c r="J4090" i="234"/>
  <c r="J4128" i="234"/>
  <c r="J4190" i="234"/>
  <c r="J4293" i="234"/>
  <c r="V4386" i="234"/>
  <c r="V4385" i="234"/>
  <c r="V4384" i="234"/>
  <c r="V4383" i="234"/>
  <c r="V4382" i="234"/>
  <c r="V4381" i="234"/>
  <c r="V4380" i="234"/>
  <c r="V4379" i="234"/>
  <c r="V4378" i="234"/>
  <c r="V4324" i="234"/>
  <c r="V4323" i="234"/>
  <c r="V4322" i="234"/>
  <c r="V4321" i="234"/>
  <c r="V4320" i="234"/>
  <c r="V4319" i="234"/>
  <c r="V4318" i="234"/>
  <c r="V4317" i="234"/>
  <c r="V4316" i="234"/>
  <c r="V4325" i="234"/>
  <c r="O421" i="233"/>
  <c r="V4262" i="234"/>
  <c r="V4261" i="234"/>
  <c r="V4260" i="234"/>
  <c r="V4259" i="234"/>
  <c r="V4258" i="234"/>
  <c r="V4257" i="234"/>
  <c r="V4256" i="234"/>
  <c r="V4255" i="234"/>
  <c r="V4254" i="234"/>
  <c r="V4263" i="234"/>
  <c r="V4161" i="234"/>
  <c r="V4160" i="234"/>
  <c r="V4159" i="234"/>
  <c r="V4158" i="234"/>
  <c r="V4157" i="234"/>
  <c r="V4156" i="234"/>
  <c r="V4155" i="234"/>
  <c r="V4154" i="234"/>
  <c r="V4153" i="234"/>
  <c r="V4162" i="234"/>
  <c r="O399" i="233"/>
  <c r="V4071" i="234"/>
  <c r="V4070" i="234"/>
  <c r="V4069" i="234"/>
  <c r="V4068" i="234"/>
  <c r="V4067" i="234"/>
  <c r="V4066" i="234"/>
  <c r="V4065" i="234"/>
  <c r="V4064" i="234"/>
  <c r="V4063" i="234"/>
  <c r="V4072" i="234"/>
  <c r="V4031" i="234"/>
  <c r="V4030" i="234"/>
  <c r="V4029" i="234"/>
  <c r="V4028" i="234"/>
  <c r="V4027" i="234"/>
  <c r="V4026" i="234"/>
  <c r="V4025" i="234"/>
  <c r="V4024" i="234"/>
  <c r="V4023" i="234"/>
  <c r="V4032" i="234"/>
  <c r="V3961" i="234"/>
  <c r="V3960" i="234"/>
  <c r="V3959" i="234"/>
  <c r="V3958" i="234"/>
  <c r="V3957" i="234"/>
  <c r="V3956" i="234"/>
  <c r="V3955" i="234"/>
  <c r="V3954" i="234"/>
  <c r="V3953" i="234"/>
  <c r="V3962" i="234"/>
  <c r="V3901" i="234"/>
  <c r="V3900" i="234"/>
  <c r="V3899" i="234"/>
  <c r="V3898" i="234"/>
  <c r="V3897" i="234"/>
  <c r="V3896" i="234"/>
  <c r="V3895" i="234"/>
  <c r="V3894" i="234"/>
  <c r="V3893" i="234"/>
  <c r="V3902" i="234"/>
  <c r="O368" i="233"/>
  <c r="V3790" i="234"/>
  <c r="V3789" i="234"/>
  <c r="V3788" i="234"/>
  <c r="V3787" i="234"/>
  <c r="V3786" i="234"/>
  <c r="V3785" i="234"/>
  <c r="V3784" i="234"/>
  <c r="V3783" i="234"/>
  <c r="V3782" i="234"/>
  <c r="V3791" i="234"/>
  <c r="V3740" i="234"/>
  <c r="V3739" i="234"/>
  <c r="V3738" i="234"/>
  <c r="V3737" i="234"/>
  <c r="V3736" i="234"/>
  <c r="V3735" i="234"/>
  <c r="V3734" i="234"/>
  <c r="V3733" i="234"/>
  <c r="V3732" i="234"/>
  <c r="V3741" i="234"/>
  <c r="D357" i="232"/>
  <c r="G357" i="232"/>
  <c r="H357" i="232"/>
  <c r="V3569" i="234"/>
  <c r="V3568" i="234"/>
  <c r="V3567" i="234"/>
  <c r="V3566" i="234"/>
  <c r="V3565" i="234"/>
  <c r="V3564" i="234"/>
  <c r="V3563" i="234"/>
  <c r="V3562" i="234"/>
  <c r="V3561" i="234"/>
  <c r="V3570" i="234"/>
  <c r="V3539" i="234"/>
  <c r="V3538" i="234"/>
  <c r="V3537" i="234"/>
  <c r="V3536" i="234"/>
  <c r="V3535" i="234"/>
  <c r="V3534" i="234"/>
  <c r="V3533" i="234"/>
  <c r="V3532" i="234"/>
  <c r="V3531" i="234"/>
  <c r="V3540" i="234"/>
  <c r="V3509" i="234"/>
  <c r="V3508" i="234"/>
  <c r="V3507" i="234"/>
  <c r="V3506" i="234"/>
  <c r="V3505" i="234"/>
  <c r="V3504" i="234"/>
  <c r="V3503" i="234"/>
  <c r="V3502" i="234"/>
  <c r="V3501" i="234"/>
  <c r="V3510" i="234"/>
  <c r="V3479" i="234"/>
  <c r="V3478" i="234"/>
  <c r="V3477" i="234"/>
  <c r="V3476" i="234"/>
  <c r="V3475" i="234"/>
  <c r="V3474" i="234"/>
  <c r="V3473" i="234"/>
  <c r="V3472" i="234"/>
  <c r="V3471" i="234"/>
  <c r="V3480" i="234"/>
  <c r="V3439" i="234"/>
  <c r="V3438" i="234"/>
  <c r="V3437" i="234"/>
  <c r="V3436" i="234"/>
  <c r="V3435" i="234"/>
  <c r="V3434" i="234"/>
  <c r="V3433" i="234"/>
  <c r="V3432" i="234"/>
  <c r="V3431" i="234"/>
  <c r="V3440" i="234"/>
  <c r="V3347" i="234"/>
  <c r="V3346" i="234"/>
  <c r="V3345" i="234"/>
  <c r="V3344" i="234"/>
  <c r="V3343" i="234"/>
  <c r="V3342" i="234"/>
  <c r="V3341" i="234"/>
  <c r="V3340" i="234"/>
  <c r="V3339" i="234"/>
  <c r="V3348" i="234"/>
  <c r="V3317" i="234"/>
  <c r="V3316" i="234"/>
  <c r="V3315" i="234"/>
  <c r="V3314" i="234"/>
  <c r="V3313" i="234"/>
  <c r="V3312" i="234"/>
  <c r="V3311" i="234"/>
  <c r="V3310" i="234"/>
  <c r="V3309" i="234"/>
  <c r="V3318" i="234"/>
  <c r="V3287" i="234"/>
  <c r="V3286" i="234"/>
  <c r="V3285" i="234"/>
  <c r="V3284" i="234"/>
  <c r="V3283" i="234"/>
  <c r="V3282" i="234"/>
  <c r="V3281" i="234"/>
  <c r="V3280" i="234"/>
  <c r="V3279" i="234"/>
  <c r="V3288" i="234"/>
  <c r="V3216" i="234"/>
  <c r="V3215" i="234"/>
  <c r="V3214" i="234"/>
  <c r="V3213" i="234"/>
  <c r="V3212" i="234"/>
  <c r="V3211" i="234"/>
  <c r="V3210" i="234"/>
  <c r="V3209" i="234"/>
  <c r="V3208" i="234"/>
  <c r="V3034" i="234"/>
  <c r="V3033" i="234"/>
  <c r="V3032" i="234"/>
  <c r="V3031" i="234"/>
  <c r="V3030" i="234"/>
  <c r="V3029" i="234"/>
  <c r="V3028" i="234"/>
  <c r="V3027" i="234"/>
  <c r="V3026" i="234"/>
  <c r="V3035" i="234"/>
  <c r="V3004" i="234"/>
  <c r="V3003" i="234"/>
  <c r="V3002" i="234"/>
  <c r="V3001" i="234"/>
  <c r="V3000" i="234"/>
  <c r="V2999" i="234"/>
  <c r="V2998" i="234"/>
  <c r="V2997" i="234"/>
  <c r="V2996" i="234"/>
  <c r="V3005" i="234"/>
  <c r="V2934" i="234"/>
  <c r="V2933" i="234"/>
  <c r="V2932" i="234"/>
  <c r="V2931" i="234"/>
  <c r="V2930" i="234"/>
  <c r="V2929" i="234"/>
  <c r="V2928" i="234"/>
  <c r="V2927" i="234"/>
  <c r="V2926" i="234"/>
  <c r="V2935" i="234"/>
  <c r="V2793" i="234"/>
  <c r="V2792" i="234"/>
  <c r="V2791" i="234"/>
  <c r="V2790" i="234"/>
  <c r="V2789" i="234"/>
  <c r="V2788" i="234"/>
  <c r="V2787" i="234"/>
  <c r="V2786" i="234"/>
  <c r="V2785" i="234"/>
  <c r="V2794" i="234"/>
  <c r="V2693" i="234"/>
  <c r="V2692" i="234"/>
  <c r="V2691" i="234"/>
  <c r="V2690" i="234"/>
  <c r="V2689" i="234"/>
  <c r="V2688" i="234"/>
  <c r="V2687" i="234"/>
  <c r="V2686" i="234"/>
  <c r="V2685" i="234"/>
  <c r="V2694" i="234"/>
  <c r="D251" i="232"/>
  <c r="G251" i="232"/>
  <c r="H251" i="232"/>
  <c r="O235" i="233"/>
  <c r="V2522" i="234"/>
  <c r="V2521" i="234"/>
  <c r="V2520" i="234"/>
  <c r="V2519" i="234"/>
  <c r="V2518" i="234"/>
  <c r="V2517" i="234"/>
  <c r="V2516" i="234"/>
  <c r="V2515" i="234"/>
  <c r="V2514" i="234"/>
  <c r="V2523" i="234"/>
  <c r="V2438" i="234"/>
  <c r="V2437" i="234"/>
  <c r="V2436" i="234"/>
  <c r="V2435" i="234"/>
  <c r="V2434" i="234"/>
  <c r="V2433" i="234"/>
  <c r="V2432" i="234"/>
  <c r="V2431" i="234"/>
  <c r="V2430" i="234"/>
  <c r="V2439" i="234"/>
  <c r="O209" i="233"/>
  <c r="V2294" i="234"/>
  <c r="V2293" i="234"/>
  <c r="V2292" i="234"/>
  <c r="V2291" i="234"/>
  <c r="V2290" i="234"/>
  <c r="V2289" i="234"/>
  <c r="V2288" i="234"/>
  <c r="V2287" i="234"/>
  <c r="V2286" i="234"/>
  <c r="V2295" i="234"/>
  <c r="V2254" i="234"/>
  <c r="V2253" i="234"/>
  <c r="V2252" i="234"/>
  <c r="V2251" i="234"/>
  <c r="V2250" i="234"/>
  <c r="V2249" i="234"/>
  <c r="V2248" i="234"/>
  <c r="V2247" i="234"/>
  <c r="V2246" i="234"/>
  <c r="V2255" i="234"/>
  <c r="V1124" i="234"/>
  <c r="V1123" i="234"/>
  <c r="V1122" i="234"/>
  <c r="V1121" i="234"/>
  <c r="V1120" i="234"/>
  <c r="V1119" i="234"/>
  <c r="V1118" i="234"/>
  <c r="V1117" i="234"/>
  <c r="V1116" i="234"/>
  <c r="V1125" i="234"/>
  <c r="V1014" i="234"/>
  <c r="V1013" i="234"/>
  <c r="V1012" i="234"/>
  <c r="V1011" i="234"/>
  <c r="V1010" i="234"/>
  <c r="V1009" i="234"/>
  <c r="V1008" i="234"/>
  <c r="V1007" i="234"/>
  <c r="V1006" i="234"/>
  <c r="V1015" i="234"/>
  <c r="D90" i="232"/>
  <c r="G90" i="232"/>
  <c r="H90" i="232"/>
  <c r="V1185" i="234"/>
  <c r="V1184" i="234"/>
  <c r="V1183" i="234"/>
  <c r="V1182" i="234"/>
  <c r="V1181" i="234"/>
  <c r="V1180" i="234"/>
  <c r="V1179" i="234"/>
  <c r="V1178" i="234"/>
  <c r="V1177" i="234"/>
  <c r="V1186" i="234"/>
  <c r="V1155" i="234"/>
  <c r="V1154" i="234"/>
  <c r="V1153" i="234"/>
  <c r="V1152" i="234"/>
  <c r="V1151" i="234"/>
  <c r="V1150" i="234"/>
  <c r="V1149" i="234"/>
  <c r="V1148" i="234"/>
  <c r="V1147" i="234"/>
  <c r="V1156" i="234"/>
  <c r="V1306" i="234"/>
  <c r="V1305" i="234"/>
  <c r="V1304" i="234"/>
  <c r="V1303" i="234"/>
  <c r="V1302" i="234"/>
  <c r="V1301" i="234"/>
  <c r="V1300" i="234"/>
  <c r="V1299" i="234"/>
  <c r="V1298" i="234"/>
  <c r="V1307" i="234"/>
  <c r="O108" i="233"/>
  <c r="V1407" i="234"/>
  <c r="V1406" i="234"/>
  <c r="V1405" i="234"/>
  <c r="V1404" i="234"/>
  <c r="V1403" i="234"/>
  <c r="V1402" i="234"/>
  <c r="V1401" i="234"/>
  <c r="V1400" i="234"/>
  <c r="V1399" i="234"/>
  <c r="V1408" i="234"/>
  <c r="V1579" i="234"/>
  <c r="V1578" i="234"/>
  <c r="V1577" i="234"/>
  <c r="V1576" i="234"/>
  <c r="V1575" i="234"/>
  <c r="V1574" i="234"/>
  <c r="V1573" i="234"/>
  <c r="V1572" i="234"/>
  <c r="V1571" i="234"/>
  <c r="V1580" i="234"/>
  <c r="V1680" i="234"/>
  <c r="V1679" i="234"/>
  <c r="V1678" i="234"/>
  <c r="V1677" i="234"/>
  <c r="V1676" i="234"/>
  <c r="V1675" i="234"/>
  <c r="V1674" i="234"/>
  <c r="V1673" i="234"/>
  <c r="V1672" i="234"/>
  <c r="V1681" i="234"/>
  <c r="V1650" i="234"/>
  <c r="V1649" i="234"/>
  <c r="V1648" i="234"/>
  <c r="V1647" i="234"/>
  <c r="V1646" i="234"/>
  <c r="V1645" i="234"/>
  <c r="V1644" i="234"/>
  <c r="V1643" i="234"/>
  <c r="V1642" i="234"/>
  <c r="V1651" i="234"/>
  <c r="V1801" i="234"/>
  <c r="V1800" i="234"/>
  <c r="V1799" i="234"/>
  <c r="V1798" i="234"/>
  <c r="V1797" i="234"/>
  <c r="V1796" i="234"/>
  <c r="V1795" i="234"/>
  <c r="V1794" i="234"/>
  <c r="V1793" i="234"/>
  <c r="V1802" i="234"/>
  <c r="V1701" i="234"/>
  <c r="V1700" i="234"/>
  <c r="V1699" i="234"/>
  <c r="V1698" i="234"/>
  <c r="V1697" i="234"/>
  <c r="V1696" i="234"/>
  <c r="V1695" i="234"/>
  <c r="V1694" i="234"/>
  <c r="V1693" i="234"/>
  <c r="V1702" i="234"/>
  <c r="O177" i="233"/>
  <c r="O173" i="233"/>
  <c r="V2012" i="234"/>
  <c r="V2011" i="234"/>
  <c r="V2010" i="234"/>
  <c r="V2009" i="234"/>
  <c r="V2008" i="234"/>
  <c r="V2007" i="234"/>
  <c r="V2006" i="234"/>
  <c r="V2005" i="234"/>
  <c r="V2004" i="234"/>
  <c r="V2013" i="234"/>
  <c r="V1982" i="234"/>
  <c r="V1981" i="234"/>
  <c r="V1980" i="234"/>
  <c r="V1979" i="234"/>
  <c r="V1978" i="234"/>
  <c r="V1977" i="234"/>
  <c r="V1976" i="234"/>
  <c r="V1975" i="234"/>
  <c r="V1974" i="234"/>
  <c r="V1983" i="234"/>
  <c r="D169" i="232"/>
  <c r="G169" i="232"/>
  <c r="H169" i="232"/>
  <c r="V1902" i="234"/>
  <c r="V1901" i="234"/>
  <c r="V1900" i="234"/>
  <c r="V1899" i="234"/>
  <c r="V1898" i="234"/>
  <c r="V1897" i="234"/>
  <c r="V1896" i="234"/>
  <c r="V1895" i="234"/>
  <c r="V1894" i="234"/>
  <c r="V1903" i="234"/>
  <c r="O156" i="233"/>
  <c r="V1842" i="234"/>
  <c r="V1841" i="234"/>
  <c r="V1840" i="234"/>
  <c r="V1839" i="234"/>
  <c r="V1838" i="234"/>
  <c r="V1837" i="234"/>
  <c r="V1836" i="234"/>
  <c r="V1835" i="234"/>
  <c r="V1834" i="234"/>
  <c r="V1843" i="234"/>
  <c r="O150" i="233"/>
  <c r="V2223" i="234"/>
  <c r="V2222" i="234"/>
  <c r="V2221" i="234"/>
  <c r="V2220" i="234"/>
  <c r="V2219" i="234"/>
  <c r="V2218" i="234"/>
  <c r="V2217" i="234"/>
  <c r="V2216" i="234"/>
  <c r="V2215" i="234"/>
  <c r="V2224" i="234"/>
  <c r="V2183" i="234"/>
  <c r="V2182" i="234"/>
  <c r="V2181" i="234"/>
  <c r="V2180" i="234"/>
  <c r="V2179" i="234"/>
  <c r="V2178" i="234"/>
  <c r="V2177" i="234"/>
  <c r="V2176" i="234"/>
  <c r="V2175" i="234"/>
  <c r="V2184" i="234"/>
  <c r="V2153" i="234"/>
  <c r="V2152" i="234"/>
  <c r="V2151" i="234"/>
  <c r="V2150" i="234"/>
  <c r="V2149" i="234"/>
  <c r="V2148" i="234"/>
  <c r="V2147" i="234"/>
  <c r="V2146" i="234"/>
  <c r="V2145" i="234"/>
  <c r="V2154" i="234"/>
  <c r="O182" i="233"/>
  <c r="R670" i="234"/>
  <c r="R580" i="234"/>
  <c r="P451" i="233"/>
  <c r="V4676" i="234"/>
  <c r="V4675" i="234"/>
  <c r="V4674" i="234"/>
  <c r="V4673" i="234"/>
  <c r="V4672" i="234"/>
  <c r="V4671" i="234"/>
  <c r="V4670" i="234"/>
  <c r="V4669" i="234"/>
  <c r="V4668" i="234"/>
  <c r="V4677" i="234"/>
  <c r="D451" i="232"/>
  <c r="G451" i="232"/>
  <c r="H451" i="232"/>
  <c r="D449" i="232"/>
  <c r="G449" i="232"/>
  <c r="H449" i="232"/>
  <c r="R620" i="234"/>
  <c r="J2692" i="234"/>
  <c r="J2752" i="234"/>
  <c r="J2812" i="234"/>
  <c r="J2852" i="234"/>
  <c r="J2893" i="234"/>
  <c r="J3033" i="234"/>
  <c r="J3094" i="234"/>
  <c r="J3134" i="234"/>
  <c r="J3175" i="234"/>
  <c r="J3215" i="234"/>
  <c r="J3316" i="234"/>
  <c r="J3377" i="234"/>
  <c r="J3438" i="234"/>
  <c r="J3478" i="234"/>
  <c r="J3538" i="234"/>
  <c r="J3639" i="234"/>
  <c r="J3659" i="234"/>
  <c r="J3739" i="234"/>
  <c r="J3820" i="234"/>
  <c r="J3840" i="234"/>
  <c r="J3860" i="234"/>
  <c r="J3880" i="234"/>
  <c r="J3900" i="234"/>
  <c r="J3920" i="234"/>
  <c r="J3960" i="234"/>
  <c r="J3980" i="234"/>
  <c r="J4000" i="234"/>
  <c r="J4119" i="234"/>
  <c r="J4140" i="234"/>
  <c r="J4160" i="234"/>
  <c r="J4241" i="234"/>
  <c r="J4261" i="234"/>
  <c r="J4283" i="234"/>
  <c r="J1446" i="234"/>
  <c r="R202" i="234"/>
  <c r="V204" i="234"/>
  <c r="V203" i="234"/>
  <c r="V202" i="234"/>
  <c r="R635" i="234"/>
  <c r="R686" i="234"/>
  <c r="V853" i="234"/>
  <c r="V852" i="234"/>
  <c r="V851" i="234"/>
  <c r="V849" i="234"/>
  <c r="V848" i="234"/>
  <c r="V847" i="234"/>
  <c r="V846" i="234"/>
  <c r="V845" i="234"/>
  <c r="V844" i="234"/>
  <c r="V843" i="234"/>
  <c r="V842" i="234"/>
  <c r="V841" i="234"/>
  <c r="V840" i="234"/>
  <c r="V839" i="234"/>
  <c r="V838" i="234"/>
  <c r="V837" i="234"/>
  <c r="V836" i="234"/>
  <c r="V835" i="234"/>
  <c r="V834" i="234"/>
  <c r="V833" i="234"/>
  <c r="V832" i="234"/>
  <c r="V831" i="234"/>
  <c r="V830" i="234"/>
  <c r="V829" i="234"/>
  <c r="V828" i="234"/>
  <c r="V827" i="234"/>
  <c r="V826" i="234"/>
  <c r="S4594" i="234"/>
  <c r="S4595" i="234"/>
  <c r="S4615" i="234"/>
  <c r="J125" i="234"/>
  <c r="J3759" i="234"/>
  <c r="V36" i="234"/>
  <c r="V35" i="234"/>
  <c r="V34" i="234"/>
  <c r="V33" i="234"/>
  <c r="V32" i="234"/>
  <c r="V31" i="234"/>
  <c r="V30" i="234"/>
  <c r="V29" i="234"/>
  <c r="V28" i="234"/>
  <c r="V37" i="234"/>
  <c r="D33" i="232"/>
  <c r="G33" i="232"/>
  <c r="H33" i="232"/>
  <c r="V885" i="234"/>
  <c r="V884" i="234"/>
  <c r="V883" i="234"/>
  <c r="V882" i="234"/>
  <c r="V881" i="234"/>
  <c r="V880" i="234"/>
  <c r="V879" i="234"/>
  <c r="V878" i="234"/>
  <c r="V877" i="234"/>
  <c r="V886" i="234"/>
  <c r="D57" i="232"/>
  <c r="G57" i="232"/>
  <c r="H57" i="232"/>
  <c r="V4375" i="234"/>
  <c r="V4374" i="234"/>
  <c r="V4373" i="234"/>
  <c r="V4372" i="234"/>
  <c r="V4371" i="234"/>
  <c r="V4370" i="234"/>
  <c r="V4369" i="234"/>
  <c r="V4368" i="234"/>
  <c r="V4367" i="234"/>
  <c r="V4376" i="234"/>
  <c r="V4366" i="234"/>
  <c r="V4232" i="234"/>
  <c r="V4231" i="234"/>
  <c r="V4230" i="234"/>
  <c r="V4229" i="234"/>
  <c r="V4228" i="234"/>
  <c r="V4227" i="234"/>
  <c r="V4226" i="234"/>
  <c r="V4225" i="234"/>
  <c r="V4224" i="234"/>
  <c r="V4233" i="234"/>
  <c r="V4081" i="234"/>
  <c r="V4080" i="234"/>
  <c r="V4079" i="234"/>
  <c r="V4078" i="234"/>
  <c r="V4077" i="234"/>
  <c r="V4041" i="234"/>
  <c r="V4040" i="234"/>
  <c r="V4039" i="234"/>
  <c r="V4038" i="234"/>
  <c r="V4037" i="234"/>
  <c r="V4036" i="234"/>
  <c r="V4035" i="234"/>
  <c r="V4034" i="234"/>
  <c r="V4033" i="234"/>
  <c r="V4042" i="234"/>
  <c r="V3971" i="234"/>
  <c r="V3970" i="234"/>
  <c r="V3969" i="234"/>
  <c r="V3968" i="234"/>
  <c r="V3967" i="234"/>
  <c r="V3966" i="234"/>
  <c r="V3965" i="234"/>
  <c r="V3964" i="234"/>
  <c r="V3963" i="234"/>
  <c r="V3972" i="234"/>
  <c r="V3911" i="234"/>
  <c r="V3910" i="234"/>
  <c r="V3909" i="234"/>
  <c r="V3908" i="234"/>
  <c r="V3907" i="234"/>
  <c r="V3906" i="234"/>
  <c r="V3905" i="234"/>
  <c r="V3904" i="234"/>
  <c r="V3903" i="234"/>
  <c r="V3912" i="234"/>
  <c r="V3750" i="234"/>
  <c r="V3749" i="234"/>
  <c r="V3748" i="234"/>
  <c r="V3747" i="234"/>
  <c r="V3746" i="234"/>
  <c r="V3745" i="234"/>
  <c r="V3744" i="234"/>
  <c r="V3743" i="234"/>
  <c r="V3742" i="234"/>
  <c r="V3751" i="234"/>
  <c r="V3700" i="234"/>
  <c r="V3699" i="234"/>
  <c r="V3698" i="234"/>
  <c r="V3697" i="234"/>
  <c r="V3696" i="234"/>
  <c r="V3695" i="234"/>
  <c r="V3694" i="234"/>
  <c r="V3693" i="234"/>
  <c r="V3692" i="234"/>
  <c r="V3701" i="234"/>
  <c r="V3579" i="234"/>
  <c r="V3578" i="234"/>
  <c r="V3577" i="234"/>
  <c r="V3576" i="234"/>
  <c r="V3575" i="234"/>
  <c r="V3574" i="234"/>
  <c r="V3573" i="234"/>
  <c r="V3572" i="234"/>
  <c r="V3571" i="234"/>
  <c r="V3580" i="234"/>
  <c r="V3449" i="234"/>
  <c r="V3448" i="234"/>
  <c r="V3447" i="234"/>
  <c r="V3446" i="234"/>
  <c r="V3445" i="234"/>
  <c r="V3444" i="234"/>
  <c r="V3443" i="234"/>
  <c r="V3442" i="234"/>
  <c r="V3441" i="234"/>
  <c r="V3450" i="234"/>
  <c r="O319" i="233"/>
  <c r="V3257" i="234"/>
  <c r="V3256" i="234"/>
  <c r="V3255" i="234"/>
  <c r="V3254" i="234"/>
  <c r="V3253" i="234"/>
  <c r="V3252" i="234"/>
  <c r="V3251" i="234"/>
  <c r="V3250" i="234"/>
  <c r="V3249" i="234"/>
  <c r="V3258" i="234"/>
  <c r="D284" i="232"/>
  <c r="G284" i="232"/>
  <c r="H284" i="232"/>
  <c r="V2873" i="234"/>
  <c r="V2872" i="234"/>
  <c r="V2871" i="234"/>
  <c r="V2870" i="234"/>
  <c r="V2869" i="234"/>
  <c r="V2868" i="234"/>
  <c r="V2867" i="234"/>
  <c r="V2866" i="234"/>
  <c r="V2865" i="234"/>
  <c r="V2874" i="234"/>
  <c r="V2833" i="234"/>
  <c r="V2832" i="234"/>
  <c r="V2831" i="234"/>
  <c r="V2830" i="234"/>
  <c r="V2829" i="234"/>
  <c r="V2828" i="234"/>
  <c r="V2827" i="234"/>
  <c r="V2826" i="234"/>
  <c r="V2825" i="234"/>
  <c r="V2834" i="234"/>
  <c r="V2733" i="234"/>
  <c r="V2732" i="234"/>
  <c r="V2731" i="234"/>
  <c r="V2730" i="234"/>
  <c r="V2729" i="234"/>
  <c r="V2728" i="234"/>
  <c r="V2727" i="234"/>
  <c r="V2726" i="234"/>
  <c r="V2725" i="234"/>
  <c r="V2734" i="234"/>
  <c r="V2703" i="234"/>
  <c r="V2702" i="234"/>
  <c r="V2701" i="234"/>
  <c r="V2700" i="234"/>
  <c r="V2699" i="234"/>
  <c r="V2698" i="234"/>
  <c r="V2697" i="234"/>
  <c r="V2696" i="234"/>
  <c r="V2695" i="234"/>
  <c r="V2704" i="234"/>
  <c r="V2673" i="234"/>
  <c r="V2672" i="234"/>
  <c r="V2671" i="234"/>
  <c r="V2670" i="234"/>
  <c r="V2669" i="234"/>
  <c r="V2668" i="234"/>
  <c r="V2667" i="234"/>
  <c r="V2666" i="234"/>
  <c r="V2665" i="234"/>
  <c r="V2674" i="234"/>
  <c r="V2532" i="234"/>
  <c r="V2531" i="234"/>
  <c r="V2530" i="234"/>
  <c r="V2529" i="234"/>
  <c r="V2528" i="234"/>
  <c r="V2527" i="234"/>
  <c r="V2526" i="234"/>
  <c r="V2525" i="234"/>
  <c r="V2524" i="234"/>
  <c r="V2533" i="234"/>
  <c r="V2479" i="234"/>
  <c r="V2478" i="234"/>
  <c r="V2477" i="234"/>
  <c r="V2476" i="234"/>
  <c r="V2475" i="234"/>
  <c r="V2474" i="234"/>
  <c r="V2473" i="234"/>
  <c r="V2472" i="234"/>
  <c r="V2471" i="234"/>
  <c r="V2480" i="234"/>
  <c r="O219" i="233"/>
  <c r="D221" i="232"/>
  <c r="G221" i="232"/>
  <c r="H221" i="232"/>
  <c r="V2367" i="234"/>
  <c r="V2366" i="234"/>
  <c r="V2365" i="234"/>
  <c r="V2364" i="234"/>
  <c r="V2363" i="234"/>
  <c r="V2362" i="234"/>
  <c r="V2361" i="234"/>
  <c r="V2360" i="234"/>
  <c r="V2359" i="234"/>
  <c r="V2368" i="234"/>
  <c r="V2264" i="234"/>
  <c r="V2263" i="234"/>
  <c r="V2262" i="234"/>
  <c r="V2261" i="234"/>
  <c r="V2260" i="234"/>
  <c r="V2259" i="234"/>
  <c r="V2258" i="234"/>
  <c r="V2257" i="234"/>
  <c r="V2256" i="234"/>
  <c r="V2265" i="234"/>
  <c r="D77" i="232"/>
  <c r="G77" i="232"/>
  <c r="H77" i="232"/>
  <c r="V1024" i="234"/>
  <c r="V1023" i="234"/>
  <c r="V1022" i="234"/>
  <c r="V1021" i="234"/>
  <c r="V1020" i="234"/>
  <c r="V1019" i="234"/>
  <c r="V1018" i="234"/>
  <c r="V1017" i="234"/>
  <c r="V1016" i="234"/>
  <c r="V1025" i="234"/>
  <c r="V1295" i="234"/>
  <c r="V1294" i="234"/>
  <c r="V1293" i="234"/>
  <c r="V1292" i="234"/>
  <c r="V1291" i="234"/>
  <c r="V1290" i="234"/>
  <c r="V1289" i="234"/>
  <c r="V1288" i="234"/>
  <c r="V1287" i="234"/>
  <c r="V1296" i="234"/>
  <c r="V1386" i="234"/>
  <c r="V1385" i="234"/>
  <c r="V1384" i="234"/>
  <c r="V1383" i="234"/>
  <c r="V1382" i="234"/>
  <c r="V1381" i="234"/>
  <c r="V1380" i="234"/>
  <c r="V1379" i="234"/>
  <c r="V1378" i="234"/>
  <c r="V1387" i="234"/>
  <c r="V1346" i="234"/>
  <c r="V1345" i="234"/>
  <c r="V1344" i="234"/>
  <c r="V1343" i="234"/>
  <c r="V1342" i="234"/>
  <c r="V1341" i="234"/>
  <c r="V1340" i="234"/>
  <c r="V1339" i="234"/>
  <c r="V1338" i="234"/>
  <c r="V1347" i="234"/>
  <c r="V1316" i="234"/>
  <c r="V1315" i="234"/>
  <c r="V1314" i="234"/>
  <c r="V1313" i="234"/>
  <c r="V1312" i="234"/>
  <c r="V1311" i="234"/>
  <c r="V1310" i="234"/>
  <c r="V1309" i="234"/>
  <c r="V1308" i="234"/>
  <c r="V1317" i="234"/>
  <c r="V1417" i="234"/>
  <c r="V1416" i="234"/>
  <c r="V1415" i="234"/>
  <c r="V1414" i="234"/>
  <c r="V1413" i="234"/>
  <c r="V1412" i="234"/>
  <c r="V1411" i="234"/>
  <c r="V1410" i="234"/>
  <c r="V1409" i="234"/>
  <c r="V1418" i="234"/>
  <c r="V1549" i="234"/>
  <c r="V1548" i="234"/>
  <c r="V1547" i="234"/>
  <c r="V1546" i="234"/>
  <c r="V1545" i="234"/>
  <c r="V1544" i="234"/>
  <c r="V1543" i="234"/>
  <c r="V1542" i="234"/>
  <c r="V1541" i="234"/>
  <c r="V1550" i="234"/>
  <c r="V1509" i="234"/>
  <c r="V1508" i="234"/>
  <c r="V1507" i="234"/>
  <c r="V1506" i="234"/>
  <c r="V1505" i="234"/>
  <c r="V1504" i="234"/>
  <c r="V1503" i="234"/>
  <c r="V1502" i="234"/>
  <c r="V1501" i="234"/>
  <c r="V1510" i="234"/>
  <c r="O129" i="233"/>
  <c r="V1590" i="234"/>
  <c r="V1589" i="234"/>
  <c r="V1588" i="234"/>
  <c r="V1587" i="234"/>
  <c r="V1586" i="234"/>
  <c r="V1585" i="234"/>
  <c r="V1584" i="234"/>
  <c r="V1583" i="234"/>
  <c r="V1582" i="234"/>
  <c r="V1591" i="234"/>
  <c r="O142" i="233"/>
  <c r="V2092" i="234"/>
  <c r="V2091" i="234"/>
  <c r="V2090" i="234"/>
  <c r="V2089" i="234"/>
  <c r="V2088" i="234"/>
  <c r="V2087" i="234"/>
  <c r="V2086" i="234"/>
  <c r="V2085" i="234"/>
  <c r="V2084" i="234"/>
  <c r="V2093" i="234"/>
  <c r="D180" i="232"/>
  <c r="G180" i="232"/>
  <c r="H180" i="232"/>
  <c r="V1952" i="234"/>
  <c r="V1951" i="234"/>
  <c r="V1950" i="234"/>
  <c r="V1949" i="234"/>
  <c r="V1948" i="234"/>
  <c r="V1947" i="234"/>
  <c r="V1946" i="234"/>
  <c r="V1945" i="234"/>
  <c r="V1944" i="234"/>
  <c r="V1953" i="234"/>
  <c r="D166" i="232"/>
  <c r="G166" i="232"/>
  <c r="H166" i="232"/>
  <c r="V1882" i="234"/>
  <c r="V1881" i="234"/>
  <c r="V1880" i="234"/>
  <c r="V1879" i="234"/>
  <c r="V1878" i="234"/>
  <c r="V1877" i="234"/>
  <c r="V1876" i="234"/>
  <c r="V1875" i="234"/>
  <c r="V1874" i="234"/>
  <c r="V1883" i="234"/>
  <c r="V1852" i="234"/>
  <c r="V1851" i="234"/>
  <c r="V1850" i="234"/>
  <c r="V1849" i="234"/>
  <c r="V1848" i="234"/>
  <c r="V1847" i="234"/>
  <c r="V1846" i="234"/>
  <c r="V1845" i="234"/>
  <c r="V1844" i="234"/>
  <c r="V1853" i="234"/>
  <c r="V2193" i="234"/>
  <c r="V2192" i="234"/>
  <c r="V2191" i="234"/>
  <c r="V2190" i="234"/>
  <c r="V2189" i="234"/>
  <c r="V2188" i="234"/>
  <c r="V2187" i="234"/>
  <c r="V2186" i="234"/>
  <c r="V2185" i="234"/>
  <c r="V2194" i="234"/>
  <c r="V243" i="234"/>
  <c r="V242" i="234"/>
  <c r="V241" i="234"/>
  <c r="V240" i="234"/>
  <c r="V4615" i="234"/>
  <c r="V4614" i="234"/>
  <c r="V4613" i="234"/>
  <c r="V4612" i="234"/>
  <c r="V4611" i="234"/>
  <c r="V4610" i="234"/>
  <c r="V4609" i="234"/>
  <c r="V4608" i="234"/>
  <c r="V4607" i="234"/>
  <c r="V4616" i="234"/>
  <c r="V4555" i="234"/>
  <c r="V4554" i="234"/>
  <c r="V4553" i="234"/>
  <c r="V4552" i="234"/>
  <c r="V4551" i="234"/>
  <c r="V4550" i="234"/>
  <c r="V4549" i="234"/>
  <c r="R638" i="234"/>
  <c r="R619" i="234"/>
  <c r="V4595" i="234"/>
  <c r="V4594" i="234"/>
  <c r="V4593" i="234"/>
  <c r="V4592" i="234"/>
  <c r="V4591" i="234"/>
  <c r="V4590" i="234"/>
  <c r="V4589" i="234"/>
  <c r="V4588" i="234"/>
  <c r="V4587" i="234"/>
  <c r="V4596" i="234"/>
  <c r="J940" i="234"/>
  <c r="J992" i="234"/>
  <c r="J1053" i="234"/>
  <c r="J1093" i="234"/>
  <c r="J1254" i="234"/>
  <c r="J1335" i="234"/>
  <c r="J1375" i="234"/>
  <c r="J1466" i="234"/>
  <c r="J1609" i="234"/>
  <c r="J1669" i="234"/>
  <c r="J1730" i="234"/>
  <c r="J1831" i="234"/>
  <c r="J1931" i="234"/>
  <c r="J1971" i="234"/>
  <c r="J2031" i="234"/>
  <c r="J2071" i="234"/>
  <c r="J4333" i="234"/>
  <c r="J2457" i="234"/>
  <c r="J1760" i="234"/>
  <c r="V4252" i="234"/>
  <c r="V4251" i="234"/>
  <c r="V4250" i="234"/>
  <c r="V4249" i="234"/>
  <c r="V4248" i="234"/>
  <c r="V4247" i="234"/>
  <c r="V4246" i="234"/>
  <c r="V4245" i="234"/>
  <c r="V4244" i="234"/>
  <c r="V4253" i="234"/>
  <c r="V4101" i="234"/>
  <c r="V4100" i="234"/>
  <c r="V4099" i="234"/>
  <c r="V4098" i="234"/>
  <c r="V4097" i="234"/>
  <c r="V4096" i="234"/>
  <c r="V4095" i="234"/>
  <c r="V4094" i="234"/>
  <c r="V4093" i="234"/>
  <c r="V4102" i="234"/>
  <c r="V3851" i="234"/>
  <c r="V3850" i="234"/>
  <c r="V3849" i="234"/>
  <c r="V3848" i="234"/>
  <c r="V3847" i="234"/>
  <c r="V3846" i="234"/>
  <c r="V3845" i="234"/>
  <c r="V3844" i="234"/>
  <c r="V3843" i="234"/>
  <c r="V3852" i="234"/>
  <c r="D319" i="232"/>
  <c r="G319" i="232"/>
  <c r="H319" i="232"/>
  <c r="V2924" i="234"/>
  <c r="V2923" i="234"/>
  <c r="V2922" i="234"/>
  <c r="V2921" i="234"/>
  <c r="V2920" i="234"/>
  <c r="V2919" i="234"/>
  <c r="V2918" i="234"/>
  <c r="V2917" i="234"/>
  <c r="V2916" i="234"/>
  <c r="V2925" i="234"/>
  <c r="V2853" i="234"/>
  <c r="V2852" i="234"/>
  <c r="V2851" i="234"/>
  <c r="V2850" i="234"/>
  <c r="V2849" i="234"/>
  <c r="V2848" i="234"/>
  <c r="V2847" i="234"/>
  <c r="V2846" i="234"/>
  <c r="V2845" i="234"/>
  <c r="V2854" i="234"/>
  <c r="V2623" i="234"/>
  <c r="V2622" i="234"/>
  <c r="V2621" i="234"/>
  <c r="V2620" i="234"/>
  <c r="V2619" i="234"/>
  <c r="V2618" i="234"/>
  <c r="V2617" i="234"/>
  <c r="V2616" i="234"/>
  <c r="V2615" i="234"/>
  <c r="V2624" i="234"/>
  <c r="V2398" i="234"/>
  <c r="V2397" i="234"/>
  <c r="V2396" i="234"/>
  <c r="V2395" i="234"/>
  <c r="V2394" i="234"/>
  <c r="V2393" i="234"/>
  <c r="V2392" i="234"/>
  <c r="V2391" i="234"/>
  <c r="V2390" i="234"/>
  <c r="V2399" i="234"/>
  <c r="V2347" i="234"/>
  <c r="V2346" i="234"/>
  <c r="V2345" i="234"/>
  <c r="V2344" i="234"/>
  <c r="V2343" i="234"/>
  <c r="V2342" i="234"/>
  <c r="V2341" i="234"/>
  <c r="V2340" i="234"/>
  <c r="V2339" i="234"/>
  <c r="V2348" i="234"/>
  <c r="V1114" i="234"/>
  <c r="V1113" i="234"/>
  <c r="V1112" i="234"/>
  <c r="V1111" i="234"/>
  <c r="V1110" i="234"/>
  <c r="V1109" i="234"/>
  <c r="V1108" i="234"/>
  <c r="V1107" i="234"/>
  <c r="V1106" i="234"/>
  <c r="V1115" i="234"/>
  <c r="D89" i="232"/>
  <c r="G89" i="232"/>
  <c r="H89" i="232"/>
  <c r="V1488" i="234"/>
  <c r="V1487" i="234"/>
  <c r="V1486" i="234"/>
  <c r="V1485" i="234"/>
  <c r="V1484" i="234"/>
  <c r="V1483" i="234"/>
  <c r="V1482" i="234"/>
  <c r="V1481" i="234"/>
  <c r="V1480" i="234"/>
  <c r="V1569" i="234"/>
  <c r="V1568" i="234"/>
  <c r="V1567" i="234"/>
  <c r="V1566" i="234"/>
  <c r="V1565" i="234"/>
  <c r="V1564" i="234"/>
  <c r="V1563" i="234"/>
  <c r="V1562" i="234"/>
  <c r="V1561" i="234"/>
  <c r="V1570" i="234"/>
  <c r="V1761" i="234"/>
  <c r="V1760" i="234"/>
  <c r="V1759" i="234"/>
  <c r="V1758" i="234"/>
  <c r="V1757" i="234"/>
  <c r="V1756" i="234"/>
  <c r="V1755" i="234"/>
  <c r="V1754" i="234"/>
  <c r="V1753" i="234"/>
  <c r="V1762" i="234"/>
  <c r="V2113" i="234"/>
  <c r="V2112" i="234"/>
  <c r="V2111" i="234"/>
  <c r="V2110" i="234"/>
  <c r="V2109" i="234"/>
  <c r="V2108" i="234"/>
  <c r="V2107" i="234"/>
  <c r="V2106" i="234"/>
  <c r="V2105" i="234"/>
  <c r="V2114" i="234"/>
  <c r="V875" i="234"/>
  <c r="V874" i="234"/>
  <c r="V873" i="234"/>
  <c r="V872" i="234"/>
  <c r="V871" i="234"/>
  <c r="V870" i="234"/>
  <c r="V869" i="234"/>
  <c r="V876" i="234"/>
  <c r="J305" i="234"/>
  <c r="J874" i="234"/>
  <c r="J3448" i="234"/>
  <c r="V4274" i="234"/>
  <c r="V4273" i="234"/>
  <c r="V4272" i="234"/>
  <c r="V4271" i="234"/>
  <c r="V4270" i="234"/>
  <c r="V4269" i="234"/>
  <c r="V4268" i="234"/>
  <c r="V4267" i="234"/>
  <c r="V4266" i="234"/>
  <c r="V4275" i="234"/>
  <c r="V4051" i="234"/>
  <c r="V4050" i="234"/>
  <c r="V4049" i="234"/>
  <c r="V4048" i="234"/>
  <c r="V4047" i="234"/>
  <c r="V4046" i="234"/>
  <c r="V4045" i="234"/>
  <c r="V4044" i="234"/>
  <c r="V4043" i="234"/>
  <c r="V4052" i="234"/>
  <c r="D390" i="232"/>
  <c r="G390" i="232"/>
  <c r="H390" i="232"/>
  <c r="V3620" i="234"/>
  <c r="V3619" i="234"/>
  <c r="V3618" i="234"/>
  <c r="V3617" i="234"/>
  <c r="V3616" i="234"/>
  <c r="V3615" i="234"/>
  <c r="V3614" i="234"/>
  <c r="V3613" i="234"/>
  <c r="V3612" i="234"/>
  <c r="V3621" i="234"/>
  <c r="V3549" i="234"/>
  <c r="V3548" i="234"/>
  <c r="V3547" i="234"/>
  <c r="V3546" i="234"/>
  <c r="V3545" i="234"/>
  <c r="V3544" i="234"/>
  <c r="V3543" i="234"/>
  <c r="V3542" i="234"/>
  <c r="V3541" i="234"/>
  <c r="V3550" i="234"/>
  <c r="V3236" i="234"/>
  <c r="V3235" i="234"/>
  <c r="V3234" i="234"/>
  <c r="V3233" i="234"/>
  <c r="V3232" i="234"/>
  <c r="V3231" i="234"/>
  <c r="V3230" i="234"/>
  <c r="V3229" i="234"/>
  <c r="V3228" i="234"/>
  <c r="V3237" i="234"/>
  <c r="V3085" i="234"/>
  <c r="V3084" i="234"/>
  <c r="V3083" i="234"/>
  <c r="V3082" i="234"/>
  <c r="V3081" i="234"/>
  <c r="V3080" i="234"/>
  <c r="V3079" i="234"/>
  <c r="V3078" i="234"/>
  <c r="V3077" i="234"/>
  <c r="V3086" i="234"/>
  <c r="D290" i="232"/>
  <c r="G290" i="232"/>
  <c r="H290" i="232"/>
  <c r="V2743" i="234"/>
  <c r="V2742" i="234"/>
  <c r="V2741" i="234"/>
  <c r="V2740" i="234"/>
  <c r="V2739" i="234"/>
  <c r="V2738" i="234"/>
  <c r="V2737" i="234"/>
  <c r="V2736" i="234"/>
  <c r="V2735" i="234"/>
  <c r="V2744" i="234"/>
  <c r="O240" i="233"/>
  <c r="V2491" i="234"/>
  <c r="V2490" i="234"/>
  <c r="V2489" i="234"/>
  <c r="V2488" i="234"/>
  <c r="V2487" i="234"/>
  <c r="V2486" i="234"/>
  <c r="V2485" i="234"/>
  <c r="V2484" i="234"/>
  <c r="V2483" i="234"/>
  <c r="V2492" i="234"/>
  <c r="V1134" i="234"/>
  <c r="V1133" i="234"/>
  <c r="V1132" i="234"/>
  <c r="V1131" i="234"/>
  <c r="V1130" i="234"/>
  <c r="V1129" i="234"/>
  <c r="V1128" i="234"/>
  <c r="V1127" i="234"/>
  <c r="V1126" i="234"/>
  <c r="V1135" i="234"/>
  <c r="V1104" i="234"/>
  <c r="V1103" i="234"/>
  <c r="V1102" i="234"/>
  <c r="V1101" i="234"/>
  <c r="V1100" i="234"/>
  <c r="V1099" i="234"/>
  <c r="V1098" i="234"/>
  <c r="V1097" i="234"/>
  <c r="V1096" i="234"/>
  <c r="V1105" i="234"/>
  <c r="O118" i="233"/>
  <c r="V1660" i="234"/>
  <c r="V1659" i="234"/>
  <c r="V1658" i="234"/>
  <c r="V1657" i="234"/>
  <c r="V1656" i="234"/>
  <c r="V1655" i="234"/>
  <c r="V1654" i="234"/>
  <c r="V1653" i="234"/>
  <c r="V1652" i="234"/>
  <c r="V1661" i="234"/>
  <c r="V1600" i="234"/>
  <c r="V1599" i="234"/>
  <c r="V1598" i="234"/>
  <c r="V1597" i="234"/>
  <c r="V1596" i="234"/>
  <c r="V1595" i="234"/>
  <c r="V1594" i="234"/>
  <c r="V1593" i="234"/>
  <c r="V1592" i="234"/>
  <c r="V1601" i="234"/>
  <c r="V1751" i="234"/>
  <c r="V1750" i="234"/>
  <c r="V1749" i="234"/>
  <c r="V1748" i="234"/>
  <c r="V1747" i="234"/>
  <c r="V1746" i="234"/>
  <c r="V1745" i="234"/>
  <c r="V1744" i="234"/>
  <c r="V1743" i="234"/>
  <c r="V1752" i="234"/>
  <c r="R689" i="234"/>
  <c r="R671" i="234"/>
  <c r="V3095" i="234"/>
  <c r="V3094" i="234"/>
  <c r="V3093" i="234"/>
  <c r="V3092" i="234"/>
  <c r="V3091" i="234"/>
  <c r="V3090" i="234"/>
  <c r="V3089" i="234"/>
  <c r="V3088" i="234"/>
  <c r="V3087" i="234"/>
  <c r="V3096" i="234"/>
  <c r="D294" i="232"/>
  <c r="G294" i="232"/>
  <c r="H294" i="232"/>
  <c r="J3074" i="234"/>
  <c r="V3065" i="234"/>
  <c r="V3064" i="234"/>
  <c r="V3063" i="234"/>
  <c r="V3062" i="234"/>
  <c r="V3061" i="234"/>
  <c r="V3060" i="234"/>
  <c r="V3059" i="234"/>
  <c r="V3058" i="234"/>
  <c r="V3057" i="234"/>
  <c r="V3066" i="234"/>
  <c r="J3064" i="234"/>
  <c r="J3013" i="234"/>
  <c r="V3014" i="234"/>
  <c r="V3013" i="234"/>
  <c r="V3012" i="234"/>
  <c r="V3011" i="234"/>
  <c r="V3010" i="234"/>
  <c r="V3009" i="234"/>
  <c r="V3008" i="234"/>
  <c r="V3007" i="234"/>
  <c r="V3006" i="234"/>
  <c r="V3015" i="234"/>
  <c r="J2782" i="234"/>
  <c r="S4344" i="234"/>
  <c r="V2763" i="234"/>
  <c r="V2762" i="234"/>
  <c r="V2761" i="234"/>
  <c r="V2760" i="234"/>
  <c r="V2759" i="234"/>
  <c r="V2758" i="234"/>
  <c r="V2757" i="234"/>
  <c r="V2756" i="234"/>
  <c r="V2755" i="234"/>
  <c r="V2764" i="234"/>
  <c r="S4313" i="234"/>
  <c r="S2457" i="234"/>
  <c r="S1761" i="234"/>
  <c r="V2593" i="234"/>
  <c r="V2592" i="234"/>
  <c r="V2591" i="234"/>
  <c r="V2590" i="234"/>
  <c r="V2589" i="234"/>
  <c r="V2588" i="234"/>
  <c r="V2587" i="234"/>
  <c r="V2586" i="234"/>
  <c r="V2585" i="234"/>
  <c r="V2594" i="234"/>
  <c r="V1670" i="234"/>
  <c r="V1669" i="234"/>
  <c r="V1668" i="234"/>
  <c r="V1667" i="234"/>
  <c r="V1666" i="234"/>
  <c r="V1665" i="234"/>
  <c r="V1664" i="234"/>
  <c r="V1663" i="234"/>
  <c r="V1662" i="234"/>
  <c r="V1671" i="234"/>
  <c r="D113" i="232"/>
  <c r="G113" i="232"/>
  <c r="H113" i="232"/>
  <c r="S4536" i="234"/>
  <c r="J2732" i="234"/>
  <c r="S4386" i="234"/>
  <c r="S4364" i="234"/>
  <c r="S1771" i="234"/>
  <c r="S4363" i="234"/>
  <c r="S4302" i="234"/>
  <c r="S4384" i="234"/>
  <c r="S4322" i="234"/>
  <c r="S4323" i="234"/>
  <c r="S1962" i="234"/>
  <c r="S1769" i="234"/>
  <c r="S4303" i="234"/>
  <c r="S4343" i="234"/>
  <c r="S1840" i="234"/>
  <c r="S1023" i="234"/>
  <c r="S1244" i="234"/>
  <c r="S1225" i="234"/>
  <c r="S1124" i="234"/>
  <c r="S1184" i="234"/>
  <c r="S1064" i="234"/>
  <c r="S1203" i="234"/>
  <c r="S1344" i="234"/>
  <c r="S2002" i="234"/>
  <c r="D375" i="232"/>
  <c r="G375" i="232"/>
  <c r="H375" i="232"/>
  <c r="V3670" i="234"/>
  <c r="V3669" i="234"/>
  <c r="V3668" i="234"/>
  <c r="V3667" i="234"/>
  <c r="V3666" i="234"/>
  <c r="V3665" i="234"/>
  <c r="V3664" i="234"/>
  <c r="V3663" i="234"/>
  <c r="V3662" i="234"/>
  <c r="V3671" i="234"/>
  <c r="V3186" i="234"/>
  <c r="V3185" i="234"/>
  <c r="V3184" i="234"/>
  <c r="V3183" i="234"/>
  <c r="V3182" i="234"/>
  <c r="V3181" i="234"/>
  <c r="V3180" i="234"/>
  <c r="V3179" i="234"/>
  <c r="V3178" i="234"/>
  <c r="V3187" i="234"/>
  <c r="V3145" i="234"/>
  <c r="V3144" i="234"/>
  <c r="V3143" i="234"/>
  <c r="V3142" i="234"/>
  <c r="V3141" i="234"/>
  <c r="V3140" i="234"/>
  <c r="V3139" i="234"/>
  <c r="V3138" i="234"/>
  <c r="V3137" i="234"/>
  <c r="V3146" i="234"/>
  <c r="V3105" i="234"/>
  <c r="V3104" i="234"/>
  <c r="V3103" i="234"/>
  <c r="V3102" i="234"/>
  <c r="V3101" i="234"/>
  <c r="V3100" i="234"/>
  <c r="V3099" i="234"/>
  <c r="V3098" i="234"/>
  <c r="V3097" i="234"/>
  <c r="V3106" i="234"/>
  <c r="D192" i="232"/>
  <c r="G192" i="232"/>
  <c r="H192" i="232"/>
  <c r="V1054" i="234"/>
  <c r="V1053" i="234"/>
  <c r="V1052" i="234"/>
  <c r="V1051" i="234"/>
  <c r="V1050" i="234"/>
  <c r="V1049" i="234"/>
  <c r="V1048" i="234"/>
  <c r="V1047" i="234"/>
  <c r="V1046" i="234"/>
  <c r="V1055" i="234"/>
  <c r="V941" i="234"/>
  <c r="V940" i="234"/>
  <c r="V939" i="234"/>
  <c r="V938" i="234"/>
  <c r="V76" i="234"/>
  <c r="V75" i="234"/>
  <c r="V74" i="234"/>
  <c r="V73" i="234"/>
  <c r="V72" i="234"/>
  <c r="V71" i="234"/>
  <c r="V70" i="234"/>
  <c r="V69" i="234"/>
  <c r="V68" i="234"/>
  <c r="V77" i="234"/>
  <c r="S1143" i="234"/>
  <c r="S1517" i="234"/>
  <c r="S1305" i="234"/>
  <c r="S1781" i="234"/>
  <c r="S1822" i="234"/>
  <c r="S3749" i="234"/>
  <c r="J4201" i="234"/>
  <c r="J4221" i="234"/>
  <c r="S4251" i="234"/>
  <c r="V2274" i="234"/>
  <c r="V2273" i="234"/>
  <c r="V2272" i="234"/>
  <c r="V2271" i="234"/>
  <c r="V2270" i="234"/>
  <c r="V2269" i="234"/>
  <c r="V2268" i="234"/>
  <c r="V2267" i="234"/>
  <c r="V2266" i="234"/>
  <c r="V2275" i="234"/>
  <c r="V1559" i="234"/>
  <c r="V1558" i="234"/>
  <c r="V1557" i="234"/>
  <c r="V1556" i="234"/>
  <c r="V1555" i="234"/>
  <c r="V1554" i="234"/>
  <c r="V1553" i="234"/>
  <c r="V1552" i="234"/>
  <c r="V1551" i="234"/>
  <c r="V1560" i="234"/>
  <c r="S4465" i="234"/>
  <c r="S3689" i="234"/>
  <c r="J2552" i="234"/>
  <c r="S1900" i="234"/>
  <c r="S1164" i="234"/>
  <c r="S1044" i="234"/>
  <c r="S1324" i="234"/>
  <c r="S1476" i="234"/>
  <c r="S1922" i="234"/>
  <c r="S1498" i="234"/>
  <c r="S1940" i="234"/>
  <c r="S405" i="234"/>
  <c r="S14" i="234"/>
  <c r="S55" i="234"/>
  <c r="S4534" i="234"/>
  <c r="J46" i="220"/>
  <c r="O21" i="220"/>
  <c r="R21" i="220"/>
  <c r="AC20" i="220"/>
  <c r="T20" i="220"/>
  <c r="K20" i="220"/>
  <c r="O20" i="220"/>
  <c r="J45" i="220"/>
  <c r="AJ57" i="220"/>
  <c r="AI57" i="220"/>
  <c r="C68" i="220"/>
  <c r="O65" i="220"/>
  <c r="N128" i="221"/>
  <c r="AF14" i="220"/>
  <c r="AE14" i="220"/>
  <c r="AC14" i="220"/>
  <c r="AH45" i="220"/>
  <c r="AD14" i="220"/>
  <c r="U57" i="220"/>
  <c r="R58" i="220"/>
  <c r="U58" i="220"/>
  <c r="P15" i="220"/>
  <c r="O14" i="220"/>
  <c r="AE41" i="220"/>
  <c r="X15" i="220"/>
  <c r="J14" i="220"/>
  <c r="S15" i="220"/>
  <c r="V21" i="220"/>
  <c r="L21" i="220"/>
  <c r="J21" i="220"/>
  <c r="AC45" i="220"/>
  <c r="P21" i="220"/>
  <c r="AG20" i="220"/>
  <c r="AA20" i="220"/>
  <c r="W20" i="220"/>
  <c r="S20" i="220"/>
  <c r="L20" i="220"/>
  <c r="G21" i="220"/>
  <c r="AR48" i="220"/>
  <c r="AR60" i="220"/>
  <c r="AG21" i="220"/>
  <c r="AF46" i="220"/>
  <c r="AG46" i="220"/>
  <c r="K15" i="220"/>
  <c r="Z15" i="220"/>
  <c r="Z57" i="220"/>
  <c r="H15" i="220"/>
  <c r="Y21" i="220"/>
  <c r="E14" i="220"/>
  <c r="AF20" i="220"/>
  <c r="AE15" i="220"/>
  <c r="AJ45" i="220"/>
  <c r="Z21" i="220"/>
  <c r="AR23" i="220"/>
  <c r="AH20" i="220"/>
  <c r="X20" i="220"/>
  <c r="P20" i="220"/>
  <c r="M20" i="220"/>
  <c r="P45" i="220"/>
  <c r="AG14" i="220"/>
  <c r="AE40" i="220"/>
  <c r="X57" i="220"/>
  <c r="Y57" i="220"/>
  <c r="AD45" i="220"/>
  <c r="Q57" i="220"/>
  <c r="F14" i="220"/>
  <c r="M15" i="220"/>
  <c r="O15" i="220"/>
  <c r="AF41" i="220"/>
  <c r="L14" i="220"/>
  <c r="Y58" i="220"/>
  <c r="R15" i="220"/>
  <c r="AD21" i="220"/>
  <c r="T21" i="220"/>
  <c r="H21" i="220"/>
  <c r="AH21" i="220"/>
  <c r="F21" i="220"/>
  <c r="AC21" i="220"/>
  <c r="AE20" i="220"/>
  <c r="Z20" i="220"/>
  <c r="V20" i="220"/>
  <c r="R20" i="220"/>
  <c r="G20" i="220"/>
  <c r="W21" i="220"/>
  <c r="AE21" i="220"/>
  <c r="U21" i="220"/>
  <c r="P46" i="220"/>
  <c r="X21" i="220"/>
  <c r="O46" i="220"/>
  <c r="G15" i="220"/>
  <c r="V15" i="220"/>
  <c r="P14" i="220"/>
  <c r="L15" i="220"/>
  <c r="E15" i="220"/>
  <c r="T57" i="220"/>
  <c r="AG41" i="220"/>
  <c r="AI14" i="220"/>
  <c r="J715" i="234"/>
  <c r="J2162" i="234"/>
  <c r="J2702" i="234"/>
  <c r="J2722" i="234"/>
  <c r="J15" i="234"/>
  <c r="J35" i="234"/>
  <c r="J55" i="234"/>
  <c r="J75" i="234"/>
  <c r="J1144" i="234"/>
  <c r="J1204" i="234"/>
  <c r="J1284" i="234"/>
  <c r="J1426" i="234"/>
  <c r="J1498" i="234"/>
  <c r="J1518" i="234"/>
  <c r="J884" i="234"/>
  <c r="O31" i="233"/>
  <c r="V2974" i="234"/>
  <c r="V2973" i="234"/>
  <c r="V2972" i="234"/>
  <c r="V2971" i="234"/>
  <c r="V2970" i="234"/>
  <c r="V2969" i="234"/>
  <c r="V2968" i="234"/>
  <c r="V2967" i="234"/>
  <c r="V2966" i="234"/>
  <c r="V2975" i="234"/>
  <c r="D276" i="232"/>
  <c r="G276" i="232"/>
  <c r="H276" i="232"/>
  <c r="V2823" i="234"/>
  <c r="V2822" i="234"/>
  <c r="V2821" i="234"/>
  <c r="V2820" i="234"/>
  <c r="V2819" i="234"/>
  <c r="V2818" i="234"/>
  <c r="V2817" i="234"/>
  <c r="V2816" i="234"/>
  <c r="V2815" i="234"/>
  <c r="V2824" i="234"/>
  <c r="V2378" i="234"/>
  <c r="V2377" i="234"/>
  <c r="V2376" i="234"/>
  <c r="V2375" i="234"/>
  <c r="V2374" i="234"/>
  <c r="V2373" i="234"/>
  <c r="V2372" i="234"/>
  <c r="V2371" i="234"/>
  <c r="V2370" i="234"/>
  <c r="V2379" i="234"/>
  <c r="V2337" i="234"/>
  <c r="V2336" i="234"/>
  <c r="V2335" i="234"/>
  <c r="V2334" i="234"/>
  <c r="V1285" i="234"/>
  <c r="V1284" i="234"/>
  <c r="V1283" i="234"/>
  <c r="V1282" i="234"/>
  <c r="V1281" i="234"/>
  <c r="V1280" i="234"/>
  <c r="V1279" i="234"/>
  <c r="V1278" i="234"/>
  <c r="V1277" i="234"/>
  <c r="V1286" i="234"/>
  <c r="V1376" i="234"/>
  <c r="V1375" i="234"/>
  <c r="V1374" i="234"/>
  <c r="V1373" i="234"/>
  <c r="V1372" i="234"/>
  <c r="V1371" i="234"/>
  <c r="V1370" i="234"/>
  <c r="V1369" i="234"/>
  <c r="V1368" i="234"/>
  <c r="V1377" i="234"/>
  <c r="V1336" i="234"/>
  <c r="V1335" i="234"/>
  <c r="V1334" i="234"/>
  <c r="V1333" i="234"/>
  <c r="V1332" i="234"/>
  <c r="V1331" i="234"/>
  <c r="V1330" i="234"/>
  <c r="V1329" i="234"/>
  <c r="V1328" i="234"/>
  <c r="V1337" i="234"/>
  <c r="V1731" i="234"/>
  <c r="V1730" i="234"/>
  <c r="V1729" i="234"/>
  <c r="V1728" i="234"/>
  <c r="V1727" i="234"/>
  <c r="V1726" i="234"/>
  <c r="V1725" i="234"/>
  <c r="V1724" i="234"/>
  <c r="V1723" i="234"/>
  <c r="V1732" i="234"/>
  <c r="R4463" i="234"/>
  <c r="J2822" i="234"/>
  <c r="J2862" i="234"/>
  <c r="J2903" i="234"/>
  <c r="J3104" i="234"/>
  <c r="J3144" i="234"/>
  <c r="J3185" i="234"/>
  <c r="J3225" i="234"/>
  <c r="J3246" i="234"/>
  <c r="J3387" i="234"/>
  <c r="J3407" i="234"/>
  <c r="J3669" i="234"/>
  <c r="J3689" i="234"/>
  <c r="J3709" i="234"/>
  <c r="J3830" i="234"/>
  <c r="J3870" i="234"/>
  <c r="J3910" i="234"/>
  <c r="J3930" i="234"/>
  <c r="J3970" i="234"/>
  <c r="J4110" i="234"/>
  <c r="J4251" i="234"/>
  <c r="V4294" i="234"/>
  <c r="V4293" i="234"/>
  <c r="V4292" i="234"/>
  <c r="V4291" i="234"/>
  <c r="V4290" i="234"/>
  <c r="V4289" i="234"/>
  <c r="V4288" i="234"/>
  <c r="V4287" i="234"/>
  <c r="V4286" i="234"/>
  <c r="V4295" i="234"/>
  <c r="D385" i="232"/>
  <c r="G385" i="232"/>
  <c r="H385" i="232"/>
  <c r="O363" i="233"/>
  <c r="V3760" i="234"/>
  <c r="V3759" i="234"/>
  <c r="V3758" i="234"/>
  <c r="V3757" i="234"/>
  <c r="V3756" i="234"/>
  <c r="V3755" i="234"/>
  <c r="V3754" i="234"/>
  <c r="V3753" i="234"/>
  <c r="V3752" i="234"/>
  <c r="V3761" i="234"/>
  <c r="V3710" i="234"/>
  <c r="V3709" i="234"/>
  <c r="V3708" i="234"/>
  <c r="V3707" i="234"/>
  <c r="V3706" i="234"/>
  <c r="V3705" i="234"/>
  <c r="V3704" i="234"/>
  <c r="V3703" i="234"/>
  <c r="V3702" i="234"/>
  <c r="V3711" i="234"/>
  <c r="V3690" i="234"/>
  <c r="V3689" i="234"/>
  <c r="V3688" i="234"/>
  <c r="V3687" i="234"/>
  <c r="V3686" i="234"/>
  <c r="V3685" i="234"/>
  <c r="V3684" i="234"/>
  <c r="V3683" i="234"/>
  <c r="V3682" i="234"/>
  <c r="V3691" i="234"/>
  <c r="V3630" i="234"/>
  <c r="V3629" i="234"/>
  <c r="V3628" i="234"/>
  <c r="V3627" i="234"/>
  <c r="V3626" i="234"/>
  <c r="V3625" i="234"/>
  <c r="V3624" i="234"/>
  <c r="V3623" i="234"/>
  <c r="V3622" i="234"/>
  <c r="V3631" i="234"/>
  <c r="V3600" i="234"/>
  <c r="V3599" i="234"/>
  <c r="V3598" i="234"/>
  <c r="V3597" i="234"/>
  <c r="V3596" i="234"/>
  <c r="V3595" i="234"/>
  <c r="V3594" i="234"/>
  <c r="V3593" i="234"/>
  <c r="V3592" i="234"/>
  <c r="V3601" i="234"/>
  <c r="D346" i="232"/>
  <c r="G346" i="232"/>
  <c r="H346" i="232"/>
  <c r="V3529" i="234"/>
  <c r="V3528" i="234"/>
  <c r="V3527" i="234"/>
  <c r="V3526" i="234"/>
  <c r="V3525" i="234"/>
  <c r="V3524" i="234"/>
  <c r="V3523" i="234"/>
  <c r="V3522" i="234"/>
  <c r="V3521" i="234"/>
  <c r="V3530" i="234"/>
  <c r="V3499" i="234"/>
  <c r="V3498" i="234"/>
  <c r="V3497" i="234"/>
  <c r="V3496" i="234"/>
  <c r="V3495" i="234"/>
  <c r="V3494" i="234"/>
  <c r="V3493" i="234"/>
  <c r="V3492" i="234"/>
  <c r="V3491" i="234"/>
  <c r="V3500" i="234"/>
  <c r="V3277" i="234"/>
  <c r="V3276" i="234"/>
  <c r="V3275" i="234"/>
  <c r="V3274" i="234"/>
  <c r="V3273" i="234"/>
  <c r="V3272" i="234"/>
  <c r="V3271" i="234"/>
  <c r="V3270" i="234"/>
  <c r="V3269" i="234"/>
  <c r="V3278" i="234"/>
  <c r="V3247" i="234"/>
  <c r="V3246" i="234"/>
  <c r="V3245" i="234"/>
  <c r="V3244" i="234"/>
  <c r="V3243" i="234"/>
  <c r="V3242" i="234"/>
  <c r="V3241" i="234"/>
  <c r="V3240" i="234"/>
  <c r="V3239" i="234"/>
  <c r="V3248" i="234"/>
  <c r="V3165" i="234"/>
  <c r="V3164" i="234"/>
  <c r="V3163" i="234"/>
  <c r="V3162" i="234"/>
  <c r="V3161" i="234"/>
  <c r="V3160" i="234"/>
  <c r="V3159" i="234"/>
  <c r="V3158" i="234"/>
  <c r="V3157" i="234"/>
  <c r="V3166" i="234"/>
  <c r="D292" i="232"/>
  <c r="G292" i="232"/>
  <c r="H292" i="232"/>
  <c r="V3024" i="234"/>
  <c r="V3023" i="234"/>
  <c r="V3022" i="234"/>
  <c r="V3021" i="234"/>
  <c r="V3020" i="234"/>
  <c r="V3019" i="234"/>
  <c r="V3018" i="234"/>
  <c r="V3017" i="234"/>
  <c r="V3016" i="234"/>
  <c r="V3025" i="234"/>
  <c r="V2813" i="234"/>
  <c r="V2812" i="234"/>
  <c r="V2811" i="234"/>
  <c r="V2810" i="234"/>
  <c r="V2809" i="234"/>
  <c r="V2808" i="234"/>
  <c r="V2807" i="234"/>
  <c r="V2806" i="234"/>
  <c r="V2805" i="234"/>
  <c r="V2814" i="234"/>
  <c r="V2783" i="234"/>
  <c r="V2782" i="234"/>
  <c r="V2781" i="234"/>
  <c r="V2780" i="234"/>
  <c r="V2779" i="234"/>
  <c r="V2778" i="234"/>
  <c r="V2777" i="234"/>
  <c r="V2776" i="234"/>
  <c r="V2775" i="234"/>
  <c r="V2784" i="234"/>
  <c r="D260" i="232"/>
  <c r="G260" i="232"/>
  <c r="H260" i="232"/>
  <c r="V2653" i="234"/>
  <c r="V2652" i="234"/>
  <c r="V2651" i="234"/>
  <c r="V2650" i="234"/>
  <c r="V2649" i="234"/>
  <c r="V2648" i="234"/>
  <c r="V2647" i="234"/>
  <c r="V2646" i="234"/>
  <c r="V2645" i="234"/>
  <c r="V2654" i="234"/>
  <c r="V2553" i="234"/>
  <c r="V2552" i="234"/>
  <c r="V2551" i="234"/>
  <c r="V2550" i="234"/>
  <c r="V2549" i="234"/>
  <c r="V2548" i="234"/>
  <c r="V2547" i="234"/>
  <c r="V2546" i="234"/>
  <c r="V2545" i="234"/>
  <c r="V2554" i="234"/>
  <c r="V2511" i="234"/>
  <c r="V2510" i="234"/>
  <c r="V2509" i="234"/>
  <c r="V2508" i="234"/>
  <c r="V2507" i="234"/>
  <c r="V2506" i="234"/>
  <c r="V2505" i="234"/>
  <c r="V2504" i="234"/>
  <c r="V2503" i="234"/>
  <c r="V2512" i="234"/>
  <c r="V2428" i="234"/>
  <c r="V2427" i="234"/>
  <c r="V2426" i="234"/>
  <c r="V2425" i="234"/>
  <c r="V2424" i="234"/>
  <c r="V2423" i="234"/>
  <c r="V2422" i="234"/>
  <c r="V2421" i="234"/>
  <c r="V2420" i="234"/>
  <c r="V2429" i="234"/>
  <c r="D208" i="232"/>
  <c r="G208" i="232"/>
  <c r="H208" i="232"/>
  <c r="V981" i="234"/>
  <c r="V980" i="234"/>
  <c r="V979" i="234"/>
  <c r="V978" i="234"/>
  <c r="V977" i="234"/>
  <c r="V976" i="234"/>
  <c r="V975" i="234"/>
  <c r="V974" i="234"/>
  <c r="V973" i="234"/>
  <c r="V972" i="234"/>
  <c r="V971" i="234"/>
  <c r="V970" i="234"/>
  <c r="V969" i="234"/>
  <c r="V968" i="234"/>
  <c r="V967" i="234"/>
  <c r="V966" i="234"/>
  <c r="V965" i="234"/>
  <c r="V964" i="234"/>
  <c r="V963" i="234"/>
  <c r="V962" i="234"/>
  <c r="V982" i="234"/>
  <c r="O69" i="233"/>
  <c r="V1235" i="234"/>
  <c r="V1234" i="234"/>
  <c r="V1233" i="234"/>
  <c r="V1232" i="234"/>
  <c r="V1231" i="234"/>
  <c r="V1230" i="234"/>
  <c r="V1229" i="234"/>
  <c r="V1228" i="234"/>
  <c r="V1227" i="234"/>
  <c r="V1236" i="234"/>
  <c r="V1145" i="234"/>
  <c r="V1144" i="234"/>
  <c r="V1143" i="234"/>
  <c r="V1142" i="234"/>
  <c r="V1141" i="234"/>
  <c r="V1140" i="234"/>
  <c r="V1139" i="234"/>
  <c r="V1138" i="234"/>
  <c r="V1137" i="234"/>
  <c r="V1146" i="234"/>
  <c r="O111" i="233"/>
  <c r="V1529" i="234"/>
  <c r="V1528" i="234"/>
  <c r="V1527" i="234"/>
  <c r="V1526" i="234"/>
  <c r="V1525" i="234"/>
  <c r="V1524" i="234"/>
  <c r="V1523" i="234"/>
  <c r="V1522" i="234"/>
  <c r="V1521" i="234"/>
  <c r="V1530" i="234"/>
  <c r="V1499" i="234"/>
  <c r="V1498" i="234"/>
  <c r="V1497" i="234"/>
  <c r="V1496" i="234"/>
  <c r="V1495" i="234"/>
  <c r="V1494" i="234"/>
  <c r="V1493" i="234"/>
  <c r="V1492" i="234"/>
  <c r="V1491" i="234"/>
  <c r="V1500" i="234"/>
  <c r="V1610" i="234"/>
  <c r="V1609" i="234"/>
  <c r="V1608" i="234"/>
  <c r="V1607" i="234"/>
  <c r="V1606" i="234"/>
  <c r="V1605" i="234"/>
  <c r="V1604" i="234"/>
  <c r="V1603" i="234"/>
  <c r="V1602" i="234"/>
  <c r="V1611" i="234"/>
  <c r="V1791" i="234"/>
  <c r="V1790" i="234"/>
  <c r="V1789" i="234"/>
  <c r="V1788" i="234"/>
  <c r="V1787" i="234"/>
  <c r="V1786" i="234"/>
  <c r="V1785" i="234"/>
  <c r="V1784" i="234"/>
  <c r="V1783" i="234"/>
  <c r="V1792" i="234"/>
  <c r="V2072" i="234"/>
  <c r="V2071" i="234"/>
  <c r="V2070" i="234"/>
  <c r="V2069" i="234"/>
  <c r="V2068" i="234"/>
  <c r="V2067" i="234"/>
  <c r="V2066" i="234"/>
  <c r="V2065" i="234"/>
  <c r="V2064" i="234"/>
  <c r="V2073" i="234"/>
  <c r="V2032" i="234"/>
  <c r="V2031" i="234"/>
  <c r="V2030" i="234"/>
  <c r="V2029" i="234"/>
  <c r="V2028" i="234"/>
  <c r="V2027" i="234"/>
  <c r="V2026" i="234"/>
  <c r="V2025" i="234"/>
  <c r="V2024" i="234"/>
  <c r="V2033" i="234"/>
  <c r="V2002" i="234"/>
  <c r="V2001" i="234"/>
  <c r="V2000" i="234"/>
  <c r="V1999" i="234"/>
  <c r="V1998" i="234"/>
  <c r="V1997" i="234"/>
  <c r="V1996" i="234"/>
  <c r="V1995" i="234"/>
  <c r="V1994" i="234"/>
  <c r="V2003" i="234"/>
  <c r="V1832" i="234"/>
  <c r="V1831" i="234"/>
  <c r="V1830" i="234"/>
  <c r="V1829" i="234"/>
  <c r="V1828" i="234"/>
  <c r="V1827" i="234"/>
  <c r="V1826" i="234"/>
  <c r="V1825" i="234"/>
  <c r="V1824" i="234"/>
  <c r="V1833" i="234"/>
  <c r="V2213" i="234"/>
  <c r="V2212" i="234"/>
  <c r="V2211" i="234"/>
  <c r="V2210" i="234"/>
  <c r="V2209" i="234"/>
  <c r="V2208" i="234"/>
  <c r="V2207" i="234"/>
  <c r="V2206" i="234"/>
  <c r="V2205" i="234"/>
  <c r="V2214" i="234"/>
  <c r="J1558" i="234"/>
  <c r="J1619" i="234"/>
  <c r="J1780" i="234"/>
  <c r="J1881" i="234"/>
  <c r="J4343" i="234"/>
  <c r="J4385" i="234"/>
  <c r="J1770" i="234"/>
  <c r="V299" i="234"/>
  <c r="V298" i="234"/>
  <c r="V297" i="234"/>
  <c r="V296" i="234"/>
  <c r="V295" i="234"/>
  <c r="V294" i="234"/>
  <c r="V300" i="234"/>
  <c r="D428" i="232"/>
  <c r="G428" i="232"/>
  <c r="H428" i="232"/>
  <c r="V4284" i="234"/>
  <c r="V4283" i="234"/>
  <c r="V4282" i="234"/>
  <c r="V4281" i="234"/>
  <c r="V4280" i="234"/>
  <c r="V4279" i="234"/>
  <c r="V4278" i="234"/>
  <c r="V4277" i="234"/>
  <c r="V4276" i="234"/>
  <c r="V4285" i="234"/>
  <c r="V4242" i="234"/>
  <c r="V4241" i="234"/>
  <c r="V4240" i="234"/>
  <c r="V4239" i="234"/>
  <c r="V4238" i="234"/>
  <c r="V4237" i="234"/>
  <c r="V4236" i="234"/>
  <c r="V4235" i="234"/>
  <c r="V4234" i="234"/>
  <c r="V4243" i="234"/>
  <c r="V4212" i="234"/>
  <c r="V4211" i="234"/>
  <c r="V4210" i="234"/>
  <c r="V4209" i="234"/>
  <c r="V4208" i="234"/>
  <c r="V4207" i="234"/>
  <c r="V4206" i="234"/>
  <c r="V4205" i="234"/>
  <c r="V4204" i="234"/>
  <c r="V4213" i="234"/>
  <c r="V3921" i="234"/>
  <c r="V3920" i="234"/>
  <c r="V3919" i="234"/>
  <c r="V3918" i="234"/>
  <c r="V3917" i="234"/>
  <c r="V3916" i="234"/>
  <c r="V3915" i="234"/>
  <c r="V3914" i="234"/>
  <c r="V3913" i="234"/>
  <c r="V3922" i="234"/>
  <c r="V3881" i="234"/>
  <c r="V3880" i="234"/>
  <c r="V3879" i="234"/>
  <c r="V3878" i="234"/>
  <c r="V3877" i="234"/>
  <c r="V3876" i="234"/>
  <c r="V3875" i="234"/>
  <c r="V3874" i="234"/>
  <c r="V3873" i="234"/>
  <c r="V3882" i="234"/>
  <c r="V3841" i="234"/>
  <c r="V3840" i="234"/>
  <c r="V3839" i="234"/>
  <c r="V3838" i="234"/>
  <c r="V3837" i="234"/>
  <c r="V3836" i="234"/>
  <c r="V3835" i="234"/>
  <c r="V3834" i="234"/>
  <c r="V3833" i="234"/>
  <c r="V3842" i="234"/>
  <c r="V3590" i="234"/>
  <c r="V3589" i="234"/>
  <c r="V3588" i="234"/>
  <c r="V3587" i="234"/>
  <c r="V3586" i="234"/>
  <c r="V3585" i="234"/>
  <c r="V3584" i="234"/>
  <c r="V3583" i="234"/>
  <c r="V3582" i="234"/>
  <c r="V3591" i="234"/>
  <c r="D339" i="232"/>
  <c r="G339" i="232"/>
  <c r="H339" i="232"/>
  <c r="D336" i="232"/>
  <c r="G336" i="232"/>
  <c r="H336" i="232"/>
  <c r="D326" i="232"/>
  <c r="G326" i="232"/>
  <c r="H326" i="232"/>
  <c r="D318" i="232"/>
  <c r="G318" i="232"/>
  <c r="H318" i="232"/>
  <c r="D315" i="232"/>
  <c r="G315" i="232"/>
  <c r="H315" i="232"/>
  <c r="V3155" i="234"/>
  <c r="V3154" i="234"/>
  <c r="V3153" i="234"/>
  <c r="V3152" i="234"/>
  <c r="V3151" i="234"/>
  <c r="V3150" i="234"/>
  <c r="V3149" i="234"/>
  <c r="V3148" i="234"/>
  <c r="V3147" i="234"/>
  <c r="V3156" i="234"/>
  <c r="V3115" i="234"/>
  <c r="V3114" i="234"/>
  <c r="V3113" i="234"/>
  <c r="V3112" i="234"/>
  <c r="V3111" i="234"/>
  <c r="V3110" i="234"/>
  <c r="V3109" i="234"/>
  <c r="V3108" i="234"/>
  <c r="V3107" i="234"/>
  <c r="V3116" i="234"/>
  <c r="V2713" i="234"/>
  <c r="V2712" i="234"/>
  <c r="V2711" i="234"/>
  <c r="V2710" i="234"/>
  <c r="V2709" i="234"/>
  <c r="V2708" i="234"/>
  <c r="V2707" i="234"/>
  <c r="V2706" i="234"/>
  <c r="V2705" i="234"/>
  <c r="V2714" i="234"/>
  <c r="D253" i="232"/>
  <c r="G253" i="232"/>
  <c r="H253" i="232"/>
  <c r="V2583" i="234"/>
  <c r="V2582" i="234"/>
  <c r="V2581" i="234"/>
  <c r="V2580" i="234"/>
  <c r="V2579" i="234"/>
  <c r="V2578" i="234"/>
  <c r="V2577" i="234"/>
  <c r="V2576" i="234"/>
  <c r="V2575" i="234"/>
  <c r="V2584" i="234"/>
  <c r="D238" i="232"/>
  <c r="G238" i="232"/>
  <c r="H238" i="232"/>
  <c r="O220" i="233"/>
  <c r="V2418" i="234"/>
  <c r="V2417" i="234"/>
  <c r="V2416" i="234"/>
  <c r="V2415" i="234"/>
  <c r="V2414" i="234"/>
  <c r="V2413" i="234"/>
  <c r="V2412" i="234"/>
  <c r="V2411" i="234"/>
  <c r="V2410" i="234"/>
  <c r="V2419" i="234"/>
  <c r="V1064" i="234"/>
  <c r="V1063" i="234"/>
  <c r="V1062" i="234"/>
  <c r="V1061" i="234"/>
  <c r="V1060" i="234"/>
  <c r="V1059" i="234"/>
  <c r="V1058" i="234"/>
  <c r="V1057" i="234"/>
  <c r="V1056" i="234"/>
  <c r="V1065" i="234"/>
  <c r="V1225" i="234"/>
  <c r="V1224" i="234"/>
  <c r="V1223" i="234"/>
  <c r="V1222" i="234"/>
  <c r="V1221" i="234"/>
  <c r="V1220" i="234"/>
  <c r="V1219" i="234"/>
  <c r="V1218" i="234"/>
  <c r="V1217" i="234"/>
  <c r="V1226" i="234"/>
  <c r="V1396" i="234"/>
  <c r="V1395" i="234"/>
  <c r="V1394" i="234"/>
  <c r="V1393" i="234"/>
  <c r="V1392" i="234"/>
  <c r="V1391" i="234"/>
  <c r="V1390" i="234"/>
  <c r="V1389" i="234"/>
  <c r="V1388" i="234"/>
  <c r="V1397" i="234"/>
  <c r="D105" i="232"/>
  <c r="G105" i="232"/>
  <c r="H105" i="232"/>
  <c r="V1457" i="234"/>
  <c r="V1456" i="234"/>
  <c r="V1455" i="234"/>
  <c r="V1454" i="234"/>
  <c r="V1453" i="234"/>
  <c r="V1452" i="234"/>
  <c r="V1451" i="234"/>
  <c r="V1450" i="234"/>
  <c r="V1449" i="234"/>
  <c r="V1458" i="234"/>
  <c r="V1630" i="234"/>
  <c r="V1629" i="234"/>
  <c r="V1628" i="234"/>
  <c r="V1627" i="234"/>
  <c r="V1626" i="234"/>
  <c r="V1625" i="234"/>
  <c r="V1624" i="234"/>
  <c r="V1623" i="234"/>
  <c r="V1622" i="234"/>
  <c r="V1631" i="234"/>
  <c r="V1781" i="234"/>
  <c r="V1780" i="234"/>
  <c r="V1779" i="234"/>
  <c r="V1778" i="234"/>
  <c r="V1777" i="234"/>
  <c r="V1776" i="234"/>
  <c r="V1775" i="234"/>
  <c r="V1774" i="234"/>
  <c r="V1773" i="234"/>
  <c r="V1782" i="234"/>
  <c r="V1992" i="234"/>
  <c r="V1991" i="234"/>
  <c r="V1990" i="234"/>
  <c r="V1989" i="234"/>
  <c r="V1988" i="234"/>
  <c r="V1987" i="234"/>
  <c r="V1986" i="234"/>
  <c r="V1985" i="234"/>
  <c r="V1984" i="234"/>
  <c r="V1993" i="234"/>
  <c r="V1892" i="234"/>
  <c r="V1891" i="234"/>
  <c r="V1890" i="234"/>
  <c r="V1889" i="234"/>
  <c r="V1888" i="234"/>
  <c r="V1887" i="234"/>
  <c r="V1886" i="234"/>
  <c r="V1885" i="234"/>
  <c r="V1884" i="234"/>
  <c r="V1893" i="234"/>
  <c r="V2233" i="234"/>
  <c r="V2232" i="234"/>
  <c r="V2231" i="234"/>
  <c r="V2230" i="234"/>
  <c r="V2229" i="234"/>
  <c r="V2228" i="234"/>
  <c r="V2227" i="234"/>
  <c r="V2226" i="234"/>
  <c r="V2225" i="234"/>
  <c r="V2234" i="234"/>
  <c r="V2103" i="234"/>
  <c r="V2102" i="234"/>
  <c r="V2101" i="234"/>
  <c r="V2100" i="234"/>
  <c r="V2099" i="234"/>
  <c r="V2098" i="234"/>
  <c r="V2097" i="234"/>
  <c r="V2096" i="234"/>
  <c r="V2095" i="234"/>
  <c r="V2104" i="234"/>
  <c r="J4303" i="234"/>
  <c r="J2112" i="234"/>
  <c r="J2212" i="234"/>
  <c r="J2273" i="234"/>
  <c r="J2336" i="234"/>
  <c r="J2377" i="234"/>
  <c r="J2417" i="234"/>
  <c r="J2468" i="234"/>
  <c r="J2510" i="234"/>
  <c r="J2592" i="234"/>
  <c r="J2652" i="234"/>
  <c r="J2772" i="234"/>
  <c r="J2973" i="234"/>
  <c r="J3054" i="234"/>
  <c r="J3276" i="234"/>
  <c r="J3336" i="234"/>
  <c r="J3498" i="234"/>
  <c r="J3599" i="234"/>
  <c r="J3779" i="234"/>
  <c r="J4100" i="234"/>
  <c r="J4604" i="234"/>
  <c r="J4685" i="234"/>
  <c r="J4725" i="234"/>
  <c r="S1365" i="234"/>
  <c r="S1205" i="234"/>
  <c r="S979" i="234"/>
  <c r="S1960" i="234"/>
  <c r="S1862" i="234"/>
  <c r="S1740" i="234"/>
  <c r="S1407" i="234"/>
  <c r="S1800" i="234"/>
  <c r="S1941" i="234"/>
  <c r="S1820" i="234"/>
  <c r="S1980" i="234"/>
  <c r="S1700" i="234"/>
  <c r="S1901" i="234"/>
  <c r="S1699" i="234"/>
  <c r="S1537" i="234"/>
  <c r="S1384" i="234"/>
  <c r="S1801" i="234"/>
  <c r="S1860" i="234"/>
  <c r="S1455" i="234"/>
  <c r="S1678" i="234"/>
  <c r="S1426" i="234"/>
  <c r="S165" i="234"/>
  <c r="S1499" i="234"/>
  <c r="S1224" i="234"/>
  <c r="S1304" i="234"/>
  <c r="S1477" i="234"/>
  <c r="S1425" i="234"/>
  <c r="S1364" i="234"/>
  <c r="S163" i="234"/>
  <c r="S1263" i="234"/>
  <c r="S924" i="234"/>
  <c r="S1405" i="234"/>
  <c r="S1538" i="234"/>
  <c r="S1243" i="234"/>
  <c r="S1719" i="234"/>
  <c r="S1741" i="234"/>
  <c r="S1326" i="234"/>
  <c r="S1880" i="234"/>
  <c r="S2001" i="234"/>
  <c r="S1841" i="234"/>
  <c r="S1145" i="234"/>
  <c r="S981" i="234"/>
  <c r="S1123" i="234"/>
  <c r="S1043" i="234"/>
  <c r="S1285" i="234"/>
  <c r="S1265" i="234"/>
  <c r="S1457" i="234"/>
  <c r="S1518" i="234"/>
  <c r="S1386" i="234"/>
  <c r="S1920" i="234"/>
  <c r="S1680" i="234"/>
  <c r="S1779" i="234"/>
  <c r="S1283" i="234"/>
  <c r="S1183" i="234"/>
  <c r="S1881" i="234"/>
  <c r="S1721" i="234"/>
  <c r="S2456" i="234"/>
  <c r="S1760" i="234"/>
  <c r="S4354" i="234"/>
  <c r="S4334" i="234"/>
  <c r="S4314" i="234"/>
  <c r="S4613" i="234"/>
  <c r="S4575" i="234"/>
  <c r="S4353" i="234"/>
  <c r="S4332" i="234"/>
  <c r="S4464" i="234"/>
  <c r="S4565" i="234"/>
  <c r="S4375" i="234"/>
  <c r="S4374" i="234"/>
  <c r="S535" i="234"/>
  <c r="S3368" i="234"/>
  <c r="S3811" i="234"/>
  <c r="S2183" i="234"/>
  <c r="S4051" i="234"/>
  <c r="S4070" i="234"/>
  <c r="I343" i="233"/>
  <c r="S1345" i="234"/>
  <c r="S490" i="234"/>
  <c r="S646" i="234"/>
  <c r="S2446" i="234"/>
  <c r="S2923" i="234"/>
  <c r="S2741" i="234"/>
  <c r="S859" i="234"/>
  <c r="S2922" i="234"/>
  <c r="S1153" i="234"/>
  <c r="S896" i="234"/>
  <c r="S1688" i="234"/>
  <c r="S1890" i="234"/>
  <c r="S1811" i="234"/>
  <c r="S1194" i="234"/>
  <c r="S1487" i="234"/>
  <c r="S1053" i="234"/>
  <c r="S1092" i="234"/>
  <c r="S1731" i="234"/>
  <c r="S2123" i="234"/>
  <c r="S2121" i="234"/>
  <c r="S2387" i="234"/>
  <c r="S2386" i="234"/>
  <c r="S2479" i="234"/>
  <c r="S2478" i="234"/>
  <c r="S2583" i="234"/>
  <c r="S2582" i="234"/>
  <c r="S2581" i="234"/>
  <c r="S2642" i="234"/>
  <c r="S2643" i="234"/>
  <c r="S2701" i="234"/>
  <c r="S2703" i="234"/>
  <c r="S2763" i="234"/>
  <c r="S2761" i="234"/>
  <c r="S2861" i="234"/>
  <c r="S2863" i="234"/>
  <c r="S3003" i="234"/>
  <c r="S3004" i="234"/>
  <c r="S3002" i="234"/>
  <c r="S3023" i="234"/>
  <c r="S3022" i="234"/>
  <c r="S3043" i="234"/>
  <c r="S3042" i="234"/>
  <c r="S3103" i="234"/>
  <c r="S3105" i="234"/>
  <c r="S3104" i="234"/>
  <c r="S3165" i="234"/>
  <c r="S3163" i="234"/>
  <c r="S3185" i="234"/>
  <c r="S3184" i="234"/>
  <c r="S3307" i="234"/>
  <c r="S3306" i="234"/>
  <c r="S3346" i="234"/>
  <c r="S3347" i="234"/>
  <c r="S3387" i="234"/>
  <c r="S3388" i="234"/>
  <c r="S3447" i="234"/>
  <c r="S3449" i="234"/>
  <c r="S3508" i="234"/>
  <c r="S3509" i="234"/>
  <c r="S3568" i="234"/>
  <c r="S3567" i="234"/>
  <c r="S3630" i="234"/>
  <c r="S3629" i="234"/>
  <c r="S3729" i="234"/>
  <c r="S3730" i="234"/>
  <c r="S3728" i="234"/>
  <c r="S3850" i="234"/>
  <c r="S3849" i="234"/>
  <c r="S3851" i="234"/>
  <c r="S3870" i="234"/>
  <c r="S3869" i="234"/>
  <c r="S3951" i="234"/>
  <c r="S3950" i="234"/>
  <c r="S3949" i="234"/>
  <c r="S4009" i="234"/>
  <c r="S4010" i="234"/>
  <c r="S4011" i="234"/>
  <c r="S534" i="234"/>
  <c r="S520" i="234"/>
  <c r="S488" i="234"/>
  <c r="S3386" i="234"/>
  <c r="S3247" i="234"/>
  <c r="S2102" i="234"/>
  <c r="S2447" i="234"/>
  <c r="S2984" i="234"/>
  <c r="S3748" i="234"/>
  <c r="S2243" i="234"/>
  <c r="S3769" i="234"/>
  <c r="S3144" i="234"/>
  <c r="S858" i="234"/>
  <c r="S3367" i="234"/>
  <c r="S2103" i="234"/>
  <c r="S4049" i="234"/>
  <c r="S2242" i="234"/>
  <c r="S3143" i="234"/>
  <c r="S2742" i="234"/>
  <c r="S3448" i="234"/>
  <c r="S2862" i="234"/>
  <c r="S2388" i="234"/>
  <c r="S4071" i="234"/>
  <c r="S4252" i="234"/>
  <c r="S3164" i="234"/>
  <c r="S3688" i="234"/>
  <c r="S511" i="234"/>
  <c r="S509" i="234"/>
  <c r="S714" i="234"/>
  <c r="S715" i="234"/>
  <c r="S2143" i="234"/>
  <c r="S2142" i="234"/>
  <c r="S2163" i="234"/>
  <c r="S2161" i="234"/>
  <c r="S2283" i="234"/>
  <c r="S2284" i="234"/>
  <c r="S2302" i="234"/>
  <c r="S2304" i="234"/>
  <c r="S2303" i="234"/>
  <c r="S2408" i="234"/>
  <c r="S2406" i="234"/>
  <c r="S2407" i="234"/>
  <c r="S2427" i="234"/>
  <c r="S2428" i="234"/>
  <c r="S2522" i="234"/>
  <c r="S2520" i="234"/>
  <c r="S2540" i="234"/>
  <c r="S2542" i="234"/>
  <c r="S2601" i="234"/>
  <c r="S2603" i="234"/>
  <c r="S2661" i="234"/>
  <c r="S2662" i="234"/>
  <c r="S2803" i="234"/>
  <c r="S2801" i="234"/>
  <c r="S2802" i="234"/>
  <c r="S2822" i="234"/>
  <c r="S2823" i="234"/>
  <c r="S2821" i="234"/>
  <c r="S2884" i="234"/>
  <c r="S2882" i="234"/>
  <c r="S2943" i="234"/>
  <c r="S2942" i="234"/>
  <c r="S3064" i="234"/>
  <c r="S3065" i="234"/>
  <c r="S3085" i="234"/>
  <c r="S3083" i="234"/>
  <c r="S3205" i="234"/>
  <c r="S3204" i="234"/>
  <c r="S3266" i="234"/>
  <c r="S3267" i="234"/>
  <c r="S3265" i="234"/>
  <c r="S3326" i="234"/>
  <c r="S3327" i="234"/>
  <c r="S3325" i="234"/>
  <c r="S3408" i="234"/>
  <c r="S3407" i="234"/>
  <c r="S3406" i="234"/>
  <c r="S3428" i="234"/>
  <c r="S3427" i="234"/>
  <c r="S3529" i="234"/>
  <c r="S3527" i="234"/>
  <c r="S3528" i="234"/>
  <c r="S3548" i="234"/>
  <c r="S3547" i="234"/>
  <c r="S3609" i="234"/>
  <c r="S3608" i="234"/>
  <c r="S3610" i="234"/>
  <c r="S3668" i="234"/>
  <c r="S3670" i="234"/>
  <c r="S3831" i="234"/>
  <c r="S3830" i="234"/>
  <c r="S3891" i="234"/>
  <c r="S3890" i="234"/>
  <c r="S3911" i="234"/>
  <c r="S3909" i="234"/>
  <c r="S3930" i="234"/>
  <c r="S3931" i="234"/>
  <c r="S3929" i="234"/>
  <c r="S4031" i="234"/>
  <c r="S4029" i="234"/>
  <c r="S4111" i="234"/>
  <c r="S4110" i="234"/>
  <c r="S4109" i="234"/>
  <c r="S4128" i="234"/>
  <c r="S4127" i="234"/>
  <c r="S4129" i="234"/>
  <c r="S4171" i="234"/>
  <c r="S4169" i="234"/>
  <c r="S4170" i="234"/>
  <c r="S4230" i="234"/>
  <c r="S4232" i="234"/>
  <c r="S4231" i="234"/>
  <c r="S4292" i="234"/>
  <c r="S4293" i="234"/>
  <c r="S873" i="234"/>
  <c r="S875" i="234"/>
  <c r="S874" i="234"/>
  <c r="S2202" i="234"/>
  <c r="S2201" i="234"/>
  <c r="S2203" i="234"/>
  <c r="S2222" i="234"/>
  <c r="S2223" i="234"/>
  <c r="S2221" i="234"/>
  <c r="S2263" i="234"/>
  <c r="S2262" i="234"/>
  <c r="S2264" i="234"/>
  <c r="S2346" i="234"/>
  <c r="S2347" i="234"/>
  <c r="S2367" i="234"/>
  <c r="S2366" i="234"/>
  <c r="S2500" i="234"/>
  <c r="S2501" i="234"/>
  <c r="S2562" i="234"/>
  <c r="S2561" i="234"/>
  <c r="S2563" i="234"/>
  <c r="S2623" i="234"/>
  <c r="S2622" i="234"/>
  <c r="S2681" i="234"/>
  <c r="S2682" i="234"/>
  <c r="S2722" i="234"/>
  <c r="S2721" i="234"/>
  <c r="S2783" i="234"/>
  <c r="S2781" i="234"/>
  <c r="S2782" i="234"/>
  <c r="S2841" i="234"/>
  <c r="S2842" i="234"/>
  <c r="S2903" i="234"/>
  <c r="S2904" i="234"/>
  <c r="S2902" i="234"/>
  <c r="S2964" i="234"/>
  <c r="S2963" i="234"/>
  <c r="S3125" i="234"/>
  <c r="S3124" i="234"/>
  <c r="S3226" i="234"/>
  <c r="S3224" i="234"/>
  <c r="S3225" i="234"/>
  <c r="S3286" i="234"/>
  <c r="S3285" i="234"/>
  <c r="S3287" i="234"/>
  <c r="S3469" i="234"/>
  <c r="S3467" i="234"/>
  <c r="S3489" i="234"/>
  <c r="S3487" i="234"/>
  <c r="S3589" i="234"/>
  <c r="S3588" i="234"/>
  <c r="S3650" i="234"/>
  <c r="S3649" i="234"/>
  <c r="S3710" i="234"/>
  <c r="S3709" i="234"/>
  <c r="S3790" i="234"/>
  <c r="S3788" i="234"/>
  <c r="S3969" i="234"/>
  <c r="S3971" i="234"/>
  <c r="S3970" i="234"/>
  <c r="S3991" i="234"/>
  <c r="S3989" i="234"/>
  <c r="S4090" i="234"/>
  <c r="S4089" i="234"/>
  <c r="S4091" i="234"/>
  <c r="S4151" i="234"/>
  <c r="S4150" i="234"/>
  <c r="S4191" i="234"/>
  <c r="S4190" i="234"/>
  <c r="S4210" i="234"/>
  <c r="S4212" i="234"/>
  <c r="S4272" i="234"/>
  <c r="S4274" i="234"/>
  <c r="S3871" i="234"/>
  <c r="S645" i="234"/>
  <c r="S521" i="234"/>
  <c r="S2181" i="234"/>
  <c r="S3507" i="234"/>
  <c r="S3245" i="234"/>
  <c r="S3809" i="234"/>
  <c r="S2723" i="234"/>
  <c r="S4211" i="234"/>
  <c r="S3669" i="234"/>
  <c r="S3024" i="234"/>
  <c r="S2426" i="234"/>
  <c r="S2983" i="234"/>
  <c r="S2962" i="234"/>
  <c r="S2365" i="234"/>
  <c r="S3768" i="234"/>
  <c r="S3345" i="234"/>
  <c r="S4030" i="234"/>
  <c r="S3628" i="234"/>
  <c r="S2702" i="234"/>
  <c r="S3910" i="234"/>
  <c r="S2762" i="234"/>
  <c r="I306" i="233"/>
  <c r="S1214" i="234"/>
  <c r="S1416" i="234"/>
  <c r="S1316" i="234"/>
  <c r="S1569" i="234"/>
  <c r="S1436" i="234"/>
  <c r="S1850" i="234"/>
  <c r="S2072" i="234"/>
  <c r="S1275" i="234"/>
  <c r="S1073" i="234"/>
  <c r="S1375" i="234"/>
  <c r="S1749" i="234"/>
  <c r="S1528" i="234"/>
  <c r="S1870" i="234"/>
  <c r="S1295" i="234"/>
  <c r="S1165" i="234"/>
  <c r="S403" i="234"/>
  <c r="S1981" i="234"/>
  <c r="S1730" i="234"/>
  <c r="S1195" i="234"/>
  <c r="S1074" i="234"/>
  <c r="S1314" i="234"/>
  <c r="S915" i="234"/>
  <c r="S204" i="234"/>
  <c r="S1336" i="234"/>
  <c r="S1052" i="234"/>
  <c r="S1568" i="234"/>
  <c r="S1790" i="234"/>
  <c r="S1094" i="234"/>
  <c r="S1690" i="234"/>
  <c r="S1508" i="234"/>
  <c r="S1466" i="234"/>
  <c r="S1831" i="234"/>
  <c r="S1891" i="234"/>
  <c r="S1650" i="234"/>
  <c r="S86" i="234"/>
  <c r="S1912" i="234"/>
  <c r="S1132" i="234"/>
  <c r="S1354" i="234"/>
  <c r="S991" i="234"/>
  <c r="S1233" i="234"/>
  <c r="S1273" i="234"/>
  <c r="S1527" i="234"/>
  <c r="S1710" i="234"/>
  <c r="S895" i="234"/>
  <c r="S1114" i="234"/>
  <c r="S1356" i="234"/>
  <c r="S1547" i="234"/>
  <c r="S1750" i="234"/>
  <c r="S1112" i="234"/>
  <c r="S2011" i="234"/>
  <c r="S1486" i="234"/>
  <c r="S1435" i="234"/>
  <c r="S1871" i="234"/>
  <c r="S2051" i="234"/>
  <c r="S1832" i="234"/>
  <c r="S1910" i="234"/>
  <c r="S1589" i="234"/>
  <c r="S1215" i="234"/>
  <c r="S914" i="234"/>
  <c r="S1255" i="234"/>
  <c r="S1415" i="234"/>
  <c r="S1709" i="234"/>
  <c r="S202" i="234"/>
  <c r="S1810" i="234"/>
  <c r="S1155" i="234"/>
  <c r="S1335" i="234"/>
  <c r="S1548" i="234"/>
  <c r="S1789" i="234"/>
  <c r="S1668" i="234"/>
  <c r="S2012" i="234"/>
  <c r="S1507" i="234"/>
  <c r="S1465" i="234"/>
  <c r="S2071" i="234"/>
  <c r="S1649" i="234"/>
  <c r="S1852" i="234"/>
  <c r="S992" i="234"/>
  <c r="S496" i="234"/>
  <c r="S498" i="234"/>
  <c r="S497" i="234"/>
  <c r="S867" i="234"/>
  <c r="S866" i="234"/>
  <c r="S865" i="234"/>
  <c r="S2132" i="234"/>
  <c r="S2133" i="234"/>
  <c r="S2357" i="234"/>
  <c r="S2355" i="234"/>
  <c r="S2356" i="234"/>
  <c r="S2418" i="234"/>
  <c r="S2417" i="234"/>
  <c r="S2511" i="234"/>
  <c r="S2510" i="234"/>
  <c r="S2509" i="234"/>
  <c r="S2573" i="234"/>
  <c r="S2572" i="234"/>
  <c r="S2571" i="234"/>
  <c r="S2633" i="234"/>
  <c r="S2632" i="234"/>
  <c r="S2691" i="234"/>
  <c r="S2692" i="234"/>
  <c r="S2693" i="234"/>
  <c r="S2813" i="234"/>
  <c r="S2812" i="234"/>
  <c r="S2811" i="234"/>
  <c r="S2853" i="234"/>
  <c r="S2852" i="234"/>
  <c r="S2871" i="234"/>
  <c r="S2872" i="234"/>
  <c r="S2873" i="234"/>
  <c r="S2934" i="234"/>
  <c r="S2933" i="234"/>
  <c r="S2993" i="234"/>
  <c r="S2992" i="234"/>
  <c r="S2994" i="234"/>
  <c r="S3054" i="234"/>
  <c r="S3055" i="234"/>
  <c r="S3053" i="234"/>
  <c r="S3115" i="234"/>
  <c r="S3113" i="234"/>
  <c r="S3114" i="234"/>
  <c r="S3196" i="234"/>
  <c r="S3195" i="234"/>
  <c r="S3194" i="234"/>
  <c r="S3256" i="234"/>
  <c r="S3257" i="234"/>
  <c r="S3316" i="234"/>
  <c r="S3315" i="234"/>
  <c r="S3317" i="234"/>
  <c r="S3376" i="234"/>
  <c r="S3378" i="234"/>
  <c r="S3377" i="234"/>
  <c r="S3437" i="234"/>
  <c r="S3439" i="234"/>
  <c r="S3497" i="234"/>
  <c r="S3499" i="234"/>
  <c r="S3640" i="234"/>
  <c r="S3638" i="234"/>
  <c r="S3699" i="234"/>
  <c r="S3700" i="234"/>
  <c r="S3758" i="234"/>
  <c r="S3759" i="234"/>
  <c r="S3760" i="234"/>
  <c r="S3820" i="234"/>
  <c r="S3819" i="234"/>
  <c r="S3881" i="234"/>
  <c r="S3880" i="234"/>
  <c r="S3940" i="234"/>
  <c r="S3939" i="234"/>
  <c r="S3941" i="234"/>
  <c r="S4039" i="234"/>
  <c r="S4040" i="234"/>
  <c r="S4041" i="234"/>
  <c r="S4140" i="234"/>
  <c r="S4139" i="234"/>
  <c r="S4141" i="234"/>
  <c r="S4202" i="234"/>
  <c r="S4201" i="234"/>
  <c r="S4200" i="234"/>
  <c r="S4262" i="234"/>
  <c r="S4260" i="234"/>
  <c r="S4635" i="234"/>
  <c r="S4636" i="234"/>
  <c r="S4705" i="234"/>
  <c r="S4706" i="234"/>
  <c r="S4704" i="234"/>
  <c r="S4769" i="234"/>
  <c r="S4768" i="234"/>
  <c r="S26" i="234"/>
  <c r="S24" i="234"/>
  <c r="S46" i="234"/>
  <c r="S45" i="234"/>
  <c r="S66" i="234"/>
  <c r="S65" i="234"/>
  <c r="S853" i="234"/>
  <c r="S852" i="234"/>
  <c r="S2111" i="234"/>
  <c r="S2113" i="234"/>
  <c r="S2112" i="234"/>
  <c r="S2152" i="234"/>
  <c r="S2151" i="234"/>
  <c r="S2153" i="234"/>
  <c r="S2192" i="234"/>
  <c r="S2191" i="234"/>
  <c r="S2193" i="234"/>
  <c r="S2254" i="234"/>
  <c r="S2253" i="234"/>
  <c r="S2273" i="234"/>
  <c r="S2274" i="234"/>
  <c r="S2376" i="234"/>
  <c r="S2378" i="234"/>
  <c r="S2377" i="234"/>
  <c r="S2437" i="234"/>
  <c r="S2438" i="234"/>
  <c r="S2436" i="234"/>
  <c r="S2468" i="234"/>
  <c r="S2467" i="234"/>
  <c r="S2469" i="234"/>
  <c r="S2532" i="234"/>
  <c r="S2530" i="234"/>
  <c r="S2531" i="234"/>
  <c r="S2592" i="234"/>
  <c r="S2593" i="234"/>
  <c r="S2653" i="234"/>
  <c r="S2652" i="234"/>
  <c r="S2651" i="234"/>
  <c r="S2673" i="234"/>
  <c r="S2671" i="234"/>
  <c r="S2672" i="234"/>
  <c r="S2731" i="234"/>
  <c r="S2733" i="234"/>
  <c r="S2732" i="234"/>
  <c r="S2751" i="234"/>
  <c r="S2753" i="234"/>
  <c r="S2831" i="234"/>
  <c r="S2833" i="234"/>
  <c r="S2832" i="234"/>
  <c r="S2893" i="234"/>
  <c r="S2894" i="234"/>
  <c r="S2892" i="234"/>
  <c r="S2953" i="234"/>
  <c r="S2952" i="234"/>
  <c r="S2972" i="234"/>
  <c r="S2973" i="234"/>
  <c r="S2974" i="234"/>
  <c r="S3074" i="234"/>
  <c r="S3075" i="234"/>
  <c r="S3073" i="234"/>
  <c r="S3094" i="234"/>
  <c r="S3093" i="234"/>
  <c r="S3133" i="234"/>
  <c r="S3134" i="234"/>
  <c r="S3215" i="234"/>
  <c r="S3214" i="234"/>
  <c r="S3216" i="234"/>
  <c r="S3236" i="234"/>
  <c r="S3234" i="234"/>
  <c r="S3235" i="234"/>
  <c r="S3296" i="234"/>
  <c r="S3297" i="234"/>
  <c r="S3295" i="234"/>
  <c r="S3398" i="234"/>
  <c r="S3397" i="234"/>
  <c r="S3396" i="234"/>
  <c r="S3459" i="234"/>
  <c r="S3457" i="234"/>
  <c r="S3517" i="234"/>
  <c r="S3518" i="234"/>
  <c r="S3579" i="234"/>
  <c r="S3577" i="234"/>
  <c r="S3599" i="234"/>
  <c r="S3600" i="234"/>
  <c r="S3618" i="234"/>
  <c r="S3620" i="234"/>
  <c r="S3718" i="234"/>
  <c r="S3720" i="234"/>
  <c r="S3738" i="234"/>
  <c r="S3740" i="234"/>
  <c r="S3739" i="234"/>
  <c r="S3839" i="234"/>
  <c r="S3840" i="234"/>
  <c r="S3841" i="234"/>
  <c r="S3901" i="234"/>
  <c r="S3900" i="234"/>
  <c r="S3960" i="234"/>
  <c r="S3961" i="234"/>
  <c r="S3959" i="234"/>
  <c r="S4019" i="234"/>
  <c r="S4020" i="234"/>
  <c r="S4080" i="234"/>
  <c r="S4081" i="234"/>
  <c r="S4101" i="234"/>
  <c r="S4100" i="234"/>
  <c r="S4099" i="234"/>
  <c r="S4161" i="234"/>
  <c r="S4159" i="234"/>
  <c r="S4160" i="234"/>
  <c r="S4222" i="234"/>
  <c r="S4221" i="234"/>
  <c r="S4220" i="234"/>
  <c r="S4282" i="234"/>
  <c r="S4283" i="234"/>
  <c r="S4284" i="234"/>
  <c r="S4605" i="234"/>
  <c r="S4604" i="234"/>
  <c r="S4603" i="234"/>
  <c r="S4623" i="234"/>
  <c r="S4625" i="234"/>
  <c r="S4624" i="234"/>
  <c r="S4676" i="234"/>
  <c r="S4675" i="234"/>
  <c r="S4674" i="234"/>
  <c r="S4685" i="234"/>
  <c r="S4684" i="234"/>
  <c r="S4686" i="234"/>
  <c r="S4634" i="234"/>
  <c r="S2294" i="234"/>
  <c r="S3821" i="234"/>
  <c r="S3578" i="234"/>
  <c r="S3719" i="234"/>
  <c r="S2851" i="234"/>
  <c r="S4079" i="234"/>
  <c r="S3899" i="234"/>
  <c r="S3879" i="234"/>
  <c r="S3458" i="234"/>
  <c r="S2213" i="234"/>
  <c r="S2212" i="234"/>
  <c r="S2211" i="234"/>
  <c r="S2232" i="234"/>
  <c r="S2231" i="234"/>
  <c r="S2233" i="234"/>
  <c r="S2312" i="234"/>
  <c r="S2313" i="234"/>
  <c r="S2314" i="234"/>
  <c r="S2336" i="234"/>
  <c r="S2335" i="234"/>
  <c r="S2337" i="234"/>
  <c r="S2489" i="234"/>
  <c r="S2491" i="234"/>
  <c r="S2552" i="234"/>
  <c r="S2551" i="234"/>
  <c r="S2553" i="234"/>
  <c r="S2611" i="234"/>
  <c r="S2612" i="234"/>
  <c r="S2713" i="234"/>
  <c r="S2712" i="234"/>
  <c r="S2711" i="234"/>
  <c r="S2773" i="234"/>
  <c r="S2771" i="234"/>
  <c r="S2772" i="234"/>
  <c r="S2792" i="234"/>
  <c r="S2793" i="234"/>
  <c r="S2913" i="234"/>
  <c r="S2912" i="234"/>
  <c r="S3013" i="234"/>
  <c r="S3012" i="234"/>
  <c r="S3014" i="234"/>
  <c r="S3034" i="234"/>
  <c r="S3033" i="234"/>
  <c r="S3032" i="234"/>
  <c r="S3155" i="234"/>
  <c r="S3153" i="234"/>
  <c r="S3154" i="234"/>
  <c r="S3175" i="234"/>
  <c r="S3174" i="234"/>
  <c r="S3176" i="234"/>
  <c r="S3277" i="234"/>
  <c r="S3276" i="234"/>
  <c r="S3275" i="234"/>
  <c r="S3336" i="234"/>
  <c r="S3337" i="234"/>
  <c r="S3335" i="234"/>
  <c r="S3357" i="234"/>
  <c r="S3358" i="234"/>
  <c r="S3356" i="234"/>
  <c r="S3416" i="234"/>
  <c r="S3417" i="234"/>
  <c r="S3478" i="234"/>
  <c r="S3477" i="234"/>
  <c r="S3537" i="234"/>
  <c r="S3538" i="234"/>
  <c r="S3539" i="234"/>
  <c r="S3557" i="234"/>
  <c r="S3558" i="234"/>
  <c r="S3659" i="234"/>
  <c r="S3658" i="234"/>
  <c r="S3660" i="234"/>
  <c r="S3679" i="234"/>
  <c r="S3678" i="234"/>
  <c r="S3680" i="234"/>
  <c r="S3780" i="234"/>
  <c r="S3778" i="234"/>
  <c r="S3798" i="234"/>
  <c r="S3800" i="234"/>
  <c r="S3799" i="234"/>
  <c r="S3859" i="234"/>
  <c r="S3861" i="234"/>
  <c r="S3919" i="234"/>
  <c r="S3920" i="234"/>
  <c r="S3979" i="234"/>
  <c r="S3980" i="234"/>
  <c r="S3999" i="234"/>
  <c r="S4000" i="234"/>
  <c r="S4060" i="234"/>
  <c r="S4059" i="234"/>
  <c r="S4120" i="234"/>
  <c r="S4119" i="234"/>
  <c r="S4181" i="234"/>
  <c r="S4180" i="234"/>
  <c r="S4179" i="234"/>
  <c r="S4240" i="234"/>
  <c r="S4241" i="234"/>
  <c r="S1445" i="234"/>
  <c r="S1446" i="234"/>
  <c r="S1447" i="234"/>
  <c r="S4554" i="234"/>
  <c r="S4553" i="234"/>
  <c r="S4585" i="234"/>
  <c r="S4584" i="234"/>
  <c r="S4583" i="234"/>
  <c r="S124" i="234"/>
  <c r="S126" i="234"/>
  <c r="S125" i="234"/>
  <c r="S4654" i="234"/>
  <c r="S4656" i="234"/>
  <c r="S4655" i="234"/>
  <c r="S4725" i="234"/>
  <c r="S4724" i="234"/>
  <c r="S4745" i="234"/>
  <c r="S4746" i="234"/>
  <c r="S4744" i="234"/>
  <c r="S3779" i="234"/>
  <c r="S3698" i="234"/>
  <c r="S2272" i="234"/>
  <c r="S2954" i="234"/>
  <c r="S3498" i="234"/>
  <c r="S3095" i="234"/>
  <c r="S3639" i="234"/>
  <c r="S3921" i="234"/>
  <c r="S4021" i="234"/>
  <c r="S2752" i="234"/>
  <c r="S3598" i="234"/>
  <c r="S4767" i="234"/>
  <c r="S2631" i="234"/>
  <c r="S4061" i="234"/>
  <c r="S3438" i="234"/>
  <c r="S2293" i="234"/>
  <c r="S3519" i="234"/>
  <c r="S304" i="234"/>
  <c r="S306" i="234"/>
  <c r="S305" i="234"/>
  <c r="S1134" i="234"/>
  <c r="S1253" i="234"/>
  <c r="S1174" i="234"/>
  <c r="S1294" i="234"/>
  <c r="I233" i="233"/>
  <c r="S595" i="234"/>
  <c r="S851" i="234"/>
  <c r="S85" i="234"/>
  <c r="S885" i="234"/>
  <c r="S25" i="234"/>
  <c r="S428" i="234"/>
  <c r="S426" i="234"/>
  <c r="S64" i="234"/>
  <c r="S594" i="234"/>
  <c r="S44" i="234"/>
  <c r="S883" i="234"/>
  <c r="S2131" i="234"/>
  <c r="S1234" i="234"/>
  <c r="S1173" i="234"/>
  <c r="S254" i="234"/>
  <c r="S255" i="234"/>
  <c r="S253" i="234"/>
  <c r="S298" i="234"/>
  <c r="S297" i="234"/>
  <c r="S299" i="234"/>
  <c r="S906" i="234"/>
  <c r="S904" i="234"/>
  <c r="S1003" i="234"/>
  <c r="S1002" i="234"/>
  <c r="S1083" i="234"/>
  <c r="S1082" i="234"/>
  <c r="S1102" i="234"/>
  <c r="S1104" i="234"/>
  <c r="S1638" i="234"/>
  <c r="S1640" i="234"/>
  <c r="S1022" i="234"/>
  <c r="S925" i="234"/>
  <c r="S905" i="234"/>
  <c r="S1063" i="234"/>
  <c r="S2050" i="234"/>
  <c r="S2030" i="234"/>
  <c r="S2031" i="234"/>
  <c r="S2090" i="234"/>
  <c r="S2092" i="234"/>
  <c r="S2091" i="234"/>
  <c r="S3569" i="234"/>
  <c r="S3829" i="234"/>
  <c r="I211" i="233"/>
  <c r="S35" i="234"/>
  <c r="S34" i="234"/>
  <c r="S76" i="234"/>
  <c r="S75" i="234"/>
  <c r="S74" i="234"/>
  <c r="S1559" i="234"/>
  <c r="S1557" i="234"/>
  <c r="S1578" i="234"/>
  <c r="S1577" i="234"/>
  <c r="S1600" i="234"/>
  <c r="S1599" i="234"/>
  <c r="S1618" i="234"/>
  <c r="S1619" i="234"/>
  <c r="S56" i="234"/>
  <c r="S1670" i="234"/>
  <c r="S16" i="234"/>
  <c r="S36" i="234"/>
  <c r="S291" i="234"/>
  <c r="S289" i="234"/>
  <c r="S940" i="234"/>
  <c r="S939" i="234"/>
  <c r="S958" i="234"/>
  <c r="S960" i="234"/>
  <c r="S3418" i="234"/>
  <c r="S1374" i="234"/>
  <c r="S697" i="234"/>
  <c r="S696" i="234"/>
  <c r="S698" i="234"/>
  <c r="S1588" i="234"/>
  <c r="S1931" i="234"/>
  <c r="S1932" i="234"/>
  <c r="S1952" i="234"/>
  <c r="S1951" i="234"/>
  <c r="S1971" i="234"/>
  <c r="S1972" i="234"/>
  <c r="S1991" i="234"/>
  <c r="S1990" i="234"/>
  <c r="S241" i="234"/>
  <c r="S243" i="234"/>
  <c r="S951" i="234"/>
  <c r="S949" i="234"/>
  <c r="S1012" i="234"/>
  <c r="S1014" i="234"/>
  <c r="S1032" i="234"/>
  <c r="S1034" i="234"/>
  <c r="S1396" i="234"/>
  <c r="S1395" i="234"/>
  <c r="S1608" i="234"/>
  <c r="S1609" i="234"/>
  <c r="S1628" i="234"/>
  <c r="S1630" i="234"/>
  <c r="S1629" i="234"/>
  <c r="S1658" i="234"/>
  <c r="S1659" i="234"/>
  <c r="S2021" i="234"/>
  <c r="S2022" i="234"/>
  <c r="S2041" i="234"/>
  <c r="S2042" i="234"/>
  <c r="S2061" i="234"/>
  <c r="S2060" i="234"/>
  <c r="S2081" i="234"/>
  <c r="S2082" i="234"/>
  <c r="S2173" i="234"/>
  <c r="S2171" i="234"/>
  <c r="S2325" i="234"/>
  <c r="S2499" i="234"/>
  <c r="S2324" i="234"/>
  <c r="S2398" i="234"/>
  <c r="S2396" i="234"/>
  <c r="S2521" i="234"/>
  <c r="S2477" i="234"/>
  <c r="S2416" i="234"/>
  <c r="S4666" i="234"/>
  <c r="AC25" i="220"/>
  <c r="T58" i="220"/>
  <c r="R57" i="220"/>
  <c r="O57" i="220"/>
  <c r="AA58" i="220"/>
  <c r="V57" i="220"/>
  <c r="AD58" i="220"/>
  <c r="P162" i="233"/>
  <c r="P60" i="233"/>
  <c r="P323" i="233"/>
  <c r="P302" i="233"/>
  <c r="P315" i="233"/>
  <c r="P183" i="233"/>
  <c r="P109" i="233"/>
  <c r="P407" i="233"/>
  <c r="P294" i="233"/>
  <c r="P365" i="233"/>
  <c r="P50" i="233"/>
  <c r="P301" i="233"/>
  <c r="P88" i="233"/>
  <c r="P411" i="233"/>
  <c r="P242" i="233"/>
  <c r="P349" i="233"/>
  <c r="P386" i="233"/>
  <c r="I206" i="233"/>
  <c r="V2333" i="234"/>
  <c r="V2332" i="234"/>
  <c r="V2331" i="234"/>
  <c r="V2330" i="234"/>
  <c r="V2329" i="234"/>
  <c r="V2338" i="234"/>
  <c r="V239" i="234"/>
  <c r="V238" i="234"/>
  <c r="V237" i="234"/>
  <c r="V236" i="234"/>
  <c r="V235" i="234"/>
  <c r="V234" i="234"/>
  <c r="V233" i="234"/>
  <c r="V232" i="234"/>
  <c r="V231" i="234"/>
  <c r="V230" i="234"/>
  <c r="V229" i="234"/>
  <c r="V228" i="234"/>
  <c r="V227" i="234"/>
  <c r="V226" i="234"/>
  <c r="V225" i="234"/>
  <c r="V224" i="234"/>
  <c r="V223" i="234"/>
  <c r="V222" i="234"/>
  <c r="V221" i="234"/>
  <c r="V220" i="234"/>
  <c r="V219" i="234"/>
  <c r="V218" i="234"/>
  <c r="V217" i="234"/>
  <c r="J521" i="234"/>
  <c r="V4756" i="234"/>
  <c r="V4755" i="234"/>
  <c r="V4754" i="234"/>
  <c r="V4753" i="234"/>
  <c r="V4752" i="234"/>
  <c r="V4751" i="234"/>
  <c r="V4750" i="234"/>
  <c r="V4749" i="234"/>
  <c r="V4748" i="234"/>
  <c r="V4757" i="234"/>
  <c r="P457" i="233"/>
  <c r="V4726" i="234"/>
  <c r="V4725" i="234"/>
  <c r="V4724" i="234"/>
  <c r="V4723" i="234"/>
  <c r="V4722" i="234"/>
  <c r="V4721" i="234"/>
  <c r="V4720" i="234"/>
  <c r="V4719" i="234"/>
  <c r="V4718" i="234"/>
  <c r="V4727" i="234"/>
  <c r="P454" i="233"/>
  <c r="P456" i="233"/>
  <c r="V4716" i="234"/>
  <c r="V4715" i="234"/>
  <c r="V4714" i="234"/>
  <c r="V4713" i="234"/>
  <c r="V4712" i="234"/>
  <c r="V4711" i="234"/>
  <c r="V4710" i="234"/>
  <c r="V4709" i="234"/>
  <c r="V4708" i="234"/>
  <c r="V4717" i="234"/>
  <c r="P453" i="233"/>
  <c r="V4736" i="234"/>
  <c r="V4735" i="234"/>
  <c r="V4734" i="234"/>
  <c r="V4733" i="234"/>
  <c r="V4732" i="234"/>
  <c r="V4731" i="234"/>
  <c r="V4730" i="234"/>
  <c r="V4729" i="234"/>
  <c r="V4728" i="234"/>
  <c r="V4737" i="234"/>
  <c r="P455" i="233"/>
  <c r="V405" i="234"/>
  <c r="V404" i="234"/>
  <c r="V403" i="234"/>
  <c r="V402" i="234"/>
  <c r="V401" i="234"/>
  <c r="V400" i="234"/>
  <c r="V399" i="234"/>
  <c r="V398" i="234"/>
  <c r="V397" i="234"/>
  <c r="V396" i="234"/>
  <c r="V395" i="234"/>
  <c r="V394" i="234"/>
  <c r="V393" i="234"/>
  <c r="V392" i="234"/>
  <c r="V391" i="234"/>
  <c r="V390" i="234"/>
  <c r="V389" i="234"/>
  <c r="V388" i="234"/>
  <c r="V387" i="234"/>
  <c r="V386" i="234"/>
  <c r="V385" i="234"/>
  <c r="V384" i="234"/>
  <c r="V383" i="234"/>
  <c r="V382" i="234"/>
  <c r="V381" i="234"/>
  <c r="V380" i="234"/>
  <c r="V379" i="234"/>
  <c r="V378" i="234"/>
  <c r="V377" i="234"/>
  <c r="G400" i="233"/>
  <c r="G23" i="233"/>
  <c r="G54" i="233"/>
  <c r="G224" i="233"/>
  <c r="G205" i="233"/>
  <c r="U276" i="218"/>
  <c r="U282" i="218"/>
  <c r="U281" i="218"/>
  <c r="P281" i="218"/>
  <c r="P282" i="218"/>
  <c r="AQ51" i="220"/>
  <c r="Q65" i="220"/>
  <c r="P128" i="221"/>
  <c r="L66" i="220"/>
  <c r="K129" i="221"/>
  <c r="AN66" i="220"/>
  <c r="AM129" i="221"/>
  <c r="S66" i="220"/>
  <c r="R129" i="221"/>
  <c r="AF66" i="220"/>
  <c r="AE129" i="221"/>
  <c r="AQ52" i="220"/>
  <c r="AQ35" i="220"/>
  <c r="AQ9" i="220"/>
  <c r="AQ26" i="220"/>
  <c r="AQ31" i="220"/>
  <c r="H12" i="219"/>
  <c r="O12" i="219"/>
  <c r="I11" i="219"/>
  <c r="K48" i="219"/>
  <c r="I54" i="233"/>
  <c r="V860" i="234"/>
  <c r="V859" i="234"/>
  <c r="V858" i="234"/>
  <c r="V857" i="234"/>
  <c r="V856" i="234"/>
  <c r="V855" i="234"/>
  <c r="V861" i="234"/>
  <c r="V810" i="234"/>
  <c r="V809" i="234"/>
  <c r="V808" i="234"/>
  <c r="V807" i="234"/>
  <c r="V806" i="234"/>
  <c r="V805" i="234"/>
  <c r="V804" i="234"/>
  <c r="V803" i="234"/>
  <c r="V802" i="234"/>
  <c r="V801" i="234"/>
  <c r="V800" i="234"/>
  <c r="V799" i="234"/>
  <c r="V798" i="234"/>
  <c r="V797" i="234"/>
  <c r="V796" i="234"/>
  <c r="V795" i="234"/>
  <c r="V794" i="234"/>
  <c r="V793" i="234"/>
  <c r="V792" i="234"/>
  <c r="V791" i="234"/>
  <c r="V790" i="234"/>
  <c r="V789" i="234"/>
  <c r="V788" i="234"/>
  <c r="V787" i="234"/>
  <c r="V786" i="234"/>
  <c r="V785" i="234"/>
  <c r="V784" i="234"/>
  <c r="V783" i="234"/>
  <c r="V782" i="234"/>
  <c r="V781" i="234"/>
  <c r="V780" i="234"/>
  <c r="V779" i="234"/>
  <c r="V778" i="234"/>
  <c r="V777" i="234"/>
  <c r="V776" i="234"/>
  <c r="V775" i="234"/>
  <c r="V774" i="234"/>
  <c r="V773" i="234"/>
  <c r="V772" i="234"/>
  <c r="V771" i="234"/>
  <c r="V770" i="234"/>
  <c r="V769" i="234"/>
  <c r="V768" i="234"/>
  <c r="V767" i="234"/>
  <c r="V766" i="234"/>
  <c r="V765" i="234"/>
  <c r="V764" i="234"/>
  <c r="V763" i="234"/>
  <c r="V762" i="234"/>
  <c r="V761" i="234"/>
  <c r="V760" i="234"/>
  <c r="V759" i="234"/>
  <c r="V758" i="234"/>
  <c r="V757" i="234"/>
  <c r="V756" i="234"/>
  <c r="V755" i="234"/>
  <c r="V754" i="234"/>
  <c r="V753" i="234"/>
  <c r="V752" i="234"/>
  <c r="V751" i="234"/>
  <c r="V750" i="234"/>
  <c r="V749" i="234"/>
  <c r="V748" i="234"/>
  <c r="V747" i="234"/>
  <c r="V746" i="234"/>
  <c r="V745" i="234"/>
  <c r="V744" i="234"/>
  <c r="V743" i="234"/>
  <c r="V742" i="234"/>
  <c r="V741" i="234"/>
  <c r="V740" i="234"/>
  <c r="V739" i="234"/>
  <c r="V738" i="234"/>
  <c r="V737" i="234"/>
  <c r="V736" i="234"/>
  <c r="V735" i="234"/>
  <c r="V734" i="234"/>
  <c r="V733" i="234"/>
  <c r="V732" i="234"/>
  <c r="V731" i="234"/>
  <c r="V730" i="234"/>
  <c r="V729" i="234"/>
  <c r="V728" i="234"/>
  <c r="V727" i="234"/>
  <c r="V726" i="234"/>
  <c r="V725" i="234"/>
  <c r="V724" i="234"/>
  <c r="V723" i="234"/>
  <c r="V722" i="234"/>
  <c r="V721" i="234"/>
  <c r="V720" i="234"/>
  <c r="V719" i="234"/>
  <c r="V718" i="234"/>
  <c r="V4076" i="234"/>
  <c r="V4075" i="234"/>
  <c r="V4074" i="234"/>
  <c r="V4073" i="234"/>
  <c r="V4082" i="234"/>
  <c r="AM66" i="220"/>
  <c r="AL129" i="221"/>
  <c r="E66" i="220"/>
  <c r="D129" i="221"/>
  <c r="D131" i="221"/>
  <c r="AD66" i="220"/>
  <c r="AC129" i="221"/>
  <c r="G65" i="220"/>
  <c r="F128" i="221"/>
  <c r="AO66" i="220"/>
  <c r="AN129" i="221"/>
  <c r="J65" i="220"/>
  <c r="I128" i="221"/>
  <c r="R66" i="220"/>
  <c r="Q129" i="221"/>
  <c r="W66" i="220"/>
  <c r="V129" i="221"/>
  <c r="F65" i="220"/>
  <c r="E128" i="221"/>
  <c r="AQ46" i="220"/>
  <c r="V2501" i="234"/>
  <c r="V2500" i="234"/>
  <c r="V2499" i="234"/>
  <c r="V2498" i="234"/>
  <c r="V2497" i="234"/>
  <c r="V2496" i="234"/>
  <c r="V2495" i="234"/>
  <c r="V2494" i="234"/>
  <c r="V2493" i="234"/>
  <c r="V2502" i="234"/>
  <c r="V4548" i="234"/>
  <c r="V4547" i="234"/>
  <c r="V4546" i="234"/>
  <c r="V4545" i="234"/>
  <c r="V4544" i="234"/>
  <c r="V4543" i="234"/>
  <c r="V4542" i="234"/>
  <c r="V4541" i="234"/>
  <c r="V4540" i="234"/>
  <c r="V4539" i="234"/>
  <c r="V4538" i="234"/>
  <c r="V4556" i="234"/>
  <c r="J4564" i="234"/>
  <c r="J4768" i="234"/>
  <c r="AC65" i="220"/>
  <c r="AB128" i="221"/>
  <c r="U65" i="220"/>
  <c r="T128" i="221"/>
  <c r="AH65" i="220"/>
  <c r="AG128" i="221"/>
  <c r="AF65" i="220"/>
  <c r="AE128" i="221"/>
  <c r="V716" i="234"/>
  <c r="V715" i="234"/>
  <c r="V714" i="234"/>
  <c r="V713" i="234"/>
  <c r="V712" i="234"/>
  <c r="V711" i="234"/>
  <c r="V710" i="234"/>
  <c r="V709" i="234"/>
  <c r="V708" i="234"/>
  <c r="V707" i="234"/>
  <c r="V706" i="234"/>
  <c r="V705" i="234"/>
  <c r="V704" i="234"/>
  <c r="V703" i="234"/>
  <c r="V702" i="234"/>
  <c r="V701" i="234"/>
  <c r="V700" i="234"/>
  <c r="V717" i="234"/>
  <c r="AQ15" i="220"/>
  <c r="AQ21" i="220"/>
  <c r="AQ41" i="220"/>
  <c r="AQ14" i="220"/>
  <c r="V531" i="234"/>
  <c r="V530" i="234"/>
  <c r="V529" i="234"/>
  <c r="V528" i="234"/>
  <c r="V527" i="234"/>
  <c r="V526" i="234"/>
  <c r="V525" i="234"/>
  <c r="V524" i="234"/>
  <c r="V536" i="234"/>
  <c r="J4574" i="234"/>
  <c r="V291" i="234"/>
  <c r="V290" i="234"/>
  <c r="V289" i="234"/>
  <c r="V288" i="234"/>
  <c r="V287" i="234"/>
  <c r="V286" i="234"/>
  <c r="V285" i="234"/>
  <c r="V284" i="234"/>
  <c r="V283" i="234"/>
  <c r="V282" i="234"/>
  <c r="V281" i="234"/>
  <c r="V280" i="234"/>
  <c r="V279" i="234"/>
  <c r="V278" i="234"/>
  <c r="V277" i="234"/>
  <c r="V276" i="234"/>
  <c r="V275" i="234"/>
  <c r="V274" i="234"/>
  <c r="V273" i="234"/>
  <c r="V272" i="234"/>
  <c r="V271" i="234"/>
  <c r="V270" i="234"/>
  <c r="V269" i="234"/>
  <c r="V268" i="234"/>
  <c r="V2388" i="234"/>
  <c r="V2387" i="234"/>
  <c r="V2386" i="234"/>
  <c r="V2385" i="234"/>
  <c r="V2384" i="234"/>
  <c r="V2383" i="234"/>
  <c r="V2382" i="234"/>
  <c r="V2381" i="234"/>
  <c r="V2380" i="234"/>
  <c r="V2389" i="234"/>
  <c r="V4605" i="234"/>
  <c r="V4604" i="234"/>
  <c r="V4603" i="234"/>
  <c r="V4602" i="234"/>
  <c r="V4601" i="234"/>
  <c r="V4600" i="234"/>
  <c r="V4599" i="234"/>
  <c r="V4598" i="234"/>
  <c r="V4597" i="234"/>
  <c r="V4606" i="234"/>
  <c r="D444" i="232"/>
  <c r="G444" i="232"/>
  <c r="H444" i="232"/>
  <c r="V4536" i="234"/>
  <c r="V4535" i="234"/>
  <c r="V4534" i="234"/>
  <c r="V4533" i="234"/>
  <c r="V4532" i="234"/>
  <c r="V4531" i="234"/>
  <c r="V4530" i="234"/>
  <c r="V4529" i="234"/>
  <c r="V4528" i="234"/>
  <c r="V4527" i="234"/>
  <c r="V4526" i="234"/>
  <c r="V4525" i="234"/>
  <c r="V4524" i="234"/>
  <c r="V4523" i="234"/>
  <c r="V4522" i="234"/>
  <c r="V4521" i="234"/>
  <c r="V4520" i="234"/>
  <c r="V4519" i="234"/>
  <c r="V4518" i="234"/>
  <c r="V4517" i="234"/>
  <c r="V4516" i="234"/>
  <c r="V4515" i="234"/>
  <c r="V4514" i="234"/>
  <c r="V4513" i="234"/>
  <c r="V4512" i="234"/>
  <c r="V4511" i="234"/>
  <c r="V4510" i="234"/>
  <c r="V4509" i="234"/>
  <c r="V4508" i="234"/>
  <c r="V4507" i="234"/>
  <c r="V4506" i="234"/>
  <c r="V4505" i="234"/>
  <c r="V4504" i="234"/>
  <c r="V4503" i="234"/>
  <c r="V4502" i="234"/>
  <c r="V4501" i="234"/>
  <c r="V4500" i="234"/>
  <c r="V4499" i="234"/>
  <c r="V4498" i="234"/>
  <c r="V4497" i="234"/>
  <c r="V4496" i="234"/>
  <c r="V4495" i="234"/>
  <c r="V4494" i="234"/>
  <c r="V4493" i="234"/>
  <c r="V4492" i="234"/>
  <c r="V4491" i="234"/>
  <c r="V4490" i="234"/>
  <c r="V4489" i="234"/>
  <c r="V4488" i="234"/>
  <c r="V4487" i="234"/>
  <c r="V4486" i="234"/>
  <c r="V4485" i="234"/>
  <c r="V4484" i="234"/>
  <c r="V4483" i="234"/>
  <c r="V4482" i="234"/>
  <c r="V4481" i="234"/>
  <c r="V4480" i="234"/>
  <c r="V4479" i="234"/>
  <c r="V4478" i="234"/>
  <c r="V4477" i="234"/>
  <c r="V4476" i="234"/>
  <c r="V4475" i="234"/>
  <c r="V4474" i="234"/>
  <c r="V4473" i="234"/>
  <c r="V4472" i="234"/>
  <c r="V4471" i="234"/>
  <c r="V4470" i="234"/>
  <c r="V4469" i="234"/>
  <c r="V4468" i="234"/>
  <c r="V4467" i="234"/>
  <c r="V4537" i="234"/>
  <c r="V937" i="234"/>
  <c r="V936" i="234"/>
  <c r="V935" i="234"/>
  <c r="V934" i="234"/>
  <c r="V933" i="234"/>
  <c r="V932" i="234"/>
  <c r="V931" i="234"/>
  <c r="V930" i="234"/>
  <c r="V942" i="234"/>
  <c r="D171" i="232"/>
  <c r="G171" i="232"/>
  <c r="H171" i="232"/>
  <c r="O36" i="233"/>
  <c r="D72" i="232"/>
  <c r="G72" i="232"/>
  <c r="H72" i="232"/>
  <c r="D443" i="232"/>
  <c r="G443" i="232"/>
  <c r="H443" i="232"/>
  <c r="D119" i="232"/>
  <c r="G119" i="232"/>
  <c r="H119" i="232"/>
  <c r="O187" i="233"/>
  <c r="V2243" i="234"/>
  <c r="V2242" i="234"/>
  <c r="V2241" i="234"/>
  <c r="V2240" i="234"/>
  <c r="V2239" i="234"/>
  <c r="V2238" i="234"/>
  <c r="V2237" i="234"/>
  <c r="V2236" i="234"/>
  <c r="V2235" i="234"/>
  <c r="V2244" i="234"/>
  <c r="V2173" i="234"/>
  <c r="V2172" i="234"/>
  <c r="V2171" i="234"/>
  <c r="V2170" i="234"/>
  <c r="V2169" i="234"/>
  <c r="V2168" i="234"/>
  <c r="V2167" i="234"/>
  <c r="V2166" i="234"/>
  <c r="V2165" i="234"/>
  <c r="V2174" i="234"/>
  <c r="D172" i="232"/>
  <c r="G172" i="232"/>
  <c r="H172" i="232"/>
  <c r="V1972" i="234"/>
  <c r="V1971" i="234"/>
  <c r="V1970" i="234"/>
  <c r="V1969" i="234"/>
  <c r="V1968" i="234"/>
  <c r="V1967" i="234"/>
  <c r="V1966" i="234"/>
  <c r="V1965" i="234"/>
  <c r="V1964" i="234"/>
  <c r="V1973" i="234"/>
  <c r="V26" i="234"/>
  <c r="V25" i="234"/>
  <c r="V24" i="234"/>
  <c r="V23" i="234"/>
  <c r="V22" i="234"/>
  <c r="V21" i="234"/>
  <c r="V20" i="234"/>
  <c r="V19" i="234"/>
  <c r="V18" i="234"/>
  <c r="V27" i="234"/>
  <c r="D123" i="232"/>
  <c r="G123" i="232"/>
  <c r="H123" i="232"/>
  <c r="J427" i="234"/>
  <c r="J534" i="234"/>
  <c r="V4575" i="234"/>
  <c r="V4574" i="234"/>
  <c r="V4573" i="234"/>
  <c r="V4572" i="234"/>
  <c r="V4571" i="234"/>
  <c r="V4570" i="234"/>
  <c r="V4569" i="234"/>
  <c r="V4568" i="234"/>
  <c r="V4567" i="234"/>
  <c r="V4576" i="234"/>
  <c r="V3991" i="234"/>
  <c r="V3990" i="234"/>
  <c r="V3989" i="234"/>
  <c r="V3988" i="234"/>
  <c r="V3987" i="234"/>
  <c r="V3986" i="234"/>
  <c r="V3985" i="234"/>
  <c r="V3984" i="234"/>
  <c r="V3983" i="234"/>
  <c r="V3992" i="234"/>
  <c r="D454" i="232"/>
  <c r="G454" i="232"/>
  <c r="H454" i="232"/>
  <c r="O385" i="233"/>
  <c r="O20" i="233"/>
  <c r="D309" i="232"/>
  <c r="G309" i="232"/>
  <c r="H309" i="232"/>
  <c r="V4656" i="234"/>
  <c r="V4655" i="234"/>
  <c r="V4654" i="234"/>
  <c r="V4653" i="234"/>
  <c r="V4652" i="234"/>
  <c r="V4651" i="234"/>
  <c r="V4650" i="234"/>
  <c r="V4649" i="234"/>
  <c r="V4648" i="234"/>
  <c r="V4657" i="234"/>
  <c r="V4769" i="234"/>
  <c r="V4768" i="234"/>
  <c r="V4767" i="234"/>
  <c r="V4766" i="234"/>
  <c r="V1215" i="234"/>
  <c r="V1214" i="234"/>
  <c r="V1213" i="234"/>
  <c r="V1212" i="234"/>
  <c r="V1211" i="234"/>
  <c r="V1210" i="234"/>
  <c r="V1209" i="234"/>
  <c r="V1208" i="234"/>
  <c r="V1207" i="234"/>
  <c r="V1216" i="234"/>
  <c r="O379" i="233"/>
  <c r="D259" i="232"/>
  <c r="G259" i="232"/>
  <c r="H259" i="232"/>
  <c r="V2944" i="234"/>
  <c r="V2943" i="234"/>
  <c r="V2942" i="234"/>
  <c r="V2941" i="234"/>
  <c r="V2940" i="234"/>
  <c r="V2939" i="234"/>
  <c r="V2938" i="234"/>
  <c r="V2937" i="234"/>
  <c r="V2936" i="234"/>
  <c r="V2945" i="234"/>
  <c r="O109" i="233"/>
  <c r="O127" i="233"/>
  <c r="D115" i="232"/>
  <c r="G115" i="232"/>
  <c r="H115" i="232"/>
  <c r="D78" i="232"/>
  <c r="G78" i="232"/>
  <c r="H78" i="232"/>
  <c r="O50" i="233"/>
  <c r="D120" i="232"/>
  <c r="G120" i="232"/>
  <c r="H120" i="232"/>
  <c r="V2663" i="234"/>
  <c r="V2662" i="234"/>
  <c r="V2661" i="234"/>
  <c r="V2660" i="234"/>
  <c r="V2659" i="234"/>
  <c r="V2658" i="234"/>
  <c r="V2657" i="234"/>
  <c r="V2656" i="234"/>
  <c r="V2655" i="234"/>
  <c r="V2664" i="234"/>
  <c r="V896" i="234"/>
  <c r="V895" i="234"/>
  <c r="V894" i="234"/>
  <c r="V893" i="234"/>
  <c r="V892" i="234"/>
  <c r="V891" i="234"/>
  <c r="V890" i="234"/>
  <c r="V889" i="234"/>
  <c r="V888" i="234"/>
  <c r="V897" i="234"/>
  <c r="V3861" i="234"/>
  <c r="V3860" i="234"/>
  <c r="V3859" i="234"/>
  <c r="V3858" i="234"/>
  <c r="V3857" i="234"/>
  <c r="V3856" i="234"/>
  <c r="V3855" i="234"/>
  <c r="V3854" i="234"/>
  <c r="V3853" i="234"/>
  <c r="V3862" i="234"/>
  <c r="D286" i="232"/>
  <c r="G286" i="232"/>
  <c r="H286" i="232"/>
  <c r="O13" i="233"/>
  <c r="V4646" i="234"/>
  <c r="V4645" i="234"/>
  <c r="V4644" i="234"/>
  <c r="V4643" i="234"/>
  <c r="V4642" i="234"/>
  <c r="V4641" i="234"/>
  <c r="V4640" i="234"/>
  <c r="V4639" i="234"/>
  <c r="V4638" i="234"/>
  <c r="V4647" i="234"/>
  <c r="D216" i="232"/>
  <c r="G216" i="232"/>
  <c r="H216" i="232"/>
  <c r="V4625" i="234"/>
  <c r="V4624" i="234"/>
  <c r="V4623" i="234"/>
  <c r="V4622" i="234"/>
  <c r="V4621" i="234"/>
  <c r="V4620" i="234"/>
  <c r="V4619" i="234"/>
  <c r="V4618" i="234"/>
  <c r="V4617" i="234"/>
  <c r="V4626" i="234"/>
  <c r="D76" i="232"/>
  <c r="G76" i="232"/>
  <c r="H76" i="232"/>
  <c r="V3176" i="234"/>
  <c r="V3175" i="234"/>
  <c r="V3174" i="234"/>
  <c r="V3173" i="234"/>
  <c r="V3172" i="234"/>
  <c r="V3171" i="234"/>
  <c r="V3170" i="234"/>
  <c r="V3169" i="234"/>
  <c r="V3168" i="234"/>
  <c r="V3177" i="234"/>
  <c r="D43" i="232"/>
  <c r="G43" i="232"/>
  <c r="H43" i="232"/>
  <c r="V4706" i="234"/>
  <c r="V4705" i="234"/>
  <c r="V4704" i="234"/>
  <c r="V4703" i="234"/>
  <c r="V4702" i="234"/>
  <c r="V4701" i="234"/>
  <c r="V4700" i="234"/>
  <c r="V4699" i="234"/>
  <c r="V4698" i="234"/>
  <c r="V4707" i="234"/>
  <c r="R594" i="234"/>
  <c r="V596" i="234"/>
  <c r="V595" i="234"/>
  <c r="V594" i="234"/>
  <c r="V593" i="234"/>
  <c r="V1539" i="234"/>
  <c r="V1538" i="234"/>
  <c r="V1537" i="234"/>
  <c r="V1536" i="234"/>
  <c r="V1535" i="234"/>
  <c r="V1534" i="234"/>
  <c r="V1533" i="234"/>
  <c r="V1532" i="234"/>
  <c r="V1531" i="234"/>
  <c r="V1540" i="234"/>
  <c r="V2984" i="234"/>
  <c r="V2983" i="234"/>
  <c r="V2982" i="234"/>
  <c r="V2981" i="234"/>
  <c r="V2980" i="234"/>
  <c r="V2979" i="234"/>
  <c r="V2978" i="234"/>
  <c r="V2977" i="234"/>
  <c r="V2976" i="234"/>
  <c r="V2985" i="234"/>
  <c r="D365" i="232"/>
  <c r="G365" i="232"/>
  <c r="H365" i="232"/>
  <c r="D328" i="232"/>
  <c r="G328" i="232"/>
  <c r="H328" i="232"/>
  <c r="O181" i="233"/>
  <c r="O214" i="233"/>
  <c r="D100" i="232"/>
  <c r="G100" i="232"/>
  <c r="H100" i="232"/>
  <c r="D389" i="232"/>
  <c r="G389" i="232"/>
  <c r="H389" i="232"/>
  <c r="V2563" i="234"/>
  <c r="V2562" i="234"/>
  <c r="V2561" i="234"/>
  <c r="V2560" i="234"/>
  <c r="V2559" i="234"/>
  <c r="V2558" i="234"/>
  <c r="V2557" i="234"/>
  <c r="V2556" i="234"/>
  <c r="V2555" i="234"/>
  <c r="V2564" i="234"/>
  <c r="D45" i="232"/>
  <c r="G45" i="232"/>
  <c r="H45" i="232"/>
  <c r="D148" i="232"/>
  <c r="G148" i="232"/>
  <c r="H148" i="232"/>
  <c r="D246" i="232"/>
  <c r="G246" i="232"/>
  <c r="H246" i="232"/>
  <c r="O360" i="233"/>
  <c r="V4181" i="234"/>
  <c r="V4180" i="234"/>
  <c r="V4179" i="234"/>
  <c r="V4178" i="234"/>
  <c r="V4177" i="234"/>
  <c r="V4176" i="234"/>
  <c r="V4175" i="234"/>
  <c r="V4174" i="234"/>
  <c r="V4173" i="234"/>
  <c r="V4182" i="234"/>
  <c r="D412" i="232"/>
  <c r="G412" i="232"/>
  <c r="H412" i="232"/>
  <c r="J4180" i="234"/>
  <c r="O342" i="233"/>
  <c r="V4746" i="234"/>
  <c r="V4745" i="234"/>
  <c r="V4744" i="234"/>
  <c r="V4743" i="234"/>
  <c r="V4742" i="234"/>
  <c r="V4741" i="234"/>
  <c r="V4740" i="234"/>
  <c r="V4739" i="234"/>
  <c r="V4738" i="234"/>
  <c r="V4747" i="234"/>
  <c r="V4666" i="234"/>
  <c r="V4665" i="234"/>
  <c r="V4664" i="234"/>
  <c r="V4663" i="234"/>
  <c r="V4662" i="234"/>
  <c r="V4661" i="234"/>
  <c r="V4660" i="234"/>
  <c r="V4659" i="234"/>
  <c r="V4658" i="234"/>
  <c r="V4667" i="234"/>
  <c r="V2133" i="234"/>
  <c r="V2132" i="234"/>
  <c r="V2131" i="234"/>
  <c r="V2130" i="234"/>
  <c r="V2129" i="234"/>
  <c r="V2128" i="234"/>
  <c r="V2127" i="234"/>
  <c r="V2126" i="234"/>
  <c r="V2125" i="234"/>
  <c r="V2134" i="234"/>
  <c r="V4091" i="234"/>
  <c r="V4090" i="234"/>
  <c r="V4089" i="234"/>
  <c r="V4088" i="234"/>
  <c r="V4087" i="234"/>
  <c r="V4086" i="234"/>
  <c r="V4085" i="234"/>
  <c r="V4084" i="234"/>
  <c r="V4083" i="234"/>
  <c r="V4092" i="234"/>
  <c r="D323" i="232"/>
  <c r="G323" i="232"/>
  <c r="H323" i="232"/>
  <c r="D452" i="232"/>
  <c r="G452" i="232"/>
  <c r="H452" i="232"/>
  <c r="V1922" i="234"/>
  <c r="V1921" i="234"/>
  <c r="V1920" i="234"/>
  <c r="V1919" i="234"/>
  <c r="V1918" i="234"/>
  <c r="V1917" i="234"/>
  <c r="V1916" i="234"/>
  <c r="V1915" i="234"/>
  <c r="V1914" i="234"/>
  <c r="V1923" i="234"/>
  <c r="D363" i="232"/>
  <c r="G363" i="232"/>
  <c r="H363" i="232"/>
  <c r="V3720" i="234"/>
  <c r="V3719" i="234"/>
  <c r="V3718" i="234"/>
  <c r="V3717" i="234"/>
  <c r="V3716" i="234"/>
  <c r="V3715" i="234"/>
  <c r="V3714" i="234"/>
  <c r="V3713" i="234"/>
  <c r="V3712" i="234"/>
  <c r="V3721" i="234"/>
  <c r="O223" i="233"/>
  <c r="V1711" i="234"/>
  <c r="V1710" i="234"/>
  <c r="V1709" i="234"/>
  <c r="V1708" i="234"/>
  <c r="V1707" i="234"/>
  <c r="V1706" i="234"/>
  <c r="V1705" i="234"/>
  <c r="V1704" i="234"/>
  <c r="V1703" i="234"/>
  <c r="V1712" i="234"/>
  <c r="V1165" i="234"/>
  <c r="V1164" i="234"/>
  <c r="V1163" i="234"/>
  <c r="V1162" i="234"/>
  <c r="V1161" i="234"/>
  <c r="V1160" i="234"/>
  <c r="V1159" i="234"/>
  <c r="V1158" i="234"/>
  <c r="V1157" i="234"/>
  <c r="V1166" i="234"/>
  <c r="D81" i="232"/>
  <c r="G81" i="232"/>
  <c r="H81" i="232"/>
  <c r="D450" i="232"/>
  <c r="G450" i="232"/>
  <c r="H450" i="232"/>
  <c r="O446" i="233"/>
  <c r="O73" i="233"/>
  <c r="V3610" i="234"/>
  <c r="V3609" i="234"/>
  <c r="V3608" i="234"/>
  <c r="V3607" i="234"/>
  <c r="V3606" i="234"/>
  <c r="V3605" i="234"/>
  <c r="V3604" i="234"/>
  <c r="V3603" i="234"/>
  <c r="V3602" i="234"/>
  <c r="V3611" i="234"/>
  <c r="D338" i="232"/>
  <c r="G338" i="232"/>
  <c r="H338" i="232"/>
  <c r="O403" i="233"/>
  <c r="J203" i="234"/>
  <c r="V2884" i="234"/>
  <c r="V2883" i="234"/>
  <c r="V2882" i="234"/>
  <c r="V2881" i="234"/>
  <c r="V2880" i="234"/>
  <c r="V2879" i="234"/>
  <c r="V2878" i="234"/>
  <c r="V2877" i="234"/>
  <c r="V2876" i="234"/>
  <c r="V2885" i="234"/>
  <c r="V66" i="234"/>
  <c r="V65" i="234"/>
  <c r="V64" i="234"/>
  <c r="V63" i="234"/>
  <c r="V62" i="234"/>
  <c r="V61" i="234"/>
  <c r="V60" i="234"/>
  <c r="V59" i="234"/>
  <c r="V58" i="234"/>
  <c r="V67" i="234"/>
  <c r="D396" i="232"/>
  <c r="G396" i="232"/>
  <c r="H396" i="232"/>
  <c r="D19" i="232"/>
  <c r="G19" i="232"/>
  <c r="H19" i="232"/>
  <c r="D405" i="232"/>
  <c r="G405" i="232"/>
  <c r="H405" i="232"/>
  <c r="D345" i="232"/>
  <c r="G345" i="232"/>
  <c r="H345" i="232"/>
  <c r="D264" i="232"/>
  <c r="G264" i="232"/>
  <c r="H264" i="232"/>
  <c r="D320" i="232"/>
  <c r="G320" i="232"/>
  <c r="H320" i="232"/>
  <c r="D434" i="232"/>
  <c r="G434" i="232"/>
  <c r="H434" i="232"/>
  <c r="V1771" i="234"/>
  <c r="V1770" i="234"/>
  <c r="V1769" i="234"/>
  <c r="V1768" i="234"/>
  <c r="V1767" i="234"/>
  <c r="V1766" i="234"/>
  <c r="V1765" i="234"/>
  <c r="V1764" i="234"/>
  <c r="V1763" i="234"/>
  <c r="V1772" i="234"/>
  <c r="O294" i="233"/>
  <c r="D135" i="232"/>
  <c r="G135" i="232"/>
  <c r="H135" i="232"/>
  <c r="D413" i="232"/>
  <c r="G413" i="232"/>
  <c r="H413" i="232"/>
  <c r="D402" i="232"/>
  <c r="G402" i="232"/>
  <c r="H402" i="232"/>
  <c r="O407" i="233"/>
  <c r="V3660" i="234"/>
  <c r="V3659" i="234"/>
  <c r="V3658" i="234"/>
  <c r="V3657" i="234"/>
  <c r="V3656" i="234"/>
  <c r="V3655" i="234"/>
  <c r="V3654" i="234"/>
  <c r="V3653" i="234"/>
  <c r="V3652" i="234"/>
  <c r="V3661" i="234"/>
  <c r="V3358" i="234"/>
  <c r="V3357" i="234"/>
  <c r="V3356" i="234"/>
  <c r="V3355" i="234"/>
  <c r="V3354" i="234"/>
  <c r="V3353" i="234"/>
  <c r="V3352" i="234"/>
  <c r="V3351" i="234"/>
  <c r="V3350" i="234"/>
  <c r="V3359" i="234"/>
  <c r="D189" i="232"/>
  <c r="G189" i="232"/>
  <c r="H189" i="232"/>
  <c r="V1912" i="234"/>
  <c r="V1911" i="234"/>
  <c r="V1910" i="234"/>
  <c r="V1909" i="234"/>
  <c r="V1908" i="234"/>
  <c r="V1907" i="234"/>
  <c r="V1906" i="234"/>
  <c r="V1905" i="234"/>
  <c r="V1904" i="234"/>
  <c r="V1913" i="234"/>
  <c r="D214" i="232"/>
  <c r="G214" i="232"/>
  <c r="H214" i="232"/>
  <c r="V1275" i="234"/>
  <c r="V1274" i="234"/>
  <c r="V1273" i="234"/>
  <c r="V1272" i="234"/>
  <c r="V1271" i="234"/>
  <c r="V1270" i="234"/>
  <c r="V1269" i="234"/>
  <c r="V1268" i="234"/>
  <c r="V1267" i="234"/>
  <c r="V1276" i="234"/>
  <c r="V3378" i="234"/>
  <c r="V3377" i="234"/>
  <c r="V3376" i="234"/>
  <c r="V3375" i="234"/>
  <c r="V3374" i="234"/>
  <c r="V3373" i="234"/>
  <c r="V3372" i="234"/>
  <c r="V3371" i="234"/>
  <c r="V3370" i="234"/>
  <c r="V3379" i="234"/>
  <c r="D96" i="232"/>
  <c r="G96" i="232"/>
  <c r="H96" i="232"/>
  <c r="D383" i="232"/>
  <c r="G383" i="232"/>
  <c r="H383" i="232"/>
  <c r="V2894" i="234"/>
  <c r="V2893" i="234"/>
  <c r="V2892" i="234"/>
  <c r="V2891" i="234"/>
  <c r="V2890" i="234"/>
  <c r="V2889" i="234"/>
  <c r="V2888" i="234"/>
  <c r="V2887" i="234"/>
  <c r="V2886" i="234"/>
  <c r="V2895" i="234"/>
  <c r="V4191" i="234"/>
  <c r="V4190" i="234"/>
  <c r="V4189" i="234"/>
  <c r="V4188" i="234"/>
  <c r="V4187" i="234"/>
  <c r="V4186" i="234"/>
  <c r="V4185" i="234"/>
  <c r="V4184" i="234"/>
  <c r="V4183" i="234"/>
  <c r="V4192" i="234"/>
  <c r="V2082" i="234"/>
  <c r="V2081" i="234"/>
  <c r="V2080" i="234"/>
  <c r="V2079" i="234"/>
  <c r="V2078" i="234"/>
  <c r="V2077" i="234"/>
  <c r="V2076" i="234"/>
  <c r="V2075" i="234"/>
  <c r="V2074" i="234"/>
  <c r="V2083" i="234"/>
  <c r="D236" i="232"/>
  <c r="G236" i="232"/>
  <c r="H236" i="232"/>
  <c r="V1437" i="234"/>
  <c r="V1436" i="234"/>
  <c r="V1435" i="234"/>
  <c r="V1434" i="234"/>
  <c r="V1433" i="234"/>
  <c r="V1432" i="234"/>
  <c r="V1431" i="234"/>
  <c r="V1430" i="234"/>
  <c r="V1429" i="234"/>
  <c r="V1438" i="234"/>
  <c r="V1447" i="234"/>
  <c r="V1446" i="234"/>
  <c r="V1445" i="234"/>
  <c r="V1444" i="234"/>
  <c r="V1443" i="234"/>
  <c r="V1442" i="234"/>
  <c r="V1441" i="234"/>
  <c r="V1440" i="234"/>
  <c r="V1439" i="234"/>
  <c r="V1448" i="234"/>
  <c r="V2123" i="234"/>
  <c r="V2122" i="234"/>
  <c r="V2121" i="234"/>
  <c r="V2120" i="234"/>
  <c r="V2119" i="234"/>
  <c r="V2118" i="234"/>
  <c r="V2117" i="234"/>
  <c r="V2116" i="234"/>
  <c r="V2115" i="234"/>
  <c r="V2124" i="234"/>
  <c r="D421" i="232"/>
  <c r="G421" i="232"/>
  <c r="H421" i="232"/>
  <c r="V1812" i="234"/>
  <c r="V1811" i="234"/>
  <c r="V1810" i="234"/>
  <c r="V1809" i="234"/>
  <c r="V1808" i="234"/>
  <c r="V1807" i="234"/>
  <c r="V1806" i="234"/>
  <c r="V1805" i="234"/>
  <c r="V1804" i="234"/>
  <c r="V1813" i="234"/>
  <c r="D325" i="232"/>
  <c r="G325" i="232"/>
  <c r="H325" i="232"/>
  <c r="D156" i="232"/>
  <c r="G156" i="232"/>
  <c r="H156" i="232"/>
  <c r="V1942" i="234"/>
  <c r="V1941" i="234"/>
  <c r="V1940" i="234"/>
  <c r="V1939" i="234"/>
  <c r="V1938" i="234"/>
  <c r="V1937" i="234"/>
  <c r="V1936" i="234"/>
  <c r="V1935" i="234"/>
  <c r="V1934" i="234"/>
  <c r="V1943" i="234"/>
  <c r="D114" i="232"/>
  <c r="G114" i="232"/>
  <c r="H114" i="232"/>
  <c r="O163" i="233"/>
  <c r="D183" i="232"/>
  <c r="G183" i="232"/>
  <c r="H183" i="232"/>
  <c r="D188" i="232"/>
  <c r="G188" i="232"/>
  <c r="H188" i="232"/>
  <c r="D56" i="232"/>
  <c r="G56" i="232"/>
  <c r="H56" i="232"/>
  <c r="V1620" i="234"/>
  <c r="V1619" i="234"/>
  <c r="V1618" i="234"/>
  <c r="V1617" i="234"/>
  <c r="V1616" i="234"/>
  <c r="V1615" i="234"/>
  <c r="V1614" i="234"/>
  <c r="V1613" i="234"/>
  <c r="V1612" i="234"/>
  <c r="V1621" i="234"/>
  <c r="O349" i="233"/>
  <c r="V2448" i="234"/>
  <c r="V2447" i="234"/>
  <c r="V2446" i="234"/>
  <c r="V2445" i="234"/>
  <c r="V2444" i="234"/>
  <c r="V2443" i="234"/>
  <c r="V2442" i="234"/>
  <c r="V2441" i="234"/>
  <c r="V2440" i="234"/>
  <c r="V2449" i="234"/>
  <c r="D108" i="232"/>
  <c r="G108" i="232"/>
  <c r="H108" i="232"/>
  <c r="D374" i="232"/>
  <c r="G374" i="232"/>
  <c r="H374" i="232"/>
  <c r="O44" i="233"/>
  <c r="D170" i="232"/>
  <c r="G170" i="232"/>
  <c r="H170" i="232"/>
  <c r="O185" i="233"/>
  <c r="V4364" i="234"/>
  <c r="V4363" i="234"/>
  <c r="V4362" i="234"/>
  <c r="V4361" i="234"/>
  <c r="V4360" i="234"/>
  <c r="V4359" i="234"/>
  <c r="V4358" i="234"/>
  <c r="V4357" i="234"/>
  <c r="V4356" i="234"/>
  <c r="V4365" i="234"/>
  <c r="D144" i="232"/>
  <c r="G144" i="232"/>
  <c r="H144" i="232"/>
  <c r="O437" i="233"/>
  <c r="O248" i="233"/>
  <c r="O411" i="233"/>
  <c r="O278" i="233"/>
  <c r="D399" i="232"/>
  <c r="G399" i="232"/>
  <c r="H399" i="232"/>
  <c r="D418" i="232"/>
  <c r="G418" i="232"/>
  <c r="H418" i="232"/>
  <c r="V4304" i="234"/>
  <c r="V4303" i="234"/>
  <c r="V4302" i="234"/>
  <c r="V4301" i="234"/>
  <c r="V4300" i="234"/>
  <c r="V4299" i="234"/>
  <c r="V4298" i="234"/>
  <c r="V4297" i="234"/>
  <c r="V4296" i="234"/>
  <c r="V4305" i="234"/>
  <c r="V3388" i="234"/>
  <c r="V3387" i="234"/>
  <c r="V3386" i="234"/>
  <c r="V3385" i="234"/>
  <c r="V3384" i="234"/>
  <c r="V3383" i="234"/>
  <c r="V3382" i="234"/>
  <c r="V3381" i="234"/>
  <c r="V3380" i="234"/>
  <c r="V3389" i="234"/>
  <c r="D173" i="232"/>
  <c r="G173" i="232"/>
  <c r="H173" i="232"/>
  <c r="D289" i="232"/>
  <c r="G289" i="232"/>
  <c r="H289" i="232"/>
  <c r="D69" i="232"/>
  <c r="G69" i="232"/>
  <c r="H69" i="232"/>
  <c r="D382" i="232"/>
  <c r="G382" i="232"/>
  <c r="H382" i="232"/>
  <c r="V1741" i="234"/>
  <c r="V1740" i="234"/>
  <c r="V1739" i="234"/>
  <c r="V1738" i="234"/>
  <c r="V1737" i="234"/>
  <c r="V1736" i="234"/>
  <c r="V1735" i="234"/>
  <c r="V1734" i="234"/>
  <c r="V1733" i="234"/>
  <c r="V1742" i="234"/>
  <c r="V4222" i="234"/>
  <c r="V4221" i="234"/>
  <c r="V4220" i="234"/>
  <c r="V4219" i="234"/>
  <c r="V4218" i="234"/>
  <c r="V4217" i="234"/>
  <c r="V4216" i="234"/>
  <c r="V4215" i="234"/>
  <c r="V4214" i="234"/>
  <c r="V4223" i="234"/>
  <c r="P231" i="233"/>
  <c r="O272" i="233"/>
  <c r="V255" i="234"/>
  <c r="V254" i="234"/>
  <c r="V253" i="234"/>
  <c r="V252" i="234"/>
  <c r="V251" i="234"/>
  <c r="V250" i="234"/>
  <c r="V249" i="234"/>
  <c r="V248" i="234"/>
  <c r="V256" i="234"/>
  <c r="D159" i="232"/>
  <c r="G159" i="232"/>
  <c r="H159" i="232"/>
  <c r="D397" i="232"/>
  <c r="G397" i="232"/>
  <c r="H397" i="232"/>
  <c r="D241" i="232"/>
  <c r="G241" i="232"/>
  <c r="H241" i="232"/>
  <c r="D149" i="232"/>
  <c r="G149" i="232"/>
  <c r="H149" i="232"/>
  <c r="V4001" i="234"/>
  <c r="V4000" i="234"/>
  <c r="V3999" i="234"/>
  <c r="V3998" i="234"/>
  <c r="V3997" i="234"/>
  <c r="V3996" i="234"/>
  <c r="V3995" i="234"/>
  <c r="V3994" i="234"/>
  <c r="V3993" i="234"/>
  <c r="V4002" i="234"/>
  <c r="D279" i="232"/>
  <c r="G279" i="232"/>
  <c r="H279" i="232"/>
  <c r="V2042" i="234"/>
  <c r="V2041" i="234"/>
  <c r="V2040" i="234"/>
  <c r="V2039" i="234"/>
  <c r="V2038" i="234"/>
  <c r="V2037" i="234"/>
  <c r="V2036" i="234"/>
  <c r="V2035" i="234"/>
  <c r="V2034" i="234"/>
  <c r="V2043" i="234"/>
  <c r="V212" i="234"/>
  <c r="V211" i="234"/>
  <c r="V210" i="234"/>
  <c r="V209" i="234"/>
  <c r="V208" i="234"/>
  <c r="V207" i="234"/>
  <c r="V206" i="234"/>
  <c r="D87" i="232"/>
  <c r="G87" i="232"/>
  <c r="H87" i="232"/>
  <c r="V2633" i="234"/>
  <c r="V2632" i="234"/>
  <c r="V2631" i="234"/>
  <c r="V2630" i="234"/>
  <c r="V2629" i="234"/>
  <c r="V2628" i="234"/>
  <c r="V2627" i="234"/>
  <c r="V2626" i="234"/>
  <c r="V2625" i="234"/>
  <c r="V2634" i="234"/>
  <c r="D392" i="232"/>
  <c r="G392" i="232"/>
  <c r="H392" i="232"/>
  <c r="D163" i="232"/>
  <c r="G163" i="232"/>
  <c r="H163" i="232"/>
  <c r="D410" i="232"/>
  <c r="G410" i="232"/>
  <c r="H410" i="232"/>
  <c r="D341" i="232"/>
  <c r="G341" i="232"/>
  <c r="H341" i="232"/>
  <c r="V3640" i="234"/>
  <c r="V3639" i="234"/>
  <c r="V3638" i="234"/>
  <c r="V3637" i="234"/>
  <c r="V3636" i="234"/>
  <c r="V3635" i="234"/>
  <c r="V3634" i="234"/>
  <c r="V3633" i="234"/>
  <c r="V3632" i="234"/>
  <c r="V3641" i="234"/>
  <c r="O132" i="233"/>
  <c r="V960" i="234"/>
  <c r="V959" i="234"/>
  <c r="V958" i="234"/>
  <c r="V957" i="234"/>
  <c r="O60" i="233"/>
  <c r="V213" i="234"/>
  <c r="V214" i="234"/>
  <c r="D26" i="232"/>
  <c r="G26" i="232"/>
  <c r="H26" i="232"/>
  <c r="O445" i="233"/>
  <c r="D179" i="232"/>
  <c r="G179" i="232"/>
  <c r="H179" i="232"/>
  <c r="D379" i="232"/>
  <c r="G379" i="232"/>
  <c r="H379" i="232"/>
  <c r="V825" i="234"/>
  <c r="V824" i="234"/>
  <c r="V823" i="234"/>
  <c r="V822" i="234"/>
  <c r="V821" i="234"/>
  <c r="V820" i="234"/>
  <c r="V819" i="234"/>
  <c r="V818" i="234"/>
  <c r="V817" i="234"/>
  <c r="V816" i="234"/>
  <c r="V815" i="234"/>
  <c r="V814" i="234"/>
  <c r="V813" i="234"/>
  <c r="V812" i="234"/>
  <c r="V811" i="234"/>
  <c r="V4636" i="234"/>
  <c r="V4635" i="234"/>
  <c r="V4634" i="234"/>
  <c r="V4633" i="234"/>
  <c r="V4632" i="234"/>
  <c r="V4631" i="234"/>
  <c r="V4630" i="234"/>
  <c r="V4629" i="234"/>
  <c r="V4628" i="234"/>
  <c r="V4627" i="234"/>
  <c r="V4637" i="234"/>
  <c r="D165" i="232"/>
  <c r="G165" i="232"/>
  <c r="H165" i="232"/>
  <c r="V3821" i="234"/>
  <c r="V3820" i="234"/>
  <c r="V3819" i="234"/>
  <c r="V3818" i="234"/>
  <c r="V3817" i="234"/>
  <c r="V3816" i="234"/>
  <c r="V3815" i="234"/>
  <c r="V3814" i="234"/>
  <c r="V3813" i="234"/>
  <c r="V3822" i="234"/>
  <c r="D355" i="232"/>
  <c r="G355" i="232"/>
  <c r="H355" i="232"/>
  <c r="V201" i="234"/>
  <c r="V174" i="234"/>
  <c r="V3075" i="234"/>
  <c r="V3074" i="234"/>
  <c r="V3073" i="234"/>
  <c r="V3072" i="234"/>
  <c r="V3071" i="234"/>
  <c r="V3070" i="234"/>
  <c r="V3069" i="234"/>
  <c r="V3068" i="234"/>
  <c r="V3067" i="234"/>
  <c r="V3076" i="234"/>
  <c r="V4129" i="234"/>
  <c r="V4128" i="234"/>
  <c r="V4127" i="234"/>
  <c r="V4126" i="234"/>
  <c r="V4125" i="234"/>
  <c r="O174" i="233"/>
  <c r="V2603" i="234"/>
  <c r="V2602" i="234"/>
  <c r="V2601" i="234"/>
  <c r="V2600" i="234"/>
  <c r="V2599" i="234"/>
  <c r="V2598" i="234"/>
  <c r="V2597" i="234"/>
  <c r="V2596" i="234"/>
  <c r="V2595" i="234"/>
  <c r="V2604" i="234"/>
  <c r="V4696" i="234"/>
  <c r="V4695" i="234"/>
  <c r="V4694" i="234"/>
  <c r="V4693" i="234"/>
  <c r="V4692" i="234"/>
  <c r="V4691" i="234"/>
  <c r="V4690" i="234"/>
  <c r="V4689" i="234"/>
  <c r="V4688" i="234"/>
  <c r="V4697" i="234"/>
  <c r="R645" i="234"/>
  <c r="J646" i="234"/>
  <c r="O284" i="233"/>
  <c r="V3307" i="234"/>
  <c r="V3306" i="234"/>
  <c r="V3305" i="234"/>
  <c r="V3304" i="234"/>
  <c r="V3303" i="234"/>
  <c r="V3302" i="234"/>
  <c r="V3301" i="234"/>
  <c r="V3300" i="234"/>
  <c r="V3299" i="234"/>
  <c r="V3308" i="234"/>
  <c r="D300" i="232"/>
  <c r="G300" i="232"/>
  <c r="H300" i="232"/>
  <c r="V3135" i="234"/>
  <c r="V3134" i="234"/>
  <c r="V3133" i="234"/>
  <c r="V3132" i="234"/>
  <c r="V3131" i="234"/>
  <c r="V3130" i="234"/>
  <c r="V3129" i="234"/>
  <c r="V3128" i="234"/>
  <c r="V3127" i="234"/>
  <c r="V3136" i="234"/>
  <c r="D215" i="232"/>
  <c r="G215" i="232"/>
  <c r="H215" i="232"/>
  <c r="V2052" i="234"/>
  <c r="V2051" i="234"/>
  <c r="V2050" i="234"/>
  <c r="V2049" i="234"/>
  <c r="V2048" i="234"/>
  <c r="V2047" i="234"/>
  <c r="V2046" i="234"/>
  <c r="V2045" i="234"/>
  <c r="V2044" i="234"/>
  <c r="V2053" i="234"/>
  <c r="V1872" i="234"/>
  <c r="V1871" i="234"/>
  <c r="V1870" i="234"/>
  <c r="V1869" i="234"/>
  <c r="V1868" i="234"/>
  <c r="V1867" i="234"/>
  <c r="V1866" i="234"/>
  <c r="V1865" i="234"/>
  <c r="V1864" i="234"/>
  <c r="V1873" i="234"/>
  <c r="J489" i="234"/>
  <c r="R696" i="234"/>
  <c r="J697" i="234"/>
  <c r="D424" i="232"/>
  <c r="G424" i="232"/>
  <c r="H424" i="232"/>
  <c r="V3800" i="234"/>
  <c r="V3799" i="234"/>
  <c r="V3798" i="234"/>
  <c r="V3797" i="234"/>
  <c r="V3796" i="234"/>
  <c r="V3795" i="234"/>
  <c r="V3794" i="234"/>
  <c r="V3793" i="234"/>
  <c r="V3792" i="234"/>
  <c r="V3801" i="234"/>
  <c r="D104" i="232"/>
  <c r="G104" i="232"/>
  <c r="H104" i="232"/>
  <c r="V2357" i="234"/>
  <c r="V2356" i="234"/>
  <c r="V2355" i="234"/>
  <c r="V2354" i="234"/>
  <c r="V2353" i="234"/>
  <c r="V2352" i="234"/>
  <c r="V2351" i="234"/>
  <c r="V2350" i="234"/>
  <c r="V2349" i="234"/>
  <c r="V2358" i="234"/>
  <c r="D130" i="232"/>
  <c r="G130" i="232"/>
  <c r="H130" i="232"/>
  <c r="D295" i="232"/>
  <c r="G295" i="232"/>
  <c r="H295" i="232"/>
  <c r="O22" i="233"/>
  <c r="D112" i="232"/>
  <c r="G112" i="232"/>
  <c r="H112" i="232"/>
  <c r="V1094" i="234"/>
  <c r="V1093" i="234"/>
  <c r="V1092" i="234"/>
  <c r="V1091" i="234"/>
  <c r="V1090" i="234"/>
  <c r="V1089" i="234"/>
  <c r="V1088" i="234"/>
  <c r="V1087" i="234"/>
  <c r="V1086" i="234"/>
  <c r="V1095" i="234"/>
  <c r="V1205" i="234"/>
  <c r="V1204" i="234"/>
  <c r="V1203" i="234"/>
  <c r="V1202" i="234"/>
  <c r="V1201" i="234"/>
  <c r="V1200" i="234"/>
  <c r="V1199" i="234"/>
  <c r="V1198" i="234"/>
  <c r="V1197" i="234"/>
  <c r="V1206" i="234"/>
  <c r="D258" i="232"/>
  <c r="G258" i="232"/>
  <c r="H258" i="232"/>
  <c r="D377" i="232"/>
  <c r="G377" i="232"/>
  <c r="H377" i="232"/>
  <c r="V216" i="234"/>
  <c r="D270" i="232"/>
  <c r="G270" i="232"/>
  <c r="H270" i="232"/>
  <c r="V3871" i="234"/>
  <c r="V3870" i="234"/>
  <c r="V3869" i="234"/>
  <c r="V3868" i="234"/>
  <c r="V3867" i="234"/>
  <c r="V3866" i="234"/>
  <c r="V3865" i="234"/>
  <c r="V3864" i="234"/>
  <c r="V3863" i="234"/>
  <c r="V3872" i="234"/>
  <c r="D400" i="232"/>
  <c r="G400" i="232"/>
  <c r="H400" i="232"/>
  <c r="D66" i="232"/>
  <c r="G66" i="232"/>
  <c r="H66" i="232"/>
  <c r="V2613" i="234"/>
  <c r="V2612" i="234"/>
  <c r="V2611" i="234"/>
  <c r="V2610" i="234"/>
  <c r="V2609" i="234"/>
  <c r="V2608" i="234"/>
  <c r="V2607" i="234"/>
  <c r="V2606" i="234"/>
  <c r="V2605" i="234"/>
  <c r="V2614" i="234"/>
  <c r="V2062" i="234"/>
  <c r="V2061" i="234"/>
  <c r="V2060" i="234"/>
  <c r="V2059" i="234"/>
  <c r="V2058" i="234"/>
  <c r="V2057" i="234"/>
  <c r="V2056" i="234"/>
  <c r="V2055" i="234"/>
  <c r="V2054" i="234"/>
  <c r="V2063" i="234"/>
  <c r="D129" i="232"/>
  <c r="G129" i="232"/>
  <c r="H129" i="232"/>
  <c r="V3981" i="234"/>
  <c r="V3980" i="234"/>
  <c r="V3979" i="234"/>
  <c r="V3978" i="234"/>
  <c r="V3977" i="234"/>
  <c r="V3976" i="234"/>
  <c r="V3975" i="234"/>
  <c r="V3974" i="234"/>
  <c r="V3973" i="234"/>
  <c r="V3982" i="234"/>
  <c r="D225" i="232"/>
  <c r="G225" i="232"/>
  <c r="H225" i="232"/>
  <c r="D184" i="232"/>
  <c r="G184" i="232"/>
  <c r="H184" i="232"/>
  <c r="O51" i="233"/>
  <c r="V906" i="234"/>
  <c r="V905" i="234"/>
  <c r="V904" i="234"/>
  <c r="V903" i="234"/>
  <c r="V902" i="234"/>
  <c r="V901" i="234"/>
  <c r="V900" i="234"/>
  <c r="V899" i="234"/>
  <c r="V898" i="234"/>
  <c r="V907" i="234"/>
  <c r="V993" i="234"/>
  <c r="V992" i="234"/>
  <c r="V991" i="234"/>
  <c r="V990" i="234"/>
  <c r="V989" i="234"/>
  <c r="V988" i="234"/>
  <c r="V987" i="234"/>
  <c r="V986" i="234"/>
  <c r="V985" i="234"/>
  <c r="V984" i="234"/>
  <c r="V983" i="234"/>
  <c r="V994" i="234"/>
  <c r="D124" i="232"/>
  <c r="G124" i="232"/>
  <c r="H124" i="232"/>
  <c r="V215" i="234"/>
  <c r="O38" i="233"/>
  <c r="V1519" i="234"/>
  <c r="V1518" i="234"/>
  <c r="V1517" i="234"/>
  <c r="V1516" i="234"/>
  <c r="V1515" i="234"/>
  <c r="V1514" i="234"/>
  <c r="V1513" i="234"/>
  <c r="V1512" i="234"/>
  <c r="V1511" i="234"/>
  <c r="V1520" i="234"/>
  <c r="D417" i="232"/>
  <c r="G417" i="232"/>
  <c r="H417" i="232"/>
  <c r="V1932" i="234"/>
  <c r="V1931" i="234"/>
  <c r="V1930" i="234"/>
  <c r="V1929" i="234"/>
  <c r="V1928" i="234"/>
  <c r="V1927" i="234"/>
  <c r="V1926" i="234"/>
  <c r="V1925" i="234"/>
  <c r="V1924" i="234"/>
  <c r="V1933" i="234"/>
  <c r="O365" i="233"/>
  <c r="D160" i="232"/>
  <c r="G160" i="232"/>
  <c r="H160" i="232"/>
  <c r="O215" i="233"/>
  <c r="D127" i="232"/>
  <c r="G127" i="232"/>
  <c r="H127" i="232"/>
  <c r="V2573" i="234"/>
  <c r="V2572" i="234"/>
  <c r="V2571" i="234"/>
  <c r="V2570" i="234"/>
  <c r="V2569" i="234"/>
  <c r="V2568" i="234"/>
  <c r="V2567" i="234"/>
  <c r="V2566" i="234"/>
  <c r="V2565" i="234"/>
  <c r="V2574" i="234"/>
  <c r="O329" i="233"/>
  <c r="V3226" i="234"/>
  <c r="V3225" i="234"/>
  <c r="V3224" i="234"/>
  <c r="V3223" i="234"/>
  <c r="V3222" i="234"/>
  <c r="V3221" i="234"/>
  <c r="V3220" i="234"/>
  <c r="V3219" i="234"/>
  <c r="V3218" i="234"/>
  <c r="V3227" i="234"/>
  <c r="D247" i="232"/>
  <c r="G247" i="232"/>
  <c r="H247" i="232"/>
  <c r="D139" i="232"/>
  <c r="G139" i="232"/>
  <c r="H139" i="232"/>
  <c r="V3044" i="234"/>
  <c r="V3043" i="234"/>
  <c r="V3042" i="234"/>
  <c r="V3041" i="234"/>
  <c r="V3040" i="234"/>
  <c r="V3039" i="234"/>
  <c r="V3038" i="234"/>
  <c r="V3037" i="234"/>
  <c r="V3036" i="234"/>
  <c r="V3045" i="234"/>
  <c r="O443" i="233"/>
  <c r="D353" i="232"/>
  <c r="G353" i="232"/>
  <c r="H353" i="232"/>
  <c r="O144" i="233"/>
  <c r="O288" i="233"/>
  <c r="V522" i="234"/>
  <c r="V521" i="234"/>
  <c r="D420" i="232"/>
  <c r="G420" i="232"/>
  <c r="H420" i="232"/>
  <c r="D371" i="232"/>
  <c r="G371" i="232"/>
  <c r="H371" i="232"/>
  <c r="D268" i="232"/>
  <c r="G268" i="232"/>
  <c r="H268" i="232"/>
  <c r="O226" i="233"/>
  <c r="V2408" i="234"/>
  <c r="V2407" i="234"/>
  <c r="V2406" i="234"/>
  <c r="V2405" i="234"/>
  <c r="V2404" i="234"/>
  <c r="V2403" i="234"/>
  <c r="V2402" i="234"/>
  <c r="V2401" i="234"/>
  <c r="V2400" i="234"/>
  <c r="V2409" i="234"/>
  <c r="O238" i="233"/>
  <c r="O107" i="233"/>
  <c r="D168" i="232"/>
  <c r="G168" i="232"/>
  <c r="H168" i="232"/>
  <c r="V4111" i="234"/>
  <c r="V4110" i="234"/>
  <c r="V4109" i="234"/>
  <c r="V4108" i="234"/>
  <c r="V4107" i="234"/>
  <c r="V4106" i="234"/>
  <c r="V4105" i="234"/>
  <c r="V4104" i="234"/>
  <c r="V4103" i="234"/>
  <c r="V4112" i="234"/>
  <c r="O162" i="233"/>
  <c r="D306" i="232"/>
  <c r="G306" i="232"/>
  <c r="H306" i="232"/>
  <c r="V1427" i="234"/>
  <c r="V1426" i="234"/>
  <c r="V1425" i="234"/>
  <c r="V1424" i="234"/>
  <c r="V1423" i="234"/>
  <c r="V1422" i="234"/>
  <c r="V1421" i="234"/>
  <c r="V1420" i="234"/>
  <c r="V1419" i="234"/>
  <c r="V1428" i="234"/>
  <c r="V2643" i="234"/>
  <c r="V2642" i="234"/>
  <c r="V2641" i="234"/>
  <c r="V2640" i="234"/>
  <c r="V2639" i="234"/>
  <c r="V2638" i="234"/>
  <c r="V2637" i="234"/>
  <c r="V2636" i="234"/>
  <c r="V2635" i="234"/>
  <c r="V2644" i="234"/>
  <c r="V2163" i="234"/>
  <c r="V2162" i="234"/>
  <c r="V2161" i="234"/>
  <c r="V2160" i="234"/>
  <c r="V2159" i="234"/>
  <c r="V2158" i="234"/>
  <c r="V2157" i="234"/>
  <c r="V2156" i="234"/>
  <c r="V2155" i="234"/>
  <c r="V2164" i="234"/>
  <c r="D40" i="232"/>
  <c r="G40" i="232"/>
  <c r="H40" i="232"/>
  <c r="D75" i="232"/>
  <c r="G75" i="232"/>
  <c r="H75" i="232"/>
  <c r="V1074" i="234"/>
  <c r="V1073" i="234"/>
  <c r="V1072" i="234"/>
  <c r="V1071" i="234"/>
  <c r="V1070" i="234"/>
  <c r="V1069" i="234"/>
  <c r="V1068" i="234"/>
  <c r="V1067" i="234"/>
  <c r="V1066" i="234"/>
  <c r="V1075" i="234"/>
  <c r="D218" i="232"/>
  <c r="G218" i="232"/>
  <c r="H218" i="232"/>
  <c r="O186" i="233"/>
  <c r="D358" i="232"/>
  <c r="G358" i="232"/>
  <c r="H358" i="232"/>
  <c r="O244" i="233"/>
  <c r="D204" i="232"/>
  <c r="G204" i="232"/>
  <c r="H204" i="232"/>
  <c r="O16" i="233"/>
  <c r="D271" i="232"/>
  <c r="G271" i="232"/>
  <c r="H271" i="232"/>
  <c r="V2863" i="234"/>
  <c r="V2862" i="234"/>
  <c r="V2861" i="234"/>
  <c r="V2860" i="234"/>
  <c r="V2859" i="234"/>
  <c r="V2858" i="234"/>
  <c r="V2857" i="234"/>
  <c r="V2856" i="234"/>
  <c r="V2855" i="234"/>
  <c r="V2864" i="234"/>
  <c r="V3831" i="234"/>
  <c r="V3830" i="234"/>
  <c r="V3829" i="234"/>
  <c r="V3828" i="234"/>
  <c r="V3827" i="234"/>
  <c r="V3826" i="234"/>
  <c r="V3825" i="234"/>
  <c r="V3824" i="234"/>
  <c r="V3823" i="234"/>
  <c r="V3832" i="234"/>
  <c r="V306" i="234"/>
  <c r="V305" i="234"/>
  <c r="V304" i="234"/>
  <c r="V303" i="234"/>
  <c r="V302" i="234"/>
  <c r="V301" i="234"/>
  <c r="V307" i="234"/>
  <c r="V3206" i="234"/>
  <c r="V3205" i="234"/>
  <c r="V3204" i="234"/>
  <c r="V3203" i="234"/>
  <c r="V3202" i="234"/>
  <c r="V3201" i="234"/>
  <c r="V3200" i="234"/>
  <c r="V3199" i="234"/>
  <c r="V3198" i="234"/>
  <c r="V3207" i="234"/>
  <c r="D62" i="232"/>
  <c r="G62" i="232"/>
  <c r="H62" i="232"/>
  <c r="V56" i="234"/>
  <c r="V55" i="234"/>
  <c r="V54" i="234"/>
  <c r="V53" i="234"/>
  <c r="V52" i="234"/>
  <c r="V51" i="234"/>
  <c r="V50" i="234"/>
  <c r="V49" i="234"/>
  <c r="V48" i="234"/>
  <c r="V57" i="234"/>
  <c r="D94" i="232"/>
  <c r="G94" i="232"/>
  <c r="H94" i="232"/>
  <c r="V2904" i="234"/>
  <c r="V2903" i="234"/>
  <c r="V2902" i="234"/>
  <c r="V2901" i="234"/>
  <c r="V2900" i="234"/>
  <c r="V2899" i="234"/>
  <c r="V2898" i="234"/>
  <c r="V2897" i="234"/>
  <c r="V2896" i="234"/>
  <c r="V2905" i="234"/>
  <c r="D337" i="232"/>
  <c r="G337" i="232"/>
  <c r="H337" i="232"/>
  <c r="D240" i="232"/>
  <c r="G240" i="232"/>
  <c r="H240" i="232"/>
  <c r="V4061" i="234"/>
  <c r="V4060" i="234"/>
  <c r="V4059" i="234"/>
  <c r="V4058" i="234"/>
  <c r="V4057" i="234"/>
  <c r="V4056" i="234"/>
  <c r="V4055" i="234"/>
  <c r="V4054" i="234"/>
  <c r="V4053" i="234"/>
  <c r="V4062" i="234"/>
  <c r="O88" i="233"/>
  <c r="V1255" i="234"/>
  <c r="V1254" i="234"/>
  <c r="V1253" i="234"/>
  <c r="V1252" i="234"/>
  <c r="V1251" i="234"/>
  <c r="V1250" i="234"/>
  <c r="V1249" i="234"/>
  <c r="V1248" i="234"/>
  <c r="V1247" i="234"/>
  <c r="V4202" i="234"/>
  <c r="V4201" i="234"/>
  <c r="V4200" i="234"/>
  <c r="V4199" i="234"/>
  <c r="V4198" i="234"/>
  <c r="V4197" i="234"/>
  <c r="V4196" i="234"/>
  <c r="V4195" i="234"/>
  <c r="V4194" i="234"/>
  <c r="V4203" i="234"/>
  <c r="V428" i="234"/>
  <c r="V427" i="234"/>
  <c r="V426" i="234"/>
  <c r="V425" i="234"/>
  <c r="V424" i="234"/>
  <c r="V423" i="234"/>
  <c r="V422" i="234"/>
  <c r="V421" i="234"/>
  <c r="V420" i="234"/>
  <c r="V419" i="234"/>
  <c r="V418" i="234"/>
  <c r="V417" i="234"/>
  <c r="V416" i="234"/>
  <c r="V415" i="234"/>
  <c r="V414" i="234"/>
  <c r="V413" i="234"/>
  <c r="V412" i="234"/>
  <c r="V411" i="234"/>
  <c r="V410" i="234"/>
  <c r="V409" i="234"/>
  <c r="V408" i="234"/>
  <c r="V407" i="234"/>
  <c r="V429" i="234"/>
  <c r="D322" i="232"/>
  <c r="G322" i="232"/>
  <c r="H322" i="232"/>
  <c r="V2203" i="234"/>
  <c r="V2202" i="234"/>
  <c r="V2201" i="234"/>
  <c r="V2200" i="234"/>
  <c r="V2199" i="234"/>
  <c r="V2198" i="234"/>
  <c r="V2197" i="234"/>
  <c r="V2196" i="234"/>
  <c r="V2195" i="234"/>
  <c r="V2204" i="234"/>
  <c r="V4334" i="234"/>
  <c r="V4333" i="234"/>
  <c r="V4332" i="234"/>
  <c r="V4331" i="234"/>
  <c r="V4330" i="234"/>
  <c r="V4329" i="234"/>
  <c r="V4328" i="234"/>
  <c r="V4327" i="234"/>
  <c r="V4326" i="234"/>
  <c r="V4335" i="234"/>
  <c r="D419" i="232"/>
  <c r="G419" i="232"/>
  <c r="H419" i="232"/>
  <c r="O110" i="233"/>
  <c r="V3931" i="234"/>
  <c r="V3930" i="234"/>
  <c r="V3929" i="234"/>
  <c r="V3928" i="234"/>
  <c r="V3927" i="234"/>
  <c r="V3926" i="234"/>
  <c r="V3925" i="234"/>
  <c r="V3924" i="234"/>
  <c r="V3923" i="234"/>
  <c r="V3932" i="234"/>
  <c r="O261" i="233"/>
  <c r="D178" i="232"/>
  <c r="G178" i="232"/>
  <c r="H178" i="232"/>
  <c r="D257" i="232"/>
  <c r="G257" i="232"/>
  <c r="H257" i="232"/>
  <c r="D343" i="232"/>
  <c r="G343" i="232"/>
  <c r="H343" i="232"/>
  <c r="V4141" i="234"/>
  <c r="V4140" i="234"/>
  <c r="V4139" i="234"/>
  <c r="V4138" i="234"/>
  <c r="V4137" i="234"/>
  <c r="V4136" i="234"/>
  <c r="V4135" i="234"/>
  <c r="V4134" i="234"/>
  <c r="V4133" i="234"/>
  <c r="V4142" i="234"/>
  <c r="D360" i="232"/>
  <c r="G360" i="232"/>
  <c r="H360" i="232"/>
  <c r="D107" i="232"/>
  <c r="G107" i="232"/>
  <c r="H107" i="232"/>
  <c r="D308" i="232"/>
  <c r="G308" i="232"/>
  <c r="H308" i="232"/>
  <c r="D174" i="232"/>
  <c r="G174" i="232"/>
  <c r="H174" i="232"/>
  <c r="V4021" i="234"/>
  <c r="V4020" i="234"/>
  <c r="V4019" i="234"/>
  <c r="V4018" i="234"/>
  <c r="V4017" i="234"/>
  <c r="V4016" i="234"/>
  <c r="V4015" i="234"/>
  <c r="V4014" i="234"/>
  <c r="V4013" i="234"/>
  <c r="V4022" i="234"/>
  <c r="D333" i="232"/>
  <c r="G333" i="232"/>
  <c r="H333" i="232"/>
  <c r="V3559" i="234"/>
  <c r="V3558" i="234"/>
  <c r="V3557" i="234"/>
  <c r="V3556" i="234"/>
  <c r="V3555" i="234"/>
  <c r="V3554" i="234"/>
  <c r="V3553" i="234"/>
  <c r="V3552" i="234"/>
  <c r="V3551" i="234"/>
  <c r="V3560" i="234"/>
  <c r="V2284" i="234"/>
  <c r="V2283" i="234"/>
  <c r="V2282" i="234"/>
  <c r="V2281" i="234"/>
  <c r="V2280" i="234"/>
  <c r="V2279" i="234"/>
  <c r="V2278" i="234"/>
  <c r="V2277" i="234"/>
  <c r="V2276" i="234"/>
  <c r="V2285" i="234"/>
  <c r="V3055" i="234"/>
  <c r="V3054" i="234"/>
  <c r="V3053" i="234"/>
  <c r="V3052" i="234"/>
  <c r="V3051" i="234"/>
  <c r="V3050" i="234"/>
  <c r="V3049" i="234"/>
  <c r="V3048" i="234"/>
  <c r="V3047" i="234"/>
  <c r="V3056" i="234"/>
  <c r="V2843" i="234"/>
  <c r="V2842" i="234"/>
  <c r="V2841" i="234"/>
  <c r="V2840" i="234"/>
  <c r="V2839" i="234"/>
  <c r="V2838" i="234"/>
  <c r="V2837" i="234"/>
  <c r="V2836" i="234"/>
  <c r="V2835" i="234"/>
  <c r="V2844" i="234"/>
  <c r="V1356" i="234"/>
  <c r="V1355" i="234"/>
  <c r="V1354" i="234"/>
  <c r="V1353" i="234"/>
  <c r="V1352" i="234"/>
  <c r="V1351" i="234"/>
  <c r="V1350" i="234"/>
  <c r="V1349" i="234"/>
  <c r="V1348" i="234"/>
  <c r="V1357" i="234"/>
  <c r="D380" i="232"/>
  <c r="G380" i="232"/>
  <c r="H380" i="232"/>
  <c r="V3337" i="234"/>
  <c r="V3336" i="234"/>
  <c r="V3335" i="234"/>
  <c r="V3334" i="234"/>
  <c r="V3333" i="234"/>
  <c r="V3332" i="234"/>
  <c r="V3331" i="234"/>
  <c r="V3330" i="234"/>
  <c r="V3329" i="234"/>
  <c r="V3338" i="234"/>
  <c r="D303" i="232"/>
  <c r="G303" i="232"/>
  <c r="H303" i="232"/>
  <c r="D376" i="232"/>
  <c r="G376" i="232"/>
  <c r="H376" i="232"/>
  <c r="O260" i="233"/>
  <c r="V3780" i="234"/>
  <c r="V3779" i="234"/>
  <c r="V3778" i="234"/>
  <c r="V3777" i="234"/>
  <c r="V3776" i="234"/>
  <c r="V3775" i="234"/>
  <c r="V3774" i="234"/>
  <c r="V3773" i="234"/>
  <c r="V3772" i="234"/>
  <c r="V3781" i="234"/>
  <c r="V2458" i="234"/>
  <c r="V2457" i="234"/>
  <c r="V2456" i="234"/>
  <c r="V2455" i="234"/>
  <c r="V2454" i="234"/>
  <c r="V2453" i="234"/>
  <c r="V2452" i="234"/>
  <c r="V2451" i="234"/>
  <c r="V2450" i="234"/>
  <c r="V2459" i="234"/>
  <c r="V1034" i="234"/>
  <c r="V1033" i="234"/>
  <c r="V1032" i="234"/>
  <c r="V1031" i="234"/>
  <c r="V1030" i="234"/>
  <c r="V1029" i="234"/>
  <c r="V1028" i="234"/>
  <c r="V1027" i="234"/>
  <c r="V1026" i="234"/>
  <c r="V1035" i="234"/>
  <c r="D369" i="232"/>
  <c r="G369" i="232"/>
  <c r="H369" i="232"/>
  <c r="V1467" i="234"/>
  <c r="V1466" i="234"/>
  <c r="V1465" i="234"/>
  <c r="V1464" i="234"/>
  <c r="V1463" i="234"/>
  <c r="V1462" i="234"/>
  <c r="V1461" i="234"/>
  <c r="V1460" i="234"/>
  <c r="V1459" i="234"/>
  <c r="V1468" i="234"/>
  <c r="V3398" i="234"/>
  <c r="V3397" i="234"/>
  <c r="V3396" i="234"/>
  <c r="V3395" i="234"/>
  <c r="V3394" i="234"/>
  <c r="V3393" i="234"/>
  <c r="V3392" i="234"/>
  <c r="V3391" i="234"/>
  <c r="V3390" i="234"/>
  <c r="V3399" i="234"/>
  <c r="V1366" i="234"/>
  <c r="V1365" i="234"/>
  <c r="V1364" i="234"/>
  <c r="V1363" i="234"/>
  <c r="V1362" i="234"/>
  <c r="V1361" i="234"/>
  <c r="V1360" i="234"/>
  <c r="V1359" i="234"/>
  <c r="V1358" i="234"/>
  <c r="V1367" i="234"/>
  <c r="D117" i="232"/>
  <c r="G117" i="232"/>
  <c r="H117" i="232"/>
  <c r="V2773" i="234"/>
  <c r="V2772" i="234"/>
  <c r="V2771" i="234"/>
  <c r="V2770" i="234"/>
  <c r="V2769" i="234"/>
  <c r="V2768" i="234"/>
  <c r="V2767" i="234"/>
  <c r="V2766" i="234"/>
  <c r="V2765" i="234"/>
  <c r="V2774" i="234"/>
  <c r="O340" i="233"/>
  <c r="V2723" i="234"/>
  <c r="V2722" i="234"/>
  <c r="V2721" i="234"/>
  <c r="V2720" i="234"/>
  <c r="V2719" i="234"/>
  <c r="V2718" i="234"/>
  <c r="V2717" i="234"/>
  <c r="V2716" i="234"/>
  <c r="V2715" i="234"/>
  <c r="V2724" i="234"/>
  <c r="V3429" i="234"/>
  <c r="V3428" i="234"/>
  <c r="V3427" i="234"/>
  <c r="V3426" i="234"/>
  <c r="V3425" i="234"/>
  <c r="V3424" i="234"/>
  <c r="V3423" i="234"/>
  <c r="V3422" i="234"/>
  <c r="V3421" i="234"/>
  <c r="V3430" i="234"/>
  <c r="V1265" i="234"/>
  <c r="V1264" i="234"/>
  <c r="V1263" i="234"/>
  <c r="V1262" i="234"/>
  <c r="V1261" i="234"/>
  <c r="V1260" i="234"/>
  <c r="V1259" i="234"/>
  <c r="V1258" i="234"/>
  <c r="V1257" i="234"/>
  <c r="V1266" i="234"/>
  <c r="V4011" i="234"/>
  <c r="V4010" i="234"/>
  <c r="V4009" i="234"/>
  <c r="V4008" i="234"/>
  <c r="V4007" i="234"/>
  <c r="V4006" i="234"/>
  <c r="V4005" i="234"/>
  <c r="V4004" i="234"/>
  <c r="V4003" i="234"/>
  <c r="V4012" i="234"/>
  <c r="D164" i="232"/>
  <c r="G164" i="232"/>
  <c r="H164" i="232"/>
  <c r="D199" i="232"/>
  <c r="G199" i="232"/>
  <c r="H199" i="232"/>
  <c r="V3469" i="234"/>
  <c r="V3468" i="234"/>
  <c r="V3467" i="234"/>
  <c r="V3466" i="234"/>
  <c r="V3465" i="234"/>
  <c r="V3464" i="234"/>
  <c r="V3463" i="234"/>
  <c r="V3462" i="234"/>
  <c r="V3461" i="234"/>
  <c r="V3470" i="234"/>
  <c r="V3459" i="234"/>
  <c r="V3458" i="234"/>
  <c r="V3457" i="234"/>
  <c r="V3456" i="234"/>
  <c r="V3455" i="234"/>
  <c r="V3454" i="234"/>
  <c r="V3453" i="234"/>
  <c r="V3452" i="234"/>
  <c r="V3451" i="234"/>
  <c r="V3460" i="234"/>
  <c r="D74" i="232"/>
  <c r="G74" i="232"/>
  <c r="H74" i="232"/>
  <c r="O202" i="233"/>
  <c r="D158" i="232"/>
  <c r="G158" i="232"/>
  <c r="H158" i="232"/>
  <c r="P59" i="233"/>
  <c r="D425" i="232"/>
  <c r="G425" i="232"/>
  <c r="H425" i="232"/>
  <c r="V2542" i="234"/>
  <c r="V2541" i="234"/>
  <c r="V2540" i="234"/>
  <c r="V2539" i="234"/>
  <c r="V2538" i="234"/>
  <c r="V2537" i="234"/>
  <c r="V2536" i="234"/>
  <c r="V2535" i="234"/>
  <c r="V2534" i="234"/>
  <c r="V2543" i="234"/>
  <c r="V2314" i="234"/>
  <c r="V2313" i="234"/>
  <c r="V2312" i="234"/>
  <c r="V2311" i="234"/>
  <c r="V2310" i="234"/>
  <c r="V2309" i="234"/>
  <c r="V2308" i="234"/>
  <c r="V2307" i="234"/>
  <c r="V2306" i="234"/>
  <c r="V2315" i="234"/>
  <c r="D36" i="232"/>
  <c r="G36" i="232"/>
  <c r="H36" i="232"/>
  <c r="O130" i="233"/>
  <c r="D125" i="232"/>
  <c r="G125" i="232"/>
  <c r="H125" i="232"/>
  <c r="O270" i="233"/>
  <c r="V3125" i="234"/>
  <c r="V3124" i="234"/>
  <c r="V3123" i="234"/>
  <c r="V3122" i="234"/>
  <c r="V3121" i="234"/>
  <c r="V3120" i="234"/>
  <c r="V3119" i="234"/>
  <c r="V3118" i="234"/>
  <c r="V3117" i="234"/>
  <c r="V3126" i="234"/>
  <c r="V3680" i="234"/>
  <c r="V3679" i="234"/>
  <c r="V3678" i="234"/>
  <c r="V3677" i="234"/>
  <c r="V3676" i="234"/>
  <c r="V3675" i="234"/>
  <c r="V3674" i="234"/>
  <c r="V3673" i="234"/>
  <c r="V3672" i="234"/>
  <c r="V3681" i="234"/>
  <c r="V1640" i="234"/>
  <c r="V1639" i="234"/>
  <c r="V1638" i="234"/>
  <c r="V1637" i="234"/>
  <c r="V1636" i="234"/>
  <c r="V1635" i="234"/>
  <c r="V1634" i="234"/>
  <c r="V1633" i="234"/>
  <c r="V1632" i="234"/>
  <c r="V1641" i="234"/>
  <c r="O216" i="233"/>
  <c r="V3267" i="234"/>
  <c r="V3266" i="234"/>
  <c r="V3265" i="234"/>
  <c r="V3264" i="234"/>
  <c r="V3263" i="234"/>
  <c r="V3262" i="234"/>
  <c r="V3261" i="234"/>
  <c r="V3260" i="234"/>
  <c r="V3259" i="234"/>
  <c r="V3268" i="234"/>
  <c r="D256" i="232"/>
  <c r="G256" i="232"/>
  <c r="H256" i="232"/>
  <c r="V3297" i="234"/>
  <c r="V3296" i="234"/>
  <c r="V3295" i="234"/>
  <c r="V3294" i="234"/>
  <c r="V3293" i="234"/>
  <c r="V3292" i="234"/>
  <c r="V3291" i="234"/>
  <c r="V3290" i="234"/>
  <c r="V3289" i="234"/>
  <c r="V3298" i="234"/>
  <c r="D298" i="232"/>
  <c r="G298" i="232"/>
  <c r="H298" i="232"/>
  <c r="O282" i="233"/>
  <c r="V1721" i="234"/>
  <c r="V1720" i="234"/>
  <c r="V1719" i="234"/>
  <c r="V1718" i="234"/>
  <c r="V1717" i="234"/>
  <c r="V1716" i="234"/>
  <c r="V1715" i="234"/>
  <c r="V1714" i="234"/>
  <c r="V1713" i="234"/>
  <c r="V1722" i="234"/>
  <c r="V2753" i="234"/>
  <c r="V2752" i="234"/>
  <c r="V2751" i="234"/>
  <c r="V2750" i="234"/>
  <c r="V2749" i="234"/>
  <c r="V2748" i="234"/>
  <c r="V2747" i="234"/>
  <c r="V2746" i="234"/>
  <c r="V2745" i="234"/>
  <c r="V2754" i="234"/>
  <c r="O378" i="233"/>
  <c r="V951" i="234"/>
  <c r="V950" i="234"/>
  <c r="V949" i="234"/>
  <c r="V948" i="234"/>
  <c r="V947" i="234"/>
  <c r="V946" i="234"/>
  <c r="V945" i="234"/>
  <c r="V944" i="234"/>
  <c r="V943" i="234"/>
  <c r="V952" i="234"/>
  <c r="D321" i="232"/>
  <c r="G321" i="232"/>
  <c r="H321" i="232"/>
  <c r="D182" i="232"/>
  <c r="G182" i="232"/>
  <c r="H182" i="232"/>
  <c r="V1862" i="234"/>
  <c r="V1861" i="234"/>
  <c r="V1860" i="234"/>
  <c r="V1859" i="234"/>
  <c r="V1858" i="234"/>
  <c r="V1857" i="234"/>
  <c r="V1856" i="234"/>
  <c r="V1855" i="234"/>
  <c r="V1854" i="234"/>
  <c r="V1863" i="234"/>
  <c r="D226" i="232"/>
  <c r="G226" i="232"/>
  <c r="H226" i="232"/>
  <c r="D307" i="232"/>
  <c r="G307" i="232"/>
  <c r="H307" i="232"/>
  <c r="D122" i="232"/>
  <c r="G122" i="232"/>
  <c r="H122" i="232"/>
  <c r="V4314" i="234"/>
  <c r="V4313" i="234"/>
  <c r="V4312" i="234"/>
  <c r="V4311" i="234"/>
  <c r="V4310" i="234"/>
  <c r="V4309" i="234"/>
  <c r="V4308" i="234"/>
  <c r="V4307" i="234"/>
  <c r="V4306" i="234"/>
  <c r="V4315" i="234"/>
  <c r="V3327" i="234"/>
  <c r="V3326" i="234"/>
  <c r="V3325" i="234"/>
  <c r="V3324" i="234"/>
  <c r="V3323" i="234"/>
  <c r="V3322" i="234"/>
  <c r="V3321" i="234"/>
  <c r="V3320" i="234"/>
  <c r="V3319" i="234"/>
  <c r="V3328" i="234"/>
  <c r="O307" i="233"/>
  <c r="V3489" i="234"/>
  <c r="V3488" i="234"/>
  <c r="V3487" i="234"/>
  <c r="V3486" i="234"/>
  <c r="V3485" i="234"/>
  <c r="V3484" i="234"/>
  <c r="V3483" i="234"/>
  <c r="V3482" i="234"/>
  <c r="V3481" i="234"/>
  <c r="V3490" i="234"/>
  <c r="D243" i="232"/>
  <c r="G243" i="232"/>
  <c r="H243" i="232"/>
  <c r="O254" i="233"/>
  <c r="AJ66" i="220"/>
  <c r="AI129" i="221"/>
  <c r="AG66" i="220"/>
  <c r="AF129" i="221"/>
  <c r="Q66" i="220"/>
  <c r="P129" i="221"/>
  <c r="X65" i="220"/>
  <c r="W128" i="221"/>
  <c r="AL66" i="220"/>
  <c r="AK129" i="221"/>
  <c r="AB66" i="220"/>
  <c r="AA129" i="221"/>
  <c r="J66" i="220"/>
  <c r="I129" i="221"/>
  <c r="G66" i="220"/>
  <c r="F129" i="221"/>
  <c r="W65" i="220"/>
  <c r="V128" i="221"/>
  <c r="Z65" i="220"/>
  <c r="Y128" i="221"/>
  <c r="Y65" i="220"/>
  <c r="X128" i="221"/>
  <c r="H65" i="220"/>
  <c r="G128" i="221"/>
  <c r="P66" i="220"/>
  <c r="O129" i="221"/>
  <c r="AC66" i="220"/>
  <c r="AB129" i="221"/>
  <c r="M66" i="220"/>
  <c r="L129" i="221"/>
  <c r="R65" i="220"/>
  <c r="Q128" i="221"/>
  <c r="AE65" i="220"/>
  <c r="AD128" i="221"/>
  <c r="X66" i="220"/>
  <c r="W129" i="221"/>
  <c r="F66" i="220"/>
  <c r="E129" i="221"/>
  <c r="AG65" i="220"/>
  <c r="AF128" i="221"/>
  <c r="Y66" i="220"/>
  <c r="X129" i="221"/>
  <c r="L65" i="220"/>
  <c r="K128" i="221"/>
  <c r="T66" i="220"/>
  <c r="S129" i="221"/>
  <c r="U66" i="220"/>
  <c r="T129" i="221"/>
  <c r="AH66" i="220"/>
  <c r="AG129" i="221"/>
  <c r="M65" i="220"/>
  <c r="L128" i="221"/>
  <c r="AR68" i="220"/>
  <c r="K65" i="220"/>
  <c r="J128" i="221"/>
  <c r="AJ65" i="220"/>
  <c r="AI128" i="221"/>
  <c r="S65" i="220"/>
  <c r="R128" i="221"/>
  <c r="AE66" i="220"/>
  <c r="AD129" i="221"/>
  <c r="O66" i="220"/>
  <c r="N129" i="221"/>
  <c r="T65" i="220"/>
  <c r="S128" i="221"/>
  <c r="AI66" i="220"/>
  <c r="AH129" i="221"/>
  <c r="Z66" i="220"/>
  <c r="Y129" i="221"/>
  <c r="H66" i="220"/>
  <c r="G129" i="221"/>
  <c r="AI65" i="220"/>
  <c r="AH128" i="221"/>
  <c r="AD65" i="220"/>
  <c r="AC128" i="221"/>
  <c r="V65" i="220"/>
  <c r="U128" i="221"/>
  <c r="E65" i="220"/>
  <c r="D128" i="221"/>
  <c r="D130" i="221"/>
  <c r="AQ58" i="220"/>
  <c r="AA66" i="220"/>
  <c r="Z129" i="221"/>
  <c r="K66" i="220"/>
  <c r="J129" i="221"/>
  <c r="P65" i="220"/>
  <c r="O128" i="221"/>
  <c r="AA65" i="220"/>
  <c r="Z128" i="221"/>
  <c r="V66" i="220"/>
  <c r="U129" i="221"/>
  <c r="AK66" i="220"/>
  <c r="AJ129" i="221"/>
  <c r="V2954" i="234"/>
  <c r="V2953" i="234"/>
  <c r="V2952" i="234"/>
  <c r="V2951" i="234"/>
  <c r="V2950" i="234"/>
  <c r="V2949" i="234"/>
  <c r="V2948" i="234"/>
  <c r="V2947" i="234"/>
  <c r="V2946" i="234"/>
  <c r="V2955" i="234"/>
  <c r="V3811" i="234"/>
  <c r="V3810" i="234"/>
  <c r="V3809" i="234"/>
  <c r="V3808" i="234"/>
  <c r="V3807" i="234"/>
  <c r="V3806" i="234"/>
  <c r="V3805" i="234"/>
  <c r="V3804" i="234"/>
  <c r="V3803" i="234"/>
  <c r="V3812" i="234"/>
  <c r="V1690" i="234"/>
  <c r="V1689" i="234"/>
  <c r="V1688" i="234"/>
  <c r="V1687" i="234"/>
  <c r="V1686" i="234"/>
  <c r="V1685" i="234"/>
  <c r="V1684" i="234"/>
  <c r="V1683" i="234"/>
  <c r="V1682" i="234"/>
  <c r="V1691" i="234"/>
  <c r="V3418" i="234"/>
  <c r="V3417" i="234"/>
  <c r="V3416" i="234"/>
  <c r="V3415" i="234"/>
  <c r="V3414" i="234"/>
  <c r="V3413" i="234"/>
  <c r="V3412" i="234"/>
  <c r="V3411" i="234"/>
  <c r="V3410" i="234"/>
  <c r="V3419" i="234"/>
  <c r="V4354" i="234"/>
  <c r="V4353" i="234"/>
  <c r="V4352" i="234"/>
  <c r="V4351" i="234"/>
  <c r="V4350" i="234"/>
  <c r="V4349" i="234"/>
  <c r="V4348" i="234"/>
  <c r="V4347" i="234"/>
  <c r="V4346" i="234"/>
  <c r="V4355" i="234"/>
  <c r="V2143" i="234"/>
  <c r="V2142" i="234"/>
  <c r="V2141" i="234"/>
  <c r="V2140" i="234"/>
  <c r="V2139" i="234"/>
  <c r="V2138" i="234"/>
  <c r="V2137" i="234"/>
  <c r="V2136" i="234"/>
  <c r="V2135" i="234"/>
  <c r="V2144" i="234"/>
  <c r="V1004" i="234"/>
  <c r="V1003" i="234"/>
  <c r="V1002" i="234"/>
  <c r="V1001" i="234"/>
  <c r="V1000" i="234"/>
  <c r="V999" i="234"/>
  <c r="V998" i="234"/>
  <c r="V997" i="234"/>
  <c r="V996" i="234"/>
  <c r="V1005" i="234"/>
  <c r="O147" i="233"/>
  <c r="O301" i="233"/>
  <c r="D367" i="232"/>
  <c r="G367" i="232"/>
  <c r="H367" i="232"/>
  <c r="V2325" i="234"/>
  <c r="V2324" i="234"/>
  <c r="V2323" i="234"/>
  <c r="V2322" i="234"/>
  <c r="V2321" i="234"/>
  <c r="V2320" i="234"/>
  <c r="V2319" i="234"/>
  <c r="V2318" i="234"/>
  <c r="V2317" i="234"/>
  <c r="V2326" i="234"/>
  <c r="V2316" i="234"/>
  <c r="V3519" i="234"/>
  <c r="V3518" i="234"/>
  <c r="V3517" i="234"/>
  <c r="V3516" i="234"/>
  <c r="V3515" i="234"/>
  <c r="V3514" i="234"/>
  <c r="V3513" i="234"/>
  <c r="V3512" i="234"/>
  <c r="V3511" i="234"/>
  <c r="V3520" i="234"/>
  <c r="V16" i="234"/>
  <c r="V15" i="234"/>
  <c r="V14" i="234"/>
  <c r="V13" i="234"/>
  <c r="V12" i="234"/>
  <c r="V11" i="234"/>
  <c r="V10" i="234"/>
  <c r="V9" i="234"/>
  <c r="V8" i="234"/>
  <c r="V17" i="234"/>
  <c r="V2964" i="234"/>
  <c r="V2963" i="234"/>
  <c r="V2962" i="234"/>
  <c r="V2961" i="234"/>
  <c r="V2960" i="234"/>
  <c r="V2959" i="234"/>
  <c r="V2958" i="234"/>
  <c r="V2957" i="234"/>
  <c r="V2956" i="234"/>
  <c r="V2965" i="234"/>
  <c r="V1175" i="234"/>
  <c r="V1174" i="234"/>
  <c r="V1173" i="234"/>
  <c r="V1172" i="234"/>
  <c r="V1171" i="234"/>
  <c r="V1170" i="234"/>
  <c r="V1169" i="234"/>
  <c r="V1168" i="234"/>
  <c r="V1167" i="234"/>
  <c r="V1176" i="234"/>
  <c r="V2994" i="234"/>
  <c r="V2993" i="234"/>
  <c r="V2992" i="234"/>
  <c r="V2991" i="234"/>
  <c r="V2990" i="234"/>
  <c r="V2989" i="234"/>
  <c r="V2988" i="234"/>
  <c r="V2987" i="234"/>
  <c r="V2986" i="234"/>
  <c r="V2995" i="234"/>
  <c r="V3650" i="234"/>
  <c r="V3649" i="234"/>
  <c r="V3648" i="234"/>
  <c r="V3647" i="234"/>
  <c r="V3646" i="234"/>
  <c r="V3645" i="234"/>
  <c r="V3644" i="234"/>
  <c r="V3643" i="234"/>
  <c r="V3642" i="234"/>
  <c r="V3651" i="234"/>
  <c r="V4120" i="234"/>
  <c r="V4119" i="234"/>
  <c r="V4118" i="234"/>
  <c r="V4117" i="234"/>
  <c r="V4116" i="234"/>
  <c r="V916" i="234"/>
  <c r="V915" i="234"/>
  <c r="V914" i="234"/>
  <c r="V913" i="234"/>
  <c r="V912" i="234"/>
  <c r="V911" i="234"/>
  <c r="V910" i="234"/>
  <c r="V909" i="234"/>
  <c r="V908" i="234"/>
  <c r="V917" i="234"/>
  <c r="J4464" i="234"/>
  <c r="O410" i="233"/>
  <c r="V3368" i="234"/>
  <c r="V3367" i="234"/>
  <c r="V3366" i="234"/>
  <c r="V3365" i="234"/>
  <c r="V3364" i="234"/>
  <c r="V3363" i="234"/>
  <c r="V3362" i="234"/>
  <c r="V3361" i="234"/>
  <c r="V3360" i="234"/>
  <c r="V3369" i="234"/>
  <c r="V1822" i="234"/>
  <c r="V1821" i="234"/>
  <c r="V1820" i="234"/>
  <c r="V1819" i="234"/>
  <c r="V1818" i="234"/>
  <c r="V1817" i="234"/>
  <c r="V1816" i="234"/>
  <c r="V1815" i="234"/>
  <c r="V1814" i="234"/>
  <c r="V1823" i="234"/>
  <c r="V2803" i="234"/>
  <c r="V2802" i="234"/>
  <c r="V2801" i="234"/>
  <c r="V2800" i="234"/>
  <c r="V2799" i="234"/>
  <c r="V2798" i="234"/>
  <c r="V2797" i="234"/>
  <c r="V2796" i="234"/>
  <c r="V2795" i="234"/>
  <c r="V2804" i="234"/>
  <c r="V3770" i="234"/>
  <c r="V3769" i="234"/>
  <c r="V3768" i="234"/>
  <c r="V3767" i="234"/>
  <c r="V3766" i="234"/>
  <c r="V3765" i="234"/>
  <c r="V3764" i="234"/>
  <c r="V3763" i="234"/>
  <c r="V3762" i="234"/>
  <c r="V3771" i="234"/>
  <c r="D146" i="232"/>
  <c r="G146" i="232"/>
  <c r="H146" i="232"/>
  <c r="V1326" i="234"/>
  <c r="V1325" i="234"/>
  <c r="V1324" i="234"/>
  <c r="V1323" i="234"/>
  <c r="V1322" i="234"/>
  <c r="V1321" i="234"/>
  <c r="V1320" i="234"/>
  <c r="V1319" i="234"/>
  <c r="V1318" i="234"/>
  <c r="V1327" i="234"/>
  <c r="V2469" i="234"/>
  <c r="V2468" i="234"/>
  <c r="V2467" i="234"/>
  <c r="V2466" i="234"/>
  <c r="V2465" i="234"/>
  <c r="V2464" i="234"/>
  <c r="V2463" i="234"/>
  <c r="V2462" i="234"/>
  <c r="V2461" i="234"/>
  <c r="V3408" i="234"/>
  <c r="V3407" i="234"/>
  <c r="V3406" i="234"/>
  <c r="V3405" i="234"/>
  <c r="V3404" i="234"/>
  <c r="V3403" i="234"/>
  <c r="V3402" i="234"/>
  <c r="V3401" i="234"/>
  <c r="V3400" i="234"/>
  <c r="V3409" i="234"/>
  <c r="V4344" i="234"/>
  <c r="V4343" i="234"/>
  <c r="V4342" i="234"/>
  <c r="V4341" i="234"/>
  <c r="V4340" i="234"/>
  <c r="V4339" i="234"/>
  <c r="V4338" i="234"/>
  <c r="V4337" i="234"/>
  <c r="V4336" i="234"/>
  <c r="V4345" i="234"/>
  <c r="D109" i="232"/>
  <c r="G109" i="232"/>
  <c r="H109" i="232"/>
  <c r="D147" i="232"/>
  <c r="G147" i="232"/>
  <c r="H147" i="232"/>
  <c r="D263" i="232"/>
  <c r="G263" i="232"/>
  <c r="H263" i="232"/>
  <c r="V3196" i="234"/>
  <c r="V3195" i="234"/>
  <c r="V3194" i="234"/>
  <c r="V3193" i="234"/>
  <c r="V3192" i="234"/>
  <c r="V3191" i="234"/>
  <c r="V3190" i="234"/>
  <c r="V3189" i="234"/>
  <c r="V3188" i="234"/>
  <c r="V3197" i="234"/>
  <c r="D316" i="232"/>
  <c r="G316" i="232"/>
  <c r="H316" i="232"/>
  <c r="V2683" i="234"/>
  <c r="V2682" i="234"/>
  <c r="V2681" i="234"/>
  <c r="V2680" i="234"/>
  <c r="V2679" i="234"/>
  <c r="V2678" i="234"/>
  <c r="V2677" i="234"/>
  <c r="V2676" i="234"/>
  <c r="V2675" i="234"/>
  <c r="V2684" i="234"/>
  <c r="V2022" i="234"/>
  <c r="V2021" i="234"/>
  <c r="V2020" i="234"/>
  <c r="V2019" i="234"/>
  <c r="V2018" i="234"/>
  <c r="V2017" i="234"/>
  <c r="V2016" i="234"/>
  <c r="V2015" i="234"/>
  <c r="V2014" i="234"/>
  <c r="V2023" i="234"/>
  <c r="V2914" i="234"/>
  <c r="V2913" i="234"/>
  <c r="V2912" i="234"/>
  <c r="V2911" i="234"/>
  <c r="V2910" i="234"/>
  <c r="V2909" i="234"/>
  <c r="V2908" i="234"/>
  <c r="V2907" i="234"/>
  <c r="V2906" i="234"/>
  <c r="V2915" i="234"/>
  <c r="V3941" i="234"/>
  <c r="V3940" i="234"/>
  <c r="V3939" i="234"/>
  <c r="V3938" i="234"/>
  <c r="V3937" i="234"/>
  <c r="V3936" i="234"/>
  <c r="V3935" i="234"/>
  <c r="V3934" i="234"/>
  <c r="V3933" i="234"/>
  <c r="V3942" i="234"/>
  <c r="V3730" i="234"/>
  <c r="V3729" i="234"/>
  <c r="V3728" i="234"/>
  <c r="V3727" i="234"/>
  <c r="V3726" i="234"/>
  <c r="V3725" i="234"/>
  <c r="V3724" i="234"/>
  <c r="V3723" i="234"/>
  <c r="V3722" i="234"/>
  <c r="V3731" i="234"/>
  <c r="V4171" i="234"/>
  <c r="V4170" i="234"/>
  <c r="V4169" i="234"/>
  <c r="V4168" i="234"/>
  <c r="V4167" i="234"/>
  <c r="V4166" i="234"/>
  <c r="V4165" i="234"/>
  <c r="V4164" i="234"/>
  <c r="V4163" i="234"/>
  <c r="V4172" i="234"/>
  <c r="D162" i="232"/>
  <c r="G162" i="232"/>
  <c r="H162" i="232"/>
  <c r="I224" i="233"/>
  <c r="I205" i="233"/>
  <c r="D181" i="232"/>
  <c r="G181" i="232"/>
  <c r="H181" i="232"/>
  <c r="D248" i="232"/>
  <c r="G248" i="232"/>
  <c r="H248" i="232"/>
  <c r="O84" i="233"/>
  <c r="O386" i="233"/>
  <c r="D37" i="232"/>
  <c r="G37" i="232"/>
  <c r="H37" i="232"/>
  <c r="D427" i="232"/>
  <c r="G427" i="232"/>
  <c r="H427" i="232"/>
  <c r="O323" i="233"/>
  <c r="D329" i="232"/>
  <c r="G329" i="232"/>
  <c r="H329" i="232"/>
  <c r="D18" i="232"/>
  <c r="G18" i="232"/>
  <c r="H18" i="232"/>
  <c r="D21" i="232"/>
  <c r="G21" i="232"/>
  <c r="H21" i="232"/>
  <c r="D305" i="232"/>
  <c r="G305" i="232"/>
  <c r="H305" i="232"/>
  <c r="D249" i="232"/>
  <c r="G249" i="232"/>
  <c r="H249" i="232"/>
  <c r="P99" i="233"/>
  <c r="O302" i="233"/>
  <c r="O183" i="233"/>
  <c r="O286" i="233"/>
  <c r="O322" i="233"/>
  <c r="D245" i="232"/>
  <c r="G245" i="232"/>
  <c r="H245" i="232"/>
  <c r="D106" i="232"/>
  <c r="G106" i="232"/>
  <c r="H106" i="232"/>
  <c r="V162" i="234"/>
  <c r="V135" i="234"/>
  <c r="D378" i="232"/>
  <c r="G378" i="232"/>
  <c r="H378" i="232"/>
  <c r="D137" i="232"/>
  <c r="G137" i="232"/>
  <c r="H137" i="232"/>
  <c r="O315" i="233"/>
  <c r="D455" i="232"/>
  <c r="G455" i="232"/>
  <c r="H455" i="232"/>
  <c r="D359" i="232"/>
  <c r="G359" i="232"/>
  <c r="H359" i="232"/>
  <c r="D274" i="232"/>
  <c r="G274" i="232"/>
  <c r="H274" i="232"/>
  <c r="D398" i="232"/>
  <c r="G398" i="232"/>
  <c r="H398" i="232"/>
  <c r="O299" i="233"/>
  <c r="D310" i="232"/>
  <c r="G310" i="232"/>
  <c r="H310" i="232"/>
  <c r="D393" i="232"/>
  <c r="G393" i="232"/>
  <c r="H393" i="232"/>
  <c r="O242" i="233"/>
  <c r="D64" i="232"/>
  <c r="G64" i="232"/>
  <c r="H64" i="232"/>
  <c r="D433" i="232"/>
  <c r="G433" i="232"/>
  <c r="H433" i="232"/>
  <c r="D394" i="232"/>
  <c r="G394" i="232"/>
  <c r="H394" i="232"/>
  <c r="D85" i="232"/>
  <c r="G85" i="232"/>
  <c r="H85" i="232"/>
  <c r="D299" i="232"/>
  <c r="G299" i="232"/>
  <c r="H299" i="232"/>
  <c r="D415" i="232"/>
  <c r="G415" i="232"/>
  <c r="H415" i="232"/>
  <c r="V1489" i="234"/>
  <c r="V1469" i="234"/>
  <c r="D446" i="232"/>
  <c r="G446" i="232"/>
  <c r="H446" i="232"/>
  <c r="O239" i="233"/>
  <c r="D401" i="232"/>
  <c r="G401" i="232"/>
  <c r="H401" i="232"/>
  <c r="O373" i="233"/>
  <c r="V3217" i="234"/>
  <c r="D275" i="232"/>
  <c r="G275" i="232"/>
  <c r="H275" i="232"/>
  <c r="V4387" i="234"/>
  <c r="V4377" i="234"/>
  <c r="O265" i="233"/>
  <c r="D145" i="232"/>
  <c r="G145" i="232"/>
  <c r="H145" i="232"/>
  <c r="O11" i="233"/>
  <c r="O34" i="233"/>
  <c r="D262" i="232"/>
  <c r="G262" i="232"/>
  <c r="H262" i="232"/>
  <c r="D161" i="232"/>
  <c r="G161" i="232"/>
  <c r="H161" i="232"/>
  <c r="D242" i="232"/>
  <c r="G242" i="232"/>
  <c r="H242" i="232"/>
  <c r="D95" i="232"/>
  <c r="G95" i="232"/>
  <c r="H95" i="232"/>
  <c r="D151" i="232"/>
  <c r="G151" i="232"/>
  <c r="H151" i="232"/>
  <c r="O90" i="233"/>
  <c r="D71" i="232"/>
  <c r="G71" i="232"/>
  <c r="H71" i="232"/>
  <c r="D126" i="232"/>
  <c r="G126" i="232"/>
  <c r="H126" i="232"/>
  <c r="D408" i="232"/>
  <c r="G408" i="232"/>
  <c r="H408" i="232"/>
  <c r="V96" i="234"/>
  <c r="V123" i="234"/>
  <c r="D280" i="232"/>
  <c r="G280" i="232"/>
  <c r="H280" i="232"/>
  <c r="D63" i="232"/>
  <c r="G63" i="232"/>
  <c r="H63" i="232"/>
  <c r="O331" i="233"/>
  <c r="O175" i="233"/>
  <c r="V462" i="234"/>
  <c r="V461" i="234"/>
  <c r="V460" i="234"/>
  <c r="V459" i="234"/>
  <c r="V458" i="234"/>
  <c r="V477" i="234"/>
  <c r="V476" i="234"/>
  <c r="V475" i="234"/>
  <c r="V474" i="234"/>
  <c r="V473" i="234"/>
  <c r="V472" i="234"/>
  <c r="V471" i="234"/>
  <c r="V470" i="234"/>
  <c r="V469" i="234"/>
  <c r="V468" i="234"/>
  <c r="V467" i="234"/>
  <c r="V466" i="234"/>
  <c r="V465" i="234"/>
  <c r="V464" i="234"/>
  <c r="V463" i="234"/>
  <c r="V486" i="234"/>
  <c r="V485" i="234"/>
  <c r="V484" i="234"/>
  <c r="V483" i="234"/>
  <c r="V482" i="234"/>
  <c r="V481" i="234"/>
  <c r="V480" i="234"/>
  <c r="V479" i="234"/>
  <c r="V478" i="234"/>
  <c r="O251" i="233"/>
  <c r="D430" i="232"/>
  <c r="G430" i="232"/>
  <c r="H430" i="232"/>
  <c r="D233" i="232"/>
  <c r="G233" i="232"/>
  <c r="H233" i="232"/>
  <c r="O243" i="233"/>
  <c r="D448" i="232"/>
  <c r="G448" i="232"/>
  <c r="H448" i="232"/>
  <c r="D167" i="232"/>
  <c r="G167" i="232"/>
  <c r="H167" i="232"/>
  <c r="O316" i="233"/>
  <c r="O327" i="233"/>
  <c r="D403" i="232"/>
  <c r="G403" i="232"/>
  <c r="H403" i="232"/>
  <c r="D196" i="232"/>
  <c r="G196" i="232"/>
  <c r="H196" i="232"/>
  <c r="O14" i="233"/>
  <c r="D205" i="232"/>
  <c r="G205" i="232"/>
  <c r="H205" i="232"/>
  <c r="V88" i="234"/>
  <c r="D327" i="232"/>
  <c r="G327" i="232"/>
  <c r="H327" i="232"/>
  <c r="D352" i="232"/>
  <c r="G352" i="232"/>
  <c r="H352" i="232"/>
  <c r="D269" i="232"/>
  <c r="G269" i="232"/>
  <c r="H269" i="232"/>
  <c r="P67" i="233"/>
  <c r="P108" i="233"/>
  <c r="P381" i="233"/>
  <c r="P322" i="233"/>
  <c r="P71" i="233"/>
  <c r="P78" i="233"/>
  <c r="P423" i="233"/>
  <c r="P188" i="233"/>
  <c r="P251" i="233"/>
  <c r="P331" i="233"/>
  <c r="P299" i="233"/>
  <c r="P357" i="233"/>
  <c r="P421" i="233"/>
  <c r="P156" i="233"/>
  <c r="P320" i="233"/>
  <c r="P91" i="233"/>
  <c r="P333" i="233"/>
  <c r="P312" i="233"/>
  <c r="P330" i="233"/>
  <c r="P334" i="233"/>
  <c r="P111" i="233"/>
  <c r="P126" i="233"/>
  <c r="P266" i="233"/>
  <c r="P170" i="233"/>
  <c r="P74" i="233"/>
  <c r="P246" i="233"/>
  <c r="P311" i="233"/>
  <c r="P27" i="233"/>
  <c r="P177" i="233"/>
  <c r="P160" i="233"/>
  <c r="P150" i="233"/>
  <c r="P355" i="233"/>
  <c r="P83" i="233"/>
  <c r="P213" i="233"/>
  <c r="P265" i="233"/>
  <c r="P118" i="233"/>
  <c r="P218" i="233"/>
  <c r="P341" i="233"/>
  <c r="P182" i="233"/>
  <c r="P316" i="233"/>
  <c r="P90" i="233"/>
  <c r="P34" i="233"/>
  <c r="P373" i="233"/>
  <c r="P239" i="233"/>
  <c r="P245" i="233"/>
  <c r="P219" i="233"/>
  <c r="P422" i="233"/>
  <c r="P220" i="233"/>
  <c r="P247" i="233"/>
  <c r="P291" i="233"/>
  <c r="P313" i="233"/>
  <c r="P240" i="233"/>
  <c r="P249" i="233"/>
  <c r="P384" i="233"/>
  <c r="P201" i="233"/>
  <c r="P95" i="233"/>
  <c r="P327" i="233"/>
  <c r="P166" i="233"/>
  <c r="P368" i="233"/>
  <c r="P232" i="233"/>
  <c r="P43" i="233"/>
  <c r="P45" i="233"/>
  <c r="P180" i="233"/>
  <c r="P169" i="233"/>
  <c r="P369" i="233"/>
  <c r="P363" i="233"/>
  <c r="P243" i="233"/>
  <c r="P175" i="233"/>
  <c r="P69" i="233"/>
  <c r="P448" i="233"/>
  <c r="P351" i="233"/>
  <c r="P31" i="233"/>
  <c r="P191" i="233"/>
  <c r="P309" i="233"/>
  <c r="P97" i="233"/>
  <c r="P122" i="233"/>
  <c r="P348" i="233"/>
  <c r="P399" i="233"/>
  <c r="P209" i="233"/>
  <c r="P173" i="233"/>
  <c r="P129" i="233"/>
  <c r="P338" i="233"/>
  <c r="P319" i="233"/>
  <c r="P128" i="233"/>
  <c r="P148" i="233"/>
  <c r="P142" i="233"/>
  <c r="P235" i="233"/>
  <c r="P305" i="233"/>
  <c r="P438" i="233"/>
  <c r="P439" i="233"/>
  <c r="E130" i="221"/>
  <c r="F130" i="221"/>
  <c r="G130" i="221"/>
  <c r="H130" i="221"/>
  <c r="I130" i="221"/>
  <c r="J130" i="221"/>
  <c r="K130" i="221"/>
  <c r="L130" i="221"/>
  <c r="M130" i="221"/>
  <c r="N130" i="221"/>
  <c r="O130" i="221"/>
  <c r="P130" i="221"/>
  <c r="Q130" i="221"/>
  <c r="R130" i="221"/>
  <c r="S130" i="221"/>
  <c r="T130" i="221"/>
  <c r="U130" i="221"/>
  <c r="V130" i="221"/>
  <c r="W130" i="221"/>
  <c r="X130" i="221"/>
  <c r="Y130" i="221"/>
  <c r="Z130" i="221"/>
  <c r="AA130" i="221"/>
  <c r="AB130" i="221"/>
  <c r="AC130" i="221"/>
  <c r="AD130" i="221"/>
  <c r="AE130" i="221"/>
  <c r="AF130" i="221"/>
  <c r="AG130" i="221"/>
  <c r="AH130" i="221"/>
  <c r="AI130" i="221"/>
  <c r="I429" i="233"/>
  <c r="I465" i="233"/>
  <c r="V200" i="234"/>
  <c r="V199" i="234"/>
  <c r="V198" i="234"/>
  <c r="V197" i="234"/>
  <c r="V196" i="234"/>
  <c r="V195" i="234"/>
  <c r="V194" i="234"/>
  <c r="V193" i="234"/>
  <c r="V192" i="234"/>
  <c r="V191" i="234"/>
  <c r="V190" i="234"/>
  <c r="V189" i="234"/>
  <c r="V188" i="234"/>
  <c r="V187" i="234"/>
  <c r="V186" i="234"/>
  <c r="V185" i="234"/>
  <c r="V184" i="234"/>
  <c r="V183" i="234"/>
  <c r="V182" i="234"/>
  <c r="V181" i="234"/>
  <c r="V180" i="234"/>
  <c r="V179" i="234"/>
  <c r="V178" i="234"/>
  <c r="V177" i="234"/>
  <c r="V161" i="234"/>
  <c r="V160" i="234"/>
  <c r="V159" i="234"/>
  <c r="V158" i="234"/>
  <c r="V157" i="234"/>
  <c r="V156" i="234"/>
  <c r="V155" i="234"/>
  <c r="V154" i="234"/>
  <c r="V153" i="234"/>
  <c r="V152" i="234"/>
  <c r="V151" i="234"/>
  <c r="V150" i="234"/>
  <c r="V149" i="234"/>
  <c r="V148" i="234"/>
  <c r="V147" i="234"/>
  <c r="V146" i="234"/>
  <c r="V145" i="234"/>
  <c r="V144" i="234"/>
  <c r="V143" i="234"/>
  <c r="V142" i="234"/>
  <c r="V141" i="234"/>
  <c r="V140" i="234"/>
  <c r="V139" i="234"/>
  <c r="V138" i="234"/>
  <c r="V1256" i="234"/>
  <c r="V1246" i="234"/>
  <c r="V1245" i="234"/>
  <c r="V1244" i="234"/>
  <c r="V1243" i="234"/>
  <c r="V1242" i="234"/>
  <c r="V1241" i="234"/>
  <c r="V1240" i="234"/>
  <c r="V1239" i="234"/>
  <c r="V1238" i="234"/>
  <c r="V1237" i="234"/>
  <c r="V119" i="234"/>
  <c r="V118" i="234"/>
  <c r="V117" i="234"/>
  <c r="V116" i="234"/>
  <c r="V115" i="234"/>
  <c r="V114" i="234"/>
  <c r="V113" i="234"/>
  <c r="V112" i="234"/>
  <c r="V111" i="234"/>
  <c r="V110" i="234"/>
  <c r="V109" i="234"/>
  <c r="V108" i="234"/>
  <c r="V107" i="234"/>
  <c r="V106" i="234"/>
  <c r="V105" i="234"/>
  <c r="V104" i="234"/>
  <c r="V103" i="234"/>
  <c r="V102" i="234"/>
  <c r="V101" i="234"/>
  <c r="V100" i="234"/>
  <c r="V99" i="234"/>
  <c r="V122" i="234"/>
  <c r="V121" i="234"/>
  <c r="V120" i="234"/>
  <c r="V4764" i="234"/>
  <c r="V4763" i="234"/>
  <c r="V4762" i="234"/>
  <c r="V4761" i="234"/>
  <c r="V4760" i="234"/>
  <c r="V4759" i="234"/>
  <c r="V4758" i="234"/>
  <c r="V4770" i="234"/>
  <c r="V361" i="234"/>
  <c r="V360" i="234"/>
  <c r="V359" i="234"/>
  <c r="V358" i="234"/>
  <c r="V357" i="234"/>
  <c r="V356" i="234"/>
  <c r="V355" i="234"/>
  <c r="V354" i="234"/>
  <c r="V353" i="234"/>
  <c r="V352" i="234"/>
  <c r="V351" i="234"/>
  <c r="V350" i="234"/>
  <c r="V349" i="234"/>
  <c r="V348" i="234"/>
  <c r="V347" i="234"/>
  <c r="V346" i="234"/>
  <c r="V345" i="234"/>
  <c r="V376" i="234"/>
  <c r="V375" i="234"/>
  <c r="V374" i="234"/>
  <c r="V373" i="234"/>
  <c r="V372" i="234"/>
  <c r="V371" i="234"/>
  <c r="V370" i="234"/>
  <c r="V369" i="234"/>
  <c r="V368" i="234"/>
  <c r="V367" i="234"/>
  <c r="V366" i="234"/>
  <c r="V365" i="234"/>
  <c r="V364" i="234"/>
  <c r="V363" i="234"/>
  <c r="V362" i="234"/>
  <c r="D457" i="232"/>
  <c r="G457" i="232"/>
  <c r="H457" i="232"/>
  <c r="V344" i="234"/>
  <c r="V343" i="234"/>
  <c r="V342" i="234"/>
  <c r="V341" i="234"/>
  <c r="V340" i="234"/>
  <c r="V339" i="234"/>
  <c r="V338" i="234"/>
  <c r="V337" i="234"/>
  <c r="V336" i="234"/>
  <c r="V335" i="234"/>
  <c r="V334" i="234"/>
  <c r="V333" i="234"/>
  <c r="V332" i="234"/>
  <c r="V331" i="234"/>
  <c r="V330" i="234"/>
  <c r="V329" i="234"/>
  <c r="V328" i="234"/>
  <c r="V327" i="234"/>
  <c r="V326" i="234"/>
  <c r="V325" i="234"/>
  <c r="V324" i="234"/>
  <c r="V323" i="234"/>
  <c r="V322" i="234"/>
  <c r="V321" i="234"/>
  <c r="D461" i="232"/>
  <c r="G461" i="232"/>
  <c r="H461" i="232"/>
  <c r="D459" i="232"/>
  <c r="G459" i="232"/>
  <c r="H459" i="232"/>
  <c r="D39" i="232"/>
  <c r="G39" i="232"/>
  <c r="H39" i="232"/>
  <c r="D456" i="232"/>
  <c r="G456" i="232"/>
  <c r="H456" i="232"/>
  <c r="D460" i="232"/>
  <c r="G460" i="232"/>
  <c r="H460" i="232"/>
  <c r="G429" i="233"/>
  <c r="G465" i="233"/>
  <c r="O465" i="233"/>
  <c r="D462" i="232"/>
  <c r="G462" i="232"/>
  <c r="H462" i="232"/>
  <c r="O458" i="233"/>
  <c r="V266" i="234"/>
  <c r="V265" i="234"/>
  <c r="V2482" i="234"/>
  <c r="H13" i="219"/>
  <c r="O13" i="219"/>
  <c r="I12" i="219"/>
  <c r="E131" i="221"/>
  <c r="F131" i="221"/>
  <c r="G131" i="221"/>
  <c r="H131" i="221"/>
  <c r="I131" i="221"/>
  <c r="J131" i="221"/>
  <c r="K131" i="221"/>
  <c r="L131" i="221"/>
  <c r="M131" i="221"/>
  <c r="N131" i="221"/>
  <c r="O131" i="221"/>
  <c r="P131" i="221"/>
  <c r="Q131" i="221"/>
  <c r="R131" i="221"/>
  <c r="S131" i="221"/>
  <c r="T131" i="221"/>
  <c r="U131" i="221"/>
  <c r="V131" i="221"/>
  <c r="W131" i="221"/>
  <c r="X131" i="221"/>
  <c r="Y131" i="221"/>
  <c r="Z131" i="221"/>
  <c r="AA131" i="221"/>
  <c r="AB131" i="221"/>
  <c r="AC131" i="221"/>
  <c r="AD131" i="221"/>
  <c r="AE131" i="221"/>
  <c r="AF131" i="221"/>
  <c r="AG131" i="221"/>
  <c r="AH131" i="221"/>
  <c r="AI131" i="221"/>
  <c r="AJ131" i="221"/>
  <c r="AK131" i="221"/>
  <c r="AL131" i="221"/>
  <c r="AM131" i="221"/>
  <c r="AN131" i="221"/>
  <c r="V4115" i="234"/>
  <c r="V4114" i="234"/>
  <c r="V4113" i="234"/>
  <c r="V4124" i="234"/>
  <c r="V4123" i="234"/>
  <c r="V4122" i="234"/>
  <c r="V4130" i="234"/>
  <c r="O447" i="233"/>
  <c r="O451" i="233"/>
  <c r="O456" i="233"/>
  <c r="O454" i="233"/>
  <c r="I13" i="219"/>
  <c r="AQ66" i="220"/>
  <c r="V956" i="234"/>
  <c r="V955" i="234"/>
  <c r="V954" i="234"/>
  <c r="V953" i="234"/>
  <c r="V961" i="234"/>
  <c r="V929" i="234"/>
  <c r="V264" i="234"/>
  <c r="V263" i="234"/>
  <c r="V262" i="234"/>
  <c r="V261" i="234"/>
  <c r="V260" i="234"/>
  <c r="V259" i="234"/>
  <c r="V258" i="234"/>
  <c r="V257" i="234"/>
  <c r="V267" i="234"/>
  <c r="J595" i="234"/>
  <c r="P436" i="233"/>
  <c r="D34" i="232"/>
  <c r="G34" i="232"/>
  <c r="H34" i="232"/>
  <c r="H32" i="232"/>
  <c r="V520" i="234"/>
  <c r="V519" i="234"/>
  <c r="V517" i="234"/>
  <c r="O213" i="233"/>
  <c r="V175" i="234"/>
  <c r="V579" i="234"/>
  <c r="V578" i="234"/>
  <c r="V577" i="234"/>
  <c r="V576" i="234"/>
  <c r="V575" i="234"/>
  <c r="V574" i="234"/>
  <c r="V573" i="234"/>
  <c r="V572" i="234"/>
  <c r="V571" i="234"/>
  <c r="V570" i="234"/>
  <c r="V569" i="234"/>
  <c r="V568" i="234"/>
  <c r="V567" i="234"/>
  <c r="V566" i="234"/>
  <c r="V565" i="234"/>
  <c r="V564" i="234"/>
  <c r="V563" i="234"/>
  <c r="V562" i="234"/>
  <c r="V561" i="234"/>
  <c r="V560" i="234"/>
  <c r="V559" i="234"/>
  <c r="V558" i="234"/>
  <c r="V557" i="234"/>
  <c r="V556" i="234"/>
  <c r="V555" i="234"/>
  <c r="V554" i="234"/>
  <c r="V553" i="234"/>
  <c r="V552" i="234"/>
  <c r="V551" i="234"/>
  <c r="V550" i="234"/>
  <c r="V549" i="234"/>
  <c r="V548" i="234"/>
  <c r="V547" i="234"/>
  <c r="V546" i="234"/>
  <c r="V545" i="234"/>
  <c r="V544" i="234"/>
  <c r="V592" i="234"/>
  <c r="V591" i="234"/>
  <c r="V590" i="234"/>
  <c r="V589" i="234"/>
  <c r="V588" i="234"/>
  <c r="V587" i="234"/>
  <c r="V586" i="234"/>
  <c r="V585" i="234"/>
  <c r="V584" i="234"/>
  <c r="V583" i="234"/>
  <c r="V582" i="234"/>
  <c r="V581" i="234"/>
  <c r="V580" i="234"/>
  <c r="D42" i="232"/>
  <c r="G42" i="232"/>
  <c r="H42" i="232"/>
  <c r="D255" i="232"/>
  <c r="G255" i="232"/>
  <c r="H255" i="232"/>
  <c r="O113" i="233"/>
  <c r="O66" i="233"/>
  <c r="D88" i="232"/>
  <c r="G88" i="232"/>
  <c r="H88" i="232"/>
  <c r="D200" i="232"/>
  <c r="G200" i="232"/>
  <c r="H200" i="232"/>
  <c r="D395" i="232"/>
  <c r="G395" i="232"/>
  <c r="H395" i="232"/>
  <c r="D458" i="232"/>
  <c r="G458" i="232"/>
  <c r="H458" i="232"/>
  <c r="D27" i="232"/>
  <c r="G27" i="232"/>
  <c r="H27" i="232"/>
  <c r="O37" i="233"/>
  <c r="D381" i="232"/>
  <c r="G381" i="232"/>
  <c r="H381" i="232"/>
  <c r="D20" i="232"/>
  <c r="G20" i="232"/>
  <c r="H20" i="232"/>
  <c r="D133" i="232"/>
  <c r="G133" i="232"/>
  <c r="H133" i="232"/>
  <c r="D54" i="232"/>
  <c r="G54" i="232"/>
  <c r="H54" i="232"/>
  <c r="D25" i="232"/>
  <c r="G25" i="232"/>
  <c r="H25" i="232"/>
  <c r="V511" i="234"/>
  <c r="V510" i="234"/>
  <c r="V509" i="234"/>
  <c r="V508" i="234"/>
  <c r="V507" i="234"/>
  <c r="V506" i="234"/>
  <c r="V505" i="234"/>
  <c r="V504" i="234"/>
  <c r="V503" i="234"/>
  <c r="V502" i="234"/>
  <c r="V501" i="234"/>
  <c r="V500" i="234"/>
  <c r="V512" i="234"/>
  <c r="O133" i="233"/>
  <c r="D59" i="232"/>
  <c r="G59" i="232"/>
  <c r="H59" i="232"/>
  <c r="O355" i="233"/>
  <c r="D229" i="232"/>
  <c r="G229" i="232"/>
  <c r="H229" i="232"/>
  <c r="D101" i="232"/>
  <c r="G101" i="232"/>
  <c r="H101" i="232"/>
  <c r="D442" i="232"/>
  <c r="G442" i="232"/>
  <c r="H442" i="232"/>
  <c r="D202" i="232"/>
  <c r="G202" i="232"/>
  <c r="H202" i="232"/>
  <c r="D93" i="232"/>
  <c r="G93" i="232"/>
  <c r="H93" i="232"/>
  <c r="O438" i="233"/>
  <c r="D198" i="232"/>
  <c r="G198" i="232"/>
  <c r="H198" i="232"/>
  <c r="D311" i="232"/>
  <c r="G311" i="232"/>
  <c r="H311" i="232"/>
  <c r="H304" i="232"/>
  <c r="O384" i="233"/>
  <c r="D203" i="232"/>
  <c r="G203" i="232"/>
  <c r="H203" i="232"/>
  <c r="O423" i="233"/>
  <c r="P114" i="233"/>
  <c r="O27" i="233"/>
  <c r="O210" i="233"/>
  <c r="D207" i="232"/>
  <c r="G207" i="232"/>
  <c r="H207" i="232"/>
  <c r="O72" i="233"/>
  <c r="D366" i="232"/>
  <c r="G366" i="232"/>
  <c r="H366" i="232"/>
  <c r="D141" i="232"/>
  <c r="G141" i="232"/>
  <c r="H141" i="232"/>
  <c r="O305" i="233"/>
  <c r="D79" i="232"/>
  <c r="G79" i="232"/>
  <c r="H79" i="232"/>
  <c r="D334" i="232"/>
  <c r="G334" i="232"/>
  <c r="H334" i="232"/>
  <c r="D387" i="232"/>
  <c r="G387" i="232"/>
  <c r="H387" i="232"/>
  <c r="O170" i="233"/>
  <c r="O381" i="233"/>
  <c r="D195" i="232"/>
  <c r="G195" i="232"/>
  <c r="H195" i="232"/>
  <c r="O95" i="233"/>
  <c r="D187" i="232"/>
  <c r="G187" i="232"/>
  <c r="H187" i="232"/>
  <c r="D84" i="232"/>
  <c r="G84" i="232"/>
  <c r="H84" i="232"/>
  <c r="D441" i="232"/>
  <c r="G441" i="232"/>
  <c r="H441" i="232"/>
  <c r="O83" i="233"/>
  <c r="O63" i="233"/>
  <c r="O160" i="233"/>
  <c r="D52" i="232"/>
  <c r="G52" i="232"/>
  <c r="H52" i="232"/>
  <c r="D70" i="232"/>
  <c r="G70" i="232"/>
  <c r="H70" i="232"/>
  <c r="O201" i="233"/>
  <c r="D154" i="232"/>
  <c r="G154" i="232"/>
  <c r="H154" i="232"/>
  <c r="O21" i="233"/>
  <c r="O94" i="233"/>
  <c r="O148" i="233"/>
  <c r="O15" i="233"/>
  <c r="O231" i="233"/>
  <c r="D46" i="232"/>
  <c r="G46" i="232"/>
  <c r="H46" i="232"/>
  <c r="O164" i="233"/>
  <c r="V647" i="234"/>
  <c r="V646" i="234"/>
  <c r="V645" i="234"/>
  <c r="V644" i="234"/>
  <c r="V642" i="234"/>
  <c r="O396" i="233"/>
  <c r="O394" i="233"/>
  <c r="D429" i="232"/>
  <c r="G429" i="232"/>
  <c r="H429" i="232"/>
  <c r="O78" i="233"/>
  <c r="D317" i="232"/>
  <c r="G317" i="232"/>
  <c r="H317" i="232"/>
  <c r="D445" i="232"/>
  <c r="G445" i="232"/>
  <c r="H445" i="232"/>
  <c r="O266" i="233"/>
  <c r="O311" i="233"/>
  <c r="O75" i="233"/>
  <c r="O383" i="233"/>
  <c r="D50" i="232"/>
  <c r="G50" i="232"/>
  <c r="H50" i="232"/>
  <c r="V854" i="234"/>
  <c r="D53" i="232"/>
  <c r="G53" i="232"/>
  <c r="H53" i="232"/>
  <c r="O153" i="233"/>
  <c r="D111" i="232"/>
  <c r="G111" i="232"/>
  <c r="H111" i="232"/>
  <c r="D293" i="232"/>
  <c r="G293" i="232"/>
  <c r="H293" i="232"/>
  <c r="O249" i="233"/>
  <c r="D254" i="232"/>
  <c r="G254" i="232"/>
  <c r="H254" i="232"/>
  <c r="O412" i="233"/>
  <c r="D194" i="232"/>
  <c r="G194" i="232"/>
  <c r="H194" i="232"/>
  <c r="D220" i="232"/>
  <c r="G220" i="232"/>
  <c r="H220" i="232"/>
  <c r="D314" i="232"/>
  <c r="G314" i="232"/>
  <c r="H314" i="232"/>
  <c r="D206" i="232"/>
  <c r="G206" i="232"/>
  <c r="H206" i="232"/>
  <c r="O218" i="233"/>
  <c r="O188" i="233"/>
  <c r="D409" i="232"/>
  <c r="G409" i="232"/>
  <c r="H409" i="232"/>
  <c r="D370" i="232"/>
  <c r="G370" i="232"/>
  <c r="H370" i="232"/>
  <c r="O404" i="233"/>
  <c r="D237" i="232"/>
  <c r="G237" i="232"/>
  <c r="H237" i="232"/>
  <c r="H235" i="232"/>
  <c r="O341" i="233"/>
  <c r="O167" i="233"/>
  <c r="O246" i="233"/>
  <c r="D347" i="232"/>
  <c r="G347" i="232"/>
  <c r="H347" i="232"/>
  <c r="O332" i="233"/>
  <c r="D191" i="232"/>
  <c r="G191" i="232"/>
  <c r="H191" i="232"/>
  <c r="D361" i="232"/>
  <c r="G361" i="232"/>
  <c r="H361" i="232"/>
  <c r="O230" i="233"/>
  <c r="D348" i="232"/>
  <c r="G348" i="232"/>
  <c r="H348" i="232"/>
  <c r="O143" i="233"/>
  <c r="D453" i="232"/>
  <c r="G453" i="232"/>
  <c r="H453" i="232"/>
  <c r="D98" i="232"/>
  <c r="G98" i="232"/>
  <c r="H98" i="232"/>
  <c r="O339" i="233"/>
  <c r="O128" i="233"/>
  <c r="D261" i="232"/>
  <c r="G261" i="232"/>
  <c r="H261" i="232"/>
  <c r="D436" i="232"/>
  <c r="G436" i="232"/>
  <c r="H436" i="232"/>
  <c r="H435" i="232"/>
  <c r="D176" i="232"/>
  <c r="G176" i="232"/>
  <c r="H176" i="232"/>
  <c r="D28" i="232"/>
  <c r="G28" i="232"/>
  <c r="H28" i="232"/>
  <c r="D344" i="232"/>
  <c r="G344" i="232"/>
  <c r="H344" i="232"/>
  <c r="O338" i="233"/>
  <c r="D134" i="232"/>
  <c r="G134" i="232"/>
  <c r="H134" i="232"/>
  <c r="D388" i="232"/>
  <c r="G388" i="232"/>
  <c r="H388" i="232"/>
  <c r="D447" i="232"/>
  <c r="G447" i="232"/>
  <c r="H447" i="232"/>
  <c r="O335" i="233"/>
  <c r="D313" i="232"/>
  <c r="G313" i="232"/>
  <c r="H313" i="232"/>
  <c r="O391" i="233"/>
  <c r="D278" i="232"/>
  <c r="G278" i="232"/>
  <c r="H278" i="232"/>
  <c r="O178" i="233"/>
  <c r="D296" i="232"/>
  <c r="G296" i="232"/>
  <c r="H296" i="232"/>
  <c r="D224" i="232"/>
  <c r="G224" i="232"/>
  <c r="H224" i="232"/>
  <c r="V543" i="234"/>
  <c r="V542" i="234"/>
  <c r="V541" i="234"/>
  <c r="V540" i="234"/>
  <c r="V539" i="234"/>
  <c r="V538" i="234"/>
  <c r="V537" i="234"/>
  <c r="V1490" i="234"/>
  <c r="O289" i="233"/>
  <c r="V173" i="234"/>
  <c r="V172" i="234"/>
  <c r="V171" i="234"/>
  <c r="V170" i="234"/>
  <c r="V169" i="234"/>
  <c r="V168" i="234"/>
  <c r="V167" i="234"/>
  <c r="O154" i="233"/>
  <c r="O74" i="233"/>
  <c r="D80" i="232"/>
  <c r="G80" i="232"/>
  <c r="H80" i="232"/>
  <c r="D132" i="232"/>
  <c r="G132" i="232"/>
  <c r="H132" i="232"/>
  <c r="V176" i="234"/>
  <c r="O157" i="233"/>
  <c r="D252" i="232"/>
  <c r="G252" i="232"/>
  <c r="H252" i="232"/>
  <c r="D138" i="232"/>
  <c r="G138" i="232"/>
  <c r="H138" i="232"/>
  <c r="D287" i="232"/>
  <c r="G287" i="232"/>
  <c r="H287" i="232"/>
  <c r="O126" i="233"/>
  <c r="D272" i="232"/>
  <c r="G272" i="232"/>
  <c r="H272" i="232"/>
  <c r="D232" i="232"/>
  <c r="G232" i="232"/>
  <c r="H232" i="232"/>
  <c r="O98" i="233"/>
  <c r="V244" i="234"/>
  <c r="O252" i="233"/>
  <c r="O71" i="233"/>
  <c r="D335" i="232"/>
  <c r="G335" i="232"/>
  <c r="H335" i="232"/>
  <c r="D29" i="232"/>
  <c r="G29" i="232"/>
  <c r="H29" i="232"/>
  <c r="D150" i="232"/>
  <c r="G150" i="232"/>
  <c r="H150" i="232"/>
  <c r="D244" i="232"/>
  <c r="G244" i="232"/>
  <c r="H244" i="232"/>
  <c r="O313" i="233"/>
  <c r="D140" i="232"/>
  <c r="G140" i="232"/>
  <c r="H140" i="232"/>
  <c r="D223" i="232"/>
  <c r="G223" i="232"/>
  <c r="H223" i="232"/>
  <c r="D301" i="232"/>
  <c r="G301" i="232"/>
  <c r="H301" i="232"/>
  <c r="O59" i="233"/>
  <c r="V293" i="234"/>
  <c r="O212" i="233"/>
  <c r="D213" i="232"/>
  <c r="G213" i="232"/>
  <c r="H213" i="232"/>
  <c r="O348" i="233"/>
  <c r="O300" i="233"/>
  <c r="O234" i="233"/>
  <c r="V4193" i="234"/>
  <c r="D73" i="232"/>
  <c r="G73" i="232"/>
  <c r="H73" i="232"/>
  <c r="O67" i="233"/>
  <c r="O168" i="233"/>
  <c r="D354" i="232"/>
  <c r="G354" i="232"/>
  <c r="H354" i="232"/>
  <c r="D288" i="232"/>
  <c r="G288" i="232"/>
  <c r="H288" i="232"/>
  <c r="D250" i="232"/>
  <c r="G250" i="232"/>
  <c r="H250" i="232"/>
  <c r="O122" i="233"/>
  <c r="V2369" i="234"/>
  <c r="D128" i="232"/>
  <c r="G128" i="232"/>
  <c r="H128" i="232"/>
  <c r="H121" i="232"/>
  <c r="H118" i="232"/>
  <c r="D283" i="232"/>
  <c r="G283" i="232"/>
  <c r="H283" i="232"/>
  <c r="D340" i="232"/>
  <c r="G340" i="232"/>
  <c r="H340" i="232"/>
  <c r="V1692" i="234"/>
  <c r="D65" i="232"/>
  <c r="G65" i="232"/>
  <c r="H65" i="232"/>
  <c r="H61" i="232"/>
  <c r="O330" i="233"/>
  <c r="O422" i="233"/>
  <c r="O297" i="233"/>
  <c r="D23" i="232"/>
  <c r="G23" i="232"/>
  <c r="H23" i="232"/>
  <c r="O312" i="233"/>
  <c r="D153" i="232"/>
  <c r="G153" i="232"/>
  <c r="H153" i="232"/>
  <c r="H35" i="232"/>
  <c r="D384" i="232"/>
  <c r="G384" i="232"/>
  <c r="H384" i="232"/>
  <c r="O56" i="233"/>
  <c r="O141" i="233"/>
  <c r="O369" i="233"/>
  <c r="O45" i="233"/>
  <c r="D197" i="232"/>
  <c r="G197" i="232"/>
  <c r="H197" i="232"/>
  <c r="O191" i="233"/>
  <c r="V1398" i="234"/>
  <c r="O291" i="233"/>
  <c r="D297" i="232"/>
  <c r="G297" i="232"/>
  <c r="H297" i="232"/>
  <c r="D426" i="232"/>
  <c r="G426" i="232"/>
  <c r="H426" i="232"/>
  <c r="O337" i="233"/>
  <c r="D175" i="232"/>
  <c r="G175" i="232"/>
  <c r="H175" i="232"/>
  <c r="D41" i="232"/>
  <c r="G41" i="232"/>
  <c r="H41" i="232"/>
  <c r="D267" i="232"/>
  <c r="G267" i="232"/>
  <c r="H267" i="232"/>
  <c r="O169" i="233"/>
  <c r="D83" i="232"/>
  <c r="G83" i="232"/>
  <c r="H83" i="232"/>
  <c r="O374" i="233"/>
  <c r="V3349" i="234"/>
  <c r="D103" i="232"/>
  <c r="G103" i="232"/>
  <c r="H103" i="232"/>
  <c r="D266" i="232"/>
  <c r="G266" i="232"/>
  <c r="H266" i="232"/>
  <c r="O354" i="233"/>
  <c r="V2094" i="234"/>
  <c r="D116" i="232"/>
  <c r="G116" i="232"/>
  <c r="H116" i="232"/>
  <c r="O172" i="233"/>
  <c r="O334" i="233"/>
  <c r="D152" i="232"/>
  <c r="G152" i="232"/>
  <c r="H152" i="232"/>
  <c r="O370" i="233"/>
  <c r="O97" i="233"/>
  <c r="O309" i="233"/>
  <c r="O247" i="233"/>
  <c r="O237" i="233"/>
  <c r="D97" i="232"/>
  <c r="G97" i="232"/>
  <c r="H97" i="232"/>
  <c r="D350" i="232"/>
  <c r="G350" i="232"/>
  <c r="H350" i="232"/>
  <c r="D302" i="232"/>
  <c r="G302" i="232"/>
  <c r="H302" i="232"/>
  <c r="V3046" i="234"/>
  <c r="D91" i="232"/>
  <c r="G91" i="232"/>
  <c r="H91" i="232"/>
  <c r="O250" i="233"/>
  <c r="O91" i="233"/>
  <c r="V2513" i="234"/>
  <c r="D351" i="232"/>
  <c r="G351" i="232"/>
  <c r="H351" i="232"/>
  <c r="V2245" i="234"/>
  <c r="D92" i="232"/>
  <c r="G92" i="232"/>
  <c r="H92" i="232"/>
  <c r="O333" i="233"/>
  <c r="V1297" i="234"/>
  <c r="D136" i="232"/>
  <c r="G136" i="232"/>
  <c r="H136" i="232"/>
  <c r="V2544" i="234"/>
  <c r="V3581" i="234"/>
  <c r="V3420" i="234"/>
  <c r="O176" i="233"/>
  <c r="D416" i="232"/>
  <c r="G416" i="232"/>
  <c r="H416" i="232"/>
  <c r="H414" i="232"/>
  <c r="V4132" i="234"/>
  <c r="V3167" i="234"/>
  <c r="V995" i="234"/>
  <c r="V887" i="234"/>
  <c r="D222" i="232"/>
  <c r="G222" i="232"/>
  <c r="H222" i="232"/>
  <c r="V1581" i="234"/>
  <c r="D234" i="232"/>
  <c r="G234" i="232"/>
  <c r="H234" i="232"/>
  <c r="O180" i="233"/>
  <c r="V1803" i="234"/>
  <c r="O320" i="233"/>
  <c r="D186" i="232"/>
  <c r="G186" i="232"/>
  <c r="H186" i="232"/>
  <c r="V2875" i="234"/>
  <c r="V4265" i="234"/>
  <c r="V4264" i="234"/>
  <c r="O361" i="233"/>
  <c r="D362" i="232"/>
  <c r="G362" i="232"/>
  <c r="H362" i="232"/>
  <c r="D364" i="232"/>
  <c r="G364" i="232"/>
  <c r="H364" i="232"/>
  <c r="V4465" i="234"/>
  <c r="V4464" i="234"/>
  <c r="V4463" i="234"/>
  <c r="V4462" i="234"/>
  <c r="V4461" i="234"/>
  <c r="V4460" i="234"/>
  <c r="V4459" i="234"/>
  <c r="V4458" i="234"/>
  <c r="D282" i="232"/>
  <c r="G282" i="232"/>
  <c r="H282" i="232"/>
  <c r="D331" i="232"/>
  <c r="G331" i="232"/>
  <c r="H331" i="232"/>
  <c r="D373" i="232"/>
  <c r="G373" i="232"/>
  <c r="H373" i="232"/>
  <c r="D277" i="232"/>
  <c r="G277" i="232"/>
  <c r="H277" i="232"/>
  <c r="D431" i="232"/>
  <c r="G431" i="232"/>
  <c r="H431" i="232"/>
  <c r="D228" i="232"/>
  <c r="G228" i="232"/>
  <c r="H228" i="232"/>
  <c r="O140" i="233"/>
  <c r="D265" i="232"/>
  <c r="G265" i="232"/>
  <c r="H265" i="232"/>
  <c r="D58" i="232"/>
  <c r="G58" i="232"/>
  <c r="H58" i="232"/>
  <c r="D86" i="232"/>
  <c r="G86" i="232"/>
  <c r="H86" i="232"/>
  <c r="D17" i="232"/>
  <c r="G17" i="232"/>
  <c r="H17" i="232"/>
  <c r="D210" i="232"/>
  <c r="G210" i="232"/>
  <c r="H210" i="232"/>
  <c r="H209" i="232"/>
  <c r="D190" i="232"/>
  <c r="G190" i="232"/>
  <c r="H190" i="232"/>
  <c r="D386" i="232"/>
  <c r="G386" i="232"/>
  <c r="H386" i="232"/>
  <c r="V2470" i="234"/>
  <c r="V2460" i="234"/>
  <c r="D356" i="232"/>
  <c r="G356" i="232"/>
  <c r="H356" i="232"/>
  <c r="D432" i="232"/>
  <c r="G432" i="232"/>
  <c r="H432" i="232"/>
  <c r="D142" i="232"/>
  <c r="G142" i="232"/>
  <c r="H142" i="232"/>
  <c r="D281" i="232"/>
  <c r="G281" i="232"/>
  <c r="H281" i="232"/>
  <c r="D411" i="232"/>
  <c r="G411" i="232"/>
  <c r="H411" i="232"/>
  <c r="D177" i="232"/>
  <c r="G177" i="232"/>
  <c r="H177" i="232"/>
  <c r="D330" i="232"/>
  <c r="G330" i="232"/>
  <c r="H330" i="232"/>
  <c r="D102" i="232"/>
  <c r="G102" i="232"/>
  <c r="H102" i="232"/>
  <c r="D368" i="232"/>
  <c r="G368" i="232"/>
  <c r="H368" i="232"/>
  <c r="D157" i="232"/>
  <c r="G157" i="232"/>
  <c r="H157" i="232"/>
  <c r="D404" i="232"/>
  <c r="G404" i="232"/>
  <c r="H404" i="232"/>
  <c r="D285" i="232"/>
  <c r="G285" i="232"/>
  <c r="H285" i="232"/>
  <c r="D342" i="232"/>
  <c r="G342" i="232"/>
  <c r="H342" i="232"/>
  <c r="D68" i="232"/>
  <c r="G68" i="232"/>
  <c r="H68" i="232"/>
  <c r="O43" i="233"/>
  <c r="O232" i="233"/>
  <c r="O351" i="233"/>
  <c r="O99" i="233"/>
  <c r="O245" i="233"/>
  <c r="O64" i="233"/>
  <c r="O295" i="233"/>
  <c r="O364" i="233"/>
  <c r="O47" i="233"/>
  <c r="O86" i="233"/>
  <c r="O85" i="233"/>
  <c r="O296" i="233"/>
  <c r="O290" i="233"/>
  <c r="O146" i="233"/>
  <c r="O189" i="233"/>
  <c r="O46" i="233"/>
  <c r="O197" i="233"/>
  <c r="O100" i="233"/>
  <c r="O131" i="233"/>
  <c r="O353" i="233"/>
  <c r="O372" i="233"/>
  <c r="O192" i="233"/>
  <c r="O268" i="233"/>
  <c r="O281" i="233"/>
  <c r="O134" i="233"/>
  <c r="O77" i="233"/>
  <c r="O387" i="233"/>
  <c r="O304" i="233"/>
  <c r="O392" i="233"/>
  <c r="O395" i="233"/>
  <c r="O409" i="233"/>
  <c r="O228" i="233"/>
  <c r="O388" i="233"/>
  <c r="O427" i="233"/>
  <c r="O345" i="233"/>
  <c r="O217" i="233"/>
  <c r="O293" i="233"/>
  <c r="O328" i="233"/>
  <c r="O442" i="233"/>
  <c r="O79" i="233"/>
  <c r="O382" i="233"/>
  <c r="O287" i="233"/>
  <c r="O58" i="233"/>
  <c r="O207" i="233"/>
  <c r="O65" i="233"/>
  <c r="O145" i="233"/>
  <c r="P139" i="233"/>
  <c r="O139" i="233"/>
  <c r="O402" i="233"/>
  <c r="O344" i="233"/>
  <c r="O236" i="233"/>
  <c r="O449" i="233"/>
  <c r="O420" i="233"/>
  <c r="O92" i="233"/>
  <c r="O105" i="233"/>
  <c r="O277" i="233"/>
  <c r="O135" i="233"/>
  <c r="O441" i="233"/>
  <c r="O89" i="233"/>
  <c r="O155" i="233"/>
  <c r="O256" i="233"/>
  <c r="O120" i="233"/>
  <c r="O269" i="233"/>
  <c r="O375" i="233"/>
  <c r="O87" i="233"/>
  <c r="O82" i="233"/>
  <c r="P82" i="233"/>
  <c r="O424" i="233"/>
  <c r="P53" i="233"/>
  <c r="O53" i="233"/>
  <c r="O35" i="233"/>
  <c r="O57" i="233"/>
  <c r="O161" i="233"/>
  <c r="V491" i="234"/>
  <c r="O389" i="233"/>
  <c r="O48" i="233"/>
  <c r="O444" i="233"/>
  <c r="P227" i="233"/>
  <c r="O227" i="233"/>
  <c r="O274" i="233"/>
  <c r="O263" i="233"/>
  <c r="O18" i="233"/>
  <c r="O308" i="233"/>
  <c r="P308" i="233"/>
  <c r="P196" i="233"/>
  <c r="O196" i="233"/>
  <c r="P255" i="233"/>
  <c r="O255" i="233"/>
  <c r="O321" i="233"/>
  <c r="P321" i="233"/>
  <c r="P346" i="233"/>
  <c r="O346" i="233"/>
  <c r="O190" i="233"/>
  <c r="P190" i="233"/>
  <c r="O200" i="233"/>
  <c r="O397" i="233"/>
  <c r="O199" i="233"/>
  <c r="P447" i="233"/>
  <c r="P161" i="233"/>
  <c r="P269" i="233"/>
  <c r="P420" i="233"/>
  <c r="P442" i="233"/>
  <c r="P345" i="233"/>
  <c r="P307" i="233"/>
  <c r="P419" i="233"/>
  <c r="P193" i="233"/>
  <c r="P244" i="233"/>
  <c r="P226" i="233"/>
  <c r="P262" i="233"/>
  <c r="P264" i="233"/>
  <c r="P273" i="233"/>
  <c r="P415" i="233"/>
  <c r="P123" i="233"/>
  <c r="P155" i="233"/>
  <c r="P449" i="233"/>
  <c r="P228" i="233"/>
  <c r="P281" i="233"/>
  <c r="P296" i="233"/>
  <c r="P364" i="233"/>
  <c r="P286" i="233"/>
  <c r="P140" i="233"/>
  <c r="P257" i="233"/>
  <c r="P410" i="233"/>
  <c r="P254" i="233"/>
  <c r="P130" i="233"/>
  <c r="P292" i="233"/>
  <c r="P152" i="233"/>
  <c r="P202" i="233"/>
  <c r="P103" i="233"/>
  <c r="P329" i="233"/>
  <c r="P121" i="233"/>
  <c r="P102" i="233"/>
  <c r="P314" i="233"/>
  <c r="P132" i="233"/>
  <c r="P428" i="233"/>
  <c r="P44" i="233"/>
  <c r="P258" i="233"/>
  <c r="P359" i="233"/>
  <c r="P138" i="233"/>
  <c r="P208" i="233"/>
  <c r="P70" i="233"/>
  <c r="P278" i="233"/>
  <c r="P127" i="233"/>
  <c r="P36" i="233"/>
  <c r="P165" i="233"/>
  <c r="P452" i="233"/>
  <c r="P406" i="233"/>
  <c r="P181" i="233"/>
  <c r="P303" i="233"/>
  <c r="P274" i="233"/>
  <c r="P441" i="233"/>
  <c r="P217" i="233"/>
  <c r="P353" i="233"/>
  <c r="P146" i="233"/>
  <c r="P200" i="233"/>
  <c r="P263" i="233"/>
  <c r="P48" i="233"/>
  <c r="P57" i="233"/>
  <c r="P120" i="233"/>
  <c r="P92" i="233"/>
  <c r="P344" i="233"/>
  <c r="P79" i="233"/>
  <c r="P427" i="233"/>
  <c r="P304" i="233"/>
  <c r="P100" i="233"/>
  <c r="P64" i="233"/>
  <c r="P216" i="233"/>
  <c r="P68" i="233"/>
  <c r="P260" i="233"/>
  <c r="P261" i="233"/>
  <c r="P147" i="233"/>
  <c r="P310" i="233"/>
  <c r="P198" i="233"/>
  <c r="P186" i="233"/>
  <c r="P241" i="233"/>
  <c r="P51" i="233"/>
  <c r="P107" i="233"/>
  <c r="P38" i="233"/>
  <c r="P272" i="233"/>
  <c r="P284" i="233"/>
  <c r="P81" i="233"/>
  <c r="P371" i="233"/>
  <c r="P418" i="233"/>
  <c r="P390" i="233"/>
  <c r="P248" i="233"/>
  <c r="P73" i="233"/>
  <c r="P377" i="233"/>
  <c r="P144" i="233"/>
  <c r="P443" i="233"/>
  <c r="P376" i="233"/>
  <c r="P215" i="233"/>
  <c r="P389" i="233"/>
  <c r="P35" i="233"/>
  <c r="P87" i="233"/>
  <c r="P89" i="233"/>
  <c r="P402" i="233"/>
  <c r="P382" i="233"/>
  <c r="P293" i="233"/>
  <c r="P388" i="233"/>
  <c r="P387" i="233"/>
  <c r="P268" i="233"/>
  <c r="P372" i="233"/>
  <c r="P47" i="233"/>
  <c r="P295" i="233"/>
  <c r="P84" i="233"/>
  <c r="P413" i="233"/>
  <c r="P340" i="233"/>
  <c r="P110" i="233"/>
  <c r="P352" i="233"/>
  <c r="P30" i="233"/>
  <c r="P117" i="233"/>
  <c r="P385" i="233"/>
  <c r="P440" i="233"/>
  <c r="P397" i="233"/>
  <c r="P444" i="233"/>
  <c r="P375" i="233"/>
  <c r="P65" i="233"/>
  <c r="P192" i="233"/>
  <c r="P86" i="233"/>
  <c r="P277" i="233"/>
  <c r="P287" i="233"/>
  <c r="P328" i="233"/>
  <c r="P395" i="233"/>
  <c r="P77" i="233"/>
  <c r="P46" i="233"/>
  <c r="P199" i="233"/>
  <c r="P424" i="233"/>
  <c r="P256" i="233"/>
  <c r="P135" i="233"/>
  <c r="P105" i="233"/>
  <c r="P236" i="233"/>
  <c r="P145" i="233"/>
  <c r="P207" i="233"/>
  <c r="P58" i="233"/>
  <c r="P409" i="233"/>
  <c r="P392" i="233"/>
  <c r="P134" i="233"/>
  <c r="P131" i="233"/>
  <c r="P197" i="233"/>
  <c r="P189" i="233"/>
  <c r="P290" i="233"/>
  <c r="P85" i="233"/>
  <c r="P270" i="233"/>
  <c r="P119" i="233"/>
  <c r="P282" i="233"/>
  <c r="P158" i="233"/>
  <c r="P378" i="233"/>
  <c r="P101" i="233"/>
  <c r="P414" i="233"/>
  <c r="P288" i="233"/>
  <c r="P106" i="233"/>
  <c r="P159" i="233"/>
  <c r="P174" i="233"/>
  <c r="P446" i="233"/>
  <c r="P445" i="233"/>
  <c r="P342" i="233"/>
  <c r="P393" i="233"/>
  <c r="P403" i="233"/>
  <c r="P214" i="233"/>
  <c r="P124" i="233"/>
  <c r="P163" i="233"/>
  <c r="P360" i="233"/>
  <c r="P347" i="233"/>
  <c r="P283" i="233"/>
  <c r="P280" i="233"/>
  <c r="P185" i="233"/>
  <c r="P437" i="233"/>
  <c r="P39" i="233"/>
  <c r="P317" i="233"/>
  <c r="P238" i="233"/>
  <c r="P379" i="233"/>
  <c r="P223" i="233"/>
  <c r="P253" i="233"/>
  <c r="P187" i="233"/>
  <c r="V1136" i="234"/>
  <c r="V928" i="234"/>
  <c r="H14" i="219"/>
  <c r="O14" i="219"/>
  <c r="V320" i="234"/>
  <c r="V319" i="234"/>
  <c r="V318" i="234"/>
  <c r="V317" i="234"/>
  <c r="V311" i="234"/>
  <c r="V310" i="234"/>
  <c r="V309" i="234"/>
  <c r="O33" i="233"/>
  <c r="O452" i="233"/>
  <c r="V2481" i="234"/>
  <c r="V4121" i="234"/>
  <c r="V3802" i="234"/>
  <c r="V3238" i="234"/>
  <c r="O455" i="233"/>
  <c r="O457" i="233"/>
  <c r="O453" i="233"/>
  <c r="O450" i="233"/>
  <c r="O165" i="233"/>
  <c r="O436" i="233"/>
  <c r="H31" i="232"/>
  <c r="H15" i="219"/>
  <c r="I14" i="219"/>
  <c r="D440" i="232"/>
  <c r="G440" i="232"/>
  <c r="H440" i="232"/>
  <c r="V515" i="234"/>
  <c r="V514" i="234"/>
  <c r="V513" i="234"/>
  <c r="V518" i="234"/>
  <c r="V516" i="234"/>
  <c r="V641" i="234"/>
  <c r="V640" i="234"/>
  <c r="V639" i="234"/>
  <c r="V638" i="234"/>
  <c r="V637" i="234"/>
  <c r="V636" i="234"/>
  <c r="V635" i="234"/>
  <c r="V634" i="234"/>
  <c r="V633" i="234"/>
  <c r="V632" i="234"/>
  <c r="V631" i="234"/>
  <c r="V630" i="234"/>
  <c r="V629" i="234"/>
  <c r="V628" i="234"/>
  <c r="V627" i="234"/>
  <c r="V626" i="234"/>
  <c r="V625" i="234"/>
  <c r="V624" i="234"/>
  <c r="V623" i="234"/>
  <c r="V622" i="234"/>
  <c r="V621" i="234"/>
  <c r="V620" i="234"/>
  <c r="V619" i="234"/>
  <c r="V618" i="234"/>
  <c r="V617" i="234"/>
  <c r="V616" i="234"/>
  <c r="V615" i="234"/>
  <c r="V614" i="234"/>
  <c r="V613" i="234"/>
  <c r="V612" i="234"/>
  <c r="V611" i="234"/>
  <c r="V610" i="234"/>
  <c r="V609" i="234"/>
  <c r="V608" i="234"/>
  <c r="V607" i="234"/>
  <c r="V606" i="234"/>
  <c r="V605" i="234"/>
  <c r="V604" i="234"/>
  <c r="V603" i="234"/>
  <c r="V602" i="234"/>
  <c r="V601" i="234"/>
  <c r="V600" i="234"/>
  <c r="V599" i="234"/>
  <c r="V598" i="234"/>
  <c r="V648" i="234"/>
  <c r="H55" i="232"/>
  <c r="O440" i="233"/>
  <c r="V136" i="234"/>
  <c r="V137" i="234"/>
  <c r="V134" i="234"/>
  <c r="V133" i="234"/>
  <c r="V132" i="234"/>
  <c r="V131" i="234"/>
  <c r="V130" i="234"/>
  <c r="V129" i="234"/>
  <c r="V128" i="234"/>
  <c r="V97" i="234"/>
  <c r="V98" i="234"/>
  <c r="V95" i="234"/>
  <c r="V94" i="234"/>
  <c r="V93" i="234"/>
  <c r="V92" i="234"/>
  <c r="V91" i="234"/>
  <c r="V90" i="234"/>
  <c r="V89" i="234"/>
  <c r="O117" i="233"/>
  <c r="O253" i="233"/>
  <c r="O303" i="233"/>
  <c r="O406" i="233"/>
  <c r="H227" i="232"/>
  <c r="O376" i="233"/>
  <c r="O19" i="233"/>
  <c r="O317" i="233"/>
  <c r="O39" i="233"/>
  <c r="O114" i="233"/>
  <c r="H201" i="232"/>
  <c r="O377" i="233"/>
  <c r="O121" i="233"/>
  <c r="O70" i="233"/>
  <c r="O359" i="233"/>
  <c r="O390" i="233"/>
  <c r="O258" i="233"/>
  <c r="O138" i="233"/>
  <c r="O371" i="233"/>
  <c r="H110" i="232"/>
  <c r="O102" i="233"/>
  <c r="O314" i="233"/>
  <c r="O418" i="233"/>
  <c r="H407" i="232"/>
  <c r="O81" i="233"/>
  <c r="D47" i="232"/>
  <c r="G47" i="232"/>
  <c r="H47" i="232"/>
  <c r="H312" i="232"/>
  <c r="O280" i="233"/>
  <c r="O347" i="233"/>
  <c r="O12" i="233"/>
  <c r="O208" i="233"/>
  <c r="O414" i="233"/>
  <c r="O124" i="233"/>
  <c r="O106" i="233"/>
  <c r="O40" i="233"/>
  <c r="H143" i="232"/>
  <c r="O428" i="233"/>
  <c r="O273" i="233"/>
  <c r="O264" i="233"/>
  <c r="O283" i="233"/>
  <c r="O123" i="233"/>
  <c r="O262" i="233"/>
  <c r="V698" i="234"/>
  <c r="V697" i="234"/>
  <c r="V696" i="234"/>
  <c r="V695" i="234"/>
  <c r="V693" i="234"/>
  <c r="V692" i="234"/>
  <c r="V691" i="234"/>
  <c r="V690" i="234"/>
  <c r="V689" i="234"/>
  <c r="V688" i="234"/>
  <c r="V687" i="234"/>
  <c r="V686" i="234"/>
  <c r="V685" i="234"/>
  <c r="V684" i="234"/>
  <c r="V683" i="234"/>
  <c r="V682" i="234"/>
  <c r="V681" i="234"/>
  <c r="V680" i="234"/>
  <c r="V679" i="234"/>
  <c r="V678" i="234"/>
  <c r="V677" i="234"/>
  <c r="V676" i="234"/>
  <c r="V675" i="234"/>
  <c r="V674" i="234"/>
  <c r="V673" i="234"/>
  <c r="V672" i="234"/>
  <c r="V671" i="234"/>
  <c r="V670" i="234"/>
  <c r="V669" i="234"/>
  <c r="V668" i="234"/>
  <c r="V667" i="234"/>
  <c r="V666" i="234"/>
  <c r="V665" i="234"/>
  <c r="V664" i="234"/>
  <c r="V663" i="234"/>
  <c r="V662" i="234"/>
  <c r="V661" i="234"/>
  <c r="V660" i="234"/>
  <c r="V659" i="234"/>
  <c r="V658" i="234"/>
  <c r="V657" i="234"/>
  <c r="V656" i="234"/>
  <c r="V655" i="234"/>
  <c r="V654" i="234"/>
  <c r="V653" i="234"/>
  <c r="V652" i="234"/>
  <c r="V651" i="234"/>
  <c r="V650" i="234"/>
  <c r="V649" i="234"/>
  <c r="V699" i="234"/>
  <c r="O393" i="233"/>
  <c r="O415" i="233"/>
  <c r="O159" i="233"/>
  <c r="O241" i="233"/>
  <c r="H24" i="232"/>
  <c r="V4131" i="234"/>
  <c r="H231" i="232"/>
  <c r="V205" i="234"/>
  <c r="H291" i="232"/>
  <c r="D48" i="232"/>
  <c r="G48" i="232"/>
  <c r="H48" i="232"/>
  <c r="H217" i="232"/>
  <c r="O101" i="233"/>
  <c r="H332" i="232"/>
  <c r="O352" i="233"/>
  <c r="V2328" i="234"/>
  <c r="O158" i="233"/>
  <c r="H67" i="232"/>
  <c r="O198" i="233"/>
  <c r="O310" i="233"/>
  <c r="H16" i="232"/>
  <c r="O419" i="233"/>
  <c r="P29" i="233"/>
  <c r="O30" i="233"/>
  <c r="O119" i="233"/>
  <c r="O292" i="233"/>
  <c r="H99" i="232"/>
  <c r="H155" i="232"/>
  <c r="O413" i="233"/>
  <c r="H239" i="232"/>
  <c r="O103" i="233"/>
  <c r="O152" i="233"/>
  <c r="H185" i="232"/>
  <c r="H349" i="232"/>
  <c r="O68" i="233"/>
  <c r="H423" i="232"/>
  <c r="H422" i="232"/>
  <c r="H131" i="232"/>
  <c r="O257" i="233"/>
  <c r="H82" i="232"/>
  <c r="H324" i="232"/>
  <c r="O193" i="233"/>
  <c r="H372" i="232"/>
  <c r="O116" i="233"/>
  <c r="O356" i="233"/>
  <c r="H273" i="232"/>
  <c r="O151" i="233"/>
  <c r="O171" i="233"/>
  <c r="O184" i="233"/>
  <c r="AS73" i="220"/>
  <c r="O10" i="233"/>
  <c r="O52" i="233"/>
  <c r="O367" i="233"/>
  <c r="P367" i="233"/>
  <c r="O336" i="233"/>
  <c r="O398" i="233"/>
  <c r="O362" i="233"/>
  <c r="O136" i="233"/>
  <c r="O350" i="233"/>
  <c r="O425" i="233"/>
  <c r="O276" i="233"/>
  <c r="O358" i="233"/>
  <c r="O324" i="233"/>
  <c r="O405" i="233"/>
  <c r="O380" i="233"/>
  <c r="O271" i="233"/>
  <c r="V4447" i="234"/>
  <c r="V4446" i="234"/>
  <c r="V4445" i="234"/>
  <c r="V4444" i="234"/>
  <c r="V4443" i="234"/>
  <c r="V4442" i="234"/>
  <c r="V4441" i="234"/>
  <c r="V4440" i="234"/>
  <c r="V4439" i="234"/>
  <c r="V4438" i="234"/>
  <c r="V4437" i="234"/>
  <c r="V4436" i="234"/>
  <c r="V4407" i="234"/>
  <c r="V4406" i="234"/>
  <c r="V4405" i="234"/>
  <c r="V4404" i="234"/>
  <c r="V4403" i="234"/>
  <c r="V4402" i="234"/>
  <c r="V4401" i="234"/>
  <c r="V4400" i="234"/>
  <c r="V4399" i="234"/>
  <c r="V4398" i="234"/>
  <c r="V4397" i="234"/>
  <c r="V4396" i="234"/>
  <c r="V4395" i="234"/>
  <c r="V4394" i="234"/>
  <c r="V4393" i="234"/>
  <c r="V4392" i="234"/>
  <c r="V4391" i="234"/>
  <c r="V4390" i="234"/>
  <c r="V4389" i="234"/>
  <c r="V4457" i="234"/>
  <c r="V4456" i="234"/>
  <c r="V4455" i="234"/>
  <c r="V4454" i="234"/>
  <c r="V4453" i="234"/>
  <c r="V4452" i="234"/>
  <c r="V4451" i="234"/>
  <c r="V4450" i="234"/>
  <c r="V4449" i="234"/>
  <c r="V4448" i="234"/>
  <c r="V4435" i="234"/>
  <c r="V4434" i="234"/>
  <c r="V4433" i="234"/>
  <c r="V4432" i="234"/>
  <c r="V4431" i="234"/>
  <c r="V4430" i="234"/>
  <c r="V4429" i="234"/>
  <c r="V4428" i="234"/>
  <c r="V4427" i="234"/>
  <c r="V4426" i="234"/>
  <c r="V4425" i="234"/>
  <c r="V4424" i="234"/>
  <c r="V4423" i="234"/>
  <c r="V4422" i="234"/>
  <c r="V4421" i="234"/>
  <c r="V4420" i="234"/>
  <c r="V4419" i="234"/>
  <c r="V4418" i="234"/>
  <c r="V4417" i="234"/>
  <c r="V4416" i="234"/>
  <c r="V4415" i="234"/>
  <c r="V4414" i="234"/>
  <c r="V4413" i="234"/>
  <c r="V4412" i="234"/>
  <c r="V4411" i="234"/>
  <c r="V4410" i="234"/>
  <c r="V4409" i="234"/>
  <c r="V4408" i="234"/>
  <c r="O62" i="233"/>
  <c r="O279" i="233"/>
  <c r="O96" i="233"/>
  <c r="O275" i="233"/>
  <c r="O426" i="233"/>
  <c r="O204" i="233"/>
  <c r="P204" i="233"/>
  <c r="O80" i="233"/>
  <c r="O259" i="233"/>
  <c r="P222" i="233"/>
  <c r="O222" i="233"/>
  <c r="O325" i="233"/>
  <c r="D439" i="232"/>
  <c r="G439" i="232"/>
  <c r="H439" i="232"/>
  <c r="P104" i="233"/>
  <c r="P225" i="233"/>
  <c r="P195" i="233"/>
  <c r="P306" i="233"/>
  <c r="P116" i="233"/>
  <c r="P176" i="233"/>
  <c r="P337" i="233"/>
  <c r="P259" i="233"/>
  <c r="P271" i="233"/>
  <c r="P405" i="233"/>
  <c r="P358" i="233"/>
  <c r="P425" i="233"/>
  <c r="P237" i="233"/>
  <c r="P297" i="233"/>
  <c r="P212" i="233"/>
  <c r="P289" i="233"/>
  <c r="P335" i="233"/>
  <c r="P178" i="233"/>
  <c r="P154" i="233"/>
  <c r="P167" i="233"/>
  <c r="P332" i="233"/>
  <c r="P133" i="233"/>
  <c r="P325" i="233"/>
  <c r="P279" i="233"/>
  <c r="P398" i="233"/>
  <c r="P171" i="233"/>
  <c r="P250" i="233"/>
  <c r="P172" i="233"/>
  <c r="P324" i="233"/>
  <c r="P350" i="233"/>
  <c r="P184" i="233"/>
  <c r="P356" i="233"/>
  <c r="P370" i="233"/>
  <c r="P300" i="233"/>
  <c r="P168" i="233"/>
  <c r="P157" i="233"/>
  <c r="P153" i="233"/>
  <c r="P164" i="233"/>
  <c r="P210" i="233"/>
  <c r="P66" i="233"/>
  <c r="P275" i="233"/>
  <c r="P136" i="233"/>
  <c r="P354" i="233"/>
  <c r="P339" i="233"/>
  <c r="P75" i="233"/>
  <c r="P230" i="233"/>
  <c r="P391" i="233"/>
  <c r="P396" i="233"/>
  <c r="P404" i="233"/>
  <c r="P98" i="233"/>
  <c r="P63" i="233"/>
  <c r="P94" i="233"/>
  <c r="P113" i="233"/>
  <c r="P194" i="233"/>
  <c r="P80" i="233"/>
  <c r="P96" i="233"/>
  <c r="P380" i="233"/>
  <c r="P276" i="233"/>
  <c r="P336" i="233"/>
  <c r="P151" i="233"/>
  <c r="P141" i="233"/>
  <c r="P234" i="233"/>
  <c r="P426" i="233"/>
  <c r="P62" i="233"/>
  <c r="P362" i="233"/>
  <c r="P52" i="233"/>
  <c r="P361" i="233"/>
  <c r="P374" i="233"/>
  <c r="P56" i="233"/>
  <c r="P143" i="233"/>
  <c r="P412" i="233"/>
  <c r="P394" i="233"/>
  <c r="P252" i="233"/>
  <c r="P383" i="233"/>
  <c r="P72" i="233"/>
  <c r="P37" i="233"/>
  <c r="P28" i="233"/>
  <c r="P450" i="233"/>
  <c r="V316" i="234"/>
  <c r="V315" i="234"/>
  <c r="V314" i="234"/>
  <c r="V313" i="234"/>
  <c r="V312" i="234"/>
  <c r="V406" i="234"/>
  <c r="P366" i="233"/>
  <c r="H438" i="232"/>
  <c r="H437" i="232"/>
  <c r="O194" i="233"/>
  <c r="O15" i="219"/>
  <c r="I15" i="219"/>
  <c r="H16" i="219"/>
  <c r="O28" i="233"/>
  <c r="V523" i="234"/>
  <c r="V166" i="234"/>
  <c r="V127" i="234"/>
  <c r="P112" i="233"/>
  <c r="H212" i="232"/>
  <c r="H406" i="232"/>
  <c r="H38" i="232"/>
  <c r="P229" i="233"/>
  <c r="P137" i="233"/>
  <c r="P211" i="233"/>
  <c r="O42" i="233"/>
  <c r="P298" i="233"/>
  <c r="V2327" i="234"/>
  <c r="H60" i="232"/>
  <c r="P149" i="233"/>
  <c r="P326" i="233"/>
  <c r="P115" i="233"/>
  <c r="P125" i="233"/>
  <c r="P318" i="233"/>
  <c r="H230" i="232"/>
  <c r="P267" i="233"/>
  <c r="P93" i="233"/>
  <c r="P233" i="233"/>
  <c r="P76" i="233"/>
  <c r="O435" i="233"/>
  <c r="P221" i="233"/>
  <c r="V4466" i="234"/>
  <c r="V4388" i="234"/>
  <c r="P435" i="233"/>
  <c r="P40" i="233"/>
  <c r="P41" i="233"/>
  <c r="P42" i="233"/>
  <c r="P33" i="233"/>
  <c r="O16" i="219"/>
  <c r="H17" i="219"/>
  <c r="I16" i="219"/>
  <c r="V78" i="234"/>
  <c r="V7" i="234"/>
  <c r="V6" i="234"/>
  <c r="H211" i="232"/>
  <c r="H30" i="232"/>
  <c r="H15" i="232"/>
  <c r="O41" i="233"/>
  <c r="P206" i="233"/>
  <c r="O17" i="219"/>
  <c r="H18" i="219"/>
  <c r="I17" i="219"/>
  <c r="K465" i="233"/>
  <c r="L469" i="233"/>
  <c r="L471" i="233"/>
  <c r="M471" i="233"/>
  <c r="P465" i="233"/>
  <c r="H20" i="219"/>
  <c r="O18" i="219"/>
  <c r="I18" i="219"/>
  <c r="G476" i="233"/>
  <c r="O20" i="219"/>
  <c r="I20" i="219"/>
  <c r="H21" i="219"/>
  <c r="L472" i="233"/>
  <c r="M1" i="233"/>
  <c r="K467" i="233"/>
  <c r="V597" i="234"/>
  <c r="V308" i="234"/>
  <c r="V292" i="234"/>
  <c r="V247" i="234"/>
  <c r="V246" i="234"/>
  <c r="O21" i="219"/>
  <c r="I21" i="219"/>
  <c r="H22" i="219"/>
  <c r="V245" i="234"/>
  <c r="H23" i="219"/>
  <c r="O22" i="219"/>
  <c r="I22" i="219"/>
  <c r="O23" i="219"/>
  <c r="H24" i="219"/>
  <c r="I23" i="219"/>
  <c r="O24" i="219"/>
  <c r="I24" i="219"/>
  <c r="H25" i="219"/>
  <c r="O25" i="219"/>
  <c r="I25" i="219"/>
  <c r="H27" i="219"/>
  <c r="O27" i="219"/>
  <c r="I27" i="219"/>
  <c r="H28" i="219"/>
  <c r="O28" i="219"/>
  <c r="I28" i="219"/>
  <c r="H29" i="219"/>
  <c r="O29" i="219"/>
  <c r="H30" i="219"/>
  <c r="I29" i="219"/>
  <c r="I30" i="219"/>
  <c r="O30" i="219"/>
  <c r="H31" i="219"/>
  <c r="O31" i="219"/>
  <c r="I31" i="219"/>
  <c r="H32" i="219"/>
  <c r="H34" i="219"/>
  <c r="O32" i="219"/>
  <c r="I32" i="219"/>
  <c r="H35" i="219"/>
  <c r="O34" i="219"/>
  <c r="I34" i="219"/>
  <c r="H36" i="219"/>
  <c r="I35" i="219"/>
  <c r="O35" i="219"/>
  <c r="O36" i="219"/>
  <c r="H37" i="219"/>
  <c r="I36" i="219"/>
  <c r="O37" i="219"/>
  <c r="H38" i="219"/>
  <c r="I37" i="219"/>
  <c r="O38" i="219"/>
  <c r="I38" i="219"/>
  <c r="H39" i="219"/>
  <c r="O39" i="219"/>
  <c r="I39" i="219"/>
  <c r="H41" i="219"/>
  <c r="I41" i="219"/>
  <c r="O41" i="219"/>
  <c r="H42" i="219"/>
  <c r="I42" i="219"/>
  <c r="O42" i="219"/>
  <c r="AK22" i="220"/>
  <c r="AK20" i="220"/>
  <c r="AQ20" i="220"/>
  <c r="AQ22" i="220"/>
  <c r="AK32" i="220"/>
  <c r="AK30" i="220"/>
  <c r="AK42" i="220"/>
  <c r="AK40" i="220"/>
  <c r="AK59" i="220"/>
  <c r="AK67" i="220"/>
  <c r="AK88" i="220"/>
  <c r="G43" i="219"/>
  <c r="K43" i="219"/>
  <c r="N43" i="219"/>
  <c r="H43" i="219"/>
  <c r="AK57" i="220"/>
  <c r="AK65" i="220"/>
  <c r="AJ128" i="221"/>
  <c r="AJ130" i="221"/>
  <c r="O43" i="219"/>
  <c r="I43" i="219"/>
  <c r="AL32" i="220"/>
  <c r="AL30" i="220"/>
  <c r="AL42" i="220"/>
  <c r="AL40" i="220"/>
  <c r="AL47" i="220"/>
  <c r="AL45" i="220"/>
  <c r="AQ45" i="220"/>
  <c r="AQ47" i="220"/>
  <c r="AL59" i="220"/>
  <c r="AL88" i="220"/>
  <c r="AL67" i="220"/>
  <c r="AL57" i="220"/>
  <c r="G44" i="219"/>
  <c r="N44" i="219"/>
  <c r="K44" i="219"/>
  <c r="H44" i="219"/>
  <c r="O44" i="219"/>
  <c r="AL65" i="220"/>
  <c r="AK128" i="221"/>
  <c r="AK130" i="221"/>
  <c r="AM27" i="220"/>
  <c r="I44" i="219"/>
  <c r="AQ27" i="220"/>
  <c r="AM25" i="220"/>
  <c r="AQ25" i="220"/>
  <c r="AM32" i="220"/>
  <c r="AM30" i="220"/>
  <c r="AM88" i="220"/>
  <c r="G45" i="219"/>
  <c r="AM59" i="220"/>
  <c r="AQ59" i="220"/>
  <c r="N45" i="219"/>
  <c r="K45" i="219"/>
  <c r="H45" i="219"/>
  <c r="O45" i="219"/>
  <c r="AM67" i="220"/>
  <c r="AM57" i="220"/>
  <c r="AQ57" i="220"/>
  <c r="I45" i="219"/>
  <c r="AM65" i="220"/>
  <c r="AL128" i="221"/>
  <c r="AL130" i="221"/>
  <c r="AN32" i="220"/>
  <c r="AN30" i="220"/>
  <c r="AN88" i="220"/>
  <c r="G46" i="219"/>
  <c r="AN42" i="220"/>
  <c r="AQ42" i="220"/>
  <c r="K46" i="219"/>
  <c r="N46" i="219"/>
  <c r="H46" i="219"/>
  <c r="AN40" i="220"/>
  <c r="AQ40" i="220"/>
  <c r="AN67" i="220"/>
  <c r="O46" i="219"/>
  <c r="I46" i="219"/>
  <c r="AN65" i="220"/>
  <c r="AM128" i="221"/>
  <c r="AM130" i="221"/>
  <c r="AO32" i="220"/>
  <c r="AO67" i="220"/>
  <c r="AO88" i="220"/>
  <c r="G47" i="219"/>
  <c r="AQ88" i="220"/>
  <c r="N47" i="219"/>
  <c r="K47" i="219"/>
  <c r="H47" i="219"/>
  <c r="O47" i="219"/>
  <c r="G48" i="219"/>
  <c r="AQ67" i="220"/>
  <c r="AO65" i="220"/>
  <c r="AO30" i="220"/>
  <c r="AQ30" i="220"/>
  <c r="AQ32" i="220"/>
  <c r="AQ65" i="220"/>
  <c r="AN128" i="221"/>
  <c r="AN130" i="221"/>
  <c r="O48" i="219"/>
  <c r="N45" i="218"/>
  <c r="I47" i="219"/>
  <c r="I48" i="219"/>
  <c r="N46" i="218"/>
</calcChain>
</file>

<file path=xl/sharedStrings.xml><?xml version="1.0" encoding="utf-8"?>
<sst xmlns="http://schemas.openxmlformats.org/spreadsheetml/2006/main" count="16487" uniqueCount="2561">
  <si>
    <t xml:space="preserve">Relatório Técnico Permanente de Engenharia 		                                                                         </t>
  </si>
  <si>
    <t>RTPE 524-11</t>
  </si>
  <si>
    <t>INFORMAÇÕES CONTRATUAIS</t>
  </si>
  <si>
    <t>3.1.   SUPERVISORA</t>
  </si>
  <si>
    <t>Supervisora:</t>
  </si>
  <si>
    <t>Consórcio Prosul - Quadrante Viaponte - Consane</t>
  </si>
  <si>
    <t>Edital de Licitação Nº:</t>
  </si>
  <si>
    <t>002/2019</t>
  </si>
  <si>
    <t>Data Publicação Cont:</t>
  </si>
  <si>
    <t xml:space="preserve">Nº Contrato: </t>
  </si>
  <si>
    <t>011/2021</t>
  </si>
  <si>
    <t>Data Base:</t>
  </si>
  <si>
    <t>Janeiro / 2019</t>
  </si>
  <si>
    <t>Ordem de Início:</t>
  </si>
  <si>
    <t>Prazo Contratual:</t>
  </si>
  <si>
    <t>40 Meses (1221 Dias)</t>
  </si>
  <si>
    <t>Vigência do Contrato:</t>
  </si>
  <si>
    <t>Objeto do Contrato:</t>
  </si>
  <si>
    <t>Prestação de serviços especializados de engenharia consultiva para supervisão e apoio técnico das atividades de fiscalização técnica, ambiental e de regularidade trabalhista, fiscal e previdenciária das obras rodoviárias a serem executadas nas áreas sob jurisdição das Superintendências Executivas Regionais I, II, III (Norte e Sul) e Superintendência Executiva de Empreendimentos Urbanos do DER-ES, conforme condições, quantidades, exigências e especificações discriminadas nos projetos/Termo de Referência e estabelecidas no Edital, seus anexos e na proposta da Contratada. LOTE 5.</t>
  </si>
  <si>
    <t>Valor do Contrato:</t>
  </si>
  <si>
    <t>Inicial:</t>
  </si>
  <si>
    <t>Assinatura Contrato:</t>
  </si>
  <si>
    <t>Gestor do Contrato:</t>
  </si>
  <si>
    <t>Edesio Fraga Moreira</t>
  </si>
  <si>
    <t>Setor:</t>
  </si>
  <si>
    <t>SE-U</t>
  </si>
  <si>
    <t>Fiscal do Contrato:</t>
  </si>
  <si>
    <t>3.1.   CONSTRUTORA</t>
  </si>
  <si>
    <t>CONSTRUTORA:</t>
  </si>
  <si>
    <t>DP Barros Pavimentação e Construção Ltda</t>
  </si>
  <si>
    <t>004/2020</t>
  </si>
  <si>
    <t>Assinatura do Contrato:</t>
  </si>
  <si>
    <t>009/2021</t>
  </si>
  <si>
    <t>Data da Publicação:</t>
  </si>
  <si>
    <t>Prazo Contr. Inicial:</t>
  </si>
  <si>
    <t>506</t>
  </si>
  <si>
    <t>Valor Contr. Inicial:</t>
  </si>
  <si>
    <t>03/08/2020</t>
  </si>
  <si>
    <t>Execução das Obras de Construção da Estação de Bombeamento de Águas Pluviais Laranja, no Município de Vila Velha/ES, Com Fornecimento de Mão-de-obra e Materiais.</t>
  </si>
  <si>
    <t>Valdik Escapini Fanchiotti</t>
  </si>
  <si>
    <t>SEDURB</t>
  </si>
  <si>
    <t>Carlos Vinicius Soares do Rosário</t>
  </si>
  <si>
    <t>DADOS DO DESENVOLVIMENTO CONTRATUAL</t>
  </si>
  <si>
    <t>Licenças Ambientais:</t>
  </si>
  <si>
    <t>1ª Ordem de Paralisação:</t>
  </si>
  <si>
    <t>2ª Ordem de Paralisação:</t>
  </si>
  <si>
    <t>3ª Ordem de Paralisação:</t>
  </si>
  <si>
    <t>1ª Ordem de Reinicio:</t>
  </si>
  <si>
    <t>2ª Ordem de Reinicio:</t>
  </si>
  <si>
    <t>3ª Ordem de Reinicio:</t>
  </si>
  <si>
    <t>Licença de Instalação</t>
  </si>
  <si>
    <t>LI-GSIM / CRSS / Nº142 /2020 / CLASSE IV - 1460 DIAS - 28/12/2020</t>
  </si>
  <si>
    <t>Licença Prévia</t>
  </si>
  <si>
    <t>LI-GSIM / CRSS / Nº191 /2020 / CLASSE IV - 1460 DIAS - 28/12/2020</t>
  </si>
  <si>
    <t>34</t>
  </si>
  <si>
    <t>Construção da Estação de Bombeamento de Águas Pluviais Laranja, Vila Velha/ES</t>
  </si>
  <si>
    <t>9</t>
  </si>
  <si>
    <t>5.   RELAÇÃO DE PESSOAL DA CONSTRUTORA</t>
  </si>
  <si>
    <t>REFERÊNCIA:</t>
  </si>
  <si>
    <t>PERÍODO:</t>
  </si>
  <si>
    <t>01/07/24 a 31/07/24</t>
  </si>
  <si>
    <t>TRECHO:</t>
  </si>
  <si>
    <t>Região do bairro Pontal das Graças, paralelamente ao “Canal do Dique”</t>
  </si>
  <si>
    <t>CONTRATO:</t>
  </si>
  <si>
    <t>CÓDIGO</t>
  </si>
  <si>
    <t>EQUIPE MOBILIZADA</t>
  </si>
  <si>
    <t>TIPO</t>
  </si>
  <si>
    <t xml:space="preserve"> QUANTIDADE MOBILIZADA</t>
  </si>
  <si>
    <t>PREVISTO</t>
  </si>
  <si>
    <t>REALIZADO</t>
  </si>
  <si>
    <t>MÃO DE OBRA INDIRETA</t>
  </si>
  <si>
    <t>MÉDIA</t>
  </si>
  <si>
    <t>Encarregado Produção Estaca prancha</t>
  </si>
  <si>
    <t>Vigia</t>
  </si>
  <si>
    <t>Subcontratada</t>
  </si>
  <si>
    <t>Injetor de Argamassa</t>
  </si>
  <si>
    <t>Contratada</t>
  </si>
  <si>
    <t>Sondador Rotativa</t>
  </si>
  <si>
    <t>Servente Estaca Raiz</t>
  </si>
  <si>
    <t>Oficial de Perfuratriz</t>
  </si>
  <si>
    <t>Operador de escavadeira</t>
  </si>
  <si>
    <t>Topógrafo</t>
  </si>
  <si>
    <t>Auxiliar de Topografia</t>
  </si>
  <si>
    <t>Auxiliar de Limpeza</t>
  </si>
  <si>
    <t>Operador de Pá Carregadeira</t>
  </si>
  <si>
    <t>Operador de Rolo Pé de carneiro</t>
  </si>
  <si>
    <t>Motorista de Caminhão Pipa</t>
  </si>
  <si>
    <t>Soldador</t>
  </si>
  <si>
    <t>Mecânico</t>
  </si>
  <si>
    <t>Operador da maquina PH670</t>
  </si>
  <si>
    <t>Engenheiro produção estacas pranchas</t>
  </si>
  <si>
    <t>Almoxarife</t>
  </si>
  <si>
    <t>MÃO DE OBRA DIRETA</t>
  </si>
  <si>
    <t>Engenheiro</t>
  </si>
  <si>
    <t>Mestre de Obras</t>
  </si>
  <si>
    <t>Tecnica Meio Ambiente</t>
  </si>
  <si>
    <t>Encarregado</t>
  </si>
  <si>
    <t>Assistente Administrativo</t>
  </si>
  <si>
    <t>Comprador</t>
  </si>
  <si>
    <t>Auxiliar Almoxarife</t>
  </si>
  <si>
    <t>Eletricista</t>
  </si>
  <si>
    <t>Carpinteiro</t>
  </si>
  <si>
    <t>Ajudante de Obra</t>
  </si>
  <si>
    <t>Armador</t>
  </si>
  <si>
    <t>Pedreiro</t>
  </si>
  <si>
    <t>OBSERVAÇÕES DA SUPERVISORA</t>
  </si>
  <si>
    <r>
      <t>1</t>
    </r>
    <r>
      <rPr>
        <b/>
        <sz val="9"/>
        <color theme="1"/>
        <rFont val="Arial"/>
        <family val="2"/>
      </rPr>
      <t>.</t>
    </r>
    <r>
      <rPr>
        <sz val="9"/>
        <color theme="1"/>
        <rFont val="Arial"/>
        <family val="2"/>
      </rPr>
      <t xml:space="preserve"> O quantitativo</t>
    </r>
    <r>
      <rPr>
        <sz val="9"/>
        <color rgb="FFFF0000"/>
        <rFont val="Arial"/>
        <family val="2"/>
      </rPr>
      <t xml:space="preserve"> REALIZADO</t>
    </r>
    <r>
      <rPr>
        <sz val="9"/>
        <color theme="1"/>
        <rFont val="Arial"/>
        <family val="2"/>
      </rPr>
      <t xml:space="preserve"> refere-se a média da Relação de Equipe efetiva no mês corrente.</t>
    </r>
  </si>
  <si>
    <t>total</t>
  </si>
  <si>
    <t>6.   RELAÇÃO DE EQUIPAMENTOS DA CONSTRUTORA</t>
  </si>
  <si>
    <t>EQUIPAMENTO</t>
  </si>
  <si>
    <t>QUANTIDADE MOBILIZADA</t>
  </si>
  <si>
    <t>ESTADO DE CONSERVAÇÃO</t>
  </si>
  <si>
    <t>BOM</t>
  </si>
  <si>
    <t xml:space="preserve">RUIM </t>
  </si>
  <si>
    <t>ÓTIMO</t>
  </si>
  <si>
    <t>Escavadeira Hidráulica</t>
  </si>
  <si>
    <t xml:space="preserve">Compressor de Ar 1000 PCM </t>
  </si>
  <si>
    <t>Bomba Submersível de 3"</t>
  </si>
  <si>
    <t>Bomba Submersível de 4"</t>
  </si>
  <si>
    <t>Bomba Submersível de 6"</t>
  </si>
  <si>
    <t>Conjunto de Rebaixamento do Lençol</t>
  </si>
  <si>
    <t>Gerador de 125kva a 50kva</t>
  </si>
  <si>
    <t>Maquina PH670</t>
  </si>
  <si>
    <t xml:space="preserve">Compressor de Ar 400 PCM </t>
  </si>
  <si>
    <t>Perfuratriz PS 450</t>
  </si>
  <si>
    <t>Martelo para cravação</t>
  </si>
  <si>
    <t>Serra Circular Manual</t>
  </si>
  <si>
    <t>Caminhão pipa</t>
  </si>
  <si>
    <t>Caminhão tanque</t>
  </si>
  <si>
    <t>Caminhão Basculante</t>
  </si>
  <si>
    <t>Rolo Pé de carneiro</t>
  </si>
  <si>
    <t>Pá Carregadeira</t>
  </si>
  <si>
    <t>Compactador (sapo)</t>
  </si>
  <si>
    <r>
      <t>1</t>
    </r>
    <r>
      <rPr>
        <b/>
        <sz val="9"/>
        <color theme="1"/>
        <rFont val="Arial"/>
        <family val="2"/>
      </rPr>
      <t>.</t>
    </r>
    <r>
      <rPr>
        <sz val="9"/>
        <color theme="1"/>
        <rFont val="Arial"/>
        <family val="2"/>
      </rPr>
      <t xml:space="preserve"> O quantitativo </t>
    </r>
    <r>
      <rPr>
        <sz val="9"/>
        <color rgb="FFFF0000"/>
        <rFont val="Arial"/>
        <family val="2"/>
      </rPr>
      <t>REALIZADO</t>
    </r>
    <r>
      <rPr>
        <sz val="9"/>
        <color theme="1"/>
        <rFont val="Arial"/>
        <family val="2"/>
      </rPr>
      <t xml:space="preserve"> refere-se a média da Relação de Equipe efetiva no mês corrente.</t>
    </r>
  </si>
  <si>
    <t>7.   CONTROLE PLUVIOMÉTRICO</t>
  </si>
  <si>
    <t>DIA</t>
  </si>
  <si>
    <t>0-6hs /
6-12hs</t>
  </si>
  <si>
    <t>12-18hs / 
18-24hs</t>
  </si>
  <si>
    <t>0 = impraticavel</t>
  </si>
  <si>
    <t>1 = praticavel</t>
  </si>
  <si>
    <t>Praticab.
(%)</t>
  </si>
  <si>
    <t>LEGENDA:</t>
  </si>
  <si>
    <t>PRATICÁVEL</t>
  </si>
  <si>
    <t>IMPRATICÁVEL</t>
  </si>
  <si>
    <t>ACUMULADO ATÉ 31/07/2021:</t>
  </si>
  <si>
    <t>DIAS</t>
  </si>
  <si>
    <t>ÍNDICE</t>
  </si>
  <si>
    <t>PRATICABILIDADE DIÁRIA</t>
  </si>
  <si>
    <t>ACUMULADO ATÉ 31/06/2024:</t>
  </si>
  <si>
    <t>RESUMO DO MÊS: JULHO / 2024</t>
  </si>
  <si>
    <t/>
  </si>
  <si>
    <t>ACUMULADO ATÉ 31/07/2024:</t>
  </si>
  <si>
    <t>9.   RELATÓRIO FOTOGRÁFICO</t>
  </si>
  <si>
    <t>6,30 X 10,42
sem borda
1 p/ direita + 1 p/ baixo</t>
  </si>
  <si>
    <t>6,30 X10,42
sem borda
1 p/ direita + 1 p/ baixo</t>
  </si>
  <si>
    <t>Fornecimento e instalação de mangueira ortac 250 - vermelha, para combustíveis, ra classe a</t>
  </si>
  <si>
    <t>Instalação de transmissor tipo radar para medição e controle de nível ref: r82 magnetrol ou similar com suporte tipo z para instalação do sensor de nível, dim. 1150x300</t>
  </si>
  <si>
    <t>Eletroduto rígido roscável, pvc, dn 25 mm (3/4"), para circuitos terminais, instalado em forro - fornecimento e instalação. af_12/2015</t>
  </si>
  <si>
    <t>Caixa retangular 4" x 4" média (1,30 m do piso), pvc, instalada em parede - fornecimento e instalação. af_12/2015</t>
  </si>
  <si>
    <t>Refletor em led ip 66, 150w, 20.000 lúmens</t>
  </si>
  <si>
    <t>Poste telecônico reto, em aço galvanizado, com flange / flangeado na base, com chumbadores e demais peças para fixação, pintura branca eletrostática a quente em poliéster, 7000 mm. ref: induspar ou similar</t>
  </si>
  <si>
    <t>Luminária tipo pétala em led 250 w e braço curvo com sapata para fixação de luminária pública. 2000mm</t>
  </si>
  <si>
    <t>Caixa octogonal 4" x 4", pvc, instalada em laje - fornecimento e instalação. af_12/2015</t>
  </si>
  <si>
    <t xml:space="preserve">Terminal aéreo 1 furo 5/16x250mm ref: tel-044, termotécnica ou similar. </t>
  </si>
  <si>
    <t>Tampa reforçada em ferro fundido com escotilha tel 536, inclusive assentamento, marca de referência termotécnica ou equivalente</t>
  </si>
  <si>
    <t>Câmera ip dome, resolução de 1 mp, lente fixa de 2,8 mm, ir inteligente com alcance de 20 metros, instalação interna ou externa, alimentação: 12 vdc/poe (802.3af), ref: vip s4020 g2 intelbras com suporte conforme projeto</t>
  </si>
  <si>
    <t>Câmera ip bullet 12mp, zoom motorizado, inteligências de vídeo, entrada e saída de alarme, alimentação: 12 vdc ou, poe+ (ieee 802.3at), ip67 e ik10, ref: vip 71250 z intelbras ou similar com suporte conforme projeto</t>
  </si>
  <si>
    <t>Estruturas em aço inox para complemento dos gradeamentos de lixo, base dos geradores e base dos painéis - Fornecimento e Instalação</t>
  </si>
  <si>
    <t>4.1.26 Armazenamento de Eletrocentro, incluindo segurança, e manutenção preventiva</t>
  </si>
  <si>
    <t>4.1.28 Estruturas em aço inox para complemento dos gradeamentos de lixo, base dos geradores e base dos painéis - Fornecimento e Instalação</t>
  </si>
  <si>
    <t>1.2.5 Alvenaria de blocos de concreto estrut. (14x19x39cm) cheios, c/ resist. mín. compr. 15MPa, assentados c/ arg. de cimento e areia no traço 1:4, esp. juntas 10mm e esp. da parede s/ revest. 14cm</t>
  </si>
  <si>
    <t xml:space="preserve">1.2.3Arandela blindada, uso externo, 45°, ip 65, soquete e27 </t>
  </si>
  <si>
    <t>Alambrado estruturado por tubos de aco galvanizado, com costura, din 2440, diametro 2", com tela de arame galvanizado, fio 14 bwg e malha quadrada 5x5cm</t>
  </si>
  <si>
    <t>ITENS 1.3.18 e 1.3.19: ESTACA RAIZ - PERFURANDO</t>
  </si>
  <si>
    <t>ITENS 1.3.20: LOCAÇÃO BOMBA SUBMERSÍVEL</t>
  </si>
  <si>
    <t>1.3.21. REBAIXAMENTO DE LENCOL FREATICO</t>
  </si>
  <si>
    <t>VIA DE SERVIÇO - ATERRO PARA EXECUÇÃO ESTACAS RAIZ</t>
  </si>
  <si>
    <t>ACERTANDO / REPONDO O ALAMBRADO NA ÁREA DO 38º BI</t>
  </si>
  <si>
    <t>HIGIENE E SEGURANÇA NO TRABALHO</t>
  </si>
  <si>
    <t>ATERRO / ALTEAMENTO DO DIQUE A MONTANTE DO CANAL DA COSTA</t>
  </si>
  <si>
    <t>DESMONTE DE ROCHA A FRIO, COM ARGAMASSA EXPANSIVA</t>
  </si>
  <si>
    <t>DESMONTE DE ROCHA A FRIO COM ARGAMASSA EXPANSIVA</t>
  </si>
  <si>
    <t>8.   EVOLUÇÃO FINANCEIRA DO CONTRATO</t>
  </si>
  <si>
    <t>CONTRATO ORIGINAL</t>
  </si>
  <si>
    <t>1º ADITAMENTO DO CONTRATO</t>
  </si>
  <si>
    <t>2º ADITAMENTO DO CONTRATO</t>
  </si>
  <si>
    <t>3º ADITAMENTO DO CONTRATO</t>
  </si>
  <si>
    <t>VALOR</t>
  </si>
  <si>
    <t>PRAZO (DIAS)</t>
  </si>
  <si>
    <t>ASSINATURA</t>
  </si>
  <si>
    <t xml:space="preserve">OBS.: </t>
  </si>
  <si>
    <r>
      <rPr>
        <b/>
        <sz val="10"/>
        <rFont val="Times New Roman"/>
        <family val="1"/>
      </rPr>
      <t>OBS.:</t>
    </r>
    <r>
      <rPr>
        <sz val="10"/>
        <rFont val="Times New Roman"/>
        <family val="1"/>
      </rPr>
      <t xml:space="preserve"> </t>
    </r>
    <r>
      <rPr>
        <sz val="10"/>
        <color indexed="10"/>
        <rFont val="Times New Roman"/>
        <family val="1"/>
      </rPr>
      <t/>
    </r>
  </si>
  <si>
    <r>
      <rPr>
        <b/>
        <sz val="10"/>
        <rFont val="Times New Roman"/>
        <family val="1"/>
      </rPr>
      <t>OBS.:</t>
    </r>
    <r>
      <rPr>
        <sz val="10"/>
        <rFont val="Times New Roman"/>
        <family val="1"/>
      </rPr>
      <t xml:space="preserve"> </t>
    </r>
  </si>
  <si>
    <t>HISTÓRICO</t>
  </si>
  <si>
    <t>DESCRIÇÃO</t>
  </si>
  <si>
    <t xml:space="preserve">PERÍODO </t>
  </si>
  <si>
    <t>QUANT.      DIAS</t>
  </si>
  <si>
    <t>VALORES R$</t>
  </si>
  <si>
    <t xml:space="preserve">SALDO DO PRAZO CONTRATUAL  (Dias)                            </t>
  </si>
  <si>
    <t>AVANÇO FINANCEIRO PI (%)</t>
  </si>
  <si>
    <t>P.I</t>
  </si>
  <si>
    <t>P.I ACUMULADO</t>
  </si>
  <si>
    <t xml:space="preserve">SALDO DO CONTRATO </t>
  </si>
  <si>
    <t>Reajust.</t>
  </si>
  <si>
    <t>PI + R</t>
  </si>
  <si>
    <t>PERÍODO</t>
  </si>
  <si>
    <t>ACUMULADO</t>
  </si>
  <si>
    <t>1ª MP</t>
  </si>
  <si>
    <t>a</t>
  </si>
  <si>
    <t>2ª MP</t>
  </si>
  <si>
    <t>3ª MP</t>
  </si>
  <si>
    <t>4ª MP</t>
  </si>
  <si>
    <t>5ª MP</t>
  </si>
  <si>
    <t>6ª MP</t>
  </si>
  <si>
    <t>7ª MP</t>
  </si>
  <si>
    <t>8ª MP</t>
  </si>
  <si>
    <t>9ª MP</t>
  </si>
  <si>
    <t>1° Termo aditivo (Prazo e valor)</t>
  </si>
  <si>
    <t>10ª MP</t>
  </si>
  <si>
    <t>11ª MP</t>
  </si>
  <si>
    <t>12ª MP</t>
  </si>
  <si>
    <t>13ª MP</t>
  </si>
  <si>
    <t>14ª MP</t>
  </si>
  <si>
    <t>15ª MP</t>
  </si>
  <si>
    <t>2° Termo aditivo (Prazo e valor)</t>
  </si>
  <si>
    <t>16ª MP</t>
  </si>
  <si>
    <t>17ª MP</t>
  </si>
  <si>
    <t>18ª MP</t>
  </si>
  <si>
    <t>19ª MP</t>
  </si>
  <si>
    <t>20ª MP</t>
  </si>
  <si>
    <t>21ª MP</t>
  </si>
  <si>
    <t>3° Termo aditivo (Prazo e valor)</t>
  </si>
  <si>
    <t>22ª MP</t>
  </si>
  <si>
    <t>23ª MP</t>
  </si>
  <si>
    <t>24ª MP</t>
  </si>
  <si>
    <t>25ª MP</t>
  </si>
  <si>
    <t>26ª MP</t>
  </si>
  <si>
    <t>27ª MP</t>
  </si>
  <si>
    <t>4° Termo aditivo (Prazo e valor)</t>
  </si>
  <si>
    <t>28ª MP</t>
  </si>
  <si>
    <t>29ª MP</t>
  </si>
  <si>
    <t>30ª MP</t>
  </si>
  <si>
    <t>31ª MP</t>
  </si>
  <si>
    <t>32ª MP</t>
  </si>
  <si>
    <t>33ª MP</t>
  </si>
  <si>
    <t>34ª MP</t>
  </si>
  <si>
    <t xml:space="preserve">TOTAIS    </t>
  </si>
  <si>
    <t xml:space="preserve">INFORMAÇÕES PARA 3º REPLANILHAMENTO DO CONTRADO </t>
  </si>
  <si>
    <t>Valor para Aditamento do Contrato (R$)</t>
  </si>
  <si>
    <t>Percentual de Acréscimo sobre o Valor Inicial (%)</t>
  </si>
  <si>
    <t>Quantidade de Dias para Aditamento do Contrato (Dias)</t>
  </si>
  <si>
    <t>Novo Valor do Contrato após 3º Replanilhamento (R$)</t>
  </si>
  <si>
    <t>Novo Prazo Contratual após 3º Replanilhamento (Dias)</t>
  </si>
  <si>
    <t xml:space="preserve">8.1.   CRONOGRAMA </t>
  </si>
  <si>
    <r>
      <t>TRECHO</t>
    </r>
    <r>
      <rPr>
        <sz val="12"/>
        <rFont val="Calibri"/>
        <family val="2"/>
        <scheme val="minor"/>
      </rPr>
      <t xml:space="preserve">: </t>
    </r>
  </si>
  <si>
    <t>CONTRATO N°:</t>
  </si>
  <si>
    <t xml:space="preserve">DESCRIÇÃO: </t>
  </si>
  <si>
    <t xml:space="preserve">CONSTRUTORA: </t>
  </si>
  <si>
    <t>REF.</t>
  </si>
  <si>
    <t>ITEM</t>
  </si>
  <si>
    <t>1.0</t>
  </si>
  <si>
    <t>ADMINISTRAÇÃO E CANTEIRO</t>
  </si>
  <si>
    <t>1.1</t>
  </si>
  <si>
    <t>IMPLANTAÇÃO DO CANTEIRO DE OBRAS</t>
  </si>
  <si>
    <t>%R</t>
  </si>
  <si>
    <t>%P</t>
  </si>
  <si>
    <t>Valor</t>
  </si>
  <si>
    <t>R</t>
  </si>
  <si>
    <t>P</t>
  </si>
  <si>
    <t>1.2</t>
  </si>
  <si>
    <t>CANTEIRO DE OBRAS</t>
  </si>
  <si>
    <t>2.0</t>
  </si>
  <si>
    <t>ESTAÇÃO DE BOMBEAMENTO DE ÁGUA PLUVIAL
 EBAP LARANJA</t>
  </si>
  <si>
    <t>2.1</t>
  </si>
  <si>
    <t>SERVIÇOS DIVERSOS</t>
  </si>
  <si>
    <t>2.2</t>
  </si>
  <si>
    <t>ESTRUTURA</t>
  </si>
  <si>
    <t>2.3</t>
  </si>
  <si>
    <t>ARQUITETURA</t>
  </si>
  <si>
    <t>2.4</t>
  </si>
  <si>
    <t>FIXAÇÃO E PROTEÇÃO DAS MARGENS</t>
  </si>
  <si>
    <t>2.5</t>
  </si>
  <si>
    <t>ELÉTRICA</t>
  </si>
  <si>
    <t>2.6</t>
  </si>
  <si>
    <t>HIDROMECANICO</t>
  </si>
  <si>
    <t>3.0</t>
  </si>
  <si>
    <t>COMISSIONAMENTO E OPERAÇÃO ASSISTIDA</t>
  </si>
  <si>
    <t>3.1</t>
  </si>
  <si>
    <t>SERVIÇO DE OPERAÇÃO ASSISTIDA</t>
  </si>
  <si>
    <t>4.0</t>
  </si>
  <si>
    <t>NOVOS SERVIÇOS</t>
  </si>
  <si>
    <t>4.1</t>
  </si>
  <si>
    <t>SERVIÇOS NOVOS</t>
  </si>
  <si>
    <t>TOTAL</t>
  </si>
  <si>
    <t>RESUMO</t>
  </si>
  <si>
    <t>SEU</t>
  </si>
  <si>
    <t>Superintendência de Empreendimentos Urbanos</t>
  </si>
  <si>
    <t>EXECUTADO - COPIAR E COLAR VALOR</t>
  </si>
  <si>
    <t>1</t>
  </si>
  <si>
    <t>2</t>
  </si>
  <si>
    <t>3</t>
  </si>
  <si>
    <t>4</t>
  </si>
  <si>
    <t>5</t>
  </si>
  <si>
    <t>6</t>
  </si>
  <si>
    <t>7</t>
  </si>
  <si>
    <t>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</si>
  <si>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</si>
  <si>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</si>
  <si>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</si>
  <si>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</si>
  <si>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</si>
  <si>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</si>
  <si>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</si>
  <si>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</si>
  <si>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</si>
  <si>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</si>
  <si>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</si>
  <si>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</si>
  <si>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</si>
  <si>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</si>
  <si>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</si>
  <si>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</si>
  <si>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</si>
  <si>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</si>
  <si>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</si>
  <si>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</si>
  <si>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</si>
  <si>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</si>
  <si>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</si>
  <si>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</si>
  <si>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</si>
  <si>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</si>
  <si>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</si>
  <si>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ADITIVO 1</t>
  </si>
  <si>
    <t>8.2.   CURVA DE PROGRESSO FINANCEIRO DA OBRA</t>
  </si>
  <si>
    <t>IDENTIFICAÇÃO:</t>
  </si>
  <si>
    <t>OBRA 524</t>
  </si>
  <si>
    <t>ATUALIZAÇÃO:</t>
  </si>
  <si>
    <t>DESCRIÇÃO:</t>
  </si>
  <si>
    <t>BONIFICAÇÃO SOBRE REMANEJAMENTO DE POSTES</t>
  </si>
  <si>
    <t>Item</t>
  </si>
  <si>
    <t>ACM</t>
  </si>
  <si>
    <t xml:space="preserve">FIRMA: </t>
  </si>
  <si>
    <t xml:space="preserve">TRECHO:  </t>
  </si>
  <si>
    <t xml:space="preserve">CONTR.  N°.: </t>
  </si>
  <si>
    <t>ASSINATURA:</t>
  </si>
  <si>
    <t>SELECIONAR</t>
  </si>
  <si>
    <t>1.1.1</t>
  </si>
  <si>
    <t>1.1.2</t>
  </si>
  <si>
    <t>1.1.3</t>
  </si>
  <si>
    <t>1.1.4</t>
  </si>
  <si>
    <t>1.1.5</t>
  </si>
  <si>
    <t>1.1.6</t>
  </si>
  <si>
    <t>1.1.7</t>
  </si>
  <si>
    <t>1.2.1</t>
  </si>
  <si>
    <t>1.2.2</t>
  </si>
  <si>
    <t>1.2.3</t>
  </si>
  <si>
    <t>1.2.4</t>
  </si>
  <si>
    <t>1.2.5</t>
  </si>
  <si>
    <t>2.1.1</t>
  </si>
  <si>
    <t>2.1.1.1</t>
  </si>
  <si>
    <t>2.1.1.2</t>
  </si>
  <si>
    <t>2.1.2</t>
  </si>
  <si>
    <t>2.1.2.1</t>
  </si>
  <si>
    <t>2.1.2.2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</si>
  <si>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</si>
  <si>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</si>
  <si>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</si>
  <si>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</si>
  <si>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</si>
  <si>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</si>
  <si>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</si>
  <si>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</si>
  <si>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</si>
  <si>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</si>
  <si>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</si>
  <si>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</si>
  <si>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</si>
  <si>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</si>
  <si>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</si>
  <si>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</si>
  <si>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</si>
  <si>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2.2.17.1</t>
  </si>
  <si>
    <t>2.2.17.2</t>
  </si>
  <si>
    <t>2.2.17.3</t>
  </si>
  <si>
    <t>2.2.17.4</t>
  </si>
  <si>
    <t>2.3.1</t>
  </si>
  <si>
    <t>2.3.1.1</t>
  </si>
  <si>
    <t>2.3.1.2</t>
  </si>
  <si>
    <t>2.3.1.3</t>
  </si>
  <si>
    <t>2.3.1.4</t>
  </si>
  <si>
    <t>2.3.1.5</t>
  </si>
  <si>
    <t>2.3.2</t>
  </si>
  <si>
    <t>2.3.2.1</t>
  </si>
  <si>
    <t>2.3.2.2</t>
  </si>
  <si>
    <t>2.3.2.3</t>
  </si>
  <si>
    <t>2.3.2.4</t>
  </si>
  <si>
    <t>2.3.2.5</t>
  </si>
  <si>
    <t>2.3.2.6</t>
  </si>
  <si>
    <t>2.3.2.7</t>
  </si>
  <si>
    <t>2.3.2.8</t>
  </si>
  <si>
    <t>2.3.2.9</t>
  </si>
  <si>
    <t>2.3.2.10</t>
  </si>
  <si>
    <t>2.3.2.11</t>
  </si>
  <si>
    <t>2.3.2.12</t>
  </si>
  <si>
    <t>2.3.2.13</t>
  </si>
  <si>
    <t>2.3.2.14</t>
  </si>
  <si>
    <t>2.3.3</t>
  </si>
  <si>
    <t>2.3.3.1</t>
  </si>
  <si>
    <t>2.3.3.2</t>
  </si>
  <si>
    <t>2.3.3.3</t>
  </si>
  <si>
    <t>2.3.3.4</t>
  </si>
  <si>
    <t>2.3.3.5</t>
  </si>
  <si>
    <t>2.3.3.6</t>
  </si>
  <si>
    <t>2.3.3.7</t>
  </si>
  <si>
    <t>2.3.3.8</t>
  </si>
  <si>
    <t>2.3.3.9</t>
  </si>
  <si>
    <t>2.3.3.10</t>
  </si>
  <si>
    <t>2.3.3.11</t>
  </si>
  <si>
    <t>2.3.3.12</t>
  </si>
  <si>
    <t>2.3.3.13</t>
  </si>
  <si>
    <t>2.3.3.14</t>
  </si>
  <si>
    <t>2.3.3.15</t>
  </si>
  <si>
    <t>2.3.3.16</t>
  </si>
  <si>
    <t>2.3.4</t>
  </si>
  <si>
    <t>2.3.4.1</t>
  </si>
  <si>
    <t>2.3.4.2</t>
  </si>
  <si>
    <t>2.3.4.3</t>
  </si>
  <si>
    <t>2.3.4.4</t>
  </si>
  <si>
    <t>2.3.4.5</t>
  </si>
  <si>
    <t>2.3.4.6</t>
  </si>
  <si>
    <t>2.3.4.7</t>
  </si>
  <si>
    <t>2.3.4.8</t>
  </si>
  <si>
    <t>2.3.4.9</t>
  </si>
  <si>
    <t>2.3.4.10</t>
  </si>
  <si>
    <t>2.3.5</t>
  </si>
  <si>
    <t>2.3.5.1</t>
  </si>
  <si>
    <t>2.3.5.2</t>
  </si>
  <si>
    <t>2.3.5.3</t>
  </si>
  <si>
    <t>2.3.5.4</t>
  </si>
  <si>
    <t>2.3.5.5</t>
  </si>
  <si>
    <t>2.3.5.6</t>
  </si>
  <si>
    <t>2.3.5.7</t>
  </si>
  <si>
    <t>2.3.6</t>
  </si>
  <si>
    <t>2.3.6.1</t>
  </si>
  <si>
    <t>2.3.6.2</t>
  </si>
  <si>
    <t>2.3.7</t>
  </si>
  <si>
    <t>2.3.7.1</t>
  </si>
  <si>
    <t>2.3.7.2</t>
  </si>
  <si>
    <t>2.3.7.3</t>
  </si>
  <si>
    <t>2.3.7.4</t>
  </si>
  <si>
    <t>2.3.7.5</t>
  </si>
  <si>
    <t>2.3.7.6</t>
  </si>
  <si>
    <t>2.3.7.7</t>
  </si>
  <si>
    <t>2.3.7.8</t>
  </si>
  <si>
    <t>2.3.7.9</t>
  </si>
  <si>
    <t>2.3.8</t>
  </si>
  <si>
    <t>2.3.8.1</t>
  </si>
  <si>
    <t>2.3.8.2</t>
  </si>
  <si>
    <t>2.3.8.3</t>
  </si>
  <si>
    <t>2.3.8.4</t>
  </si>
  <si>
    <t>2.3.8.5</t>
  </si>
  <si>
    <t>2.3.8.6</t>
  </si>
  <si>
    <t>2.3.8.7</t>
  </si>
  <si>
    <t>2.3.8.8</t>
  </si>
  <si>
    <t>2.3.8.9</t>
  </si>
  <si>
    <t>2.3.8.10</t>
  </si>
  <si>
    <t>2.3.8.11</t>
  </si>
  <si>
    <t>2.3.9</t>
  </si>
  <si>
    <t>2.3.9.1</t>
  </si>
  <si>
    <t>2.3.9.2</t>
  </si>
  <si>
    <t>2.3.9.3</t>
  </si>
  <si>
    <t>2.3.9.4</t>
  </si>
  <si>
    <t>2.3.9.5</t>
  </si>
  <si>
    <t>2.3.9.6</t>
  </si>
  <si>
    <t>2.3.9.7</t>
  </si>
  <si>
    <t>2.3.9.8</t>
  </si>
  <si>
    <t>2.3.9.9</t>
  </si>
  <si>
    <t>2.3.9.10</t>
  </si>
  <si>
    <t>2.3.9.11</t>
  </si>
  <si>
    <t>2.3.10</t>
  </si>
  <si>
    <t>2.3.10.1</t>
  </si>
  <si>
    <t>2.3.10.2</t>
  </si>
  <si>
    <t>2.3.10.3</t>
  </si>
  <si>
    <t>2.3.10.4</t>
  </si>
  <si>
    <t>2.3.10.5</t>
  </si>
  <si>
    <t>2.3.10.6</t>
  </si>
  <si>
    <t>2.3.10.7</t>
  </si>
  <si>
    <t>2.3.10.8</t>
  </si>
  <si>
    <t>2.3.10.9</t>
  </si>
  <si>
    <t>2.3.10.10</t>
  </si>
  <si>
    <t>2.3.10.11</t>
  </si>
  <si>
    <t>2.3.10.12</t>
  </si>
  <si>
    <t>2.3.10.13</t>
  </si>
  <si>
    <t>2.3.10.14</t>
  </si>
  <si>
    <t>2.3.10.15</t>
  </si>
  <si>
    <t>2.3.10.16</t>
  </si>
  <si>
    <t>2.3.10.17</t>
  </si>
  <si>
    <t>2.3.10.18</t>
  </si>
  <si>
    <t>2.3.10.19</t>
  </si>
  <si>
    <t>2.3.10.20</t>
  </si>
  <si>
    <t>2.3.10.21</t>
  </si>
  <si>
    <t>2.3.10.22</t>
  </si>
  <si>
    <t>2.3.10.23</t>
  </si>
  <si>
    <t>2.3.10.24</t>
  </si>
  <si>
    <t>2.3.10.25</t>
  </si>
  <si>
    <t>2.3.10.26</t>
  </si>
  <si>
    <t>2.3.10.27</t>
  </si>
  <si>
    <t>2.3.10.28</t>
  </si>
  <si>
    <t>2.3.10.29</t>
  </si>
  <si>
    <t>2.3.11</t>
  </si>
  <si>
    <t>2.3.11.1</t>
  </si>
  <si>
    <t>2.3.11.2</t>
  </si>
  <si>
    <t>2.3.11.3</t>
  </si>
  <si>
    <t>2.3.11.4</t>
  </si>
  <si>
    <t>2.3.11.5</t>
  </si>
  <si>
    <t>2.3.11.6</t>
  </si>
  <si>
    <t>2.3.11.7</t>
  </si>
  <si>
    <t>2.3.11.8</t>
  </si>
  <si>
    <t>2.3.11.9</t>
  </si>
  <si>
    <t>2.3.11.10</t>
  </si>
  <si>
    <t>2.3.11.11</t>
  </si>
  <si>
    <t>2.3.11.12</t>
  </si>
  <si>
    <t>2.3.11.13</t>
  </si>
  <si>
    <t>2.3.11.14</t>
  </si>
  <si>
    <t>2.3.11.15</t>
  </si>
  <si>
    <t>2.3.12</t>
  </si>
  <si>
    <t>2.3.12.1</t>
  </si>
  <si>
    <t>2.3.12.2</t>
  </si>
  <si>
    <t>2.3.12.3</t>
  </si>
  <si>
    <t>2.3.12.4</t>
  </si>
  <si>
    <t>2.3.12.5</t>
  </si>
  <si>
    <t>2.3.12.6</t>
  </si>
  <si>
    <t>2.3.12.7</t>
  </si>
  <si>
    <t>2.4.1</t>
  </si>
  <si>
    <t>2.5.1</t>
  </si>
  <si>
    <t>2.5.1.1</t>
  </si>
  <si>
    <t>2.5.1.2</t>
  </si>
  <si>
    <t>2.5.1.3</t>
  </si>
  <si>
    <t>2.5.1.4</t>
  </si>
  <si>
    <t>2.5.1.5</t>
  </si>
  <si>
    <t>2.5.1.5.1</t>
  </si>
  <si>
    <t>2.5.1.5.2</t>
  </si>
  <si>
    <t>2.5.1.5.3</t>
  </si>
  <si>
    <t>2.5.1.5.4</t>
  </si>
  <si>
    <t>2.5.1.5.5</t>
  </si>
  <si>
    <t>2.5.1.5.6</t>
  </si>
  <si>
    <t>2.5.1.5.7</t>
  </si>
  <si>
    <t>2.5.1.5.8</t>
  </si>
  <si>
    <t>2.5.1.5.9</t>
  </si>
  <si>
    <t>2.5.1.6</t>
  </si>
  <si>
    <t>2.5.1.6.1</t>
  </si>
  <si>
    <t>2.5.1.6.2</t>
  </si>
  <si>
    <t>2.5.2</t>
  </si>
  <si>
    <t>2.5.2.1</t>
  </si>
  <si>
    <t>2.5.2.1.1</t>
  </si>
  <si>
    <t>2.5.2.1.2</t>
  </si>
  <si>
    <t>2.5.2.1.3</t>
  </si>
  <si>
    <t>2.5.2.2</t>
  </si>
  <si>
    <t>2.5.2.2.1</t>
  </si>
  <si>
    <t>2.5.2.2.2</t>
  </si>
  <si>
    <t>2.5.2.2.3</t>
  </si>
  <si>
    <t>2.5.2.3</t>
  </si>
  <si>
    <t>2.5.2.3.1</t>
  </si>
  <si>
    <t>2.5.2.3.2</t>
  </si>
  <si>
    <t>2.5.2.3.3</t>
  </si>
  <si>
    <t>2.5.2.3.4</t>
  </si>
  <si>
    <t>2.5.2.3.5</t>
  </si>
  <si>
    <t>2.5.2.3.6</t>
  </si>
  <si>
    <t>2.5.2.3.7</t>
  </si>
  <si>
    <t>2.5.2.3.8</t>
  </si>
  <si>
    <t>2.5.2.3.9</t>
  </si>
  <si>
    <t>2.5.2.3.10</t>
  </si>
  <si>
    <t>2.5.2.3.11</t>
  </si>
  <si>
    <t>2.5.2.3.12</t>
  </si>
  <si>
    <t>2.5.2.3.13</t>
  </si>
  <si>
    <t>2.5.2.3.14</t>
  </si>
  <si>
    <t>2.5.2.3.15</t>
  </si>
  <si>
    <t>2.5.2.3.16</t>
  </si>
  <si>
    <t>2.5.2.3.17</t>
  </si>
  <si>
    <t>2.5.2.3.18</t>
  </si>
  <si>
    <t>2.5.2.3.19</t>
  </si>
  <si>
    <t>2.5.2.3.20</t>
  </si>
  <si>
    <t>2.5.2.3.21</t>
  </si>
  <si>
    <t>2.5.2.3.22</t>
  </si>
  <si>
    <t>2.5.2.3.23</t>
  </si>
  <si>
    <t>2.5.2.3.24</t>
  </si>
  <si>
    <t>2.5.2.3.25</t>
  </si>
  <si>
    <t>2.5.2.3.26</t>
  </si>
  <si>
    <t>2.5.2.3.27</t>
  </si>
  <si>
    <t>2.5.2.3.28</t>
  </si>
  <si>
    <t>2.5.2.3.29</t>
  </si>
  <si>
    <t>2.5.2.3.30</t>
  </si>
  <si>
    <t>2.5.2.3.31</t>
  </si>
  <si>
    <t>2.5.2.3.32</t>
  </si>
  <si>
    <t>2.5.2.3.33</t>
  </si>
  <si>
    <t>2.5.2.4</t>
  </si>
  <si>
    <t>2.5.2.4.1</t>
  </si>
  <si>
    <t>2.5.2.4.2</t>
  </si>
  <si>
    <t>2.5.2.4.3</t>
  </si>
  <si>
    <t>2.5.2.4.4</t>
  </si>
  <si>
    <t>2.5.2.4.5</t>
  </si>
  <si>
    <t>2.5.2.4.6</t>
  </si>
  <si>
    <t>2.5.2.4.7</t>
  </si>
  <si>
    <t>2.5.2.4.8</t>
  </si>
  <si>
    <t>2.5.2.4.9</t>
  </si>
  <si>
    <t>2.5.2.4.10</t>
  </si>
  <si>
    <t>2.5.2.4.11</t>
  </si>
  <si>
    <t>2.5.2.4.12</t>
  </si>
  <si>
    <t>2.5.2.4.13</t>
  </si>
  <si>
    <t>2.5.2.4.14</t>
  </si>
  <si>
    <t>2.5.2.4.15</t>
  </si>
  <si>
    <t>2.5.2.4.16</t>
  </si>
  <si>
    <t>2.5.2.4.17</t>
  </si>
  <si>
    <t>2.5.2.5</t>
  </si>
  <si>
    <t>2.5.2.5.1</t>
  </si>
  <si>
    <t>2.5.2.5.2</t>
  </si>
  <si>
    <t>2.5.2.5.3</t>
  </si>
  <si>
    <t>2.5.2.5.4</t>
  </si>
  <si>
    <t>2.5.2.5.5</t>
  </si>
  <si>
    <t>2.5.2.5.6</t>
  </si>
  <si>
    <t>2.5.2.5.7</t>
  </si>
  <si>
    <t>2.5.2.5.8</t>
  </si>
  <si>
    <t>2.5.2.5.9</t>
  </si>
  <si>
    <t>2.5.2.5.10</t>
  </si>
  <si>
    <t>2.5.2.5.11</t>
  </si>
  <si>
    <t>2.5.2.5.12</t>
  </si>
  <si>
    <t>2.5.2.6</t>
  </si>
  <si>
    <t>2.5.2.6.1</t>
  </si>
  <si>
    <t>2.5.2.6.2</t>
  </si>
  <si>
    <t>2.5.2.6.3</t>
  </si>
  <si>
    <t>2.5.2.6.4</t>
  </si>
  <si>
    <t>2.5.2.6.5</t>
  </si>
  <si>
    <t>2.5.2.6.6</t>
  </si>
  <si>
    <t>2.5.2.6.7</t>
  </si>
  <si>
    <t>2.5.2.7</t>
  </si>
  <si>
    <t>2.5.2.7.1</t>
  </si>
  <si>
    <t>2.5.2.7.2</t>
  </si>
  <si>
    <t>2.5.2.7.3</t>
  </si>
  <si>
    <t>2.5.2.7.4</t>
  </si>
  <si>
    <t>2.5.2.7.5</t>
  </si>
  <si>
    <t>2.5.2.7.6</t>
  </si>
  <si>
    <t>2.5.2.7.7</t>
  </si>
  <si>
    <t>2.5.2.7.8</t>
  </si>
  <si>
    <t>2.5.2.7.9</t>
  </si>
  <si>
    <t>2.5.2.7.10</t>
  </si>
  <si>
    <t>2.5.2.7.11</t>
  </si>
  <si>
    <t>2.5.2.8</t>
  </si>
  <si>
    <t>2.5.2.8.1</t>
  </si>
  <si>
    <t>2.5.2.8.2</t>
  </si>
  <si>
    <t>2.5.2.8.3</t>
  </si>
  <si>
    <t>2.5.2.8.4</t>
  </si>
  <si>
    <t>2.5.2.8.5</t>
  </si>
  <si>
    <t>2.5.2.8.6</t>
  </si>
  <si>
    <t>2.5.2.8.7</t>
  </si>
  <si>
    <t>2.5.3</t>
  </si>
  <si>
    <t>2.5.3.1</t>
  </si>
  <si>
    <t>2.5.3.2</t>
  </si>
  <si>
    <t>2.5.3.3</t>
  </si>
  <si>
    <t>2.5.3.4</t>
  </si>
  <si>
    <t>2.5.3.5</t>
  </si>
  <si>
    <t>2.5.3.6</t>
  </si>
  <si>
    <t>2.5.3.7</t>
  </si>
  <si>
    <t>2.5.3.8</t>
  </si>
  <si>
    <t>2.5.3.9</t>
  </si>
  <si>
    <t>2.5.3.10</t>
  </si>
  <si>
    <t>2.5.3.11</t>
  </si>
  <si>
    <t>2.5.3.12</t>
  </si>
  <si>
    <t>2.5.3.13</t>
  </si>
  <si>
    <t>2.5.3.14</t>
  </si>
  <si>
    <t>2.5.3.15</t>
  </si>
  <si>
    <t>2.5.3.16</t>
  </si>
  <si>
    <t>2.5.4</t>
  </si>
  <si>
    <t>2.5.4.1</t>
  </si>
  <si>
    <t>2.5.4.2</t>
  </si>
  <si>
    <t>2.5.4.3</t>
  </si>
  <si>
    <t>2.5.4.4</t>
  </si>
  <si>
    <t>2.5.4.5</t>
  </si>
  <si>
    <t>2.5.4.6</t>
  </si>
  <si>
    <t>2.5.4.7</t>
  </si>
  <si>
    <t>2.5.4.8</t>
  </si>
  <si>
    <t>2.5.4.9</t>
  </si>
  <si>
    <t>2.5.4.10</t>
  </si>
  <si>
    <t>2.5.4.11</t>
  </si>
  <si>
    <t>2.5.4.12</t>
  </si>
  <si>
    <t>2.5.4.13</t>
  </si>
  <si>
    <t>2.5.4.14</t>
  </si>
  <si>
    <t>2.5.4.15</t>
  </si>
  <si>
    <t>2.5.4.16</t>
  </si>
  <si>
    <t>2.5.4.17</t>
  </si>
  <si>
    <t>2.5.4.18</t>
  </si>
  <si>
    <t>2.5.4.19</t>
  </si>
  <si>
    <t>2.5.4.20</t>
  </si>
  <si>
    <t>2.5.4.21</t>
  </si>
  <si>
    <t>2.5.4.22</t>
  </si>
  <si>
    <t>2.5.5</t>
  </si>
  <si>
    <t>2.5.5.1</t>
  </si>
  <si>
    <t>2.5.5.2</t>
  </si>
  <si>
    <t>2.5.5.3</t>
  </si>
  <si>
    <t>2.5.5.4</t>
  </si>
  <si>
    <t>2.5.5.5</t>
  </si>
  <si>
    <t>2.5.5.6</t>
  </si>
  <si>
    <t>2.5.5.7</t>
  </si>
  <si>
    <t>2.5.5.8</t>
  </si>
  <si>
    <t>2.5.5.9</t>
  </si>
  <si>
    <t>2.5.5.10</t>
  </si>
  <si>
    <t>2.5.5.11</t>
  </si>
  <si>
    <t>2.5.5.12</t>
  </si>
  <si>
    <t>2.5.5.13</t>
  </si>
  <si>
    <t>2.5.5.14</t>
  </si>
  <si>
    <t>2.5.5.15</t>
  </si>
  <si>
    <t>2.5.5.16</t>
  </si>
  <si>
    <t>2.5.5.17</t>
  </si>
  <si>
    <t>2.5.5.18</t>
  </si>
  <si>
    <t>2.5.5.19</t>
  </si>
  <si>
    <t>2.5.5.20</t>
  </si>
  <si>
    <t>2.5.5.21</t>
  </si>
  <si>
    <t>2.5.5.22</t>
  </si>
  <si>
    <t>2.5.5.23</t>
  </si>
  <si>
    <t>2.5.5.24</t>
  </si>
  <si>
    <t>2.5.5.25</t>
  </si>
  <si>
    <t>2.5.5.26</t>
  </si>
  <si>
    <t>2.5.5.27</t>
  </si>
  <si>
    <t>2.5.5.28</t>
  </si>
  <si>
    <t>2.5.5.29</t>
  </si>
  <si>
    <t>2.5.5.30</t>
  </si>
  <si>
    <t>2.5.5.31</t>
  </si>
  <si>
    <t>2.5.5.32</t>
  </si>
  <si>
    <t>2.5.5.33</t>
  </si>
  <si>
    <t>2.6.1</t>
  </si>
  <si>
    <t>2.6.1.1</t>
  </si>
  <si>
    <t>2.6.1.2</t>
  </si>
  <si>
    <t>2.6.1.3</t>
  </si>
  <si>
    <t>2.6.1.4</t>
  </si>
  <si>
    <t>2.6.1.5</t>
  </si>
  <si>
    <t>2.6.1.6</t>
  </si>
  <si>
    <t>2.6.2</t>
  </si>
  <si>
    <t>2.6.2.1</t>
  </si>
  <si>
    <t>2.6.2.2</t>
  </si>
  <si>
    <t>2.6.2.3</t>
  </si>
  <si>
    <t>2.6.2.4</t>
  </si>
  <si>
    <t>2.6.2.5</t>
  </si>
  <si>
    <t>2.6.2.6</t>
  </si>
  <si>
    <t>2.6.2.7</t>
  </si>
  <si>
    <t>2.6.3</t>
  </si>
  <si>
    <t>2.6.3.1</t>
  </si>
  <si>
    <t>2.6.3.1.1</t>
  </si>
  <si>
    <t>2.6.3.1.2</t>
  </si>
  <si>
    <t>2.6.3.1.3</t>
  </si>
  <si>
    <t>2.6.3.1.4</t>
  </si>
  <si>
    <t>2.6.3.1.5</t>
  </si>
  <si>
    <t>2.6.3.1.6</t>
  </si>
  <si>
    <t>2.6.3.1.7</t>
  </si>
  <si>
    <t>2.6.3.1.8</t>
  </si>
  <si>
    <t>2.6.3.1.9</t>
  </si>
  <si>
    <t>2.6.3.1.10</t>
  </si>
  <si>
    <t>2.6.3.2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</si>
  <si>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</si>
  <si>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</si>
  <si>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</si>
  <si>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</si>
  <si>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</si>
  <si>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</si>
  <si>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</si>
  <si>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</si>
  <si>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</si>
  <si>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</si>
  <si>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</si>
  <si>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</si>
  <si>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</si>
  <si>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</si>
  <si>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</si>
  <si>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</si>
  <si>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</si>
  <si>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</si>
  <si>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</si>
  <si>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</si>
  <si>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</si>
  <si>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</si>
  <si>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</si>
  <si>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</si>
  <si>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</si>
  <si>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4.1.26</t>
  </si>
  <si>
    <t>4.1.27</t>
  </si>
  <si>
    <t>4.1.28</t>
  </si>
  <si>
    <t>4.1.29</t>
  </si>
  <si>
    <t>___________________________________</t>
  </si>
  <si>
    <t>Escavação de  mat. de 1ª cat - Anexo IV.28.1 - Empréstimo 03 (Obra Adequação - HGC) (Acumulado)</t>
  </si>
  <si>
    <t>Escavação de material de 1ª cat - Anexo IV.28.1 - Empréstimo 03 (Obra Adequação - HGC) (Acumulado)</t>
  </si>
  <si>
    <t>Corpo Aterro Ramo 100/1400</t>
  </si>
  <si>
    <t>EBAP LARANJA</t>
  </si>
  <si>
    <t>ESTAÇÃO DE BOMBEAMENTO DE ÁGUA PLUVIAL - BOLETIM DE MEDIÇÃO</t>
  </si>
  <si>
    <t xml:space="preserve">Data: </t>
  </si>
  <si>
    <r>
      <rPr>
        <b/>
        <sz val="10"/>
        <rFont val="Arial"/>
        <family val="2"/>
      </rPr>
      <t>CONTRATANTE</t>
    </r>
    <r>
      <rPr>
        <sz val="10"/>
        <rFont val="Arial"/>
        <family val="2"/>
      </rPr>
      <t xml:space="preserve">: SEDURB -  SECRETARIA DE ESTADO DE SANEAMENTO, HABITAÇÃO E DESENVOLVIMENTO URBANO    </t>
    </r>
    <r>
      <rPr>
        <b/>
        <sz val="10"/>
        <rFont val="Arial"/>
        <family val="2"/>
      </rPr>
      <t xml:space="preserve"> CONTRATO: 009/2021</t>
    </r>
  </si>
  <si>
    <t xml:space="preserve">Medição </t>
  </si>
  <si>
    <r>
      <rPr>
        <b/>
        <sz val="10"/>
        <rFont val="Arial"/>
        <family val="2"/>
      </rPr>
      <t>CATEGORIA:</t>
    </r>
    <r>
      <rPr>
        <sz val="10"/>
        <rFont val="Arial"/>
        <family val="2"/>
      </rPr>
      <t xml:space="preserve"> IMPLANTAÇÃO DA ESTAÇÃO DE BOMBEAMENTO DE ÁGUA PLUVIAL - LARANJA</t>
    </r>
  </si>
  <si>
    <t>PLANILHA FINANCEIRA</t>
  </si>
  <si>
    <t>SERVIÇO</t>
  </si>
  <si>
    <t>und.</t>
  </si>
  <si>
    <t>CONTRATUAL</t>
  </si>
  <si>
    <t>ACUMULADO ANTERIOR</t>
  </si>
  <si>
    <t>ACUMULADO TOTAL</t>
  </si>
  <si>
    <t>Referência</t>
  </si>
  <si>
    <t>PREÇO UNIT.</t>
  </si>
  <si>
    <t>QUANT.</t>
  </si>
  <si>
    <t>saldo</t>
  </si>
  <si>
    <t>GRUPO 001: ADMINISTRAÇÃO E CANTEIRO</t>
  </si>
  <si>
    <r>
      <rPr>
        <sz val="10"/>
        <rFont val="Arial"/>
        <family val="2"/>
      </rPr>
      <t>S020712</t>
    </r>
  </si>
  <si>
    <t>Rede de água com padrão de entrada d'água diâm. 3/4", conf. espec. CESAN, incl. tubos e conexões para alimentação, distribuição, extravasor e limpeza, cons. o padrão a 25m, conf. projeto (1 utilização)</t>
  </si>
  <si>
    <t>m</t>
  </si>
  <si>
    <r>
      <rPr>
        <sz val="10"/>
        <rFont val="Arial"/>
        <family val="2"/>
      </rPr>
      <t>S020714</t>
    </r>
  </si>
  <si>
    <t>Rede de esgoto, contendo fossa e filtro, inclusive tubos e conexões de ligação entre caixas, considerando distância de 25m, conforme projeto (1 utilização)</t>
  </si>
  <si>
    <r>
      <rPr>
        <sz val="10"/>
        <rFont val="Arial"/>
        <family val="2"/>
      </rPr>
      <t>S020713</t>
    </r>
  </si>
  <si>
    <t>Rede de luz, incl. padrão entrada de energia trifás., cabo de ligação até barracões, quadro de distrib., disj. e chave de força (quando necessário), cons. 20m entre padrão entrada e QDG, conf. projeto (1 utilização)</t>
  </si>
  <si>
    <r>
      <rPr>
        <sz val="10"/>
        <rFont val="Arial"/>
        <family val="2"/>
      </rPr>
      <t>S020711</t>
    </r>
  </si>
  <si>
    <t>Reservatório de poliestileno de 1000 L, incl. suporte em madeira de 7x12cm e 8x7cm, elevado de 4m, conf. projeto (1 utilização)</t>
  </si>
  <si>
    <t>und</t>
  </si>
  <si>
    <r>
      <rPr>
        <sz val="10"/>
        <rFont val="Arial"/>
        <family val="2"/>
      </rPr>
      <t>S020350</t>
    </r>
  </si>
  <si>
    <t>Tapume Telha Metálica Ondulada 0,50mm Branca h=2,20m, incl. montagem estr. mad. 8"x8", c/adesivo "SEDURB" 60x60cm a cada 10m, incl. faixas pint. esmalte sint. cores azul c/ h=30cm e rosa c/ h=10cm (Reaproveitamento 2x)</t>
  </si>
  <si>
    <r>
      <rPr>
        <sz val="10"/>
        <rFont val="Arial"/>
        <family val="2"/>
      </rPr>
      <t>S020305</t>
    </r>
  </si>
  <si>
    <t>Placa de obra nas dimensões de 2.0 x 4.0 m, padrão IOPES</t>
  </si>
  <si>
    <t>m²</t>
  </si>
  <si>
    <r>
      <rPr>
        <sz val="10"/>
        <rFont val="Arial"/>
        <family val="2"/>
      </rPr>
      <t>S200576</t>
    </r>
  </si>
  <si>
    <t>Placa para inauguração de obra em alumínio polido e=4mm, dimensões 40 x 50 cm, gravação em baixo relevo, inclusive pintura e fixação</t>
  </si>
  <si>
    <t>S020344</t>
  </si>
  <si>
    <t>Mobilização e desmobilização de conteiner locado para barracão de obra</t>
  </si>
  <si>
    <t>S020353</t>
  </si>
  <si>
    <t>Aluguel mensal container para refeitorio, incl. porta, 2 janelas, abert p/ ar cond., 2 pt iluminação, 2 tomadas elét. e 1 tomada telef. Isolamento térmico (paredes e teto), piso em comp. Naval pintado, cert. NR18, incl. laudo descontaminação.</t>
  </si>
  <si>
    <t>ms</t>
  </si>
  <si>
    <t>S020355</t>
  </si>
  <si>
    <t>Aluguel mensal container sanitário, incl porta, básc, 2 ptos luz, 1 pto aterram., 3vasos, 3lavatórios, calha mictório, 6 chuveiros (1 eletrico), torn.,registros, piso comp. Naval pintado, cert NR18 e laudo descontaminação</t>
  </si>
  <si>
    <t>S020352</t>
  </si>
  <si>
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</si>
  <si>
    <t>S020356</t>
  </si>
  <si>
    <t>Aluguel mensal container para almoxarifado, incl. porta, 2 janelas, 1 pt iluminação, Isolamento térmico (teto), piso em comp. Naval pintado, cert. NR18, incl. laudo descontaminação.</t>
  </si>
  <si>
    <t>SUB-TOTAL - 1 - ADMINISTRAÇÃO E CANTEIRO</t>
  </si>
  <si>
    <t>GRUPO 002: ESTAÇÃO DE BOMBEAMENTO DE ÁGUA PLUVIAL - EBAP LARANJA</t>
  </si>
  <si>
    <t xml:space="preserve">ELEVATÓRIA DE EMERGÊNCIA </t>
  </si>
  <si>
    <r>
      <rPr>
        <sz val="10"/>
        <rFont val="Arial"/>
        <family val="2"/>
      </rPr>
      <t>7042</t>
    </r>
  </si>
  <si>
    <t>Motobomba Trash (para água suja) auto escorvante, motor gasolina de 6,41 hp, diâmetros de sucção x recalque: 3" x 3", hm/q = 10 mca / 60 m³/h a 23 mca / 0 m³/h - chp diurno. af_10/2014 (considerado 4 bombas trabalhando até 7 dias no período da obra)</t>
  </si>
  <si>
    <t>CHP</t>
  </si>
  <si>
    <r>
      <rPr>
        <sz val="10"/>
        <rFont val="Arial"/>
        <family val="2"/>
      </rPr>
      <t>7043</t>
    </r>
  </si>
  <si>
    <t>Motobomba Trash (para água suja) auto escorvante, motor gasolina de 6,41 hp, diâmetros de sucção x recalque: 3" x 3", hm/q = 10 mca / 60 m³/h a 23 mca / 0 m³/h - chi diurno. af_10/2014 (considerando 4 bombas a disposição durante 9 meses)</t>
  </si>
  <si>
    <t>CHI</t>
  </si>
  <si>
    <t>RETIRADA DE INTERFERÊNCIAS</t>
  </si>
  <si>
    <r>
      <rPr>
        <sz val="10"/>
        <rFont val="Arial"/>
        <family val="2"/>
      </rPr>
      <t>2.1.2.1</t>
    </r>
  </si>
  <si>
    <t>CP-1100-022028</t>
  </si>
  <si>
    <t>Remoção de poste</t>
  </si>
  <si>
    <r>
      <rPr>
        <sz val="10"/>
        <rFont val="Arial"/>
        <family val="2"/>
      </rPr>
      <t>2.1.2.2</t>
    </r>
  </si>
  <si>
    <t>100606</t>
  </si>
  <si>
    <t xml:space="preserve">Assentamento de poste de concreto </t>
  </si>
  <si>
    <t>90087</t>
  </si>
  <si>
    <t>Escavação mecanizada de vala, com escavadeira hidráulica (1,2 m³/155 hp), em solo de 1a categoria</t>
  </si>
  <si>
    <t>m³</t>
  </si>
  <si>
    <t>5914336</t>
  </si>
  <si>
    <t xml:space="preserve">Transporte com caminhão basculante de 12m³ - rodovia pavimentada </t>
  </si>
  <si>
    <t>tkm</t>
  </si>
  <si>
    <t>00004085</t>
  </si>
  <si>
    <t>Locação de bomba submersivel para drenagem e esgotamento, motor eletrico trifasico, potencia de 4 cv, diametro de recalque de 3". faixa de operacao: q=60 m³/h (+ ou - 1 m³/h) e amt=2 m; q=11 m³/h (+ ou - 1 m³/h) e amt = 23 m (+ ou - 1 m)</t>
  </si>
  <si>
    <t>H</t>
  </si>
  <si>
    <t>CESAN-7060100030</t>
  </si>
  <si>
    <t>Rebaixamento de lençol freático c/ pont filtrantes</t>
  </si>
  <si>
    <t>mês</t>
  </si>
  <si>
    <t>CP-7710-S07134</t>
  </si>
  <si>
    <t>Escoramento metálico p/ valas, com pranchas metálicas de 4,7 mm x 30 cm e longarinas e transversinas em perfis de aço, reaproveitamento : 10 vezes</t>
  </si>
  <si>
    <t>100322</t>
  </si>
  <si>
    <t>Lastro com material granular (pedra britada n.3), aplicado em pisos ou radiers, espessura de 50 cm</t>
  </si>
  <si>
    <t>96620</t>
  </si>
  <si>
    <t>Lastro de concreto magro, aplicado em pisos ou radiers. af_08/2017</t>
  </si>
  <si>
    <t>92452</t>
  </si>
  <si>
    <t>Montagem e desmontagem de fôrma, escoramento metálico, pé-direito simples, em chapa de madeira resinada, 2 utilizações. af_12/2015</t>
  </si>
  <si>
    <t>1106282</t>
  </si>
  <si>
    <t>Concreto para bombeamento fck = 40 mpa</t>
  </si>
  <si>
    <t>00025950</t>
  </si>
  <si>
    <t xml:space="preserve">Servico de bombeamento de concreto </t>
  </si>
  <si>
    <t>0407820</t>
  </si>
  <si>
    <t>Armação em aço ca-60 - fornecimento, preparo e colocação</t>
  </si>
  <si>
    <t>Kg</t>
  </si>
  <si>
    <t>0407819</t>
  </si>
  <si>
    <t>Armação em aço ca-50 - fornecimento, preparo e colocação</t>
  </si>
  <si>
    <t>94333</t>
  </si>
  <si>
    <t>Aterro mecanizado de vala com escavadeira hidráulica</t>
  </si>
  <si>
    <t>4915671</t>
  </si>
  <si>
    <t>Reaterro e compactação com soquete vibratório</t>
  </si>
  <si>
    <t>COMP-645387</t>
  </si>
  <si>
    <t>Destinação final de resíduos classe ii a em aterro sanitário controlado (bdi reduzido de 14,02%) - BDI = 14,02</t>
  </si>
  <si>
    <t>T</t>
  </si>
  <si>
    <t>00001332</t>
  </si>
  <si>
    <t>Chapa de aco grossa, astm a36, e = 3/8 " (9,53 mm) 74,69 kg/m² para fechamento dos poços</t>
  </si>
  <si>
    <t>FUNDAÇÃO PARA ELETROCENTRO</t>
  </si>
  <si>
    <t>5501938</t>
  </si>
  <si>
    <t>Escavação, carga e transporte de material de 1ª categoria - dmt de 2.500 a 3.000 m - caminho de serviço pavimentado - com carregadeira e caminhão basculante de 14 m³</t>
  </si>
  <si>
    <t xml:space="preserve">Concreto para bombeamento fck = 40 mpa </t>
  </si>
  <si>
    <t>ESTRUTURAS PARA APOIO E TANQUE</t>
  </si>
  <si>
    <t>Montagem e desmontagem de fôrma de viga, escoramento metálico, pé-direito simples, em chapa de madeira resinada, 2 utilizações. af_12/2015</t>
  </si>
  <si>
    <t>APOIO  - EXTERNO</t>
  </si>
  <si>
    <t>89475</t>
  </si>
  <si>
    <t>Alvenaria de blocos de concreto estrutural 14x19x39 cm, (espessura 14 cm), fbk = 4,5 mpa, para paredes com área líquida maior ou igual a 6m², com vãos, utilizando colher de pedreiro. af_12/2014</t>
  </si>
  <si>
    <t>91341</t>
  </si>
  <si>
    <t>Porta em alumínio de abrir tipo veneziana com guarnição, fixação com parafusos - fornecimento e instalação. af_12/2019</t>
  </si>
  <si>
    <t>98689</t>
  </si>
  <si>
    <t>Soleira em granito, largura 15 cm, espessura 2,0 cm. af_06/2018</t>
  </si>
  <si>
    <t>M</t>
  </si>
  <si>
    <t>94569</t>
  </si>
  <si>
    <t>Janela de alumínio tipo maxim-ar, com vidros - fornecimento e instalação.</t>
  </si>
  <si>
    <t>84088</t>
  </si>
  <si>
    <t>Peitoril em marmore branco, largura de 15cm, assentado com argamassa traco 1:4 (cimento e areia media), preparo manual da argamassa</t>
  </si>
  <si>
    <t>95465</t>
  </si>
  <si>
    <t>Cobogó ceramico (elemento vazado), 9x20x20cm, assentado com argamassa traco 1:4 de cimento e areia</t>
  </si>
  <si>
    <t>94201</t>
  </si>
  <si>
    <t>Telhamento com telha cerâmica capa-canal, tipo colonial, com até 2 águas, incluso transporte vertical. af_07/2019</t>
  </si>
  <si>
    <t>92565</t>
  </si>
  <si>
    <t>Fabricação e instalação de estrutura pontaletada de madeira não aparelhada para telhados com até 2 águas e para telha cerâmica ou de concreto, incluso transporte vertical. af_12/2015</t>
  </si>
  <si>
    <t>73665</t>
  </si>
  <si>
    <t>Escada tipo marinheiro em aco ca-50 9,52mm incluso pintura com fundo anticorrosivo tipo zarcao</t>
  </si>
  <si>
    <t>74194/001</t>
  </si>
  <si>
    <t>Escada tipo marinheiro em tubo aco galvanizado 1 1/2" 5 degraus</t>
  </si>
  <si>
    <t>88504</t>
  </si>
  <si>
    <t>Caixa d´agua em polietileno, 500 litros, com acessórios</t>
  </si>
  <si>
    <t>88489</t>
  </si>
  <si>
    <t>Aplicação manual de pintura com tinta látex acrílica em paredes, duas demãos. af_06/2014</t>
  </si>
  <si>
    <t>86922</t>
  </si>
  <si>
    <t>Tanque de louça branca suspenso, 18l ou equivalente, incluso sifão tipo garrafa em metal cromado, válvula metálica e torneira de metal cromado padrão médio - fornecimento e instalação. af_01/2020</t>
  </si>
  <si>
    <t>86914</t>
  </si>
  <si>
    <t>Torneira cromada 1/2? ou 3/4? para tanque, padrão médio - fornecimento e instalação. af_01/2020</t>
  </si>
  <si>
    <t>I.S. - INTERNO</t>
  </si>
  <si>
    <t>89170</t>
  </si>
  <si>
    <t>(Composição representativa) do serviço de revestimento cerâmico para paredes internas, meia parede, ou parede inteira, placas grês ou semi-grês de 20x20 cm, para edificações habitacionais unifamiliar (casas) e edificações públicas padrão. af_11/2014</t>
  </si>
  <si>
    <t>88488</t>
  </si>
  <si>
    <t>Aplicação manual de pintura com tinta látex acrílica em teto, duas demãos. af_06/2014</t>
  </si>
  <si>
    <t>87250</t>
  </si>
  <si>
    <t>Revestimento cerâmico para piso com placas tipo esmaltada extra de dimensões 45x45 cm aplicada em ambientes de área entre 5 m² e 10 m². af_06/2014</t>
  </si>
  <si>
    <t>86903</t>
  </si>
  <si>
    <t>Lavatório louça branca com coluna, 45 x 55cm ou equivalente, padrão médio - fornecimento e instalação. af_01/2020</t>
  </si>
  <si>
    <t>86915</t>
  </si>
  <si>
    <t>Torneira cromada de mesa, 1/2? ou 3/4?, para lavatório, padrão médio - fornecimento e instalação. af_01/2020</t>
  </si>
  <si>
    <t>95546</t>
  </si>
  <si>
    <t>Kit de acessorios para banheiro em metal cromado, 5 pecas, incluso fixação. af_01/2020</t>
  </si>
  <si>
    <t>S170116</t>
  </si>
  <si>
    <t>Vaso sanitário padrão popular completo com acessórios para ligação, marcas de referência deca, celite ou ideal standard, inclusive assento plástico</t>
  </si>
  <si>
    <t>S170354</t>
  </si>
  <si>
    <t>Chuveiro completo, linha anti-vandalismo, marcas de referência fabrimar, deca ou docol</t>
  </si>
  <si>
    <t>100866</t>
  </si>
  <si>
    <t>Barra de apoio reta, em aco inox polido, comprimento 60cm, fixada na parede - fornecimento e instalação. af_01/2020</t>
  </si>
  <si>
    <t>100868</t>
  </si>
  <si>
    <t>Barra de apoio reta, em aco inox polido, comprimento 80 cm, fixada na parede - fornecimento e instalação. af_01/2020</t>
  </si>
  <si>
    <t>CP-4306-30.01.061</t>
  </si>
  <si>
    <t>Barra de apoio lateral para lavatório, para pessoas com mobilidade reduzida, comprimento 25 a 30 cm</t>
  </si>
  <si>
    <t>100875</t>
  </si>
  <si>
    <t>Banco articulado, em aco inox, para pcd, fixado na parede - fornecimento e instalação. af_01/2020</t>
  </si>
  <si>
    <t>94779</t>
  </si>
  <si>
    <t>(Composição representativa) do serviço de contrapiso em argamassa traço 1:4 (cim e areia), em betoneira 400 l, espessura 3 cm áreas secas e 3 cm áreas molhadas, para edificação habitacional multifamiliar (prédio). af_11/2014</t>
  </si>
  <si>
    <t>S120302</t>
  </si>
  <si>
    <t>Reboco de argamassa de cimento, cal hidratada ch1 e areia média ou grossa lavada no traço 1:0.5:6, espessura 5mm</t>
  </si>
  <si>
    <t>89173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</si>
  <si>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</si>
  <si>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COPA - INTERNO</t>
  </si>
  <si>
    <t>86889</t>
  </si>
  <si>
    <t>Bancada de granito cinza polido, de 1,50 x 0,60 m, para pia de cozinha - fornecimento e instalação. af_01/2020</t>
  </si>
  <si>
    <t>86936</t>
  </si>
  <si>
    <t>Cuba de embutir de aço inoxidável média, incluso válvula tipo americana e sifão tipo garrafa em metal cromado - fornecimento e instalação. af_01/2020</t>
  </si>
  <si>
    <t>86909</t>
  </si>
  <si>
    <t>Torneira cromada tubo móvel, de mesa, 1/2? ou 3/4?, para pia de cozinha, padrão alto - fornecimento e instalação. af_01/2020</t>
  </si>
  <si>
    <t>DEPÓSITO - INTERNO</t>
  </si>
  <si>
    <t>GERADOR</t>
  </si>
  <si>
    <t>74244/001</t>
  </si>
  <si>
    <t>Alambrado para quadra poliesportiva, estruturado por tubos de aco galvanizado, com costura, din 2440, diametro 2", com tela de arame galvanizado, fio 14 bwg e malha quadrada 5x5cm</t>
  </si>
  <si>
    <t>S071107</t>
  </si>
  <si>
    <t>Portão de ferro de abrir em barra chata, chapa e tubo, inclusive chumbamento</t>
  </si>
  <si>
    <t>TANQUE</t>
  </si>
  <si>
    <t>87473</t>
  </si>
  <si>
    <t>Alvenaria de vedação de blocos cerâmicos furados na vertical de 14x19x39cm (espessura 14cm) de paredes com área líquida menor que 6m² sem vãos e argamassa de assentamento com preparo em betoneira. af_06/2014</t>
  </si>
  <si>
    <t>98546</t>
  </si>
  <si>
    <t>Ompermeabilização de superfície com manta asfáltica, uma camada, inclusive aplicação de primer asfáltico, e=3mm. af_06/2018</t>
  </si>
  <si>
    <t>87755</t>
  </si>
  <si>
    <t>Contrapiso em argamassa traço 1:4 (cimento e areia), preparo mecânico com betoneira 400 l, aplicado em áreas molhadas sobre impermeabilização, espessura 3cm. af_06/2014</t>
  </si>
  <si>
    <t>S090104</t>
  </si>
  <si>
    <t>Estrutura de madeira de lei tipo paraju, peroba mica, angelim pedra ou equivalente para telhado de telhas cerâmicas tipo capa e canal c/ tesouras, pilares, vigas, terças, caibros e ripas, incl. trat. c/cupinicida, exclusive telhas</t>
  </si>
  <si>
    <t>S090211</t>
  </si>
  <si>
    <t>Cobertura nova de telhas cerâmicas tipo capa e canal inclusive cumeeira (telhas compradas na praça de vitória, posto obra) (área de projeção horizontal; incl. 35%)</t>
  </si>
  <si>
    <t>GUARITA</t>
  </si>
  <si>
    <t>87249</t>
  </si>
  <si>
    <t>Revestimento cerâmico para piso com placas tipo esmaltada extra de dimensões 45x45 cm aplicada em ambientes de área menor que 5 m². af_06/2014</t>
  </si>
  <si>
    <t>I.S. GUARITA</t>
  </si>
  <si>
    <t>87273</t>
  </si>
  <si>
    <t>Revestimento cerâmico para paredes internas com placas tipo esmaltada extra de dimensões 33x45 cm aplicadas em ambientes de área maior que 5 m² na altura inteira das paredes. af_06/2014</t>
  </si>
  <si>
    <t>HIDROSSANITÁRIO</t>
  </si>
  <si>
    <t>S141410</t>
  </si>
  <si>
    <t>Tubo de pvc rígido soldável marrom, diâm. 25mm (3/4"), inclusive conexões</t>
  </si>
  <si>
    <t>S141411</t>
  </si>
  <si>
    <t>Tubo de pvc rigido soldável marrom, diâm. 32mm (1"), inclusive conexões</t>
  </si>
  <si>
    <t>95675</t>
  </si>
  <si>
    <t>Hidrômetro dn 25 1''</t>
  </si>
  <si>
    <t>00001370</t>
  </si>
  <si>
    <t>Ducha higienica plastica com registro metalico 1/2 "</t>
  </si>
  <si>
    <t>89538</t>
  </si>
  <si>
    <t>Adaptador curto com bolsa e rosca para registro, pvc, soldável, dn 25mm x 3/4?, instalado em prumada de água - fornecimento e instalação. af_12/2014</t>
  </si>
  <si>
    <t>94658</t>
  </si>
  <si>
    <t>Adaptador curto com bolsa e rosca para registro, pvc, soldável, dn 32 mm x 1 , instalado em reservação de água de edificação que possua reservatório de fibra/fibrocimento fornecimento e instalação. af_06/2016</t>
  </si>
  <si>
    <t>89981</t>
  </si>
  <si>
    <t>Luva soldável e com bucha de latão, pvc, soldável, dn 32mm x 1 , instalado em prumada de água fornecimento e instalação. af_12/2014</t>
  </si>
  <si>
    <t>89980</t>
  </si>
  <si>
    <t>Luva com bucha de latão, pvc, soldável, dn 25mm x 3/4?, instalado em prumada de água - fornecimento e instalação. af_12/2014</t>
  </si>
  <si>
    <t>89426</t>
  </si>
  <si>
    <t>Luva de redução, pvc, soldável, dn 32mm x 25mm, instalado em ramal de distribuição de água - fornecimento e instalação. af_12/2014</t>
  </si>
  <si>
    <t>00021112</t>
  </si>
  <si>
    <t>Válvula de descarga em metal cromado para mictorio com acionamento por pressao e fechamento automatico</t>
  </si>
  <si>
    <t>89419</t>
  </si>
  <si>
    <t>Luva de redução, pvc, soldável, dn 25mm x 1/2, instalado em ramal de distribuição de água - fornecimento e instalação. af_12/2014</t>
  </si>
  <si>
    <t>S170321</t>
  </si>
  <si>
    <t>Registro de gaveta bruto diam. 25mm (1")</t>
  </si>
  <si>
    <t>94792</t>
  </si>
  <si>
    <t>Registro de gaveta bruto, latão, roscável, 1?, com acabamento e canopla cromados, instalado em reservação de água de edificação que possua reservatório de fibra/fibrocimento ? fornecimento e instalação. af_06/2016</t>
  </si>
  <si>
    <t>89351</t>
  </si>
  <si>
    <t>Registro de pressão bruto, latão, roscável, 3/4?, fornecido e instalado em ramal de água. af_12/2014</t>
  </si>
  <si>
    <t>94796</t>
  </si>
  <si>
    <t>Torneira de boia, roscável, 3/4? , fornecida e instalada em reservação de água. af_06/2016</t>
  </si>
  <si>
    <t>S141906</t>
  </si>
  <si>
    <t>Tubo de pvc rígido soldável branco, para esgoto, diâmetro 40mm (1 1/2"), inclusive conexões</t>
  </si>
  <si>
    <t>S141907</t>
  </si>
  <si>
    <t>Tubo de pvc rígido soldável branco, para esgoto, diâmetro 50mm (2"), inclusive conexões</t>
  </si>
  <si>
    <t>S141909</t>
  </si>
  <si>
    <t>Tubo de pvc rígido soldável branco, para esgoto, diâmetro 100mm (4"), inclusive conexões</t>
  </si>
  <si>
    <t>S142107</t>
  </si>
  <si>
    <t>Ralo sifonado em pvc 100x40mm, com grelha pvc</t>
  </si>
  <si>
    <t>S142111</t>
  </si>
  <si>
    <t>Caixa sifonada em pvc, com grelha e porta grelha</t>
  </si>
  <si>
    <t>98110</t>
  </si>
  <si>
    <t xml:space="preserve">Caixa de gordura pequena </t>
  </si>
  <si>
    <t>S151016</t>
  </si>
  <si>
    <t>Caixa de passagem de alvenaria de blocos de concreto 9x19x39cm, dimensões de 80x80x80m, com revestimento interno em chapisco e reboco tampa de concreto esp. 5cm e lastro de brita 5cm</t>
  </si>
  <si>
    <t>S151017</t>
  </si>
  <si>
    <t>Caixa de passagem de alvenaria de blocos de concreto 9x19x39cm, dimensões de 1.00x1.00x1.00m, com revestimento interno em chapisco e reboco tampa de concreto esp. 5cm e lastro de brita 5cm</t>
  </si>
  <si>
    <t>00039319</t>
  </si>
  <si>
    <t>Terminal de ventilacao, 50 mm, serie normal, esgoto predial</t>
  </si>
  <si>
    <t>89860</t>
  </si>
  <si>
    <t>Te, pvc, serie normal, esgoto predial, dn 100 x 100 mm, junta elástica, fornecido e instalado em subcoletor aéreo de esgoto sanitário. af_12/2014</t>
  </si>
  <si>
    <t>CP-7963-72293</t>
  </si>
  <si>
    <t>Cap pvc esgoto 50mm (tampão) - fornecimento e instalação</t>
  </si>
  <si>
    <t>S140905</t>
  </si>
  <si>
    <t>Tubo pvc rígido para esgoto no diâmetro de 200mm incluindo escavação e aterro com areia</t>
  </si>
  <si>
    <t>S140102</t>
  </si>
  <si>
    <t>Fossa séptica de anéis pré-moldados de concreto, diâmetro 1.20 m, altura útil de 1.70m, completa, incluindo tampa c/visita de 60cm, concreto p/fundo esp.10 cm, e tubo para ligação ao filtro</t>
  </si>
  <si>
    <t>S140103</t>
  </si>
  <si>
    <t>Filtro anaeróbio de anéis pré-moldados de concreto, diâmetro de 1.20m, altura útil de 1.80m, completo, incl. tampa c/visita de 60 cm, concreto p/fundo esp.10cm e tubulação de saída de esgoto</t>
  </si>
  <si>
    <t>EXTERNO E URBANIZAÇÃO</t>
  </si>
  <si>
    <t>00034348</t>
  </si>
  <si>
    <t>Concertina clipada (dupla) em aco galvanizado de alta resistencia, com espiral de 300 mm, d = 2,76 mm</t>
  </si>
  <si>
    <t>99855</t>
  </si>
  <si>
    <t>Corrimão simples, diâmetro externo = 1 1/2", em aço galvanizado. af_04/2019_p</t>
  </si>
  <si>
    <t>99839</t>
  </si>
  <si>
    <t>Guarda-corpo de aço galvanizado de 1,10m de altura, montantes tubulares de 1.1/2? espaçados de 1,20m, travessa superior de 2?, gradil formado por barras chatas em ferro de 32x4,8mm, fixado com chumbador mecânico. af_04/2019_p</t>
  </si>
  <si>
    <t>S200326</t>
  </si>
  <si>
    <t>Fornecimento e plantio de grama em placas tipo esmeralda ou amendoim (arachis repens), conforme projeto, inclusive fornecimento de terra vegetal</t>
  </si>
  <si>
    <t>94276</t>
  </si>
  <si>
    <t xml:space="preserve">Assentamento de guia (meio-fio) , confeccionada em concreto pré-fabricado, dpara urbanização de empreendimentos. </t>
  </si>
  <si>
    <t>98516</t>
  </si>
  <si>
    <t>Plantio de palmeira com altura de muda menor ou igual a 2,00 m. af_05/2018</t>
  </si>
  <si>
    <t>S200253</t>
  </si>
  <si>
    <t>Fornecimento e assentamento de ladrilho hidráulico pastilhado, vermelho, dim. 20x20 cm, esp. 1.5cm, assentado com pasta de cimento colante, exclusive regularização e lastro</t>
  </si>
  <si>
    <t>S200254</t>
  </si>
  <si>
    <t>Fornecimento e assentamento de ladrilho hidráulico ranhurado, vermelho, dim. 20x20 cm, esp. 1.5cm, assentado com pasta de cimento colante, exclusive regularização e lastro</t>
  </si>
  <si>
    <t>92398</t>
  </si>
  <si>
    <t>Execução de pátio/estacionamento em piso intertravado, com bloco retangular cor natural de 20 x 10 cm, espessura 8 cm. af_12/2015</t>
  </si>
  <si>
    <t xml:space="preserve">Aterro mecanizado de vala com escavadeira hidráulica </t>
  </si>
  <si>
    <t>94996</t>
  </si>
  <si>
    <t>Laje sobre piso de rampas, escadas e calçadas</t>
  </si>
  <si>
    <t>S200715</t>
  </si>
  <si>
    <t>Mureta de proteção</t>
  </si>
  <si>
    <t>INCÊNDIO</t>
  </si>
  <si>
    <t>00037558</t>
  </si>
  <si>
    <t>Placa de sinalizacao de seguranca contra incendio, fotoluminescente, conforme projeto, (simbolos, cores e pictogramas conforme nbr 13434)</t>
  </si>
  <si>
    <t>72554</t>
  </si>
  <si>
    <t>Extintor de co2 6kg - fornecimento e instalacao</t>
  </si>
  <si>
    <t>83635</t>
  </si>
  <si>
    <t>Extintor incendio tp po quimico 6kg - fornecimento e instalacao</t>
  </si>
  <si>
    <t>83635-V8Kg</t>
  </si>
  <si>
    <t>Extintor incendio tp po quimico 8kg - fornecimento e instalacao</t>
  </si>
  <si>
    <t>0919250</t>
  </si>
  <si>
    <t>Fornecimento e instalação de extintor de espuma 10 l</t>
  </si>
  <si>
    <t>S160613</t>
  </si>
  <si>
    <t xml:space="preserve">Bloco autônomo de iluminação de emergência 30 leds, bivolt, autonomia de 6hrs, potência 2w, fluxo luminoso 110 lm </t>
  </si>
  <si>
    <t>CP-5631-P.16.000.067033</t>
  </si>
  <si>
    <t xml:space="preserve">Bloco autônomo p/ iluminação de emergência, c/ faróis de led 15w temp. cor 5000k, autonomia 3 horas, gab. policarb. term. autoextinguível, prot. uv, res. a impacto, bege, mod. bll 2400 led ip66 - aureonlux ou equivalente </t>
  </si>
  <si>
    <r>
      <rPr>
        <sz val="10"/>
        <rFont val="Arial"/>
        <family val="2"/>
      </rPr>
      <t>1505877</t>
    </r>
  </si>
  <si>
    <t>Enrocamento com pedra, inclusive espalhamento e compactação mecânica - fornecimento e assentamento</t>
  </si>
  <si>
    <t>INSTALAÇÕES DE AUTOMAÇÃO E INSTRUMENTAÇÃO</t>
  </si>
  <si>
    <t>COMP-301767</t>
  </si>
  <si>
    <t>un</t>
  </si>
  <si>
    <t>CP-3768-ST 59.20.0350 (/)</t>
  </si>
  <si>
    <t>Cabo de instrumentação de 2 pares 1,5mm², com blindagem individual e coletiva, isolação em xlpe</t>
  </si>
  <si>
    <t>COMP-001053</t>
  </si>
  <si>
    <t>Cabo de instrumentação de 2 pares 1,5mm², com shield, isolação em xlpe</t>
  </si>
  <si>
    <t>CP-6839-41147</t>
  </si>
  <si>
    <t>Cabo de par trançado blindado (f/utp), categoria 6, ou superior, com condutores de cobre rígidos 24 awg, uso indoor/outdoor ref: furukawa ou similar (m)</t>
  </si>
  <si>
    <t>Calhas e Dutos</t>
  </si>
  <si>
    <t>CP-9242-ED-49048</t>
  </si>
  <si>
    <t>Eletrocalha perfurada galvanizada eletrolítica chapa 14 - 100 x 50 mm com tampa, inclusive conexão e suporte.</t>
  </si>
  <si>
    <t>S150851</t>
  </si>
  <si>
    <t>Saída horizontal para eletroduto de 1"</t>
  </si>
  <si>
    <t>91863</t>
  </si>
  <si>
    <t>S151138</t>
  </si>
  <si>
    <t>Eletroduto em polietileno de alta densidade (pead) ∅3/4" ref: kanalex ou similar</t>
  </si>
  <si>
    <t>S151139</t>
  </si>
  <si>
    <t>Eletroduto pead, cor preta, diam. 2", marca ref. kanaflex ou equivalente</t>
  </si>
  <si>
    <t>S151140</t>
  </si>
  <si>
    <t>Eletroduto pead, cor preta, diam. 3", marca ref. kanaflex ou equivalente</t>
  </si>
  <si>
    <t>S150702</t>
  </si>
  <si>
    <t>Envelopamento de concreto simples com consumo mínimo de cimento de 250kg/m³, inclusive escavação para profundidade mínima do eletroduto de 50 cm, de 25 x 30 cm, para 2 eletrodutos</t>
  </si>
  <si>
    <t>93009</t>
  </si>
  <si>
    <t>Eletroduto rígido roscável, pvc, dn 60 mm (2") - fornecimento e instalação. af_12/2015</t>
  </si>
  <si>
    <t>S150804</t>
  </si>
  <si>
    <t>Caixa de ligação de alumínio silício, tipo conduletes, sem rosca, no formato lr, inclusive tampa com vedação, diâmetro 3/4"</t>
  </si>
  <si>
    <t>Caixas de Passagem</t>
  </si>
  <si>
    <t>S151002</t>
  </si>
  <si>
    <t>Caixa de passagem de alvenaria de blocos cerâmicos 10 furos 10x20x20cm dimensões de 50x50x50cm, com revestimento interno em chapisco e reboco, tampa de concreto esp.5cm e lastro de brita 5 cm</t>
  </si>
  <si>
    <t>91943</t>
  </si>
  <si>
    <t>INSTALAÇÕES ELÉTRICAS</t>
  </si>
  <si>
    <t>Equipamentos (BDI = 14,02%)</t>
  </si>
  <si>
    <t>CP-8618-COMP-352920</t>
  </si>
  <si>
    <t>Fornecimento de sistema de distribuição de energia elétrica em média e baixa tensão da subestação pré-fabricada em estrutura metálica modular e transportável (eletrocentro laranja)(frete incluso) - BDI = 14,02</t>
  </si>
  <si>
    <t>INS-931105</t>
  </si>
  <si>
    <t>Fornecimento de grupo gerador c18 – em carenagem acústica 82 db (a) @ 1,5 m – 938kva / 750kw – 850kva / 680kw – 440/254v v, com disjuntor de proteção manual e painel de comando emcp 4.2 - BDI = 14,02</t>
  </si>
  <si>
    <t>CP-0596-INS-591231</t>
  </si>
  <si>
    <t>Tanque metálico – 3000 l - BDI = 14,02</t>
  </si>
  <si>
    <t>Instalação de Equipamentos (BDI = 14,02%)</t>
  </si>
  <si>
    <t>COMP-573673</t>
  </si>
  <si>
    <t>Instalação de sistema de distribuição de energia elétrica em média e baixa tensão da subestação pré-fabricada em estrutura metálica modular e transportável (eletrocentro)tudo incluso (mão de obra, materiais, serviços, testes, entre outros)</t>
  </si>
  <si>
    <t>COMP-500587</t>
  </si>
  <si>
    <t>Transporte de grupo gerador a diesel – em carenagem acústica 82 db (a) @ 1,5 m – 938kva / 750kw – 850kva / 680kw –
440/254v v, com disjuntor de proteção manual e painel de comando emcp 4. ref c18</t>
  </si>
  <si>
    <t>COMP-685590</t>
  </si>
  <si>
    <t>Fios e cabos</t>
  </si>
  <si>
    <t>91929</t>
  </si>
  <si>
    <t>Cabo de cobre flexível isolado, 4 mm², anti-chama 0,6/1,0 kv, para circuitos terminais - fornecimento e instalação. af_12/2015 - preto</t>
  </si>
  <si>
    <t>Cabo de cobre flexível isolado, 4 mm², anti-chama 0,6/1,0 kv, para circuitos terminais - fornecimento e instalação. af_12/2015 - azul</t>
  </si>
  <si>
    <t>Cabo de cobre flexível isolado, 4 mm², anti-chama 0,6/1,0 kv, para circuitos terminais - fornecimento e instalação. af_12/2015 - verde</t>
  </si>
  <si>
    <t>92980</t>
  </si>
  <si>
    <t>Cabo de cobre flexível isolado, 10 mm², anti-chama 0,6/1,0 kv, para distribuição - fornecimento e instalação. af_12/2015 - preto</t>
  </si>
  <si>
    <t>Cabo de cobre flexível isolado, 10 mm², anti-chama 0,6/1,0 kv, para distribuição - fornecimento e instalação. af_12/2015 - azul</t>
  </si>
  <si>
    <t>Cabo de cobre flexível isolado, 10 mm², anti-chama 0,6/1,0 kv, para distribuição - fornecimento e instalação. af_12/2015 - verde</t>
  </si>
  <si>
    <t>92982</t>
  </si>
  <si>
    <t>Cabo de cobre flexível isolado, 16 mm², anti-chama 0,6/1,0 kv, para distribuição - fornecimento e instalação. af_12/2015 - preto</t>
  </si>
  <si>
    <t>Cabo de cobre flexível isolado, 16 mm², anti-chama 0,6/1,0 kv, para distribuição - fornecimento e instalação. af_12/2015 - verde</t>
  </si>
  <si>
    <t>CP-4532-COMP-008098</t>
  </si>
  <si>
    <t xml:space="preserve">Cabo de cobre flexível múltiplo, blindado, epr 1kv, com 3 cabos de 150mm² para ligação do motor </t>
  </si>
  <si>
    <t>92994</t>
  </si>
  <si>
    <t>Cabo de cobre flexível isolado, 120 mm², anti-chama 0,6/1,0 kv, para distribuição - fornecimento e instalação. af_12/2015 - verde</t>
  </si>
  <si>
    <t>93000</t>
  </si>
  <si>
    <t>Cabo de cobre flexível isolado, 240 mm², anti-chama 0,6/1,0 kv, para distribuição - fornecimento e instalação. af_12/2015 - preto</t>
  </si>
  <si>
    <t>Cabo de cobre flexível isolado, 240 mm², anti-chama 0,6/1,0 kv, para distribuição - fornecimento e instalação. af_12/2015 - azul</t>
  </si>
  <si>
    <t>91926</t>
  </si>
  <si>
    <t>Cabo de cobre flexível isolado, 2,5 mm², anti-chama 450/750 v, para circuitos terminais - fornecimento e instalação. af_12/2015 - preto</t>
  </si>
  <si>
    <t>Cabo de cobre flexível isolado, 2,5 mm², anti-chama 450/750 v, para circuitos terminais - fornecimento e instalação. af_12/2015 - azul</t>
  </si>
  <si>
    <t>Cabo de cobre flexível isolado, 2,5 mm², anti-chama 450/750 v, para circuitos terminais - fornecimento e instalação. af_12/2015 - verde</t>
  </si>
  <si>
    <t>Cabo de cobre flexível isolado, 2,5 mm², anti-chama 450/750 v, para circuitos terminais - fornecimento e instalação. af_12/2015 - amarelo</t>
  </si>
  <si>
    <t>91930</t>
  </si>
  <si>
    <t>Cabo de cobre flexível isolado, 6 mm², anti-chama 450/750 v, para circuitos terminais - fornecimento e instalação. af_12/2015 - preto</t>
  </si>
  <si>
    <t>Cabo de cobre flexível isolado, 6 mm², anti-chama 450/750 v, para circuitos terminais - fornecimento e instalação. af_12/2015 - azul</t>
  </si>
  <si>
    <t>Cabo de cobre flexível isolado, 6 mm², anti-chama 450/750 v, para circuitos terminais - fornecimento e instalação. af_12/2015 - verde</t>
  </si>
  <si>
    <t>CP-1993-S151434</t>
  </si>
  <si>
    <t>Cabo de cobre de média tensão isolado (xlpe/epr 15kv) 120,0mm², condutor em cobre eletrolítico nu, têmpera mole, encordoado circular compactado (classe 2). blindagem do condutor: composto termofixo semicondutor. isolação: composto termofixo de borracha epr 105 °c. blindagem da isolação: camada de composto termofixo semicondutor de fácil remoção a frio. blindagem metálica: fios de cobre nu. separador: fita não higroscópica de poliéster, aplicada em hélice cobrindo 100 % do cabo.</t>
  </si>
  <si>
    <t>92992</t>
  </si>
  <si>
    <t>Cabo de cobre flexível isolado, 95 mm², anti-chama 0,6/1,0 kv, para distribuição - fornecimento e instalação. af_12/2015</t>
  </si>
  <si>
    <t>91931</t>
  </si>
  <si>
    <t>Cabo de cobre flexível isolado, 6 mm², anti-chama 0,6/1,0 kv, para circuitos terminais - fornecimento e instalação. preto</t>
  </si>
  <si>
    <t>Cabo de cobre flexível isolado, 6 mm², anti-chama 0,6/1,0 kv, para circuitos terminais - fornecimento e instalação. verde</t>
  </si>
  <si>
    <t>Cabo de cobre flexível isolado, 6 mm², anti-chama 0,6/1,0 kv, para circuitos terminais - fornecimento e instalação. azul</t>
  </si>
  <si>
    <t>S151422</t>
  </si>
  <si>
    <t>Cabo de cobre termoplástico, com isolamento para 1000v, seção de 25.0 mm² verde</t>
  </si>
  <si>
    <t>Cabo de cobre termoplástico, com isolamento para 1000v, seção de 25.0 mm² preto</t>
  </si>
  <si>
    <t>Cabo de cobre termoplástico, com isolamento para 1000v, seção de 25.0 mm² azul</t>
  </si>
  <si>
    <t>00001575</t>
  </si>
  <si>
    <t>Terminal a compressao em cobre estanhado para cabo 16 mm², 1 furo e 1 compressao, para parafuso de fixacao m6</t>
  </si>
  <si>
    <t>00001586</t>
  </si>
  <si>
    <t>Terminal metalico a pressao para 1 cabo de 25 mm², com 1 furo de fixacao</t>
  </si>
  <si>
    <t>00001580</t>
  </si>
  <si>
    <t>Terminal a compressao em cobre estanhado para cabo 95 mm², 1 furo e 1 compressao, para parafuso de fixacao m12</t>
  </si>
  <si>
    <t>00001546</t>
  </si>
  <si>
    <t>Terminal metalico a pressao para 1 cabo de 95 a 120 mm², com 2 furos para fixacao</t>
  </si>
  <si>
    <t>00038196</t>
  </si>
  <si>
    <t>Terminal metalico a pressao para 1 cabo de 150 mm², com 1 furo de fixacao</t>
  </si>
  <si>
    <t>00011838</t>
  </si>
  <si>
    <t>Terminal metalico a pressao para 1 cabo de 240 mm², com 1 furo de fixacao</t>
  </si>
  <si>
    <t>S151137</t>
  </si>
  <si>
    <t>Eletroduto pead, cor preta, diam. 1.1/2", marca ref. kanaflex ou equivalente</t>
  </si>
  <si>
    <t>S151141</t>
  </si>
  <si>
    <t>Eletroduto pead, cor preta, diam. 4", marca ref. kanaflex ou equivalente</t>
  </si>
  <si>
    <t>S151142</t>
  </si>
  <si>
    <t>Eletroduto pead, cor preta, diam. 6", marca ref. kanaflex ou equivalente</t>
  </si>
  <si>
    <t>S151132</t>
  </si>
  <si>
    <t>Eletroduto flexível corrugado 3/4" , marca de referência tigre</t>
  </si>
  <si>
    <t>S151133</t>
  </si>
  <si>
    <t>Eletroduto flexível corrugado 1", marca de referência tigre</t>
  </si>
  <si>
    <t>ED-49052 V1</t>
  </si>
  <si>
    <t>Eletrocalha perfurada galvanizada eletrolítica chapa 14 - 200 x 150 mm com tampa, inclusive conexão e suporte</t>
  </si>
  <si>
    <t>S150852</t>
  </si>
  <si>
    <t>Saída horizontal para eletroduto de 2"</t>
  </si>
  <si>
    <t>S150704</t>
  </si>
  <si>
    <t>Envelopamento de concreto simples com consumo mínimo de cimento de 250kg/m³, inclusive escavação para profundidade mínima do eletroduto de 50cm, de 45 x 45 cm, para 3 eletrodutos</t>
  </si>
  <si>
    <t>S151127</t>
  </si>
  <si>
    <t>Eletroduto de pvc rígido roscável, diâm. 1" (32mm), inclusive conexões</t>
  </si>
  <si>
    <t>93011</t>
  </si>
  <si>
    <t>Eletroduto rígido roscável, pvc, dn 85 mm (3") - fornecimento e instalação. af_12/2015</t>
  </si>
  <si>
    <t>CP-9988-CP-95632003815</t>
  </si>
  <si>
    <t>Canaleta de concreto - seção de 110 x 50 cm - espessura de 10 cm</t>
  </si>
  <si>
    <t>Equipamentos para Iluminação</t>
  </si>
  <si>
    <t>CP-8827-100623</t>
  </si>
  <si>
    <t>CP-2335-C4810</t>
  </si>
  <si>
    <t>CP-2871-ED-49144</t>
  </si>
  <si>
    <t xml:space="preserve">Cruzeta para fixação de 3 projetores, 1400mm, com fixadores, parafusos e demais conexões para poste telecônico </t>
  </si>
  <si>
    <t>CP-9513-CP-4254100623</t>
  </si>
  <si>
    <t>Poste telecônico reto, em aço galvanizado, com flange / flangeado na base, com chumbadores e demais peças para fixação, pintura branca eletrostática a quente em poliéster, 6000 mm. ref: induspar ou similar</t>
  </si>
  <si>
    <t>CP-8232-100623</t>
  </si>
  <si>
    <t>Poste telecônico reto, em aço galvanizado, com flange / flangeado na base, com chumbadores e demais peças para fixação, pintura eletrostática a quente em poliéster, 2500 mm. com 01 luminária no formato pétala, led 23w-220v, ip65.</t>
  </si>
  <si>
    <t>CP-1660-C4371</t>
  </si>
  <si>
    <t xml:space="preserve">Arandela blindada, uso externo, 45°, ip 65, soquete e27 </t>
  </si>
  <si>
    <t>CP-7330-ED-13344</t>
  </si>
  <si>
    <t>Lampada led 23 w, 3000 lumens, e27</t>
  </si>
  <si>
    <t>97610</t>
  </si>
  <si>
    <t>Lâmpada compacta de led 10 w, base e27 - fornecimento e instalação. af_02/2020</t>
  </si>
  <si>
    <t>CP-9898-97587</t>
  </si>
  <si>
    <t>Luminária de embutir p/ até 2 lampadas led e27, 12w</t>
  </si>
  <si>
    <t>91996</t>
  </si>
  <si>
    <t>Tomada média de embutir (1 módulo), 2p+t 10 a, incluindo suporte e placa - fornecimento e instalação. af_12/2015</t>
  </si>
  <si>
    <t>91997</t>
  </si>
  <si>
    <t>Tomada média de embutir (1 módulo), 2p+t 20 a, incluindo suporte e placa - fornecimento e instalação. af_12/2015</t>
  </si>
  <si>
    <t>CP-8398-S00615</t>
  </si>
  <si>
    <t>Luminária tipo pétala em led 250 w e braço curvo com sapata para fixação de luminária pública. 2000mm.</t>
  </si>
  <si>
    <t>S150634</t>
  </si>
  <si>
    <t>Caixa de passagem 300x300x120mm, chapa 18, com tampa parafusada</t>
  </si>
  <si>
    <t>S150614</t>
  </si>
  <si>
    <t>Caixa de passagem de alvenaria de blocos de concreto 9x19x39cm, dimensões de 30x30x50cm, com revestimento interno em chapisco e reboco, tampa de concreto esp.5cm e lastro de brita 5 cm</t>
  </si>
  <si>
    <t>S150628</t>
  </si>
  <si>
    <t>Caixa de embutir marca de referência tigreflex, 4x2"</t>
  </si>
  <si>
    <t>S180217</t>
  </si>
  <si>
    <t>Espelho para caixa estampada 4 x 2"</t>
  </si>
  <si>
    <t>91936</t>
  </si>
  <si>
    <t>Quadros, dispositivos de proteção e seccionamento</t>
  </si>
  <si>
    <t>93653</t>
  </si>
  <si>
    <t>Disjuntor monopolar tipo din, corrente nominal de 10a - fornecimento e instalação. af_04/2016</t>
  </si>
  <si>
    <t>93654</t>
  </si>
  <si>
    <t>Disjuntor monopolar tipo din, corrente nominal de 16a - fornecimento e instalação. af_04/2016</t>
  </si>
  <si>
    <t>93657</t>
  </si>
  <si>
    <t>Disjuntor monopolar tipo din, corrente nominal de 32a - fornecimento e instalação. af_04/2016</t>
  </si>
  <si>
    <t>CP-2681-C4530</t>
  </si>
  <si>
    <t xml:space="preserve">Disjuntor dr tetrapolar din 40a, 30ma </t>
  </si>
  <si>
    <t>S151337</t>
  </si>
  <si>
    <t>Dispositivo de proteção contra surto (dps) bipolar, tensão nominal máxima 275vca, corente de surto máxima 40ka.</t>
  </si>
  <si>
    <t>74131/004</t>
  </si>
  <si>
    <t>Quadro de distribuição elétrica, de embutir, padrão din para até 18 disjuntores, com barramento de cobre trifásico 100a (barras isoladas com revestimento termocontrátil), espelho para proteção,  ip 54.</t>
  </si>
  <si>
    <t>91953</t>
  </si>
  <si>
    <t>Interruptor simples (1 módulo), 10a/250v, incluindo suporte e placa - fornecimento e instalação. af_12/2015</t>
  </si>
  <si>
    <t>91959</t>
  </si>
  <si>
    <t>Interruptor simples (2 módulos), 10a/250v, incluindo suporte e placa - fornecimento e instalação. af_12/2015</t>
  </si>
  <si>
    <t>91967</t>
  </si>
  <si>
    <t>Interruptor simples (3 módulos), 10a/250v, incluindo suporte e placa - fornecimento e instalação. af_12/2015</t>
  </si>
  <si>
    <t>S151336</t>
  </si>
  <si>
    <t>Disjuntor DR bipolar 16a a 25a, corrente nominal 30 ma</t>
  </si>
  <si>
    <t>00039804</t>
  </si>
  <si>
    <t>Quadro de distribuicao, em pvc, de embutir, com barramento terra / neutro, para 6 disjuntores nema ou 8 disjuntores din</t>
  </si>
  <si>
    <t>Aterramento</t>
  </si>
  <si>
    <t>96977</t>
  </si>
  <si>
    <t>Cordoalha de cobre nu 50 mm², enterrada, sem isolador - fornecimento e instalação. af_12/2017</t>
  </si>
  <si>
    <t>S160334</t>
  </si>
  <si>
    <t>Terminal estanhado de 1 compressão 1 furo, 50mm², ref. tel-5150, marca de referência termotécnica ou equivalente</t>
  </si>
  <si>
    <t>S160310</t>
  </si>
  <si>
    <t>Conector de medição em latão com 2 parafusos para cabos de 16 a 50 mm², ref. tel-562, termotécnica ou equivalente</t>
  </si>
  <si>
    <t>S160316</t>
  </si>
  <si>
    <t>Caixa de inspeção tipo solo em pvc com bocal interior quadrado articulado e borda exterior redonda ø 300 x300mm para passeios e pisos sujeitos a carga pesada. ref: tel-535, termotécnica ou similar.</t>
  </si>
  <si>
    <t>S160321</t>
  </si>
  <si>
    <t>S151506</t>
  </si>
  <si>
    <t>Haste de terra tipo copperweld - 5/8" x 2.40m</t>
  </si>
  <si>
    <t>S160312</t>
  </si>
  <si>
    <t>Kit completo para solda exotérmica (molde hcl 5/8" ref: tel905611 / cartucho n° 115 ref: tel 909115 / alicate z 201 ref: tel 998201), marca de referência termotécnica ou equivalente inclusive conexões</t>
  </si>
  <si>
    <t>RAMAL DE LIGAÇÃO</t>
  </si>
  <si>
    <t>CP-8326</t>
  </si>
  <si>
    <t>Mão de obra para o ramal de ligação</t>
  </si>
  <si>
    <t>00013370</t>
  </si>
  <si>
    <t>Chave seccionadora-fusivel blindada tripolar, abertura com carga, para fusivel nh01, corrente nominal de 250 a</t>
  </si>
  <si>
    <t>00000867</t>
  </si>
  <si>
    <t>Cabo de cobre nu 50 mm² meio-duro</t>
  </si>
  <si>
    <t>00004161</t>
  </si>
  <si>
    <t>Mufla terminal primaria unipolar uso interno para cabo 35/70mm² isolacao 8,7/15kv em epr - borracha de silicone</t>
  </si>
  <si>
    <t>I049101</t>
  </si>
  <si>
    <t>Cruzeta de madeira p/ poste 90 x 135 x 2400mm</t>
  </si>
  <si>
    <t>S151433</t>
  </si>
  <si>
    <t>Cabo de cobre termoplástico, com isolamento para 15kv, seção de 25,0mm²</t>
  </si>
  <si>
    <t>10640</t>
  </si>
  <si>
    <t>Arame nº 12 galvanizado</t>
  </si>
  <si>
    <t>I042047</t>
  </si>
  <si>
    <t>Eletroduto de ferro galvanizado 6"</t>
  </si>
  <si>
    <t>00003917</t>
  </si>
  <si>
    <t>Luva de ferro galvanizado, com rosca bsp, de 6"</t>
  </si>
  <si>
    <t>S160318</t>
  </si>
  <si>
    <t>Cabo de cobre nú 35mm², ref. tel 5735, marca de referência termotécnica ou equivalente</t>
  </si>
  <si>
    <t>I048041</t>
  </si>
  <si>
    <t>Para-raios polimerico 12kv - 10ka com suporte</t>
  </si>
  <si>
    <t>UN</t>
  </si>
  <si>
    <t>10378</t>
  </si>
  <si>
    <t>Placa em alumínio espessura = 1,5mm</t>
  </si>
  <si>
    <t>I040140</t>
  </si>
  <si>
    <t>Poste circular de concreto 11m/600kg</t>
  </si>
  <si>
    <t>100612</t>
  </si>
  <si>
    <t>Assentamento de poste de concreto com comprimento nominal de 11 m, carga nominal de 600 dan, engastamento base concretada com 1 m de concreto e 0,7 m de solo (não inclui fornecimento). af_11/2019</t>
  </si>
  <si>
    <t>SPDA</t>
  </si>
  <si>
    <t xml:space="preserve">Cabo de cobre nu, bitola 35 mm², tipo cordoalha, 7 fios, ø 2,50 mm; ref: tel-5635, termotécnica ou similar. </t>
  </si>
  <si>
    <t>S160317</t>
  </si>
  <si>
    <t xml:space="preserve">Cabo de cobre nu, bitola 50 mm², tipo cordoalha, 7 fios, ø 3,00 mm; ref: tel-5650, termotécnica ou similar. </t>
  </si>
  <si>
    <t>S160309</t>
  </si>
  <si>
    <t>S160313</t>
  </si>
  <si>
    <t>Fixador universal latão estanhado p/ cabos 16 a 70 mm² ref. 5024, incl. parafuso sextavado m6x45mm, arruela lisa 1/4", bucha nº8, vedação dos furos c/ poliuretano ref. 5905, marca de ref. termotécnica ou equivalente</t>
  </si>
  <si>
    <t xml:space="preserve">Presilha de cobre para cabos de 35 mm² ref: tel-085, termotécnica ou similar. </t>
  </si>
  <si>
    <t>S160328</t>
  </si>
  <si>
    <t>Terminal estanhado de 1 compressão 1 furo, 35mm², ref. tel-5135, marca de referência termotécnica ou equivalente</t>
  </si>
  <si>
    <t>S160322</t>
  </si>
  <si>
    <t>Abraçadeira tipo "d" com cunha, diâmetro 1", ref. tel-095, marca de referência termotécnica ou equivalente</t>
  </si>
  <si>
    <t xml:space="preserve">Conector em bronze reforçado para 2 cabos de cobre de 16-70mm² e haste de aterramento, com grampo u, porcas e arruelas em aço gf. ref: tel-580, termotécnica ou similar. </t>
  </si>
  <si>
    <t>96989</t>
  </si>
  <si>
    <t>Captor tipo franklin para spda - fornecimento e instalação. af_12/2017</t>
  </si>
  <si>
    <t>S160330</t>
  </si>
  <si>
    <t xml:space="preserve">Conector para gradis aramados, ref: tel-736, termotécnica ou similar. </t>
  </si>
  <si>
    <t>I048053</t>
  </si>
  <si>
    <t>Conector medicao em bronze c/ 4 parafusos tel-560</t>
  </si>
  <si>
    <t>I048067</t>
  </si>
  <si>
    <t>Fixador tipo õmega latao furo 5.5mm p/ cabo 35mm²</t>
  </si>
  <si>
    <t>Caixa de inspeção em pvc, diâmetro 300 mm, ref tel-552, marca de referência termotécnica ou equivalente, inclusive escavação e reaterro</t>
  </si>
  <si>
    <t>S160324</t>
  </si>
  <si>
    <t>Caixa de equalização de potenciais para uso interno e externo com cinco (5) terminais para aterramento (bep), em polipropileno, ref. tel-902, marca de referência termotécnica ou equivalente</t>
  </si>
  <si>
    <t>S160325</t>
  </si>
  <si>
    <t>Caixa de equalização de potenciais para uso interno e externo com nove (9) terminais para aterramento (bep), em aço, com flange inferior e vedação na porta, ref. tel-903, marca de referência termotécnica ou equivalente</t>
  </si>
  <si>
    <t>CABEAMENTO ESTRUTURADO E CFTV</t>
  </si>
  <si>
    <t>CP-9152-ED-48372</t>
  </si>
  <si>
    <t xml:space="preserve">Patch cord f/utp cat.6 - cabo flexível blindado cat.6 montado com conectores rj45 nas duas extremidades. ref: furukawa ou similar </t>
  </si>
  <si>
    <t>pc</t>
  </si>
  <si>
    <t>CP-2718-C3751</t>
  </si>
  <si>
    <t>Cabo de fibra óptica, 02 pares</t>
  </si>
  <si>
    <t>95781</t>
  </si>
  <si>
    <t>Condulete de alumínio 4x2”, furos 1”, múltiplo, com espelho para 2 rj45 conectores fêmea blindado cat.6 - conector fêmea do tipo keystone jack. ref: furukawa ou similar</t>
  </si>
  <si>
    <t>98307</t>
  </si>
  <si>
    <t>Tomada de rede rj45 - fornecimento e instalação. af_11/2019</t>
  </si>
  <si>
    <t>95780</t>
  </si>
  <si>
    <t>Condulete de alumínio 4x2”, furos 1”, múltiplo com espelho</t>
  </si>
  <si>
    <t>S160108</t>
  </si>
  <si>
    <t xml:space="preserve">Caixa de passagem de embutir no piso, padrão telebrás, r1, com tampa em ferro fundido. </t>
  </si>
  <si>
    <t>S160110</t>
  </si>
  <si>
    <t>Caixa de telefone em chapa de aço padrão telebras do tipo cie-4 600x600x120 mm</t>
  </si>
  <si>
    <t>91940</t>
  </si>
  <si>
    <t>Caixa retangular 4" x 2" média (1,30 m do piso), pvc, instalada em parede - fornecimento e instalação. af_12/2015</t>
  </si>
  <si>
    <t>CP-8296-ED-49321</t>
  </si>
  <si>
    <t>Eletroduto de aço galvanizado médio, inclusive conexões, suportes e fixação dn 50 (2")</t>
  </si>
  <si>
    <t>97668</t>
  </si>
  <si>
    <t>Duto em polietileno de alta densidade (pead) ∅2” ref: kanalex ou similar</t>
  </si>
  <si>
    <t>S151129</t>
  </si>
  <si>
    <t>Eletroduto de pvc rígido roscável, diâm. 1 1/2" (50mm), inclusive conexões</t>
  </si>
  <si>
    <t>Duto em polietileno de alta densidade (pead) ∅1” ref: kanalex ou similar</t>
  </si>
  <si>
    <t>CP-4996-C3764</t>
  </si>
  <si>
    <t xml:space="preserve">Rack de parede 19" fechado com chave, 16us, 470x570mm, com portas laterais e frontal, com venezianas, cooler de ventilação na parte superior. </t>
  </si>
  <si>
    <t>CP-6629-C4175</t>
  </si>
  <si>
    <t>Switch de 24 portas, com taxa de transmissão de 10/100/1000 mbps portas rj-45 10/100/1000 poe+ com detecção automática, camada 3, 4 portas gigabit ethernet sfp fixas, instalação em rack de 19". ref: 2930f 24g poe+ 4sfp – aruba ou similar</t>
  </si>
  <si>
    <t>98302</t>
  </si>
  <si>
    <t>Patch panel 24 portas, categoria 6 - fornecimento e instalação. af_11/2019</t>
  </si>
  <si>
    <t>CP-8348-C4569</t>
  </si>
  <si>
    <t>Calha de tomadas com filtro para instalação, em rack, com 06 tomadas 2p+t, ref: pial</t>
  </si>
  <si>
    <t>CP-0098-ED-48376</t>
  </si>
  <si>
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</si>
  <si>
    <t>cj</t>
  </si>
  <si>
    <t>CP-2641-C4568</t>
  </si>
  <si>
    <t>Organizador de cabos horizontal, aberto, padrão rack 19"</t>
  </si>
  <si>
    <t>CP-2292-ED-48378</t>
  </si>
  <si>
    <t>Tampa cega de 1u para rack 19"</t>
  </si>
  <si>
    <t>CP-6491-C3765</t>
  </si>
  <si>
    <t xml:space="preserve">Dio 24fo distribuidor interno óptico sc mm 62.5/125 gaveta 19'' 1u </t>
  </si>
  <si>
    <t>CP-2132-S160106</t>
  </si>
  <si>
    <t>Aterramento com haste de terra 5/8"x2.40m, cabo de cobre nú 25mm²</t>
  </si>
  <si>
    <t>92984</t>
  </si>
  <si>
    <t>Cabo de cobre flexível isolado, 25 mm², anti-chama 0,6/1,0 kv, para distribuição - fornecimento e instalação. af_12/2015 - verde</t>
  </si>
  <si>
    <t>COMP-458410</t>
  </si>
  <si>
    <t>Câmera ip speed dome 2mp com 37x de zoom, resolução full hd, com análise inteligente de vídeo, mapa de calor e detecção de face, alimentação: 24 vac / 3 a, poe+ (ieee 802.3at), ip67 e ik10, ref: vip 7237 sd intelbras ou similar com suporte conforme projeto</t>
  </si>
  <si>
    <t>COMP-313404</t>
  </si>
  <si>
    <t>COMP-931947</t>
  </si>
  <si>
    <t>COMP-033007</t>
  </si>
  <si>
    <t>"gravador digital de vídeo em rede para até 32 câmeras ip em full hd a 30 fps 2 interfaces de rede gigabit ethernet, 16 entradas de alarme, reconhecimento automático das câmeras ips, fonte interna, 100-240 vac. 50/60 hz, ref: nvd 7132 intelbras ou similar"</t>
  </si>
  <si>
    <t>COMP-976005</t>
  </si>
  <si>
    <t>Conversor de midia poe 2 km 100 base-fx para 10/100 base-tx</t>
  </si>
  <si>
    <t>EQUIPAMENTOS (BDI = 14,02%)</t>
  </si>
  <si>
    <t>COMP-954588</t>
  </si>
  <si>
    <t>Comporta do poço de bomba com abertura livre de 2,10m x 2,5 m, fixação químico, com atuador elétrico e manual.  - BDI = 14,02</t>
  </si>
  <si>
    <t>INS-940514</t>
  </si>
  <si>
    <t>Grade mecanizada e automatizada, retenção sólido grosseiro igual ou maior que 50 mm, 2,0 m largura e 3,5 m altura, inclinação 75° - BDI = 14,02</t>
  </si>
  <si>
    <t>INS-551494</t>
  </si>
  <si>
    <t>Válvula de retenção portinhola simples, tipo wafer, pn 10  - BDI = 14,02</t>
  </si>
  <si>
    <t>INS-111400</t>
  </si>
  <si>
    <t>Válvula flap – pn 10, flange na classe k7, pn 10, nbr 7675. - BDI = 14,02</t>
  </si>
  <si>
    <t>INS-333485-JUN20</t>
  </si>
  <si>
    <t>Bomba submersível, q=2,5m³/s, com descarga entre flanges, coluna de descarga vertical com dn 1200mm e flange de saída para linha de recalque na classe k7, pn 10, nbr 7675 (frete incluso) - BDI = 14,02</t>
  </si>
  <si>
    <t>CP-8662-CP-8637-INS-330573</t>
  </si>
  <si>
    <t>Equipamento de içamento: monovia em perfil metálico com talha elétrica com trole elétrico, carga = 5.000 kg laranja bdi=14,02% - BDI = 14,02</t>
  </si>
  <si>
    <t>INSTALAÇÃO DE EQUIPAMENTOS</t>
  </si>
  <si>
    <t>COMP-975652</t>
  </si>
  <si>
    <t>Transporte e montagem de comportas de poço de bomba</t>
  </si>
  <si>
    <t>COMP-355707</t>
  </si>
  <si>
    <t>Transporte e instalação de grade mecanizada e automatizada, retenção sólido grosseiro igual ou maior que 50 mm, 2,0 m largura e 3,5 m altura, inclinação 75°</t>
  </si>
  <si>
    <t>COMP-137756</t>
  </si>
  <si>
    <t xml:space="preserve">Transporte e instalação de válvula de retenção portinhola simples, tipo wafer, pn 10 </t>
  </si>
  <si>
    <t>COMP-037602</t>
  </si>
  <si>
    <t>Transporte e instalação de válvula flap – pn 10, flange na classe k7, pn 10, nbr 7675.</t>
  </si>
  <si>
    <t>COMP-622488</t>
  </si>
  <si>
    <t xml:space="preserve">Instalação de bomba submersível, q=2,5m³/s, com descarga entre flanges, coluna de descarga vertical com dn 1200mm e flange de saída para linha de recalque na classe k7, pn 10, nbr 7675 </t>
  </si>
  <si>
    <t>COMP-293431</t>
  </si>
  <si>
    <t>Transporte e montagem de equipamento de içamento: monovia em perfil metálico com talha elétrica com trole elétrico, carga = 5.000 kg - BDI = 14,02</t>
  </si>
  <si>
    <t>CP-2082-06.001.0318-0</t>
  </si>
  <si>
    <t>Montagem e fornecimento de haste de prolongamento com extremidades rosqueadas, diâmetro 1.1/6”, l=6000mm em pedestais de comando ou manobra</t>
  </si>
  <si>
    <t>TUBULAÇÃO</t>
  </si>
  <si>
    <t xml:space="preserve">Fornecimento (BDI = 14,02%) </t>
  </si>
  <si>
    <t>CP-0836-I4620</t>
  </si>
  <si>
    <t>Tubo fofo c/ flanges dn 1200 pn10 - l=800 - BDI = 14,02</t>
  </si>
  <si>
    <t>CP-4313-I4812</t>
  </si>
  <si>
    <t>Tubo fofo c/flange e ponta dn 1200 pn10 - l=3900 - BDI = 14,02</t>
  </si>
  <si>
    <t>CP-3231-COMP-019624</t>
  </si>
  <si>
    <t>Tubo ponta e bolsa 1200 - JTE, classe k9 - l= 6000  - BDI = 14,02</t>
  </si>
  <si>
    <t>CP-9082-COMP-019624</t>
  </si>
  <si>
    <t>Tubo ponta e bolsa 1200 - JTE, classe k9 l= 7000  - BDI = 14,02</t>
  </si>
  <si>
    <t>CP-4739-COMP-334223</t>
  </si>
  <si>
    <t>Tubo cilíndrico 1200 para junta travada externa-JTE l = 1800mm - BDI = 14,02</t>
  </si>
  <si>
    <t>CP-3855-CP-3110-I4442</t>
  </si>
  <si>
    <t>Tubo fofo c/flange e bolsa je dn 1200 pn10 - l=4600 - BDI = 14,02</t>
  </si>
  <si>
    <t>CP-9641-I7647</t>
  </si>
  <si>
    <t>Curva fofo 22 30 jte para água dn 1200 - BDI = 14,02</t>
  </si>
  <si>
    <t>CP-9638-I4009</t>
  </si>
  <si>
    <t>Junta de desmontagem travada axialmente pn10 dn 1200 - BDI = 14,02</t>
  </si>
  <si>
    <t>CP-0019-M012104061</t>
  </si>
  <si>
    <t>Junta para flange classe k7 fofo dn 1200 - BDI = 14,02</t>
  </si>
  <si>
    <t>CP-1944-CP-7939-I4250</t>
  </si>
  <si>
    <t>Parafuso c/ porcas para flanges  - BDI = 14,02</t>
  </si>
  <si>
    <t xml:space="preserve"> CP-1538-83726</t>
  </si>
  <si>
    <t>Assentamento de peças, conexões, aparelhos e acessorios de ferro fundido ductil, junta elástica, mecânica ou flangeada, com diametros de 1200 mm.</t>
  </si>
  <si>
    <t>SUB-TOTAL - 2 - ESTAÇÃO DE BOMBEAMENTO DE ÁGUA PLUVIAL - EBAP LARANJA</t>
  </si>
  <si>
    <t>GRUPO 003: COMISSIONAMENTO E OPERAÇÃO ASSISTIDA</t>
  </si>
  <si>
    <t>COMP-651284</t>
  </si>
  <si>
    <t>Serviços de operação assistida, incluíndo comissionamento e testes de equipamentos, simulação de operações, treinamentos e todas as atividades necessárias para garantir a funcionalidade esperada da estação de bombeamento.</t>
  </si>
  <si>
    <t>SUB-TOTAL - 3 -COMISSIONAMENTO E OPERAÇÃO ASSISTIDA</t>
  </si>
  <si>
    <t>GRUPO 004: NOVOS SERVIÇOS</t>
  </si>
  <si>
    <t>ATERRO COM ARGILA C/ COMPAC MECANICA</t>
  </si>
  <si>
    <t>Carga, Manobras E Descarga De Areia, Brita, Pedra De Mao E Solos Com Caminhao Basculante 6 m3 (Descarga Livre)</t>
  </si>
  <si>
    <t>Grupo gerador de 81 a 125 KVA</t>
  </si>
  <si>
    <t>Grupo gerador de 21 a 80 KVA</t>
  </si>
  <si>
    <t>CPU 1</t>
  </si>
  <si>
    <t>Estaca prancha metálica - Fornecimento, solda e cravação com comprimento de 15 metros a 25 metros, conforme projeto</t>
  </si>
  <si>
    <t>kg</t>
  </si>
  <si>
    <t>LASTRO COM MATERIAL GRANULAR (PEDRA BRITADA N.1 E PEDRA BRITADA N.2), APLICADO EM PISOS OU RADIERS, ESPESSURA DE *10 CM*. AF_07/2019</t>
  </si>
  <si>
    <t>Geogrelha bidirecional com resistência a tração de 30 kN/m - deformação &lt; 5% - malha de 36 x 34 mm - para reforço de base  granular</t>
  </si>
  <si>
    <t>Dreno vertical D = 75 mm em PVC, com geotêxtil não tecido resistência longitudinal 16 kn/m</t>
  </si>
  <si>
    <t>IOPES - PROJETOS</t>
  </si>
  <si>
    <t>Projeto estrutural, inclusive fundação</t>
  </si>
  <si>
    <t xml:space="preserve">Drenagem dos terrenos adjacentes (foram utilizados drenos de concreto de 1500 mm) </t>
  </si>
  <si>
    <t>Escavação e carga de material de jazida com escavadeira hidráulica (Remanejamento de solo para reforço do Dique)</t>
  </si>
  <si>
    <t>CPU 2</t>
  </si>
  <si>
    <t>Colchão com pedra tipo rachão, para base de galeria, inclusive compactação mecânica e transporte - fornecimento e assentamento</t>
  </si>
  <si>
    <t>TAMPA CIRCULAR PARA ESGOTO E DRENAGEM, EM FERRO FUNDIDO, DIÂMETRO INTERNO = 0,6 M.</t>
  </si>
  <si>
    <t>CPU 3</t>
  </si>
  <si>
    <t>Elaboração de Plano de Recuperação de Áreas Degradadas - PRAD</t>
  </si>
  <si>
    <t>Execução de junta de dilatação 2 x 2 cm considerando 1cm de aplicação de isopor e 1cm de aplicação de mastique elástico do tipo sikaflex 1a ou equivalente</t>
  </si>
  <si>
    <t>cotação 5</t>
  </si>
  <si>
    <t>EXTREMIDADE FLANGE E BOLSA COM JUNTA ELASTICA JGS</t>
  </si>
  <si>
    <t>cotação 6</t>
  </si>
  <si>
    <t>EXTREMIDADE FLANGE E PONTA PARA JUNTAS JGS E JTI</t>
  </si>
  <si>
    <t>cotação 7</t>
  </si>
  <si>
    <t>TOCO COM FLANGES L= 0,50 M</t>
  </si>
  <si>
    <t>cotação 8</t>
  </si>
  <si>
    <t xml:space="preserve">TUBO CLASSE K7 PONTA E BOLSA COM JUNTA TRAVADA EXTERNA JTE l= 6630 </t>
  </si>
  <si>
    <t>cotação 1</t>
  </si>
  <si>
    <t>Viga de apoio das grades</t>
  </si>
  <si>
    <t>cotação 2</t>
  </si>
  <si>
    <t>Grade fixa</t>
  </si>
  <si>
    <t>cotação 3</t>
  </si>
  <si>
    <t>Comportas fixas</t>
  </si>
  <si>
    <t>cotação 4</t>
  </si>
  <si>
    <t xml:space="preserve">Quadro de conexão das bombas - QD-CH-APM </t>
  </si>
  <si>
    <t>DER-ES</t>
  </si>
  <si>
    <t>Alvenaria de blocos de concreto estrut. (14x19x39cm) cheios, c/ resist. mín. compr. 15MPa, assentados c/ arg. de cimento e areia no traço 1:4, esp. juntas 10mm e esp. da parede s/ revest. 14cm</t>
  </si>
  <si>
    <t>M²</t>
  </si>
  <si>
    <t>IOPES</t>
  </si>
  <si>
    <t>Índice de preço para remoção de entulho decorrente da execução de obras (Classe A CONAMA - NBR 10.004 - Classe II-B), incluindo aluguel da caçamba, carga, transporte e descarga em área licenciada</t>
  </si>
  <si>
    <t>M³</t>
  </si>
  <si>
    <t>PRÓPRIO</t>
  </si>
  <si>
    <t>Armazenamento de Eletrocentro, incluindo segurança, e manutenção preventiva</t>
  </si>
  <si>
    <t>SINAPI</t>
  </si>
  <si>
    <t>EXECUÇÃO DE REVESTIMENTO DE CONCRETO PROJETADO COM ESPESSURA DE 7 CM, ARMADO COM TELA, INCLINAÇÃO DE 90°, APLICAÇÃO CONTÍNUA, UTILIZANDO EQUIPAMENTO DE PROJEÇÃO COM 6 M³/H DE CAPACIDADE</t>
  </si>
  <si>
    <t>m2</t>
  </si>
  <si>
    <t>Elaboração de Projeto As-built</t>
  </si>
  <si>
    <t>SUB-TOTAL - 4 -NOVOS SERVIÇOS</t>
  </si>
  <si>
    <t>TOTAL DO CONTRATO</t>
  </si>
  <si>
    <t>VALOR SEM ADM LOCAL</t>
  </si>
  <si>
    <t>%</t>
  </si>
  <si>
    <t>ADM LOCAL</t>
  </si>
  <si>
    <t>EBAP - LARANJA</t>
  </si>
  <si>
    <t>MEMÓRIA DE CÁLCULO</t>
  </si>
  <si>
    <t xml:space="preserve">EMPRESA: </t>
  </si>
  <si>
    <t>DP BARROS PAVIMENTAÇÃO E CONSTRUÇÃO</t>
  </si>
  <si>
    <t>MEDIÇÃO:</t>
  </si>
  <si>
    <t>Data:</t>
  </si>
  <si>
    <t>MEMÓRIA DE CÁLCULO DE QUANTIDADES</t>
  </si>
  <si>
    <t>GRUPO 001:  OBRA</t>
  </si>
  <si>
    <t xml:space="preserve">ESTACA </t>
  </si>
  <si>
    <t>POS.</t>
  </si>
  <si>
    <t>EXTENSÃO (m)</t>
  </si>
  <si>
    <t>LARGURA (m)</t>
  </si>
  <si>
    <t>PROF. (m)</t>
  </si>
  <si>
    <t>ÁREA (m²)</t>
  </si>
  <si>
    <t>VOLUME (m³)</t>
  </si>
  <si>
    <t>DENSIDADE</t>
  </si>
  <si>
    <t>UND</t>
  </si>
  <si>
    <t>MEDIÇÃO</t>
  </si>
  <si>
    <t>OBSERVAÇÕES</t>
  </si>
  <si>
    <t>INICIAL</t>
  </si>
  <si>
    <t>FINAL</t>
  </si>
  <si>
    <t>(t/m³)</t>
  </si>
  <si>
    <t>1.1.1.1</t>
  </si>
  <si>
    <t>Fornecimento de água potável - canteiro</t>
  </si>
  <si>
    <t xml:space="preserve">                                                                                                             </t>
  </si>
  <si>
    <t>QUANTIDADE CONTRATUAL</t>
  </si>
  <si>
    <t xml:space="preserve">QUANTIDADE TOTAL ACUMULADA </t>
  </si>
  <si>
    <t>AVANÇO</t>
  </si>
  <si>
    <t>ACUMULADA ANTERIOR</t>
  </si>
  <si>
    <t>MEDIÇÃO LÍQUIDA</t>
  </si>
  <si>
    <t>1.1.2.1</t>
  </si>
  <si>
    <t>Rede de esgoto - canteiro</t>
  </si>
  <si>
    <t xml:space="preserve">              </t>
  </si>
  <si>
    <t>1.1.3.1</t>
  </si>
  <si>
    <t>Rede de luz - canteiro</t>
  </si>
  <si>
    <t>1.1.4.1</t>
  </si>
  <si>
    <t>Reservatório de poliestileno de 1000 L - canteiro</t>
  </si>
  <si>
    <t>1.1.5.1</t>
  </si>
  <si>
    <t>Tapume - Canteiro</t>
  </si>
  <si>
    <t>1.1.6.1</t>
  </si>
  <si>
    <t>1.1.6.2</t>
  </si>
  <si>
    <t xml:space="preserve">Aditivo da Placa de obra </t>
  </si>
  <si>
    <t>1.1.7.1</t>
  </si>
  <si>
    <t>1.2.1.1</t>
  </si>
  <si>
    <t>Mobilização de conteiner</t>
  </si>
  <si>
    <t>Desmobilização de conteiner</t>
  </si>
  <si>
    <t>Aluguel mensal container para refeitório</t>
  </si>
  <si>
    <t>Aluguel mensal container para sanitário</t>
  </si>
  <si>
    <t xml:space="preserve"> ms </t>
  </si>
  <si>
    <t>Aluguel mensal container para escritório</t>
  </si>
  <si>
    <t>Aluguel mensal container para almoxarifado</t>
  </si>
  <si>
    <t>GRUPO 002:  ESTAÇÃO DE BOMBEAMENTO DE ÁGUA PLUVIAL - EBAP LARANJA</t>
  </si>
  <si>
    <t>quant.</t>
  </si>
  <si>
    <t>H/dia</t>
  </si>
  <si>
    <t>MOTOBOMBA TRASH(PARA ÁGUA SUJA)</t>
  </si>
  <si>
    <t>2.1.1.2.1</t>
  </si>
  <si>
    <t>Motobomba Trash (para água suja)</t>
  </si>
  <si>
    <t>2.1.1.2.2</t>
  </si>
  <si>
    <t>2.1.1.2.3</t>
  </si>
  <si>
    <t>2.1.1.2.4</t>
  </si>
  <si>
    <t>2.1.1.2.5</t>
  </si>
  <si>
    <t>2.1.1.2.6</t>
  </si>
  <si>
    <t>2.1.1.2.7</t>
  </si>
  <si>
    <t>2.1.1.2.8</t>
  </si>
  <si>
    <t>2.1.1.2.9</t>
  </si>
  <si>
    <t>2.1.1.2.10</t>
  </si>
  <si>
    <t>2.1.1.2.11</t>
  </si>
  <si>
    <t>2.1.1.2.12</t>
  </si>
  <si>
    <t>2.1.1.2.13</t>
  </si>
  <si>
    <t>2.1.1.2.14</t>
  </si>
  <si>
    <t>2.1.1.2.15</t>
  </si>
  <si>
    <t>2.1.1.2.16</t>
  </si>
  <si>
    <t>Estorno (retirada de 2 dias para ajuste de calendário)</t>
  </si>
  <si>
    <t>2.1.2.1.2</t>
  </si>
  <si>
    <t>2.2.1.1</t>
  </si>
  <si>
    <t>Escavação mecanizada de vale na area dos poços de bomba</t>
  </si>
  <si>
    <t>2.2.1.2</t>
  </si>
  <si>
    <t>Estaca 02</t>
  </si>
  <si>
    <t>2.2.1.3</t>
  </si>
  <si>
    <t>Estaca 03</t>
  </si>
  <si>
    <t>2.2.1.4</t>
  </si>
  <si>
    <t>Estaca 04</t>
  </si>
  <si>
    <t>2.2.1.5</t>
  </si>
  <si>
    <t>Estaca 05</t>
  </si>
  <si>
    <t>2.2.1.6</t>
  </si>
  <si>
    <t>Estaca 06</t>
  </si>
  <si>
    <t>2.2.1.7</t>
  </si>
  <si>
    <t>Estaca 07</t>
  </si>
  <si>
    <t>2.2.1.8</t>
  </si>
  <si>
    <t>Estaca 08</t>
  </si>
  <si>
    <t>2.2.1.9</t>
  </si>
  <si>
    <t>Estaca 09</t>
  </si>
  <si>
    <t>2.2.1.10</t>
  </si>
  <si>
    <t>Estaca 10</t>
  </si>
  <si>
    <t>2.2.1.11</t>
  </si>
  <si>
    <t>Estaca 10 + 9,828</t>
  </si>
  <si>
    <t>2.2.1.12</t>
  </si>
  <si>
    <t>Estaca 0 + 10</t>
  </si>
  <si>
    <t>-</t>
  </si>
  <si>
    <t>2.2.1.13</t>
  </si>
  <si>
    <t>Estaca 1</t>
  </si>
  <si>
    <t>2.2.1.14</t>
  </si>
  <si>
    <t>Estaca 1 + 10</t>
  </si>
  <si>
    <t>2.2.1.15</t>
  </si>
  <si>
    <t>Estaca 2</t>
  </si>
  <si>
    <t>2.2.1.16</t>
  </si>
  <si>
    <t>Estaca 2 + 10</t>
  </si>
  <si>
    <t>2.2.1.17</t>
  </si>
  <si>
    <t>Estaca 3</t>
  </si>
  <si>
    <t>2.2.1.18</t>
  </si>
  <si>
    <t>Estaca 3 + 10</t>
  </si>
  <si>
    <t>2.2.1.19</t>
  </si>
  <si>
    <t>Estaca 4</t>
  </si>
  <si>
    <t>2.2.1.20</t>
  </si>
  <si>
    <t>Estaca 4 + 10</t>
  </si>
  <si>
    <t>2.2.1.21</t>
  </si>
  <si>
    <t>Estaca 5</t>
  </si>
  <si>
    <t>2.2.1.22</t>
  </si>
  <si>
    <t>Estaca 5 + 10</t>
  </si>
  <si>
    <t>2.2.1.23</t>
  </si>
  <si>
    <t>Estaca 6</t>
  </si>
  <si>
    <t>2.2.1.24</t>
  </si>
  <si>
    <t>Estaca 6 + 7,764</t>
  </si>
  <si>
    <t>2.2.1.25</t>
  </si>
  <si>
    <t>Escavação do recalque do fundo do canal para reconstituição do mesmo.</t>
  </si>
  <si>
    <t>2.2.1.26</t>
  </si>
  <si>
    <t>2.2.1.27</t>
  </si>
  <si>
    <t>2.2.1.28</t>
  </si>
  <si>
    <t>2.2.1.29</t>
  </si>
  <si>
    <t>2.2.1.30</t>
  </si>
  <si>
    <t>2.2.1.31</t>
  </si>
  <si>
    <t>2.2.1.32</t>
  </si>
  <si>
    <t>2.2.1.33</t>
  </si>
  <si>
    <t>2.2.1.34</t>
  </si>
  <si>
    <t>Estaca 10+4,524</t>
  </si>
  <si>
    <t>2.2.1.35</t>
  </si>
  <si>
    <t>0,531</t>
  </si>
  <si>
    <t>2.2.1.36</t>
  </si>
  <si>
    <t>2.2.1.37</t>
  </si>
  <si>
    <t>2.2.1.38</t>
  </si>
  <si>
    <t>2.2.1.39</t>
  </si>
  <si>
    <t>2.2.1.40</t>
  </si>
  <si>
    <t>2.2.1.41</t>
  </si>
  <si>
    <t>2.2.1.42</t>
  </si>
  <si>
    <t>2.2.1.43</t>
  </si>
  <si>
    <t>2.2.1.44</t>
  </si>
  <si>
    <t>Estaca 11</t>
  </si>
  <si>
    <t>2.2.1.45</t>
  </si>
  <si>
    <t>Estaca 12</t>
  </si>
  <si>
    <t>2.2.1.46</t>
  </si>
  <si>
    <t>Estaca 13</t>
  </si>
  <si>
    <t>2.2.1.47</t>
  </si>
  <si>
    <t>Estaca 14</t>
  </si>
  <si>
    <t>2.2.1.48</t>
  </si>
  <si>
    <t>Estaca 15</t>
  </si>
  <si>
    <t>2.2.1.49</t>
  </si>
  <si>
    <t>Estaca 16</t>
  </si>
  <si>
    <t>2.2.1.50</t>
  </si>
  <si>
    <t>Escavação A do canal.</t>
  </si>
  <si>
    <t>2.2.1.51</t>
  </si>
  <si>
    <t>2.2.1.52</t>
  </si>
  <si>
    <t>2.2.1.53</t>
  </si>
  <si>
    <t>Estaca 01</t>
  </si>
  <si>
    <t>Escavação B do canal.</t>
  </si>
  <si>
    <t>2.2.1.54</t>
  </si>
  <si>
    <t>2.2.1.55</t>
  </si>
  <si>
    <t>Estaca 02+4,133</t>
  </si>
  <si>
    <t>2.2.1.56</t>
  </si>
  <si>
    <t>2.2.1.57</t>
  </si>
  <si>
    <t>Escavação C do canal.</t>
  </si>
  <si>
    <t>2.2.1.58</t>
  </si>
  <si>
    <t>Estaca 01+2,925</t>
  </si>
  <si>
    <t>2.2.1.59</t>
  </si>
  <si>
    <t>2.2.1.60</t>
  </si>
  <si>
    <t>Estaca 02+1,486</t>
  </si>
  <si>
    <t>2.2.1.61</t>
  </si>
  <si>
    <t>Estaca 02+4,470</t>
  </si>
  <si>
    <t>Escavação poço do furo SPT 03</t>
  </si>
  <si>
    <t>2.2.1.62</t>
  </si>
  <si>
    <t>2.2.1.63</t>
  </si>
  <si>
    <t>2.2.1.64</t>
  </si>
  <si>
    <t>2.2.1.65</t>
  </si>
  <si>
    <t>2.2.1.66</t>
  </si>
  <si>
    <t>2.2.1.67</t>
  </si>
  <si>
    <t>Escavação do canal.</t>
  </si>
  <si>
    <t>2.2.1.68</t>
  </si>
  <si>
    <t>2.2.1.69</t>
  </si>
  <si>
    <t>2.2.1.70</t>
  </si>
  <si>
    <t>2.2.1.71</t>
  </si>
  <si>
    <t>2.2.1.72</t>
  </si>
  <si>
    <t>2.2.1.73</t>
  </si>
  <si>
    <t>2.2.1.74</t>
  </si>
  <si>
    <t>2.2.1.75</t>
  </si>
  <si>
    <t>2.2.1.76</t>
  </si>
  <si>
    <t>2.2.1.77</t>
  </si>
  <si>
    <t>2.2.1.78</t>
  </si>
  <si>
    <t>2.2.1.79</t>
  </si>
  <si>
    <t xml:space="preserve">Escavação mecanizada de vala, com escavadeira hidráulica -  Estaca 1 + 0,00 à 8 + 8,025 </t>
  </si>
  <si>
    <t>Escavação do canal - Conforme Folha de Cubação e Seções Anexo Fl. SEC-01 a SEC-03</t>
  </si>
  <si>
    <t>2.2.1.80</t>
  </si>
  <si>
    <t xml:space="preserve">Escavação mecanizada de vala, com escavadeira hidráulica -  Estaca 1 + 0,00 à 4 + 19,844 </t>
  </si>
  <si>
    <t>Escavação do canal - Conforme Folha de Cubação e Seções Anexo Fl. SEC-01</t>
  </si>
  <si>
    <t>2.2.1.81</t>
  </si>
  <si>
    <t xml:space="preserve">Escavação mecanizada de vala, com escavadeira hidráulica -  Estaca 1 + 0,00 à 5 + 0,00 </t>
  </si>
  <si>
    <t>Escavação do canal - Conforme Folha de Cubação e Seções Anexo Fl. SEC-01 e SEC-02</t>
  </si>
  <si>
    <t>Medição Total de 2.204,144m³, Medido 1.285,144m³ por Falta de Saldo. Escavação do canal e terreno Laranja - Conforme Folha de Cubação e Seções Anexo Fl. SEC-01</t>
  </si>
  <si>
    <t>Medição Total de 2.204,144m³, Medido 1.285,144m³ na medição 23MP E Medido 919m³ na medição 28MP por Falta de Saldo. Escavação do canal e terreno Laranja - Conforme Folha de Cubação e Seções Anexo Fl. SEC-01</t>
  </si>
  <si>
    <t>km</t>
  </si>
  <si>
    <t>Material escavado da EBAP</t>
  </si>
  <si>
    <t>Material levado para o bota-espera</t>
  </si>
  <si>
    <t>Material para aterro para ensecadeira</t>
  </si>
  <si>
    <t>Material transportado da jazida de argila</t>
  </si>
  <si>
    <t>Mat. Transportado do bota-espera  para destinação.</t>
  </si>
  <si>
    <t>Material escavado da EBAP (Estorno)</t>
  </si>
  <si>
    <t>Estorno (Ajuste de distância do transporte)</t>
  </si>
  <si>
    <t>Material para aterro para ensecadeira (Estorno)</t>
  </si>
  <si>
    <t>Mat. Levado para o bota-espera LD</t>
  </si>
  <si>
    <t>Mat. Levado para o bota-espera LE</t>
  </si>
  <si>
    <t>Material do bota-espera LD</t>
  </si>
  <si>
    <t>Mat. Transportado do bota-espera LD para reconstituição do canal.</t>
  </si>
  <si>
    <t>Material do bota-espera LE.</t>
  </si>
  <si>
    <t>Mat. Transportado do bota-espera LE para reconstituição do canal.</t>
  </si>
  <si>
    <t>Material para aterro parcial da EBAP</t>
  </si>
  <si>
    <t>Material de 1º categoria transportado da jazida PARSEC serviços e acessoria considerando 30% de empolamento.</t>
  </si>
  <si>
    <t>Material para aterro parcial da EBAP - Maio/23 e Junho/23</t>
  </si>
  <si>
    <t>Material de 1º categoria transportado da jazida PARSEC serviços e acessoria considerando 30% de empolamento. Densidade Conforme Controle Tecnológico.</t>
  </si>
  <si>
    <t>1ª Bomba submersivel elétrica trifasico</t>
  </si>
  <si>
    <t>2ª Bomba submersivel elétrica trifasico</t>
  </si>
  <si>
    <t>3ª Bomba submersivel elétrica trifasico</t>
  </si>
  <si>
    <t>4ª Bomba submersivel elétrica trifasico</t>
  </si>
  <si>
    <t>3 Bombas submersivel elétrica trifasico</t>
  </si>
  <si>
    <t>2 Bomba submersivel elétrica trifasico</t>
  </si>
  <si>
    <t>2.2.5.1</t>
  </si>
  <si>
    <t>Escoramento métalico para valas - FUNDO</t>
  </si>
  <si>
    <t>2.2.5.2</t>
  </si>
  <si>
    <t>Escoramento métalico para valas - LATERAIS</t>
  </si>
  <si>
    <t>2.2.5.3</t>
  </si>
  <si>
    <t>2.2.7.1</t>
  </si>
  <si>
    <t xml:space="preserve">A espessura foi de 1,00 m que será incluido no aditivo em conjunto com sua respectiva justificativa.  </t>
  </si>
  <si>
    <t>2.2.7.2</t>
  </si>
  <si>
    <t>Laje da saida da tubulação de recalque</t>
  </si>
  <si>
    <t>2.2.7.3</t>
  </si>
  <si>
    <t>Laje da base do Tanque de combustivel</t>
  </si>
  <si>
    <t>2.2.7.4</t>
  </si>
  <si>
    <t>Laje da base da estrutura de apoio</t>
  </si>
  <si>
    <t>2.2.7.5</t>
  </si>
  <si>
    <t>Laje da base da guarita</t>
  </si>
  <si>
    <t>Lastro de concreto magro para o fundo do poços de bombas</t>
  </si>
  <si>
    <t>Lastro de concreto magro para o piso 02 da EBAP</t>
  </si>
  <si>
    <t>Lastro de concreto magro base eletrocentro</t>
  </si>
  <si>
    <t>Conforme Anexo TM-SEDURB-MD-007-EBAP2-EST-009</t>
  </si>
  <si>
    <t>ALTURA. (m)</t>
  </si>
  <si>
    <t>VAZIO</t>
  </si>
  <si>
    <t>Montagem e desmontagem de fôrma</t>
  </si>
  <si>
    <t>Montagem da forma da laje de fundo da EBAP (RADIER).</t>
  </si>
  <si>
    <t>1º e 2º lance da parede tipo 1</t>
  </si>
  <si>
    <t>1º e 2º lance da parede tipo 2</t>
  </si>
  <si>
    <t>1º lance da parede tipo 3</t>
  </si>
  <si>
    <t>1º lance da parede tipo 4</t>
  </si>
  <si>
    <t>1º e 2º lance da parede tipo 6</t>
  </si>
  <si>
    <t>Lajes superiores</t>
  </si>
  <si>
    <t>2º lance da parede tipo 3.</t>
  </si>
  <si>
    <t>1º e 2º lance dos Pilares</t>
  </si>
  <si>
    <t>Laje 1.</t>
  </si>
  <si>
    <t>3º lance da parede tipo 3 (encontro com a parede 1).</t>
  </si>
  <si>
    <t>3º lance da parede tipo 3 (Entre os vãos da parede 3).</t>
  </si>
  <si>
    <t>3º lance da parede tipo 1.</t>
  </si>
  <si>
    <t>3º lance da parede tipo 6.</t>
  </si>
  <si>
    <t>4º lance da parede tipo 1.</t>
  </si>
  <si>
    <t>4º lance da parede tipo 1 (Cantos).</t>
  </si>
  <si>
    <t>4º lance da parede tipo 3.</t>
  </si>
  <si>
    <t>Montagem e desmontagem de fôrma (estorno)</t>
  </si>
  <si>
    <t>estorno e reajuste no 4º lance da parede tipo 3.</t>
  </si>
  <si>
    <t>Lajes L2 e L13.</t>
  </si>
  <si>
    <t>Laje L3.</t>
  </si>
  <si>
    <t>Laje L12.</t>
  </si>
  <si>
    <t>Lajes L4 a L11.</t>
  </si>
  <si>
    <t>Forma dos vazios presente nas Lajes L3 a L12.</t>
  </si>
  <si>
    <t>Vigas V1.</t>
  </si>
  <si>
    <t>Lajes L14 e L18.</t>
  </si>
  <si>
    <t>Lajes L15 a L17.</t>
  </si>
  <si>
    <t>Lajes L14 a L18 (ao redor).</t>
  </si>
  <si>
    <t>Vigas V2.</t>
  </si>
  <si>
    <t>3º lance dos Pilares</t>
  </si>
  <si>
    <t>4º lance da parede tipo 6.</t>
  </si>
  <si>
    <t>5º lance da parede tipo 3.</t>
  </si>
  <si>
    <t>Laje inclinada DET. 01</t>
  </si>
  <si>
    <t>Laje inclinada DET. 02</t>
  </si>
  <si>
    <t>Laje inclinada DET. 03</t>
  </si>
  <si>
    <t>Piso 2 fundo da EBAP.</t>
  </si>
  <si>
    <t>5º lance parede tipo 01 (degrau da saida da tubulaçao de recalque) - TM-SEDURB-MD-007-EBAP4-EST-001_REV01 ; TM-SEDURB-MD-007-EBAP4-EST-002_REV01</t>
  </si>
  <si>
    <t>1º lance Paredes laterais da parede tipo 05 - TM-SEDURB-MD-007-EBAP4-EST-001_REV01 ; TM-SEDURB-MD-007-EBAP4-EST-002_REV01</t>
  </si>
  <si>
    <t>1º Paredes tipo 05 (Frente a estrada do dique) - TM-SEDURB-MD-007-EBAP4-EST-001_REV01 ; TM-SEDURB-MD-007-EBAP4-EST-002_REV01</t>
  </si>
  <si>
    <t>6º lance parede tipo 01 - TM-SEDURB-MD-007-EBAP4-EST-001_REV01 ; TM-SEDURB-MD-007-EBAP4-EST-002_REV01</t>
  </si>
  <si>
    <t>Viga 3 - TM-SEDURB-MD-007-EBAP4-EST-001_REV01 ; TM-SEDURB-MD-007-EBAP4-EST-002_REV01</t>
  </si>
  <si>
    <t>29º Laje - TM-SEDURB-MD-007-EBAP4-EST-001_REV01 ; TM-SEDURB-MD-007-EBAP4-EST-002_REV01</t>
  </si>
  <si>
    <t>1º lance Paredes laterais da parede tipo 05  - TM-SEDURB-MD-007-EBAP4-EST-001_REV01 ; TM-SEDURB-MD-007-EBAP4-EST-002_REV01</t>
  </si>
  <si>
    <t>De Acordo com Projeto Anexo TM-SEDURB-MD-007-EBAP4-EST-009.</t>
  </si>
  <si>
    <t>De Acordo com Anexo Croqui Radier</t>
  </si>
  <si>
    <t xml:space="preserve">De Acordo com Anexo croqui do Radier corte AA </t>
  </si>
  <si>
    <t>Laje da saida da tubulação</t>
  </si>
  <si>
    <t>Concreto da laje de fundo da EBAP (RADIER).</t>
  </si>
  <si>
    <t>3º lance da parede tipo 3.</t>
  </si>
  <si>
    <t>4º lance da parede tipo 1 (Frente a estrada do dique).</t>
  </si>
  <si>
    <t xml:space="preserve">4º lance da parede tipo 3. </t>
  </si>
  <si>
    <t>Concreto para bombeamento fck = 40 mpa (estorno)</t>
  </si>
  <si>
    <t>Laje L3</t>
  </si>
  <si>
    <t>Vigas V1</t>
  </si>
  <si>
    <t>Vigas V2</t>
  </si>
  <si>
    <t xml:space="preserve">Parede do canal; de Acordo com Anexo croqui do Radier corte AA </t>
  </si>
  <si>
    <t>Bombeamento de concreto da laje de fundo da EBAP (RADIER).</t>
  </si>
  <si>
    <t>Servico de bombeamento de concreto  (estorno)</t>
  </si>
  <si>
    <t>De Acordo com o item 2.2.9</t>
  </si>
  <si>
    <t>BITOLA (mm)</t>
  </si>
  <si>
    <t>QUANT (und)</t>
  </si>
  <si>
    <t>COMP. UNIT. (cm)</t>
  </si>
  <si>
    <t>COMP. TOTAL. (cm)</t>
  </si>
  <si>
    <t>ÁREA TOTAL (m³)</t>
  </si>
  <si>
    <t>N</t>
  </si>
  <si>
    <t>2.2.11.1</t>
  </si>
  <si>
    <t>Armação Lajes superiores - L2, L3, L4, L5, L6, L7, L8, L9, L10, L11, L12, L13, L14, L15, L16, Le L18.</t>
  </si>
  <si>
    <t>N1</t>
  </si>
  <si>
    <t>N2</t>
  </si>
  <si>
    <t>N3</t>
  </si>
  <si>
    <t>N4</t>
  </si>
  <si>
    <t>Viga V1</t>
  </si>
  <si>
    <t>Viga V2</t>
  </si>
  <si>
    <t>Armação Laje 1</t>
  </si>
  <si>
    <t>Armação Pilares - P1, P2, P3 e P4.</t>
  </si>
  <si>
    <t>Viga V3</t>
  </si>
  <si>
    <t>kG</t>
  </si>
  <si>
    <t>TM-SEDURB-MD-007-EBAP4-EST-004_REV01</t>
  </si>
  <si>
    <t>Armação da Laje do Canal em Telas Q335 8.0mm (Dupla Camada)</t>
  </si>
  <si>
    <t>De Acordo com Anexo Croqui Radier e Posicionamento das Telas.</t>
  </si>
  <si>
    <t>Armação da laje de fundo da área do poço de bombas</t>
  </si>
  <si>
    <t>Armação positiva e negativa da laje de fundo da EBAP.</t>
  </si>
  <si>
    <t>Armação da parede tipo 1</t>
  </si>
  <si>
    <t>N5</t>
  </si>
  <si>
    <t>N6</t>
  </si>
  <si>
    <t>N7</t>
  </si>
  <si>
    <t>N8</t>
  </si>
  <si>
    <t>N9</t>
  </si>
  <si>
    <t>Armação da parede tipo 2</t>
  </si>
  <si>
    <t>12.5</t>
  </si>
  <si>
    <t>6.3</t>
  </si>
  <si>
    <t>Armação da parede tipo 3</t>
  </si>
  <si>
    <t>Armação da parede tipo 4</t>
  </si>
  <si>
    <t>Armação da parede tipo 6</t>
  </si>
  <si>
    <t>Armação do reforço canto tipo 1</t>
  </si>
  <si>
    <t>Armação do reforço canto tipo 2</t>
  </si>
  <si>
    <t>Armação Lajes superiores - L19, L20, L21, L22, L23, L24, L25, L26, L27, L28.</t>
  </si>
  <si>
    <t>N11</t>
  </si>
  <si>
    <t>N15</t>
  </si>
  <si>
    <t>N17</t>
  </si>
  <si>
    <t>N28</t>
  </si>
  <si>
    <t>Armação Pilares - P1, P2, P3 e P4  (estorno).</t>
  </si>
  <si>
    <t>Estorno da armação de bitola de 5 mm, para pagamento no item 2.2.11.1 para armação de aço de CA-60.</t>
  </si>
  <si>
    <t>Armação Laje 1  (estorno).</t>
  </si>
  <si>
    <t>Estorno da armação da laje 1, para correção de quantidade e correção de bitola, para pagamento no item 2.2.11.1 para armação de aço de CA-60..</t>
  </si>
  <si>
    <t>N10</t>
  </si>
  <si>
    <t>N13</t>
  </si>
  <si>
    <t>N14</t>
  </si>
  <si>
    <t>N18</t>
  </si>
  <si>
    <t>N19</t>
  </si>
  <si>
    <t>N23</t>
  </si>
  <si>
    <t>N24</t>
  </si>
  <si>
    <t>N25</t>
  </si>
  <si>
    <t>N26</t>
  </si>
  <si>
    <t>N27</t>
  </si>
  <si>
    <t>DET. 1 (Laje inclinada)</t>
  </si>
  <si>
    <t>DET. 2 (Laje inclinada)</t>
  </si>
  <si>
    <t>DET. 3 (Laje inclinada)</t>
  </si>
  <si>
    <t>Armação piso 2 do fundo da EBAP.</t>
  </si>
  <si>
    <t>Armação Parede tipo 05</t>
  </si>
  <si>
    <t>Laje 29</t>
  </si>
  <si>
    <t>N12</t>
  </si>
  <si>
    <t>N16</t>
  </si>
  <si>
    <t>N20</t>
  </si>
  <si>
    <t>N21</t>
  </si>
  <si>
    <t>N22</t>
  </si>
  <si>
    <t xml:space="preserve">Armação da Parede da Laje do Canal </t>
  </si>
  <si>
    <t xml:space="preserve"> 25</t>
  </si>
  <si>
    <t>De Acordo com Projeto em Anexo Forma e Armação - Situação e Detalhes. Muro executado reto (90º) com mesmo quantitativo de projeto. Autorizado pela SEDURB conforme e-mail em Anexo</t>
  </si>
  <si>
    <t>Armação da Laje da saida de recalque da tubulação</t>
  </si>
  <si>
    <t>Telas Q335 8.0mm.</t>
  </si>
  <si>
    <t>Armação da parede da saida de recalque da tubulação</t>
  </si>
  <si>
    <t>Conforme o projeto de detalhamento do muro</t>
  </si>
  <si>
    <t>A cada 0,5 m foi colocado a barra U N2 Conforme o projeto de detalhamento do muro.</t>
  </si>
  <si>
    <t>A cada 1,5 m foi colocado as barras N3 Conforme o projeto de detalhamento do muro.</t>
  </si>
  <si>
    <t>A cada 1,5 m foi colocado as barras N4 Conforme o projeto de detalhamento do muro.</t>
  </si>
  <si>
    <t>A cada 1 metro foi colocado uma cinta assim como projeto detalhamento do muro.</t>
  </si>
  <si>
    <t>Armação da parede de conteção da obra.</t>
  </si>
  <si>
    <t>Armação da parede TIPO 03 reduzida 80 cm.</t>
  </si>
  <si>
    <t>.</t>
  </si>
  <si>
    <t>2.2.13.1</t>
  </si>
  <si>
    <t>Aterro mecanizado para ensecadeira</t>
  </si>
  <si>
    <t>2.2.14.1</t>
  </si>
  <si>
    <t>Reaterro mecanizado para ensecadeira</t>
  </si>
  <si>
    <t>Reaterro executado algumas vezes em função do adensameto constante nas ensecadeiras.</t>
  </si>
  <si>
    <t>LARGURA
(m)</t>
  </si>
  <si>
    <t>VOLUME
(m³)</t>
  </si>
  <si>
    <t>2.2.15.1</t>
  </si>
  <si>
    <t>Destinação Final de Resíduos Classe II A em aterro sanitário controlado</t>
  </si>
  <si>
    <t>+</t>
  </si>
  <si>
    <t>Folha de Cubação e Seções em anexo - Fl. SEC-01 a SEC-04</t>
  </si>
  <si>
    <t>2.2.15.2</t>
  </si>
  <si>
    <t>Folha de cubação e Seções de escavação em anexo - Seguindo notas de transporte</t>
  </si>
  <si>
    <t>De Acordo com Anexo Corte Eletrocentro.</t>
  </si>
  <si>
    <t>De Acordo com Projeto em Anexo TM-SEDURB-MD-007-EBAP4 EST-009.</t>
  </si>
  <si>
    <t>concreto fck = 40 MPA</t>
  </si>
  <si>
    <t>Correção de base (magro) do eletrocentro. Conforme Croqui</t>
  </si>
  <si>
    <t>Volume total de 37,645m³ (descontado as caixas da elétrica), medido 29,650m³
por falta de saldo. De Acordo com Projeto em Anexo TM-SEDURB-MD-007-
EBAP4-EST-009.</t>
  </si>
  <si>
    <t>De Acordo com Projeto em Anexo TM-SEDURB-MD-007-EBAP4-EST-009
(descontado as caixas da elétrica).</t>
  </si>
  <si>
    <t xml:space="preserve">Laje superior da estrutura de apoio </t>
  </si>
  <si>
    <t>Laje superior da estrutura de apoio</t>
  </si>
  <si>
    <t>falta ainda 2,00 m² que serão adicionados no aditivo,</t>
  </si>
  <si>
    <t xml:space="preserve">Laje superior da guarita </t>
  </si>
  <si>
    <t>falta ainda 1,16 m² que serão adicionados no aditivo,</t>
  </si>
  <si>
    <t>Laje superior da guarita</t>
  </si>
  <si>
    <t xml:space="preserve"> 7,20 m² que serão adicionados no aditivo,</t>
  </si>
  <si>
    <t>Armação positiva e negativa das estruturas de guarita, apoio e tanque de combustivel. TM-SEDURB-MD-007-EBAP4-EST-008</t>
  </si>
  <si>
    <t>Armação positiva e negativa das estruturas de guarita, apoio e tanque de combustivel.TM-SEDURB-MD-007-EBAP4-EST-008</t>
  </si>
  <si>
    <t>QUNT.</t>
  </si>
  <si>
    <t>Alvenaria nas paredes de contenção do tanque de combustivel</t>
  </si>
  <si>
    <t>Falta ainda 6,39 m² que serão colocadas no aditivo.</t>
  </si>
  <si>
    <t>Total da grama é de 1819,93 deixando para aditivo 546,11</t>
  </si>
  <si>
    <t>Total da guia de meio fio é de 382 deixando para aditivo 114,13</t>
  </si>
  <si>
    <t>Total de piso intertravado é de 1429,67 deixando para aditivo 311,94</t>
  </si>
  <si>
    <t>MURETA DO MURO DA SAIDA DA TUBULAÇÃO</t>
  </si>
  <si>
    <t>MURETA DE FRENTE COM O CANAL.</t>
  </si>
  <si>
    <t>Toneladas (t)</t>
  </si>
  <si>
    <t>um</t>
  </si>
  <si>
    <t>UND.</t>
  </si>
  <si>
    <t>Transporte de grupo gerador a diesel – em carenagem acústica 82 db (a) @ 1,5 m – 938kva /750kw – 850kva / 680kw – 440/254v v, com disjuntor de proteção manual e painel de comando
emcp 4. ref c18</t>
  </si>
  <si>
    <t>2.5.2.3.7.1</t>
  </si>
  <si>
    <t>2.5.2.3.8.1</t>
  </si>
  <si>
    <t>2.5.2.3.20.1</t>
  </si>
  <si>
    <t>2.5.2.3.25.1</t>
  </si>
  <si>
    <t>2.5.2.3.26.1</t>
  </si>
  <si>
    <t>2.5.2.3.27.1</t>
  </si>
  <si>
    <t>2.5.2.3.28.1</t>
  </si>
  <si>
    <t>2.5.2.3.29.1</t>
  </si>
  <si>
    <t>2.5.2.3.30.1</t>
  </si>
  <si>
    <t>2.5.2.4.1.1</t>
  </si>
  <si>
    <t xml:space="preserve">Eletroduto PEAD, cor preta, diam. 1.1/2", marca ref. Kanaflex ou equivalente </t>
  </si>
  <si>
    <t>2.5.2.4.1.2</t>
  </si>
  <si>
    <t>2.5.2.4.2.1</t>
  </si>
  <si>
    <t>Eletroduto PEAD, cor preta, diam. 2"</t>
  </si>
  <si>
    <t>2.5.2.4.2.2</t>
  </si>
  <si>
    <t>Eletroduto pead, cor preta, diam. 3"</t>
  </si>
  <si>
    <t>Eletroduto pead, cor preta, diam. 4"</t>
  </si>
  <si>
    <t>Eletroduto pead, cor preta, diam. 6"</t>
  </si>
  <si>
    <t>Caixa de passagem de alvenaria de blocos cerâmicos 50x50x50cm</t>
  </si>
  <si>
    <t>Caixa de passagem de alvenaria de blocos cerâmicos 80x80x80cm</t>
  </si>
  <si>
    <t>Cordoalha de cobre nu 50 mm², enterrada, sem isolador</t>
  </si>
  <si>
    <t xml:space="preserve">Válvula de retenção portinhola simples, tipo wafer, pn 10  </t>
  </si>
  <si>
    <t>Conforme Anexo Nota Fiscal Nº 000.010.010</t>
  </si>
  <si>
    <t>2.6.1.5.1</t>
  </si>
  <si>
    <t>Bomba submersível, Q=2,5m³/s</t>
  </si>
  <si>
    <t>2.6.1.5.2</t>
  </si>
  <si>
    <t>Valor pago após a instalação das bombas</t>
  </si>
  <si>
    <t>2.6.1.5.3</t>
  </si>
  <si>
    <t xml:space="preserve"> </t>
  </si>
  <si>
    <t>ud</t>
  </si>
  <si>
    <t>2.6.3.1.4.1</t>
  </si>
  <si>
    <t>Tubo ponta e bolsa 1200 - JTE, L = 7000</t>
  </si>
  <si>
    <r>
      <t xml:space="preserve">Unidade de medida é por tubo (und) - Conforme Anexo Nota Fiscal Nº </t>
    </r>
    <r>
      <rPr>
        <b/>
        <sz val="12"/>
        <rFont val="Arial"/>
        <family val="2"/>
      </rPr>
      <t>XXXX</t>
    </r>
  </si>
  <si>
    <t>2.6.3.1.4.2</t>
  </si>
  <si>
    <t>Unidade de medida é por tubo (und) - Conforme Anexo Nota Fiscal Nº XXXX</t>
  </si>
  <si>
    <t>Junta de desmontagem travada axialmente PN10 DN 1200mm</t>
  </si>
  <si>
    <t>Conforme Anexo Controle de Nota Fiscal Nº 000.273.372-4</t>
  </si>
  <si>
    <t>GRUPO 003:  COMISSIONAMENTO E OPERAÇÃO ASSISTIDA</t>
  </si>
  <si>
    <t>GRUPO 004:  SERVIÇOS NOVOS</t>
  </si>
  <si>
    <t>4.1.1.1</t>
  </si>
  <si>
    <t xml:space="preserve">Aterro ensecadeira </t>
  </si>
  <si>
    <t>Aditivo do Aterro da ensecadeira pago que tinha sido parcialmente pago na 4 medição</t>
  </si>
  <si>
    <t>4.1.1.2</t>
  </si>
  <si>
    <t>Aterro parcial da EBAP.</t>
  </si>
  <si>
    <t>4.1.1.3</t>
  </si>
  <si>
    <t>4.1.1.4</t>
  </si>
  <si>
    <t>4.1.1.5</t>
  </si>
  <si>
    <t>4.1.1.6</t>
  </si>
  <si>
    <t>4.1.1.7</t>
  </si>
  <si>
    <t>Estaca 05 + 9,769</t>
  </si>
  <si>
    <t>4.1.1.8</t>
  </si>
  <si>
    <t>4.1.1.9</t>
  </si>
  <si>
    <t>4.1.1.10</t>
  </si>
  <si>
    <t>4.1.1.11</t>
  </si>
  <si>
    <t>4.1.1.12</t>
  </si>
  <si>
    <t>4.1.1.13</t>
  </si>
  <si>
    <t>4.1.1.14</t>
  </si>
  <si>
    <t>4.1.1.15</t>
  </si>
  <si>
    <t>4.1.1.16</t>
  </si>
  <si>
    <t>Estaca 13+0,994</t>
  </si>
  <si>
    <t>4.1.1.17</t>
  </si>
  <si>
    <t>4.1.1.18</t>
  </si>
  <si>
    <t>4.1.1.19</t>
  </si>
  <si>
    <t>4.1.1.20</t>
  </si>
  <si>
    <t>4.1.1.21</t>
  </si>
  <si>
    <t>4.1.1.22</t>
  </si>
  <si>
    <t>4.1.1.23</t>
  </si>
  <si>
    <t>4.1.1.24</t>
  </si>
  <si>
    <t>4.1.1.25</t>
  </si>
  <si>
    <t>4.1.1.26</t>
  </si>
  <si>
    <t>4.1.1.27</t>
  </si>
  <si>
    <t>4.1.1.28</t>
  </si>
  <si>
    <t>4.1.1.29</t>
  </si>
  <si>
    <t>4.1.1.30</t>
  </si>
  <si>
    <t>4.1.1.31</t>
  </si>
  <si>
    <t>Estaca 13 + 0,994</t>
  </si>
  <si>
    <t>Aterro no pé talude da estrada do dique.</t>
  </si>
  <si>
    <t>4.1.1.32</t>
  </si>
  <si>
    <t>4.1.1.33</t>
  </si>
  <si>
    <t>4.1.1.34</t>
  </si>
  <si>
    <t>4.1.1.35</t>
  </si>
  <si>
    <t>4.1.1.36</t>
  </si>
  <si>
    <t>4.1.1.37</t>
  </si>
  <si>
    <t>4.1.1.38</t>
  </si>
  <si>
    <t>4.1.1.39</t>
  </si>
  <si>
    <t>4.1.1.40</t>
  </si>
  <si>
    <t>4.1.1.41</t>
  </si>
  <si>
    <t>4.1.1.42</t>
  </si>
  <si>
    <t>Estaca 10 + 9,630</t>
  </si>
  <si>
    <t>Aterro EBAP LARANJA</t>
  </si>
  <si>
    <t>4.1.1.43</t>
  </si>
  <si>
    <t>4.1.1.44</t>
  </si>
  <si>
    <t>4.1.1.45</t>
  </si>
  <si>
    <t>4.1.1.46</t>
  </si>
  <si>
    <t>4.1.1.47</t>
  </si>
  <si>
    <t>Estaca 04 + 4,391</t>
  </si>
  <si>
    <t>4.1.1.48</t>
  </si>
  <si>
    <t>4.1.1.49</t>
  </si>
  <si>
    <t>4.1.1.50</t>
  </si>
  <si>
    <t>4.1.1.51</t>
  </si>
  <si>
    <t>4.1.1.52</t>
  </si>
  <si>
    <t>4.1.1.53</t>
  </si>
  <si>
    <t>ATERRO DA EBAP COMPROVADO PELOS TICKETS E PELA TOPOGRAFIA POR CAUS DO APARECIMENTO DE MATERIAL NO CANAL.</t>
  </si>
  <si>
    <t>4.1.1.54</t>
  </si>
  <si>
    <t>4.1.1.55</t>
  </si>
  <si>
    <t>4.1.1.56</t>
  </si>
  <si>
    <t>4.1.1.57</t>
  </si>
  <si>
    <t>4.1.1.58</t>
  </si>
  <si>
    <t>4.1.1.59</t>
  </si>
  <si>
    <t>4.1.1.60</t>
  </si>
  <si>
    <t>4.1.1.61</t>
  </si>
  <si>
    <t>Estaca 07 +5,072</t>
  </si>
  <si>
    <t>4.11.62</t>
  </si>
  <si>
    <t>Aterro com argila c/compactação mecânica - Maio/23 e Junho/23</t>
  </si>
  <si>
    <t>Conforme Folha de Cubação e Seções Anexo Fl. SEC-01 à SEC-08</t>
  </si>
  <si>
    <t>Aterro com argila c/compactação mecânica - (Local do  Eletrocentro e da Guarita)</t>
  </si>
  <si>
    <t>Medição total 2.517,454m³, medido 893,454m³ por falta de saldo. Conforme Folha de Cubação e Seções Anexo Fl. SEC-01 à SEC-03</t>
  </si>
  <si>
    <t>4.11.63</t>
  </si>
  <si>
    <t>Medição total 4674,90m³. Conforme Folha de Cubação e Seções Anexo Fl. SEC-01 à SEC-11</t>
  </si>
  <si>
    <t>4.11.64</t>
  </si>
  <si>
    <t>Aterro com argila c/compactação mecânica - (Local estrada do dique)</t>
  </si>
  <si>
    <t>Medição total 839,82m³. Conforme Folha de Cubação e Seções Anexo Fl. SEC-01 à SEC-06</t>
  </si>
  <si>
    <t>Medição total 2596,16m³. Conforme Folha de Cubação e Seções Anexo Fl. SEC-01 à SEC-10</t>
  </si>
  <si>
    <t>4.1.2.1</t>
  </si>
  <si>
    <t>Material trazido do bota-espera  LD.</t>
  </si>
  <si>
    <t>4.1.2.2</t>
  </si>
  <si>
    <t>4.1.2.3</t>
  </si>
  <si>
    <t>4.1.2.4</t>
  </si>
  <si>
    <t>4.1.2.5</t>
  </si>
  <si>
    <t>4.1.2.6</t>
  </si>
  <si>
    <t>4.1.2.7</t>
  </si>
  <si>
    <t>4.1.2.8</t>
  </si>
  <si>
    <t>4.1.2.9</t>
  </si>
  <si>
    <t>4.1.2.10</t>
  </si>
  <si>
    <t>4.1.2.11</t>
  </si>
  <si>
    <t>4.1.2.12</t>
  </si>
  <si>
    <t>4.1.2.13</t>
  </si>
  <si>
    <t>4.1.2.14</t>
  </si>
  <si>
    <t>4.1.2.15</t>
  </si>
  <si>
    <t>4.1.2.16</t>
  </si>
  <si>
    <t>4.1.2.17</t>
  </si>
  <si>
    <t>Estaca 16+3,751</t>
  </si>
  <si>
    <t>4.1.2.19</t>
  </si>
  <si>
    <t>Material retirado do bota-espera 1 LE e descarregado na reconstituição do canal.</t>
  </si>
  <si>
    <t>4.1.2.20</t>
  </si>
  <si>
    <t>4.1.2.21</t>
  </si>
  <si>
    <t>4.1.2.22</t>
  </si>
  <si>
    <t>4.1.2.23</t>
  </si>
  <si>
    <t>4.1.2.24</t>
  </si>
  <si>
    <t>4.1.2.25</t>
  </si>
  <si>
    <t>4.1.2.26</t>
  </si>
  <si>
    <t>4.1.2.27</t>
  </si>
  <si>
    <t>4.1.2.28</t>
  </si>
  <si>
    <t>4.1.2.29</t>
  </si>
  <si>
    <t>4.1.2.30</t>
  </si>
  <si>
    <t>4.1.2.31</t>
  </si>
  <si>
    <t>4.1.2.32</t>
  </si>
  <si>
    <t>Material retirado do bota-espera 2 LE e descarregado na reconstituição do canal.</t>
  </si>
  <si>
    <t>4.1.2.33</t>
  </si>
  <si>
    <t>4.1.2.34</t>
  </si>
  <si>
    <t>Estaca 02+1,518</t>
  </si>
  <si>
    <t>4.1.2.35</t>
  </si>
  <si>
    <t>4.1.2.36</t>
  </si>
  <si>
    <t>4.1.2.37</t>
  </si>
  <si>
    <t>4.1.2.38</t>
  </si>
  <si>
    <t>4.1.2.39</t>
  </si>
  <si>
    <t>4.1.2.40</t>
  </si>
  <si>
    <t>4.1.2.41</t>
  </si>
  <si>
    <t>4.1.2.42</t>
  </si>
  <si>
    <t>4.1.2.43</t>
  </si>
  <si>
    <t>4.1.2.44</t>
  </si>
  <si>
    <t>4.1.2.45</t>
  </si>
  <si>
    <t>4.1.2.46</t>
  </si>
  <si>
    <t>4.1.2.47</t>
  </si>
  <si>
    <t>4.1.2.48</t>
  </si>
  <si>
    <t>Material Escavado da área da EBAP e descarergado no bota-espera LE/LD.</t>
  </si>
  <si>
    <t>4.1.2.49</t>
  </si>
  <si>
    <t>4.1.2.50</t>
  </si>
  <si>
    <t>4.1.2.51</t>
  </si>
  <si>
    <t>4.1.2.52</t>
  </si>
  <si>
    <t>4.1.2.53</t>
  </si>
  <si>
    <t>4.1.2.54</t>
  </si>
  <si>
    <t>4.1.2.55</t>
  </si>
  <si>
    <t>4.1.2.56</t>
  </si>
  <si>
    <t>4.1.2.57</t>
  </si>
  <si>
    <t>4.1.2.58</t>
  </si>
  <si>
    <t>4.1.2.59</t>
  </si>
  <si>
    <t>4.1.2.60</t>
  </si>
  <si>
    <t>4.1.2.61</t>
  </si>
  <si>
    <t>Carga, Manobras e Descarga do material transportado a destinação final.</t>
  </si>
  <si>
    <t>Material retirado do bota-espera LE e descarregado na destinação final de residuos.</t>
  </si>
  <si>
    <t>4.12.62</t>
  </si>
  <si>
    <t>Carga, Manobras e Descarga do material transportado ao bota espera.</t>
  </si>
  <si>
    <t>Material escavado (2.2.1) e levado ao bota espera</t>
  </si>
  <si>
    <t>Carga, Manobras e Descarga do material transportado para recomposição do terreno vizinho</t>
  </si>
  <si>
    <t>Material transportado para recomposição do terrneo vizinho.</t>
  </si>
  <si>
    <t>4.12.64</t>
  </si>
  <si>
    <t>MÊS</t>
  </si>
  <si>
    <t>Grupo gerador 112/125 KVA</t>
  </si>
  <si>
    <t>31/04/2023</t>
  </si>
  <si>
    <t>Por falta de saldo não foi medido 10 dias do mês de agosto.</t>
  </si>
  <si>
    <t>4.1.4.1</t>
  </si>
  <si>
    <t>Grupo gerador 45/50 KVA</t>
  </si>
  <si>
    <t>4.1.4.2</t>
  </si>
  <si>
    <t>MASSA NOMINAL</t>
  </si>
  <si>
    <t>(kg/m)</t>
  </si>
  <si>
    <t>Estaca prancha metálica - Fornecimento, solda e cravação com comprimento de 15 metros a 25 metros</t>
  </si>
  <si>
    <t>4.1.7.1</t>
  </si>
  <si>
    <t>Geogrelha bidirecional com resistência a tração de 30 kN/m</t>
  </si>
  <si>
    <t>Conforme Croqui Anexo LAYOUT - Geogrelha Bidirecional</t>
  </si>
  <si>
    <t>4.1.9.1</t>
  </si>
  <si>
    <t>4.1.9.2</t>
  </si>
  <si>
    <t>Projeto de Laje de canal</t>
  </si>
  <si>
    <t>Conforme Projeto Anexo Forma e Armação - Radier Detalhes (EST - 01)</t>
  </si>
  <si>
    <t>4.1.10.1</t>
  </si>
  <si>
    <t>Drenos de conreto no canal e no terreno vizinho</t>
  </si>
  <si>
    <t>4.1.11.1</t>
  </si>
  <si>
    <t>Escavação para remanejamento de solo para reforço do dique - Dezembro/22</t>
  </si>
  <si>
    <t>4.1.11.2</t>
  </si>
  <si>
    <t xml:space="preserve">Escavação e carga de material retirado da ensecadeira (Ex estrada do dique) </t>
  </si>
  <si>
    <t>Conforme Folha de Cubação e Seções Anexo Fl. SEC-01 à SEC-04</t>
  </si>
  <si>
    <t>4.1.11.3</t>
  </si>
  <si>
    <t>Escavação e carga de material para o terreno vizinho (LARANJA) - Fevereiro/23</t>
  </si>
  <si>
    <t>Conforme Folha de Cubação e Seções Anexo Fl. SEC-01 e SEC-02</t>
  </si>
  <si>
    <t>4.1.11.4</t>
  </si>
  <si>
    <t>Escavação e carga de material para o terreno vizinho (LARANJA) - Março/23</t>
  </si>
  <si>
    <t>4.1.12.1</t>
  </si>
  <si>
    <t>Conforme Folha de Cubação e Seções Anexo Fl. SEC-01</t>
  </si>
  <si>
    <t>Medição com volume total de 846,610m³, medido 202,180m³ por falta de saldo. Conforme Folha de Cubação e Seções Anexo Fl. SEC-01</t>
  </si>
  <si>
    <t>4.1.13.1</t>
  </si>
  <si>
    <t>Tampa circular para esgoto e drenagem, em ferro fundido, diâmetro interno = 0,6m</t>
  </si>
  <si>
    <t>Conforme Projeto Anexo TM-SEDURB-MD-007-EBAP4-EST-001</t>
  </si>
  <si>
    <t>4.1.16.1</t>
  </si>
  <si>
    <t>4.1.17.1</t>
  </si>
  <si>
    <t>4.1.18.1</t>
  </si>
  <si>
    <t>4.1.19.1</t>
  </si>
  <si>
    <t>4.1.20.1</t>
  </si>
  <si>
    <t>4.1.21.1</t>
  </si>
  <si>
    <t>4.1.22.1</t>
  </si>
  <si>
    <t>4.1.23.1</t>
  </si>
  <si>
    <t>QUANT,</t>
  </si>
  <si>
    <t>MURO DA SAIDA DA TUBULAÇÃO E 2 ALAS EXTERNAS</t>
  </si>
  <si>
    <t>MURO DA SAIDA DA TUBULAÇÃO</t>
  </si>
  <si>
    <t>ALAS DA SAIDA TUBULAÇÃO</t>
  </si>
  <si>
    <t>MURO DE FECHAMENTO DA OBRA</t>
  </si>
  <si>
    <t>FECHAMENTO DO ELETROCENTRO</t>
  </si>
  <si>
    <t>13.   CUSTO GERAL - MÊS DE JULHO</t>
  </si>
  <si>
    <t>DATA EMISSÃO</t>
  </si>
  <si>
    <t>EMPRESA</t>
  </si>
  <si>
    <t xml:space="preserve">NF </t>
  </si>
  <si>
    <t>R$/TOTAL</t>
  </si>
  <si>
    <t>DATA DE PAGAMENTO</t>
  </si>
  <si>
    <t>SERVIÇOS DE ENG/AMBIENTAL</t>
  </si>
  <si>
    <t xml:space="preserve">GALTEC ENGENHARIA </t>
  </si>
  <si>
    <t>LOCAÇÃO DE APARTAMENTO</t>
  </si>
  <si>
    <t>NEW CENTURY NETIMOVEIS</t>
  </si>
  <si>
    <t>BETHA ESPAÇO ITAPARICA</t>
  </si>
  <si>
    <t>LIGUE IMOVEIS</t>
  </si>
  <si>
    <t>FORNECIMENTO DE ÁGUA POTAVEL</t>
  </si>
  <si>
    <t>COMEC</t>
  </si>
  <si>
    <t>INSTALAÇÃO DE INVERSOR DE FREQUENCIA</t>
  </si>
  <si>
    <t>ANTONIO ESTEVAM JUNIOR &amp; CIA LTDA</t>
  </si>
  <si>
    <t>VIGILANCIA E SEGURANÇA DE BENS</t>
  </si>
  <si>
    <t>L.P. DA SILVA</t>
  </si>
  <si>
    <t>SERVIÇO DE TRANSPORTE - VAN</t>
  </si>
  <si>
    <t xml:space="preserve">ROBSON TONANI </t>
  </si>
  <si>
    <t>FORNECIMENTO DE ALIMENTAÇÃO</t>
  </si>
  <si>
    <t>PADARIA RIO BRANCO</t>
  </si>
  <si>
    <t>MATERIAL DE CONSTRUÇÃO</t>
  </si>
  <si>
    <t>ARTIGOR BARRA MOVEIS</t>
  </si>
  <si>
    <t xml:space="preserve">TOPOGRAFIA </t>
  </si>
  <si>
    <t>NGA AGRIMENSURA</t>
  </si>
  <si>
    <t>SERVIÇOS DE ESCRITORIO EM GERAL</t>
  </si>
  <si>
    <t>A L DE OLIVEIRA JUNIOR</t>
  </si>
  <si>
    <t>SERVIÇOS DE CONSTRUÇÃO EM GERAL</t>
  </si>
  <si>
    <t>OFL CONSTRUÇÕES</t>
  </si>
  <si>
    <t>LOCAÇÃO DE IMPRESSORA</t>
  </si>
  <si>
    <t>SUPRIVIX</t>
  </si>
  <si>
    <t>MATERIAL ELÉTRICO</t>
  </si>
  <si>
    <t>RJE ILUMINAÇÃO</t>
  </si>
  <si>
    <t>LOCAÇÃO DE CONTAINER</t>
  </si>
  <si>
    <t>VISAUTO</t>
  </si>
  <si>
    <t>ART-IGOR</t>
  </si>
  <si>
    <t>ALUGUEL DE EQUIPAMENTOS</t>
  </si>
  <si>
    <t>MR LOCAÇÃO</t>
  </si>
  <si>
    <t>DESMOBILIZAÇÃO DE CONTAINER</t>
  </si>
  <si>
    <t>LOCARES</t>
  </si>
  <si>
    <t>LOCAÇÃO DE RETROESCAVADEIRA</t>
  </si>
  <si>
    <t>LAYA TRANSPORTES</t>
  </si>
  <si>
    <t>LINHA VIX DISTRIBUIDORA</t>
  </si>
  <si>
    <t>CUSTO TOTAL GERADO EM JUHLO/24</t>
  </si>
  <si>
    <t>OBSERVAÇÃO: O CUSTO GERADO É REFERENTE AO PERIODO DE 01/07/2024 A 31/07/2024 SEM A FOLHA DE PAGAMENTO DO PERIODO.</t>
  </si>
  <si>
    <t>14.1. Verificação do Atendimento aos Procedimentos de Segurança, Higiene e Medicina do Trabalho</t>
  </si>
  <si>
    <t>ITEM ANALISADO</t>
  </si>
  <si>
    <t>PARECER</t>
  </si>
  <si>
    <t>AVALIAÇÃO TÉCNICA/PONTOS OBSERVADOS</t>
  </si>
  <si>
    <t>RECOMENDAÇÕES</t>
  </si>
  <si>
    <t>1 - Conforme a NR 05 foi criada, organizada e estabelecida na obra, a Comissão Interna de Prevenção de Acidentes (CIPA), sendo seu corpo formado por representantes da parte do empregador e seus empregados de acordo com o dimensionamento previsto no Quadro I desta NR</t>
  </si>
  <si>
    <t>A</t>
  </si>
  <si>
    <t xml:space="preserve">Agrupamento de CNAE: C18a
CIPA não constituída de acordo com a NR 05. Há enquadramento no quadro I, a empresa designará um responsável pelo cumprimento dos objetivos desta NR. 
</t>
  </si>
  <si>
    <t>Nos grupos C-18 e C-18a constituir CIPA por estabelecimento a partir de 70 trabalhadores (pode variar de acordo com o sindicato da categoria) e quando estabelecimento possuir menos de 70 trabalhadores observar o dimensionamento descrito na NR 18 - subitem 18.33.1 onde diz que:
A empresa que possuir menos de 70 funcionários deve organizar CIPA centralizada com 1 representante titular e 1 suplente por grupo de até 50 empregados;
A empresa que possuir 70 ou mais empregados fica obrigada a organizar a CIPA. 18.33.1 A empresa que possuir na mesma cidade 1 (um) ou mais canteiros de obra ou frentes de trabalho, com 
menos de 70 (setenta) empregados, deve organizar CIPA centralizada.</t>
  </si>
  <si>
    <t>2 - Fornecimento gratuito de EPI aos empregados em perfeito estado de conservação e funcionamento, conforme estabelecido na NR 06</t>
  </si>
  <si>
    <t xml:space="preserve">A empresa dotou os trabalhadores de equipamentos de proteção individual (EPI's), adequado aos risco ao qual estavam expostos. São estabelecidas normas e procedimentos para promover o fornecimento, o uso, a guarda, a higienização, a conservação, a manutenção e a reposição do EPI, visando garantir as condições de proteção originalmente estabelecidas. </t>
  </si>
  <si>
    <t>Realizar diariamente inspeções de rotinas verificando o uso, a guarda e conservação dos EPI's e promover campanhas favoráveis quanto ao uso dos mesmo. Também realizar semanalmente DDS, com temas voltado a obrigatoriedade dos mesmo.</t>
  </si>
  <si>
    <t xml:space="preserve">3 - O empregado utiliza o EPI apenas para a finalidade a que se destina, responsabilizando-se pela guarda e conservação, comunicando ao empregador qualquer alteração que o torne impróprio para uso, de acordo com a NR 06
</t>
  </si>
  <si>
    <t>A Empresa DP Barros faz uso adequado de todos os Equipamentos de Proteção Individual inerentes à função. Devido a isto, os empregados portam: máscara de proteção respiratória, uniforme de manga comprida, luvas resistentes, botinas de segurança resistente, capacete de segurança, óculos com lentes de acordo a intensidade da luminosidade e protetores auriculares tipo concha. 
Os operadores das máquinas (máquinas que não dispunham de cabine acúst.) envolvidas no serviço, também faziam uso de protetores auriculares e máscara de proteção facial.
Para proteção do calor, os trabalhadores utilizam toucas árabes e protetor solar (creme).</t>
  </si>
  <si>
    <t>Os Equipamentos de Proteção Individual além de essenciais à proteção do trabalhador, visando a manutenção de sua saúde física e proteção contra os riscos de acidentes do trabalho e/ou de doenças profissionais e do trabalho, podem também proporcionar a redução de custos ao empregador.
O empregador deve utilizar-se de seu poder diretivo e obrigar o empregado a utilizar o equipamento, sob pena de advertência e suspensão num primeiro momento e, havendo reincidências, sofrer punições mais severas.
O não uso do EPI além de ser um ato de insubordinação do empregado, coloca em risco a sua própria saúde.
É de responsabilidade do empregador também, cercar seus empregados e das subcontratadas, quando houver, das garantias e proteção legais da Legislação Trabalhista, inclusive em relação a higiene, segurança e medicina do trabalho, fornecendo os adequados EPI's a todos os componentes de suas equipes de trabalho ou aqueles que por qualquer motivos estejam envolvidos com o serviço, de acordo com o disposto no Contrato de Empreitada nº 009/2021.</t>
  </si>
  <si>
    <t xml:space="preserve">4 - É implementado por parte do empregador o Programa de Controle Médico de Saúde Ocupacional (PCMSO), com objetivo de promover a preservação da saúde de seus trabalhadores, segundo a NR 07
</t>
  </si>
  <si>
    <t>PCMSO - Emissão inicial a partir de Junho de 2021 (de acordo com a contratação do colaborador) - Revisão dos exames e funções vencem anualmente.</t>
  </si>
  <si>
    <t xml:space="preserve">O PCMSO tem por finalidade:
Garantir as ações necessárias visando à promoção da saúde, a prevenção de doenças e acidentes e a recuperação dos empregados;
Garantir aos empregados melhor qualidade de vida possível no trabalho, visando a preservação de sua saúde, como também o incremento da produtividade, da qualidade e da competitividade.
</t>
  </si>
  <si>
    <t>5 - A NR 01 estabelece a obrigatoriedade da elaboração e implementação por parte do empregador do Programa: PGR (Programa de Gerenciamento de Risco) visando a prevenção de acidente de Trabalho nos canteiros de obras Contemplando os Riscos Ocupacionais e suas respectivas medidas de prevenção</t>
  </si>
  <si>
    <t>O PGR está seguindo as orientações da NR 18.4.1. É obrigatório a elaboração e a implementação do PGR nos canteiros de obras, contemplando os riscos ocupacionais e suas respectivas medidas de prevenção.
18.4.2 - O PGR deve ser elaborado por profissional legalmente habilitado em segurança do trabalho e implementado sob responsabilidade da organização.</t>
  </si>
  <si>
    <t>Manter o PRG atualizado e à disposição no canteiro de obras.</t>
  </si>
  <si>
    <t>6 - Os serviços executados em eletricidade obedecem os requisitos mínimos de segurança estabelecidos na NR 10</t>
  </si>
  <si>
    <t>O funcionário contrato para atividades nesta área possui treinamento adequado no que abrange a NR 10.</t>
  </si>
  <si>
    <t>Antes de qualquer atividades elétrica, certifique-se que todos os colaboradores envolvidos nas atividades estão equipados com os EPI's apropriados para desenvolver as tarefas. Manter sempre o local isolado com todos os dispositivo de sinalização disponível sempre no local onde será executado as atividades.</t>
  </si>
  <si>
    <t>7 - Os serviços executados em eletricidade obedecem os requisitos mínimos de segurança estabelecidos na NR 11</t>
  </si>
  <si>
    <t>NSA</t>
  </si>
  <si>
    <t>Sem Comentários</t>
  </si>
  <si>
    <t>Sem Recomendações</t>
  </si>
  <si>
    <t>8 - Existem medidas de proteção para garantir a saúde e a integridade física dos trabalhadores, estabelecendo requisitos mínimos para a prevenção de acidentes e doenças do trabalho, nas fases de projeto e de utilização de máquinas e equipamentos de todos os tipos, de acordo com a NR 12</t>
  </si>
  <si>
    <t>9 - Verificação da NR 15 no que tange as Atividades e Operações Insalubres referentes aos riscos físicos, químicos e biológicos</t>
  </si>
  <si>
    <t>Riscos identificados no PGR integrado por função e descrição das atividades. Assim, é informado a qual risco o trabalhador está exposto (o agente, o tipo de avaliação, o limite de tolerância encontrado, a fonte geradora, meios de propagação, possíveis danos medidas preventivas).</t>
  </si>
  <si>
    <t>Atividade de operação insalubre é aquela prestada em condições que expõem o trabalhador aos agentes nocivos à saúde acima dos limites de tolerância fixados em razão da sua natureza, intensidade ou concentração. Assim como do agente e tempo de exposição aos seus efeitos sem as devidas medidas de controle de ordem individual, coletiva ou administrativa.</t>
  </si>
  <si>
    <t>10 - Análise ergonômica do trabalho, sendo abordado ou estabelecido na NR 17, proporcionando o máximo de conforto, segurança e desempenho eficiente</t>
  </si>
  <si>
    <t>Os empregados não pegam peso excessivo, não fazem esforços além da sua capacidade física, e, sempre que possível, utilizam equipamentos que auxiliam para pegar peso. Além de pausas para descanso se a atividade for prolongada.</t>
  </si>
  <si>
    <t>Para avaliar a adaptação das condições de trabalho às características psicofisiológicas dos trabalhadores, cabe ao empregador realizar a análise ergonômica do trabalho. Para tanto, deve abordar minimamente as condições de trabalho descritas nesta Norma Regulamentadora.</t>
  </si>
  <si>
    <t>11 - Elaboração do PCMAT de acordo com o subitem 18.3 da NR 18</t>
  </si>
  <si>
    <t>12 - O canteiro de obra, dispõe dos requisitos mínimos estabelecidos no subitem 18.4 da NR 18</t>
  </si>
  <si>
    <t>O canteiro de obras, mobilizado para a Estrada Caçaroca Nº 1823, Portal das Garças, Município de Vila Velha - ES, contendo as seguintes instalações: Almoxarifado, Vestiários, Banheiros, Administração, Sala Técnica / Engenharia / Mestre, Refeitório, Fiscalização, Depósito, Tanque de Combustível coberto e Carpintaria.
Se atentar para o estado de conservação dos armários disponibilizados aos funcionários no vestiário. Cumprir o disposto no subitem 18.4.2.9.3 da NR 18.</t>
  </si>
  <si>
    <r>
      <rPr>
        <b/>
        <sz val="10"/>
        <color theme="1"/>
        <rFont val="Arial"/>
        <family val="2"/>
      </rPr>
      <t xml:space="preserve">18.4.2.9.3 Os vestiários devem:
</t>
    </r>
    <r>
      <rPr>
        <sz val="10"/>
        <color theme="1"/>
        <rFont val="Arial"/>
        <family val="2"/>
      </rPr>
      <t xml:space="preserve">
a) ter paredes de alvenaria, madeira ou material equivalente;
b) ter pisos de concreto, cimentado, madeira ou material equivalente;
c) ter cobertura que proteja contra as intempéries;
d) ter área de ventilação correspondente a 1/10 (um décimo) de área do piso;
e) ter iluminação natural e/ou artificial;
f) ter armários individuais dotados de fechadura ou dispositivo com cadeado;
g) ter pé direito mínimo de 2,50m (dois metros e cinquenta centímetros);
h) ser mantido em perfeito estado de conservação, higiene e limpeza;
i) ter bancos em número suficiente para atender aos usuários, com largura mínima de 0,30m (trinta centímetros).</t>
    </r>
  </si>
  <si>
    <t>13 - Em caso de demolição é respeitado o disposto no subitem 18.5 da NR 18</t>
  </si>
  <si>
    <t>• As construções vizinhas à obra de demolição foram examinadas, prévia e periodicamente, no sentido de preservar sua estabilidade e integridade física de terceiros;
• Área da demolição devidamente sinalizada e isolada não sendo permitida a presença de terceiros no local.
• Elementos frágeis foram removidos antes de se iniciar a demolição;
• Demolição realizada mediante o emprego de dispositivos mecânicos;
• Os materiais das edificações, durante a demolição e remoção, foram previamente umedecidos.</t>
  </si>
  <si>
    <t>Atentar-se para a presença de terceiros acompanhando a atividade de demolição. Não permitir o acesso, isolar o local e informar aos mesmos sobre os riscos existentes na atividade.</t>
  </si>
  <si>
    <t>14 - Em caso de escavações, fundações, e desmonte de rochas, é respeitado o disposto no subitem 18.6 da NR 18</t>
  </si>
  <si>
    <t>A área de trabalho deve ser previamente limpa, devendo ser retirados ou escorados solidamente árvores, rochas, equipamentos, materiais e objetos de qualquer natureza, quando houver risco de comprometimento de sua estabilidade durante a execução de serviços.</t>
  </si>
  <si>
    <t>Se atentar para os muros, edificações vizinhas e todas as estruturas que possam ser afetadas pela escavação, devem ser escorados.</t>
  </si>
  <si>
    <t>15 - Sistemas de Proteção em Fundações Cravadas e Injetadas / Operação Bate - Estacas. Subitem 18.6.14 da NR 18</t>
  </si>
  <si>
    <t>O serviço de escavação, fundação e desmonte de rochas deve ser realizado e supervisionado conforme projeto elaborado por profissional legalmente habilitado.</t>
  </si>
  <si>
    <t>Quando houver riscos nos locais onde são realizadas as atividades de escavação, fundação e desmonte de rochas, estes devem ter sinalização de advertência, inclusive noturna, e barreira de isolamento em todo o seu perímetro, de modo a impedir a entrada de veículos e pessoas não autorizadas.</t>
  </si>
  <si>
    <t>16 - Em caso de atividades de carpintaria, é respeitado o disposto no subitem 18.7 da NR 18</t>
  </si>
  <si>
    <t>As operações em máquinas e equipamentos necessários à realização da atividade de carpintaria somente podem ser realizadas por trabalhador qualificado nos termos desta NR.</t>
  </si>
  <si>
    <t>Realizar Treinamentos e DDS com todos os colaboradores envolvidos nas atividades e disponibilizar todos os EPI's necessários para o seguro desenvolvimento de suas atribuições.</t>
  </si>
  <si>
    <t>17 - Em caso de manuseio de armações de aço, é respeitado o disposto no subitem 18.8 da NR 18</t>
  </si>
  <si>
    <t>A dobragem e o corte de vergalhões de aço em obra devem ser feitos sobre bancadas ou plataformas apropriadas e estáveis, apoiadas sobre superfícies resistentes, niveladas e não escorregadias, afastadas da área de circulação de trabalhadores.</t>
  </si>
  <si>
    <t>Para evitar tombamento e desmoronamento das armações de pilares, vigas e outras estruturas verticais, elas devem ser apoiadas e escoradas.</t>
  </si>
  <si>
    <t>18 - Em caso de produção de estruturas de concreto, é respeitado o disposto no subitem 18.9 da NR 18</t>
  </si>
  <si>
    <t>É obrigatória a instalação de proteção coletiva, projetada por profissional legalmente habilitado, onde houver risco de queda de trabalhadores ou de projeção de materiais e objetos no entorno da obra.</t>
  </si>
  <si>
    <t>Durante a desforma devem ser viabilizados meios que impeçam a queda de seções de fôrmas e/ou escoramentos. Desta forma, é obrigatória a amarração destas peças e o isolamento e sinalização ao nível do terreno.</t>
  </si>
  <si>
    <t>19 - Em caso de estruturas metálicas, é respeitado o disposto no subitem 18.10 da NR 18</t>
  </si>
  <si>
    <t xml:space="preserve">18.10.1 As peças devem estar previamente fixadas antes de serem soldadas, rebitadas ou parafusadas. </t>
  </si>
  <si>
    <t>18.10.2 Na edificação de estrutura metálica, abaixo dos serviços de rebitagem, parafusagem ou soldagem, deve ser mantido piso provisório, abrangendo toda a área de trabalho situada no piso imediatamente inferior.</t>
  </si>
  <si>
    <t>20 - Em caso de operações de soldagem e corte a quente, é respeitado o disposto no subitem 18.11 da NR 18</t>
  </si>
  <si>
    <t>De acordo com os Procedimentos de Segurança e Higiene do Trabalho, todos os colaboradores são treinados e capacitados para desenvolver suas atividades</t>
  </si>
  <si>
    <t>Manter os treinamentos atualizados.</t>
  </si>
  <si>
    <t xml:space="preserve">21 - Em caso de movimentação e transporte de materiais e pessoas, é respeitado o disposto no subitem 18.14 da NR 18
</t>
  </si>
  <si>
    <t>As disposições deste item aplicam-se à instalação, montagem, desmontagem, operação, teste, manutenção e reparos em equipamentos de transporte vertical de materiais e de pessoas em canteiros de obras ou frentes de trabalho.</t>
  </si>
  <si>
    <t>Os equipamentos de transporte vertical de materiais e de pessoas devem ser dimensionados por profissional legalmente habilitado.</t>
  </si>
  <si>
    <t>22 - Em caso de utilização de andaimes e plataformas de trabalho, é respeitado o disposto no subitem 18.15 da NR 18</t>
  </si>
  <si>
    <t>18.15.1 O dimensionamento dos andaimes, sua estrutura de sustentação e fixação, deve ser realizado por
profissional legalmente habilitado.</t>
  </si>
  <si>
    <t>8.15.2 Os andaimes devem ser dimensionados e construídos de modo a suportar, com segurança, as cargas de trabalho a que estarão sujeitos.</t>
  </si>
  <si>
    <t>23 - Em caso das condições de utilização dos cabos de aço e cabos de fibra sintética, é respeitado o disposto no subitem 18.16 da NR 18</t>
  </si>
  <si>
    <t>Os cabos são inspecionados, testados e vistoriados semanalmente. Possuem formulário de checklist.</t>
  </si>
  <si>
    <t>É obrigatória a observância das condições de utilização, dimensionamento e conservação dos cabos de aço utilizados em obras de construção, conforme o disposto na norma técnica vigente NBR 6327/83 - Cabo de Aço/Usos Gerais da ABNT.</t>
  </si>
  <si>
    <t>24 - Em caso de serviços em flutuantes, é respeitado o disposto no subitem 18.19 da NR 18</t>
  </si>
  <si>
    <t>25 - O transporte coletivo de trabalhadores em veículos automotores dentro do canteiro ou fora dele, obedece o disposto no subitem 18.25</t>
  </si>
  <si>
    <t>26 - O canteiro de obras está sinalizado conforme o disposto no subitem 18.27 da NR 18 (sinalização de segurança)</t>
  </si>
  <si>
    <t>O canteiro de obras deve ser sinalizado com o objetivo de:
a) identificar os locais de apoio que compõem o canteiro de obras;
b) indicar as saídas por meio de dizeres ou setas;
c) manter comunicação através de avisos, cartazes ou similares;
d) advertir contra perigo de contato ou acionamento acidental com partes móveis das máquinas e equipamentos;
e) advertir quanto a risco de queda;
f) alertar quanto à obrigatoriedade do uso de EPI específico para a atividade executada, com a devida sinalização e advertência próximas ao posto de trabalho;
g) alertar quanto ao isolamento das áreas de transporte e circulação de materiais por grua, guincho e guindaste;
h) identificar acessos, circulação de veículos e equipamentos na obra.</t>
  </si>
  <si>
    <t>Todos os empregados devem receber treinamentos admissional e periódico, visando a garantir a execução de suas atividades com segurança.</t>
  </si>
  <si>
    <t>27 - Realização de treinamento de acordo com o subitem 18.28 da NR 18</t>
  </si>
  <si>
    <t>Os treinamentos são ministrados de acordo com o cronograma de cada operação.</t>
  </si>
  <si>
    <t>28 - Nos trabalhos realizados a céu aberto, são adotadas as medidas contidas na NR 21</t>
  </si>
  <si>
    <t>São adotadas medidas para proteger os trabalhadores contra insolação excessiva, calor, frio, umidade e ventos inconvenientes.</t>
  </si>
  <si>
    <t xml:space="preserve">Cumprir as exigências contidas na NR 21, são elas: instalação de tendas, cabines ou outra forma de abrigo, ainda que provisório, para que os trabalhadores se protejam em caso de chuva, vento ou sol forte. </t>
  </si>
  <si>
    <t>29 - São adotadas medidas de prevenção de incêndio, em conformidade com a legislação estadual e as normas técnicas aplicadas (NR 23, NBR 14276/2005)</t>
  </si>
  <si>
    <t>PA</t>
  </si>
  <si>
    <t>• Em elaboração um Plano de Emergência para atender princípios de incêndio que possam ocorrer nas instalações.
• Foram instalados extintores específicos em locais de fácil visualização, atendendo ao tipo de classe (A - BC - CB);
• É proibida a execução de serviços de soldagem e corte a quente nos locais próximos a armazenagem de produtos químicos inflamáveis e materiais com facilidade de queima;
• Será proibido fumar em locais fechados ou com aproximação de armazenagem de produtos químicos inflamáveis e materiais com facilidade de queima;
• Os locais onde se encontram os extintores estão sinalizados corretamente.</t>
  </si>
  <si>
    <t>• A sinalização apropriada de equipamentos de combate a incêndios deve estar a uma altura de 1,80m, medida do piso acabado à base da sinalização;
• A demarcação do solo deverá ser de um metro quadrado, em um campo vermelho de 70 cm² ladeado por faixas de 15 cm na cor amarela.
• Manter os extintores revisados e dentro da validade para que em caso de sinistro, os mesmos possam ser utilizados com segurança;
• Calcular a quantidade necessária de brigadistas para atendimento deste item, e treinar seu pessoal para emergência deste fim.</t>
  </si>
  <si>
    <t>30 - São estabelecidos requisitos mínimos para identificação de espaços confinados e o reconhecimento, avaliação, monitoramento e controle dos riscos existentes, garantindo permanentemente a segurança e a saúde dos trabalhadores que interagem direta ou indiretamente nestes espaços, segundo NR 33</t>
  </si>
  <si>
    <t>31 - Existem medidas de proteção para trabalho em altura envolvendo planejamento, organização e execução de forma a garantir a segurança e a saúde do trabalhador envolvido direta ou indiretamente nesta atividade, conforme NR 35</t>
  </si>
  <si>
    <t>Esta norma estabelece os requisitos mínimos e as medidas de proteção para o trabalho em altura, envolvendo o planejamento, a organização e a execução, de forma a garantir a segurança e a saúde dos trabalhadores envolvidos direta ou indiretamente com está atividade.</t>
  </si>
  <si>
    <t>Considera-se trabalho em altura toda atividade executada acima de 2,00 m (dois metros) do nível inferior, onde haja risco de queda.</t>
  </si>
  <si>
    <t>32 - A obra é sinalizada de acordo com o IPR 738/2010 - Manual de Sinalização de Obras e Emergências em Rodovias - DNIT</t>
  </si>
  <si>
    <t>A sinalização de obras tem como característica a utilização de sinais e elementos de sinalização vertical, horizontal, semafórica, de dispositivos e sinalizações auxiliares combinados. Desta forma, os usuários da via serão advertidos sobre a intervenção realizada e poderão identificar seu caráter temporário.</t>
  </si>
  <si>
    <t>A sinalização de segurança possibilita uma melhor organização na obra e oferece informações e orientações claras para os usuários da via. Portanto, é preciso sempre estar alerta a estas sinalizações, pois mesmo que muitas vezes o risco não pareça estar presente, ele ainda existe.
O Local da obra sempre deverá estar sinalizado.</t>
  </si>
  <si>
    <t>33 - São adotadas as medidas de segurança na execução de Pavimentação de Vias Urbanas</t>
  </si>
  <si>
    <t>34 - Uso de uniforme</t>
  </si>
  <si>
    <t>Os colaboradores da contratada, não estão utilizando uniforme de cor laranja, com a inscrição "A SERVIÇO DA SEDURB" nas costas.</t>
  </si>
  <si>
    <t>A contratada é obrigada a fornecer ao seu pessoal, uniforme na cor laranja, figurando nas costas dos mesmos a inscrição: "A SERVIÇO DA SEDURB", na cor preta e cobrar sua utilização aos trabalhadores.
O uniforme entende-se então por uma vestimenta adequada para o tipo de trabalho exercido, a fim de identificar melhor a própria equipe.</t>
  </si>
  <si>
    <t>35 - Sinalização de Segurança Pública</t>
  </si>
  <si>
    <t>PARECER CONCLUSIVO</t>
  </si>
  <si>
    <t>Conclui-se que o relatório no que tange a Verificação do Atendimento aos Procedimentos de Segurança, Higiene e Medicina do Trabalho, referente a Obra de Estação de Águas Pluviais (EBAP) Laranja está adequado.
Atentar-se para as corretas soluções dos itens descrito neste relatório com as recomendações, que são de extrema importância para a preservação da saúde e segurança dos colaboradores direta e indiretamente na execução do serviço prestados.</t>
  </si>
  <si>
    <t xml:space="preserve">Avaliar o cumprimento das recomendações dispostas nos itens:
01 - Os Procedimentos de Segurança, Higiene e Medicina do Trabalho estão de acordo as Normas Regulamentadoras. 
02 - De acordo com informações passadas pela empresa os Treinamentos de Segurança estão sendo realizados pelo Setor responsável da empresa.
                  </t>
  </si>
  <si>
    <r>
      <rPr>
        <b/>
        <sz val="10"/>
        <color theme="1"/>
        <rFont val="Arial"/>
        <family val="2"/>
      </rPr>
      <t>NR:</t>
    </r>
    <r>
      <rPr>
        <sz val="10"/>
        <color theme="1"/>
        <rFont val="Arial"/>
        <family val="2"/>
      </rPr>
      <t xml:space="preserve"> Normas Regulamentadoras de Segurança e Saúde no Trabalho do Ministério do Trabalho e Emprego
</t>
    </r>
    <r>
      <rPr>
        <b/>
        <sz val="10"/>
        <color theme="1"/>
        <rFont val="Arial"/>
        <family val="2"/>
      </rPr>
      <t>NR 04</t>
    </r>
    <r>
      <rPr>
        <sz val="10"/>
        <color theme="1"/>
        <rFont val="Arial"/>
        <family val="2"/>
      </rPr>
      <t xml:space="preserve"> - Serviços Especializados em Engenharia de Segurança e em Medicina do Trabalho
</t>
    </r>
    <r>
      <rPr>
        <b/>
        <sz val="10"/>
        <color theme="1"/>
        <rFont val="Arial"/>
        <family val="2"/>
      </rPr>
      <t>NR 05</t>
    </r>
    <r>
      <rPr>
        <sz val="10"/>
        <color theme="1"/>
        <rFont val="Arial"/>
        <family val="2"/>
      </rPr>
      <t xml:space="preserve"> - Comissão Interna de Prevenção de Acidentes
</t>
    </r>
    <r>
      <rPr>
        <b/>
        <sz val="10"/>
        <color theme="1"/>
        <rFont val="Arial"/>
        <family val="2"/>
      </rPr>
      <t>NR 06</t>
    </r>
    <r>
      <rPr>
        <sz val="10"/>
        <color theme="1"/>
        <rFont val="Arial"/>
        <family val="2"/>
      </rPr>
      <t xml:space="preserve"> - Equipamentos de Proteção Individual
</t>
    </r>
    <r>
      <rPr>
        <b/>
        <sz val="10"/>
        <color theme="1"/>
        <rFont val="Arial"/>
        <family val="2"/>
      </rPr>
      <t>NR 07</t>
    </r>
    <r>
      <rPr>
        <sz val="10"/>
        <color theme="1"/>
        <rFont val="Arial"/>
        <family val="2"/>
      </rPr>
      <t xml:space="preserve"> - Programa de Controle Médico de Saúde Ocupacional
</t>
    </r>
    <r>
      <rPr>
        <b/>
        <sz val="10"/>
        <color theme="1"/>
        <rFont val="Arial"/>
        <family val="2"/>
      </rPr>
      <t>NR 09</t>
    </r>
    <r>
      <rPr>
        <sz val="10"/>
        <color theme="1"/>
        <rFont val="Arial"/>
        <family val="2"/>
      </rPr>
      <t xml:space="preserve"> - Programa de Prevenção de Riscos Ambientais
</t>
    </r>
    <r>
      <rPr>
        <b/>
        <sz val="10"/>
        <color theme="1"/>
        <rFont val="Arial"/>
        <family val="2"/>
      </rPr>
      <t>NR 10</t>
    </r>
    <r>
      <rPr>
        <sz val="10"/>
        <color theme="1"/>
        <rFont val="Arial"/>
        <family val="2"/>
      </rPr>
      <t xml:space="preserve"> - Segurança em Instalações e Serviços em Eletricidade
</t>
    </r>
    <r>
      <rPr>
        <b/>
        <sz val="10"/>
        <color theme="1"/>
        <rFont val="Arial"/>
        <family val="2"/>
      </rPr>
      <t>NR 11</t>
    </r>
    <r>
      <rPr>
        <sz val="10"/>
        <color theme="1"/>
        <rFont val="Arial"/>
        <family val="2"/>
      </rPr>
      <t xml:space="preserve"> - Transporte, Movimentação, Armazenagem e Manuseio de Materiais
</t>
    </r>
    <r>
      <rPr>
        <b/>
        <sz val="10"/>
        <color theme="1"/>
        <rFont val="Arial"/>
        <family val="2"/>
      </rPr>
      <t>NR 12</t>
    </r>
    <r>
      <rPr>
        <sz val="10"/>
        <color theme="1"/>
        <rFont val="Arial"/>
        <family val="2"/>
      </rPr>
      <t xml:space="preserve"> - Segurança no Trabalho em Máquinas e Equipamentos
</t>
    </r>
    <r>
      <rPr>
        <b/>
        <sz val="10"/>
        <color theme="1"/>
        <rFont val="Arial"/>
        <family val="2"/>
      </rPr>
      <t>NR 15</t>
    </r>
    <r>
      <rPr>
        <sz val="10"/>
        <color theme="1"/>
        <rFont val="Arial"/>
        <family val="2"/>
      </rPr>
      <t xml:space="preserve"> - Atividades e Operações Insalubres
</t>
    </r>
    <r>
      <rPr>
        <b/>
        <sz val="10"/>
        <color theme="1"/>
        <rFont val="Arial"/>
        <family val="2"/>
      </rPr>
      <t>NR 17</t>
    </r>
    <r>
      <rPr>
        <sz val="10"/>
        <color theme="1"/>
        <rFont val="Arial"/>
        <family val="2"/>
      </rPr>
      <t xml:space="preserve"> - Ergonomia
</t>
    </r>
    <r>
      <rPr>
        <b/>
        <sz val="10"/>
        <color theme="1"/>
        <rFont val="Arial"/>
        <family val="2"/>
      </rPr>
      <t>NR 18</t>
    </r>
    <r>
      <rPr>
        <sz val="10"/>
        <color theme="1"/>
        <rFont val="Arial"/>
        <family val="2"/>
      </rPr>
      <t xml:space="preserve"> - Condições e Meio Ambiente de Trabalho na Indústria da Construção
</t>
    </r>
    <r>
      <rPr>
        <b/>
        <sz val="10"/>
        <color theme="1"/>
        <rFont val="Arial"/>
        <family val="2"/>
      </rPr>
      <t>NR 21</t>
    </r>
    <r>
      <rPr>
        <sz val="10"/>
        <color theme="1"/>
        <rFont val="Arial"/>
        <family val="2"/>
      </rPr>
      <t xml:space="preserve"> - Trabalhos a Céu Aberto
</t>
    </r>
    <r>
      <rPr>
        <b/>
        <sz val="10"/>
        <color theme="1"/>
        <rFont val="Arial"/>
        <family val="2"/>
      </rPr>
      <t>NR 23</t>
    </r>
    <r>
      <rPr>
        <sz val="10"/>
        <color theme="1"/>
        <rFont val="Arial"/>
        <family val="2"/>
      </rPr>
      <t xml:space="preserve"> - Proteção contra Incêndios
</t>
    </r>
    <r>
      <rPr>
        <b/>
        <sz val="10"/>
        <color theme="1"/>
        <rFont val="Arial"/>
        <family val="2"/>
      </rPr>
      <t>NR 33</t>
    </r>
    <r>
      <rPr>
        <sz val="10"/>
        <color theme="1"/>
        <rFont val="Arial"/>
        <family val="2"/>
      </rPr>
      <t xml:space="preserve"> - Segurança e Saúde nos Trabalhos em Espaços Confinados
</t>
    </r>
    <r>
      <rPr>
        <b/>
        <sz val="10"/>
        <color theme="1"/>
        <rFont val="Arial"/>
        <family val="2"/>
      </rPr>
      <t>NR 35</t>
    </r>
    <r>
      <rPr>
        <sz val="10"/>
        <color theme="1"/>
        <rFont val="Arial"/>
        <family val="2"/>
      </rPr>
      <t xml:space="preserve"> - Trabalho em Altura
</t>
    </r>
    <r>
      <rPr>
        <b/>
        <sz val="10"/>
        <color theme="1"/>
        <rFont val="Arial"/>
        <family val="2"/>
      </rPr>
      <t xml:space="preserve">Dimensionamento de CIPA: </t>
    </r>
    <r>
      <rPr>
        <sz val="10"/>
        <color theme="1"/>
        <rFont val="Arial"/>
        <family val="2"/>
      </rPr>
      <t>De acordo com o CNAE - Classificação Nacional de Atividades Econômicas da empresa, encontra-se o agrupamento de setores no Quadro II da NR 05. Junta-se o agrupamento de CNAE e o número de funcionários para a verificação no Quadro 1 da NR 05 sobre necessidade ou não do estabelecimento da CIPA.</t>
    </r>
  </si>
  <si>
    <t>14.1.1.  Checklist de Padrões e Rotinas de Inspeção Planejadas de Segurança</t>
  </si>
  <si>
    <t>INSPEÇÃO</t>
  </si>
  <si>
    <t xml:space="preserve">SIM </t>
  </si>
  <si>
    <t>NÃO</t>
  </si>
  <si>
    <t>NSA=NÃO SE APLICA</t>
  </si>
  <si>
    <t>Todo o pessoal da obra possui EPI?</t>
  </si>
  <si>
    <t>X</t>
  </si>
  <si>
    <t>Nos trabalhos em esmeril e lixadeira, o operador utiliza óculos de segurança?</t>
  </si>
  <si>
    <t>Todos os trabalhadores possuem capacete?</t>
  </si>
  <si>
    <t>São distribuídos regularmente o EPI?</t>
  </si>
  <si>
    <t>As luvas dos trabalhadores estão em boas condições?</t>
  </si>
  <si>
    <t>Todos os trabalhadores utilizam calçados de segurança?</t>
  </si>
  <si>
    <t>Todos os EPI's são inspecionados eventualmente?</t>
  </si>
  <si>
    <t>Os soldadores utilizam EPI adequado?</t>
  </si>
  <si>
    <t>As pessoas que trabalham em atividade sujeitas a níveis de ruído acima dos permitidos pela NR15 utilizam protetor auricular?</t>
  </si>
  <si>
    <t>Nos trabalhos em que haja perigo de queda, os trabalhadores utilizam cinto de 
segurança?</t>
  </si>
  <si>
    <t>A empresa possui em seu arquivo registro de CA e CRF dos EPI's utilizados?</t>
  </si>
  <si>
    <t>Todos os EPI's adquiridos para uso dos trabalhadores possuem CA de acordo com as exigências do Ministério do Trabalho e Emprego?</t>
  </si>
  <si>
    <t>Os novos trabalhadores recebem instruções de segurança?</t>
  </si>
  <si>
    <t>As ferramentas utilizadas pelo operador estão em bom estado?</t>
  </si>
  <si>
    <t>As ferramentas utilizadas pelo operador são adequadas para cada serviço?</t>
  </si>
  <si>
    <t>As ferramentas consideradas perigosas são guardadas em lugar seguro?</t>
  </si>
  <si>
    <t>Os profissionais são treinados ou orientados para utilizar ferramentas especiais?</t>
  </si>
  <si>
    <t>As ferramentas manuais são portadas em caixas, sacolas ou cintos apropriados?</t>
  </si>
  <si>
    <t>As ferramentas pneumáticas portáteis dispõem de dispositivos de partida instalados de modo a reduzir ao mínimo a possibilidade de funcionamento acidental?</t>
  </si>
  <si>
    <t>As pessoas forçam as ferramentas além de sua capacidade?</t>
  </si>
  <si>
    <t>Os operadores das máquinas e equipamentos são treinados para operá-los?</t>
  </si>
  <si>
    <t>As máquinas e equipamentos estão em bom estado?</t>
  </si>
  <si>
    <t>As máquinas e equipamentos sofrem manutenção preventiva periódica?</t>
  </si>
  <si>
    <t>Os botões de parada de emergência das máquinas e equipamentos são visíveis e estão situados próximos ao operador?</t>
  </si>
  <si>
    <t>As máquinas possuem proteção das correias?</t>
  </si>
  <si>
    <t>As máquinas possuem proteção nas engrenagens?</t>
  </si>
  <si>
    <t>A instalação elétrica da máquina possui aterramento?</t>
  </si>
  <si>
    <t>Apenas trabalhadores habilitados operam as máquinas?</t>
  </si>
  <si>
    <t>Ao consertar partes da máquina, o operador desliga a chave geral?</t>
  </si>
  <si>
    <t>As áreas de circulação e os espaços em torno das máquinas e equipamentos são mantidos desobstruídos?</t>
  </si>
  <si>
    <t>A inspeção e a manutenção das máquinas e equipamentos são realizadas por profissionais autorizados?</t>
  </si>
  <si>
    <t>Nos equipamentos como guindastes e pontes rolantes, os cabos de aço são periodicamente examinados?</t>
  </si>
  <si>
    <t>Quando um equipamento de levantamento não estiver em operação, a lança está colocada em posição de descanso?</t>
  </si>
  <si>
    <t>Costuma-se verificar o transporte inadequado de trabalhadores?</t>
  </si>
  <si>
    <t>A entrada de veículos é controlada na entrada ou no canteiro de obra?</t>
  </si>
  <si>
    <t>O pessoal respeita a velocidade máxima permitida?</t>
  </si>
  <si>
    <t>Os veículos de transporte de carga são devidamente sinalizados?</t>
  </si>
  <si>
    <t>Os motoristas dos veículos utilizam cinto de segurança?</t>
  </si>
  <si>
    <t>Os veículos estão em bom estado de conservação?</t>
  </si>
  <si>
    <t>Os motoristas são pessoas habilitadas para dirigir veículos?</t>
  </si>
  <si>
    <t>A documentação do veículo está em dia?</t>
  </si>
  <si>
    <t>Os veículos têm equipamento contra incêndio?</t>
  </si>
  <si>
    <t>Todos os veículos autorizados são da empresa?</t>
  </si>
  <si>
    <t>Tudo é guardado em seu devido lugar?</t>
  </si>
  <si>
    <t>Há profissionais que fazem a limpeza do canteiro?</t>
  </si>
  <si>
    <t>Os corredores e as passagens estão desimpedidas e sem obstáculos?</t>
  </si>
  <si>
    <t>Existem latas de lixo distribuídas pela área?</t>
  </si>
  <si>
    <t>Os produtos químicos considerados perigosos estão convenientemente guardados?</t>
  </si>
  <si>
    <t>O chão está isento de respingos ou manchas de óleo que sejam considerados perigosos?</t>
  </si>
  <si>
    <t>As paredes estão limpas?</t>
  </si>
  <si>
    <t>A água que o pessoal bebe é tratada?</t>
  </si>
  <si>
    <t>No local de trabalho utilizam-se copos descartáveis?</t>
  </si>
  <si>
    <t>Há lavatórios em quantidade suficiente?</t>
  </si>
  <si>
    <t>Há sanitários em quantidade suficiente?</t>
  </si>
  <si>
    <t>É realizada a limpeza diária nos lavatórios e sanitários?</t>
  </si>
  <si>
    <t>Há chuveiros em quantidade suficiente?</t>
  </si>
  <si>
    <t>Cada trabalhador tem seu armário?</t>
  </si>
  <si>
    <t>O refeitório atende as exigências sanitárias?</t>
  </si>
  <si>
    <t>Os extintores de incêndio encontram-se em lugar visível e de fácil acesso?</t>
  </si>
  <si>
    <t>Todos os extintores estão carregados?</t>
  </si>
  <si>
    <t>Há extintores em quantidade suficiente?</t>
  </si>
  <si>
    <t>O lugar do extintor é sinalizado?</t>
  </si>
  <si>
    <t>Existe brigada de incêndio?</t>
  </si>
  <si>
    <t>Os extintores são revisados anualmente?</t>
  </si>
  <si>
    <t>Há saída de emergência?</t>
  </si>
  <si>
    <t>x</t>
  </si>
  <si>
    <t>O pessoal é treinado para emergência dessa natureza?</t>
  </si>
  <si>
    <t>O número de telefone do corpo de bombeiros está à vista de todos os trabalhadores?</t>
  </si>
  <si>
    <t>Os materiais inflamáveis estão convenientemente isolados?</t>
  </si>
  <si>
    <t>O latão de resíduos inflamáveis, como estopa, trapos sujos de óleo etc., possui tampa protetora?</t>
  </si>
  <si>
    <t>O transporte dos cilindros, nas atividades de solda, é realizado em carrinho ou de forma adequada?</t>
  </si>
  <si>
    <t>Os cilindros são utilizados em pé?</t>
  </si>
  <si>
    <t>Há material de fácil combustão próximo ao local dos serviços de solda?</t>
  </si>
  <si>
    <t>Quem executa os serviços de corte com maçarico é profissional habilitado?</t>
  </si>
  <si>
    <t>O maçariqueiro usa roupas adequadas ao serviço (EPI)?</t>
  </si>
  <si>
    <t>Costuma-se verificar periodicamente o estado de cabos, estropos, manilhas e moitões?</t>
  </si>
  <si>
    <t>Os veículos de içamento de cargas, possuem sinal sonoro?</t>
  </si>
  <si>
    <t>Os locais em torno dos trabalhos de içamento de carga estão isolados?</t>
  </si>
  <si>
    <t>Utiliza-se cabo guia para reduzir o balanço e melhorar o direcionamento da carga suspensa?</t>
  </si>
  <si>
    <t>O trabalhador que executa suas atividades em altura, utiliza cintos de segurança?</t>
  </si>
  <si>
    <t>O trabalhador que opera em alturas amarra as ferramentas?</t>
  </si>
  <si>
    <t>O material utilizado para a construção de andaimes está em boas condições?</t>
  </si>
  <si>
    <t>Os andaimes possuem guarda corpo?</t>
  </si>
  <si>
    <t>Todos os trabalhadores utilizam uniforme tipo brim sol a sol?</t>
  </si>
  <si>
    <t>Possui equipamentos para isolamento e sinalização da área?</t>
  </si>
  <si>
    <t>Os equipamentos para sinalização e isolamento estão em bom estado de conservação?</t>
  </si>
  <si>
    <t>As escavações com mais de 1,25m de profundidade possuem escadas ou rampas para saída dos trabalhadores?</t>
  </si>
  <si>
    <t>O PCMSO de todos os empregados estão atualizados e disponíveis?</t>
  </si>
  <si>
    <t>Há caixa com materiais de primeiros socorros e de fácil acesso para os empregados?</t>
  </si>
  <si>
    <t>Há mapa de risco no ambiente analisado?</t>
  </si>
  <si>
    <t>O mapa de risco está atualizado?</t>
  </si>
  <si>
    <t>Há cartazes sobre "Proibido Fumar" dentro do ambiente analisado?</t>
  </si>
  <si>
    <t>Instalações elétricas, máquinas e equipamentos se encontram eletricamente aterrados conforme as normas técnicas oficiais vigentes?</t>
  </si>
  <si>
    <t>Há no departamento instalações elétricas que possam eventualmente ficar em contato com água?</t>
  </si>
  <si>
    <t>Há cabos e fios pelo chão, em local de tráfego de pessoas ou veículos de transporte?</t>
  </si>
  <si>
    <t>Os veículos, máquinas e equipamentos estão estacionados de ré?</t>
  </si>
  <si>
    <r>
      <rPr>
        <b/>
        <sz val="12"/>
        <color theme="1"/>
        <rFont val="Arial"/>
        <family val="2"/>
      </rPr>
      <t>INFORMAÇÕES</t>
    </r>
    <r>
      <rPr>
        <sz val="12"/>
        <color theme="1"/>
        <rFont val="Arial"/>
        <family val="2"/>
      </rPr>
      <t xml:space="preserve">: Visita de Inspeção semanal pelo Engº Residente. </t>
    </r>
  </si>
  <si>
    <t>14.2 Verificação do Atendimento aos Procedimentos Ambientais</t>
  </si>
  <si>
    <t>1. Captação/abastecimento de água</t>
  </si>
  <si>
    <t>O abastecimento de água será realizada pela CESAN.</t>
  </si>
  <si>
    <t>Sem recomendações</t>
  </si>
  <si>
    <t>2. Rede de esgotos sanitários</t>
  </si>
  <si>
    <t>É utilizado na obra o sistema de Biodigestor, equipamento compacto para tratamento de esgoto sanitário.</t>
  </si>
  <si>
    <t xml:space="preserve">Por se tratar de um biodigestor Fortlev, caracterizado como uma Estação Compacta de Tratamento de Esgoto Doméstico, deverá ser realizada a manutenção considerando o manual técnico do equipamento. </t>
  </si>
  <si>
    <t>3. Disposição e destinação de resíduos sólidos urbanos</t>
  </si>
  <si>
    <t>Conforme constatado em vistoria, a empresa está cumprindo o disposto no Plano de Gerenciamento de Resíduos Sólidos da obra. Resíduos sólidos urbanos são enviados a coleta pública municipal.</t>
  </si>
  <si>
    <t xml:space="preserve">Sempre orientar os funcionários para que realize a destinação adequada dos resíduos gerados no canteiro de obras e frente de obras. </t>
  </si>
  <si>
    <t>4. Condições de segurança de produtos perigosos (tanques de combustíveis, lubrificantes, tintas, solventes, óleos etc.)</t>
  </si>
  <si>
    <t xml:space="preserve">Os produtos estão armazenados corretamente no canteiro de obras, dotados de cobertura, piso impermeabilizado e presença de barreira de contenção.
</t>
  </si>
  <si>
    <r>
      <t xml:space="preserve">É importante </t>
    </r>
    <r>
      <rPr>
        <u/>
        <sz val="11"/>
        <color rgb="FF000000"/>
        <rFont val="Arial"/>
        <family val="2"/>
      </rPr>
      <t>se atentar</t>
    </r>
    <r>
      <rPr>
        <sz val="11"/>
        <color rgb="FF000000"/>
        <rFont val="Arial"/>
        <family val="2"/>
      </rPr>
      <t xml:space="preserve"> a qualquer derramamento de óleo no</t>
    </r>
    <r>
      <rPr>
        <u/>
        <sz val="11"/>
        <color rgb="FF000000"/>
        <rFont val="Arial"/>
        <family val="2"/>
      </rPr>
      <t xml:space="preserve"> momento do reabastecimento do gerador</t>
    </r>
    <r>
      <rPr>
        <sz val="11"/>
        <color rgb="FF000000"/>
        <rFont val="Arial"/>
        <family val="2"/>
      </rPr>
      <t>, utilizando bacia de contenção na margem para evitar vazamentos, e realizar impermeabilização da área em caso de derramamento de óleo.</t>
    </r>
  </si>
  <si>
    <t>5. Áreas sujeitas a empoçamentos</t>
  </si>
  <si>
    <t>Não foram verificadas áreas empoçadas na data da vistoria.</t>
  </si>
  <si>
    <t>Sem recomendações.</t>
  </si>
  <si>
    <t>6. Umectação das vias sujeitas à poeira</t>
  </si>
  <si>
    <t>Sem ocorrências na data da vistoria.</t>
  </si>
  <si>
    <t>Realizar a umectação das vias sempre que constatado presença de particulado.</t>
  </si>
  <si>
    <t>7. Velocidade de veículos e máquinas envolvidos na construção</t>
  </si>
  <si>
    <t>Trânsito de veículos adequadamente em velocidade reduzida.</t>
  </si>
  <si>
    <t>Manter a área sempre sinalizada com placas de sinalização, cones, entre outros dispositivos de segurança, tornando assim o local seguro.</t>
  </si>
  <si>
    <t>8. Carregamento dos veículos para transporte de material (peso e cobertura)</t>
  </si>
  <si>
    <t>Não foram observadas irregularidades na obra neste mês de referência.</t>
  </si>
  <si>
    <t>É importante que sempre seja realizada a cobertura da carroceria dos caminhões caçamba.</t>
  </si>
  <si>
    <t>9. Circulação de transeuntes em vias com obra</t>
  </si>
  <si>
    <t>Não foram verificadas irregularidades na obra neste mês de referência.</t>
  </si>
  <si>
    <t>Todo trecho em obras está sinalizado com placas, cones, entre outros dispositivos de segurança.</t>
  </si>
  <si>
    <t>10. Geração de ruídos e vibrações por máquinas e equipamentos</t>
  </si>
  <si>
    <t xml:space="preserve">Não foram observadas irregularidades na obra neste mês de referência. </t>
  </si>
  <si>
    <t>Dar continuidade nas ações de controle ambiental para mitigar os impactos de emissão de gases e ruídos dos equipamentos, máquinas e veículos.</t>
  </si>
  <si>
    <t>11. Disposição e destinação de resíduos da Construção Civil</t>
  </si>
  <si>
    <t>I</t>
  </si>
  <si>
    <t>Está pendente envio de documentação comprobatória solicitada quanto a destinação de resíduos ou justificativa se houve ou não escavação para o período em referência, até a data deste relatório de verificação ambiental (03/03/23).</t>
  </si>
  <si>
    <t>Apresentar as licenças ambientais das empresas responsáveis pelo transporte e disposição final. E atentar às condicionantes ambientais que tratam do gerenciamento de resíduos sólidos, observando sempre os prazos periódicos estipulados para apresentação junto a fiscalizadora e ao órgão competente, e que constam na licença da obra.</t>
  </si>
  <si>
    <t>12. Sinalização de área de restrição/vigilância patrimonial</t>
  </si>
  <si>
    <t xml:space="preserve">Executado pela Empresa DP Barros conforme verificado em vistoria. </t>
  </si>
  <si>
    <t>13. Utilização de canteiro de obras em área devidamente autorizada ou licenciadas pelo órgão competente</t>
  </si>
  <si>
    <t>O canteiro de obras está contemplado na licença emitida pelo IEMA Nº 68991266 - LI - GSIM/CRSS/Nº 34/2021/Classe IV.</t>
  </si>
  <si>
    <t xml:space="preserve">Caso haja alteração das atividades informadas na aquisição da licença ambiental, estas deverão ser informadas ao órgão ambiental competente, para providências cabíveis. </t>
  </si>
  <si>
    <t>Com base em Inspeção de Supervisão Técnica, quanto ao cumprimento de procedimentos.</t>
  </si>
  <si>
    <t>Analisar as demais recomendações.</t>
  </si>
  <si>
    <t>15.   CRONOGRAMA GERAL DAS INSPEÇÕES</t>
  </si>
  <si>
    <t>OBRAS</t>
  </si>
  <si>
    <t>Execução das Obras de Construção do Sistema de Bombeamento de Águas Pluviais do Região do bairro Pontal das Graças, paralelamente ao “Canal do Dique”</t>
  </si>
  <si>
    <t>S</t>
  </si>
  <si>
    <t>D</t>
  </si>
  <si>
    <t>ATUALIZADO</t>
  </si>
  <si>
    <t>PREENCHER OS DIAS ONDE OCORRERAM VISITA</t>
  </si>
  <si>
    <t>Responsável Técnico:</t>
  </si>
  <si>
    <t>Previsão de Inspeção de Campo</t>
  </si>
  <si>
    <r>
      <rPr>
        <b/>
        <sz val="12"/>
        <color theme="1"/>
        <rFont val="Arial"/>
        <family val="2"/>
      </rPr>
      <t>André Luiz de Oliveira Junior</t>
    </r>
    <r>
      <rPr>
        <sz val="12"/>
        <color theme="1"/>
        <rFont val="Arial"/>
        <family val="2"/>
      </rPr>
      <t xml:space="preserve"> - Engº Planejamento</t>
    </r>
  </si>
  <si>
    <t>Inspeção Realizada (Engº Residente na obra)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</si>
  <si>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</si>
  <si>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17.   CHECKLIST - ITENS MÍNIMOS A SEREM CONTEMPLADOS NO CMRF 03</t>
  </si>
  <si>
    <t>Atende</t>
  </si>
  <si>
    <t>Não Atende</t>
  </si>
  <si>
    <t>Não se Aplica</t>
  </si>
  <si>
    <t>Observação</t>
  </si>
  <si>
    <r>
      <rPr>
        <b/>
        <sz val="12"/>
        <color theme="1"/>
        <rFont val="Arial"/>
        <family val="2"/>
      </rPr>
      <t>a.</t>
    </r>
    <r>
      <rPr>
        <sz val="12"/>
        <color theme="1"/>
        <rFont val="Arial"/>
        <family val="2"/>
      </rPr>
      <t xml:space="preserve"> A quantificação e o orçamento dos serviços realizados no período, de acordo com a planilha orçamentária do contrato;</t>
    </r>
  </si>
  <si>
    <t>Item 12 do presente relatório CMRF 03/0921-21.</t>
  </si>
  <si>
    <r>
      <rPr>
        <b/>
        <sz val="12"/>
        <color theme="1"/>
        <rFont val="Arial"/>
        <family val="2"/>
      </rPr>
      <t>b.</t>
    </r>
    <r>
      <rPr>
        <sz val="12"/>
        <color theme="1"/>
        <rFont val="Arial"/>
        <family val="2"/>
      </rPr>
      <t xml:space="preserve"> Memória de cálculo de cada quantidade, através planilhas de cálculos de áreas de forma, volumes de concreto, pesos de aço, sondagens e Classificação de materiais escavados, fichas de controle de escavação de estacas etc;</t>
    </r>
  </si>
  <si>
    <r>
      <rPr>
        <b/>
        <sz val="12"/>
        <color theme="1"/>
        <rFont val="Arial"/>
        <family val="2"/>
      </rPr>
      <t>c.</t>
    </r>
    <r>
      <rPr>
        <sz val="12"/>
        <color theme="1"/>
        <rFont val="Arial"/>
        <family val="2"/>
      </rPr>
      <t xml:space="preserve"> Resultados de ensaios de resistência dos materiais (concreto e aço);</t>
    </r>
  </si>
  <si>
    <t>Sem observações.</t>
  </si>
  <si>
    <r>
      <rPr>
        <b/>
        <sz val="12"/>
        <color theme="1"/>
        <rFont val="Arial"/>
        <family val="2"/>
      </rPr>
      <t xml:space="preserve">d. </t>
    </r>
    <r>
      <rPr>
        <sz val="12"/>
        <color theme="1"/>
        <rFont val="Arial"/>
        <family val="2"/>
      </rPr>
      <t>Relatório fotográfico com registro georreferenciado dos serviços executados no período da medição;</t>
    </r>
  </si>
  <si>
    <r>
      <rPr>
        <b/>
        <sz val="12"/>
        <color theme="1"/>
        <rFont val="Arial"/>
        <family val="2"/>
      </rPr>
      <t xml:space="preserve">e. </t>
    </r>
    <r>
      <rPr>
        <sz val="12"/>
        <color theme="1"/>
        <rFont val="Arial"/>
        <family val="2"/>
      </rPr>
      <t>Relatórios de batimetria, quando for o caso;</t>
    </r>
  </si>
  <si>
    <r>
      <rPr>
        <b/>
        <sz val="12"/>
        <color theme="1"/>
        <rFont val="Arial"/>
        <family val="2"/>
      </rPr>
      <t xml:space="preserve">f. </t>
    </r>
    <r>
      <rPr>
        <sz val="12"/>
        <color theme="1"/>
        <rFont val="Arial"/>
        <family val="2"/>
      </rPr>
      <t>Apropriação de transporte, através de contagem e cubagem de caminhões.</t>
    </r>
  </si>
  <si>
    <r>
      <rPr>
        <b/>
        <sz val="12"/>
        <color theme="1"/>
        <rFont val="Arial"/>
        <family val="2"/>
      </rPr>
      <t>g.</t>
    </r>
    <r>
      <rPr>
        <sz val="12"/>
        <color theme="1"/>
        <rFont val="Arial"/>
        <family val="2"/>
      </rPr>
      <t xml:space="preserve"> Informações para aplicação da Norma para Avaliação de Desempenho na Execução de Obras e Serviços de Engenharia Nº DER-ES CR 129/2018;</t>
    </r>
  </si>
  <si>
    <t>No relatório RTPE 03/0921-35.</t>
  </si>
  <si>
    <r>
      <rPr>
        <b/>
        <sz val="12"/>
        <color theme="1"/>
        <rFont val="Arial"/>
        <family val="2"/>
      </rPr>
      <t xml:space="preserve">h. </t>
    </r>
    <r>
      <rPr>
        <sz val="12"/>
        <color theme="1"/>
        <rFont val="Arial"/>
        <family val="2"/>
      </rPr>
      <t>Informações tabuladas para alimentação do GEO-OBRAS;</t>
    </r>
  </si>
  <si>
    <r>
      <rPr>
        <b/>
        <sz val="12"/>
        <color theme="1"/>
        <rFont val="Arial"/>
        <family val="2"/>
      </rPr>
      <t>i.</t>
    </r>
    <r>
      <rPr>
        <sz val="12"/>
        <color theme="1"/>
        <rFont val="Arial"/>
        <family val="2"/>
      </rPr>
      <t xml:space="preserve"> Coletânea de documentos que devem acompanhar a medição de serviço, segundo instrução do DER-ES.</t>
    </r>
  </si>
  <si>
    <t xml:space="preserve">17.   CHECKLIST - ITENS MÍNIMOS A SEREM CONTEMPLADOS NO CMRF </t>
  </si>
  <si>
    <r>
      <rPr>
        <b/>
        <sz val="12"/>
        <color theme="1"/>
        <rFont val="Arial"/>
        <family val="2"/>
      </rPr>
      <t>a.</t>
    </r>
    <r>
      <rPr>
        <sz val="12"/>
        <color theme="1"/>
        <rFont val="Arial"/>
        <family val="2"/>
      </rPr>
      <t xml:space="preserve"> Verificação da efetividade dos procedimentos de Segurança, Meio Ambiente e Medicina do Trabalho;</t>
    </r>
  </si>
  <si>
    <t>Avaliação Técnica descrita no item 14.2 deste relatório.</t>
  </si>
  <si>
    <r>
      <rPr>
        <b/>
        <sz val="12"/>
        <color theme="1"/>
        <rFont val="Arial"/>
        <family val="2"/>
      </rPr>
      <t>b.</t>
    </r>
    <r>
      <rPr>
        <sz val="12"/>
        <color theme="1"/>
        <rFont val="Arial"/>
        <family val="2"/>
      </rPr>
      <t xml:space="preserve"> Registro das ações desenvolvidas pela executante, quanto os procedimentos de higiene e segurança no trabalho, a juízo da fiscalização, e em conformidade com as normas técnicas vigentes, podem ser consideradas ações adequadas, inadequadas ou parcialmente adequadas;</t>
    </r>
  </si>
  <si>
    <r>
      <rPr>
        <b/>
        <sz val="12"/>
        <color theme="1"/>
        <rFont val="Arial"/>
        <family val="2"/>
      </rPr>
      <t>c.</t>
    </r>
    <r>
      <rPr>
        <sz val="12"/>
        <color theme="1"/>
        <rFont val="Arial"/>
        <family val="2"/>
      </rPr>
      <t xml:space="preserve"> No caso das ações de higiene e segurança no trabalho serem consideradas pela fiscalização “inadequadas”, deve ser suspensa a
execução do serviço com defeito ou vício até o completo saneamento das irregularidades;</t>
    </r>
  </si>
  <si>
    <r>
      <rPr>
        <b/>
        <sz val="12"/>
        <color theme="1"/>
        <rFont val="Arial"/>
        <family val="2"/>
      </rPr>
      <t xml:space="preserve">d. </t>
    </r>
    <r>
      <rPr>
        <sz val="12"/>
        <color theme="1"/>
        <rFont val="Arial"/>
        <family val="2"/>
      </rPr>
      <t>No caso das ações de higiene e segurança no trabalho serem consideradas como “parcialmente adequadas”, após consulta aos profissionais habilitados da DER-ES, deve ser definido prazo limite para sua completa conformidade;</t>
    </r>
  </si>
  <si>
    <t>Avaliação Técnica descrita no item 14.1.1 deste relatório.</t>
  </si>
  <si>
    <r>
      <t>e.</t>
    </r>
    <r>
      <rPr>
        <sz val="12"/>
        <color theme="1"/>
        <rFont val="Arial"/>
        <family val="2"/>
      </rPr>
      <t xml:space="preserve"> Verificação do cumprimento de convenções ou acordos coletivos de trabalho conforme disposto no § 1º do Artigo 611 da Consolidação das Leis do Trabalho
(CLT);</t>
    </r>
  </si>
  <si>
    <r>
      <t xml:space="preserve">f. </t>
    </r>
    <r>
      <rPr>
        <sz val="12"/>
        <color theme="1"/>
        <rFont val="Arial"/>
        <family val="2"/>
      </rPr>
      <t>Verificação do cumprimento das demais obrigações trabalhistas, previdenciárias e fiscais;</t>
    </r>
  </si>
  <si>
    <r>
      <rPr>
        <b/>
        <sz val="12"/>
        <color theme="1"/>
        <rFont val="Arial"/>
        <family val="2"/>
      </rPr>
      <t>g.</t>
    </r>
    <r>
      <rPr>
        <sz val="12"/>
        <color theme="1"/>
        <rFont val="Arial"/>
        <family val="2"/>
      </rPr>
      <t xml:space="preserve"> Informação, através do preenchimento da Declaração dos Documentos Digitalizados, conforme IS Nº 003-N do DER-ES, da condição do conteúdo dos documentos de medição, sendo “aprovado”, “não aprovado” ou “documento faltante”;</t>
    </r>
  </si>
  <si>
    <r>
      <rPr>
        <b/>
        <sz val="12"/>
        <color theme="1"/>
        <rFont val="Arial"/>
        <family val="2"/>
      </rPr>
      <t>e.</t>
    </r>
    <r>
      <rPr>
        <sz val="12"/>
        <color theme="1"/>
        <rFont val="Arial"/>
        <family val="2"/>
      </rPr>
      <t xml:space="preserve"> Efetivação do Relatório de Comprovação de Adimplência de Encargos – RECAE, conforme Modelo apresentado na IS Nº 003-N do DER-ES.</t>
    </r>
  </si>
  <si>
    <t>RELAÇÃO DE PESSOAL</t>
  </si>
  <si>
    <t>QTD</t>
  </si>
  <si>
    <t>FUNCIONÁRIO</t>
  </si>
  <si>
    <t>FUNÇÃO</t>
  </si>
  <si>
    <t>SITUAÇÃO TRABALHISTA ADMISSÃO</t>
  </si>
  <si>
    <t>RELAÇÃO DE FUNCIONÁRIOS DP Barros Pavimentação e Construção Ltda - EBAP ES09</t>
  </si>
  <si>
    <t xml:space="preserve">ALESSANDRO DOS SANTOS TIENGO </t>
  </si>
  <si>
    <t>OP. DE ESCAVADEIRA</t>
  </si>
  <si>
    <t>CICERO CAP. FERREIRA</t>
  </si>
  <si>
    <t xml:space="preserve">FEITOR </t>
  </si>
  <si>
    <t>DENILSON LEOPOLDINO SARDÁ</t>
  </si>
  <si>
    <t>ENGENHEIRO CIVIL</t>
  </si>
  <si>
    <t xml:space="preserve">FELIPE FELIX ESTEVÃO LOPES </t>
  </si>
  <si>
    <t>JOÃO BATISTA</t>
  </si>
  <si>
    <t>ALMOXARIFE</t>
  </si>
  <si>
    <t>PEDRO SÁ TELLES</t>
  </si>
  <si>
    <t>MESTRE DE OBRAS</t>
  </si>
  <si>
    <t>JOSÉ APARECIDO ALVES</t>
  </si>
  <si>
    <t>CARPINTEIRO</t>
  </si>
  <si>
    <t>Não informado</t>
  </si>
  <si>
    <t>JOSÉ EDIVALDO DE LIMA</t>
  </si>
  <si>
    <t>JUCILANDIO COSMO LEITE</t>
  </si>
  <si>
    <t>BRAZ ALVES DOS SANTOS</t>
  </si>
  <si>
    <t>SUBCONTRATADOS</t>
  </si>
  <si>
    <t>PSIQUÊ</t>
  </si>
  <si>
    <t>HARIADNE SUZA</t>
  </si>
  <si>
    <t>AUX. LIMPEZA</t>
  </si>
  <si>
    <t>BRUNICIO A. DUARTE</t>
  </si>
  <si>
    <t>AJUDANTE</t>
  </si>
  <si>
    <t>MILTON R. DE AZEVEDO</t>
  </si>
  <si>
    <t>JOSE FERREIRA FILHO</t>
  </si>
  <si>
    <t>DELY F. DE SOUZA SANTOS</t>
  </si>
  <si>
    <t>NILTON LOURENÇO</t>
  </si>
  <si>
    <t>PEDREIRO</t>
  </si>
  <si>
    <t>VALDIVINO SILVA</t>
  </si>
  <si>
    <t>AMILTON ANTÔNIO SALES</t>
  </si>
  <si>
    <t>WELITON BETOLANI DOS SANTOS</t>
  </si>
  <si>
    <t>NGA AGRIMENSURA E TOPOGRAFIA</t>
  </si>
  <si>
    <t>JERDSION B. COSTA</t>
  </si>
  <si>
    <t>TOPOGRAFO</t>
  </si>
  <si>
    <t>L.P DA SILVA SEGURANÇA</t>
  </si>
  <si>
    <t xml:space="preserve">EDUARDO FERRARI </t>
  </si>
  <si>
    <t>VIGIA</t>
  </si>
  <si>
    <t>ELIACY ALVES PEREIRA</t>
  </si>
  <si>
    <t>MARIO RIZZO NEGRI</t>
  </si>
  <si>
    <t>ROSILENE NATALINA DOS REIS CONSTRUÇÃO</t>
  </si>
  <si>
    <t>DOUGLAS OLIVEIRA</t>
  </si>
  <si>
    <t>ARMADOR</t>
  </si>
  <si>
    <t>Observações:</t>
  </si>
  <si>
    <t>Laje fechamento do vão das grades de lixo</t>
  </si>
  <si>
    <t>Armação laje fechamento das grades de lixo</t>
  </si>
  <si>
    <r>
      <rPr>
        <b/>
        <sz val="9"/>
        <rFont val="Arial"/>
        <family val="2"/>
      </rPr>
      <t>PERÍODO DE EXECUÇÃO:</t>
    </r>
    <r>
      <rPr>
        <sz val="9"/>
        <rFont val="Arial"/>
        <family val="2"/>
      </rPr>
      <t>01/03/2026 a 31/03/2026</t>
    </r>
  </si>
  <si>
    <t>Período:  01/03/2026 a 31/03/2026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</si>
</sst>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8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"/>
    <numFmt numFmtId="166" formatCode="_(* #,##0.00_);_(* \(#,##0.00\);_(* \-??_);_(@_)"/>
    <numFmt numFmtId="167" formatCode="_-&quot;€ &quot;* #,##0.00_-;&quot;-€ &quot;* #,##0.00_-;_-&quot;€ &quot;* \-??_-;_-@_-"/>
    <numFmt numFmtId="168" formatCode="_(&quot;R$ &quot;* #,##0.00_);_(&quot;R$ &quot;* \(#,##0.00\);_(&quot;R$ &quot;* &quot;-&quot;??_);_(@_)"/>
    <numFmt numFmtId="169" formatCode="#,##0.000"/>
    <numFmt numFmtId="170" formatCode="#,##0.0000"/>
    <numFmt numFmtId="171" formatCode="0.000"/>
    <numFmt numFmtId="172" formatCode="_(&quot;R$ &quot;* #,##0.00_);_(&quot;R$ &quot;* \(#,##0.00\);_(&quot;R$ &quot;* \-??_);_(@_)"/>
    <numFmt numFmtId="173" formatCode="#,##0.0000000"/>
    <numFmt numFmtId="174" formatCode="_-* #,##0.000_-;\-* #,##0.000_-;_-* &quot;-&quot;??_-;_-@_-"/>
    <numFmt numFmtId="175" formatCode="_([$€-2]* #,##0.00_);_([$€-2]* \(#,##0.00\);_([$€-2]* \-??_)"/>
    <numFmt numFmtId="176" formatCode="&quot;R$ &quot;#,##0.00_);\(&quot;R$ &quot;#,##0.00\)"/>
    <numFmt numFmtId="177" formatCode="&quot;R$ &quot;#,##0_);[Red]\(&quot;R$ &quot;#,##0\)"/>
    <numFmt numFmtId="178" formatCode="#."/>
    <numFmt numFmtId="179" formatCode="[$€]#,##0.00_);[Red]\([$€]#,##0.00\)"/>
    <numFmt numFmtId="180" formatCode="\$#,##0\ ;\(\$#,##0\)"/>
    <numFmt numFmtId="181" formatCode="_(&quot;Cr$&quot;* #,##0.00_);_(&quot;Cr$&quot;* \(#,##0.00\);_(&quot;Cr$&quot;* &quot;-&quot;??_);_(@_)"/>
    <numFmt numFmtId="182" formatCode="_(&quot;$&quot;* #,##0.00_);_(&quot;$&quot;* \(#,##0.00\);_(&quot;$&quot;* &quot;-&quot;??_);_(@_)"/>
    <numFmt numFmtId="183" formatCode="&quot;R$ &quot;#,##0.00_);[Red]\(&quot;R$ &quot;#,##0.00\)"/>
    <numFmt numFmtId="184" formatCode="_(* #,##0.000_);_(* \(#,##0.000\);_(* \-??_);_(@_)"/>
    <numFmt numFmtId="185" formatCode="_-* #,##0.00\ _€_-;\-* #,##0.00\ _€_-;_-* &quot;-&quot;??\ _€_-;_-@_-"/>
    <numFmt numFmtId="186" formatCode="_-* #,##0.000_-;\-* #,##0.000_-;_-* &quot;-&quot;???_-;_-@_-"/>
    <numFmt numFmtId="187" formatCode="&quot;Relatório da &quot;00&quot;ª Medição Provisória&quot;"/>
    <numFmt numFmtId="188" formatCode="&quot;R$&quot;\ #,##0.00"/>
    <numFmt numFmtId="189" formatCode="00\ &quot;Dias&quot;"/>
    <numFmt numFmtId="190" formatCode="_(* #,##0.00_);_(* \(#,##0.00\);_(* &quot;-&quot;??_);_(@_)"/>
    <numFmt numFmtId="191" formatCode="@&quot;ª MP&quot;"/>
    <numFmt numFmtId="192" formatCode="0.00000%"/>
    <numFmt numFmtId="193" formatCode="_(&quot;R$ &quot;* #,##0.00000_);_(&quot;R$ &quot;* \(#,##0.00000\);_(&quot;R$ &quot;* &quot;-&quot;?????_);_(@_)"/>
    <numFmt numFmtId="194" formatCode="0.000%"/>
    <numFmt numFmtId="195" formatCode="00&quot;ª Medição Provisória&quot;"/>
    <numFmt numFmtId="196" formatCode="[$-416]mmm\-yy;@"/>
    <numFmt numFmtId="197" formatCode="#,##0.00;[Red]#,##0.00"/>
    <numFmt numFmtId="198" formatCode="&quot;Valor Faturado até a &quot;@&quot;ª Medição:&quot;"/>
    <numFmt numFmtId="199" formatCode="&quot;Saldo contratual na &quot;@&quot;ª Medição:&quot;"/>
    <numFmt numFmtId="200" formatCode="&quot;Dias Corridos até a &quot;@&quot;ª Medição:&quot;"/>
    <numFmt numFmtId="201" formatCode="&quot;Saldo de Prazo na &quot;@&quot;ª Medição:&quot;"/>
    <numFmt numFmtId="202" formatCode="@&quot; Dias Corridos&quot;"/>
    <numFmt numFmtId="203" formatCode="#,##0.00\ ;#,##0.00\ ;\-#\ ;@\ "/>
    <numFmt numFmtId="204" formatCode="#,##0.00\ ;&quot; (&quot;#,##0.00\);\-#\ ;@\ "/>
    <numFmt numFmtId="205" formatCode="#,##0.00\ ;\(#,##0.00\);\-#\ ;@\ "/>
    <numFmt numFmtId="206" formatCode="_-* #,##0.00_-;\-* #,##0.00_-;_-* \-??_-;_-@_-"/>
    <numFmt numFmtId="207" formatCode="00&quot;ª MEDIÇÃO&quot;"/>
    <numFmt numFmtId="208" formatCode="_(* #,##0.000_);_(* \(#,##0.000\);_(* &quot;-&quot;??_);_(@_)"/>
    <numFmt numFmtId="209" formatCode="_-* #,##0.000000000_-;\-* #,##0.000000000_-;_-* &quot;-&quot;??_-;_-@_-"/>
    <numFmt numFmtId="210" formatCode="0.0000"/>
    <numFmt numFmtId="211" formatCode="_-* #,##0.0000_-;\-* #,##0.0000_-;_-* &quot;-&quot;??_-;_-@_-"/>
    <numFmt numFmtId="212" formatCode="0&quot;ª Medição Provisória&quot;"/>
    <numFmt numFmtId="213" formatCode="#,##0.0_ ;\-#,##0.0\ "/>
    <numFmt numFmtId="214" formatCode="0\ª"/>
    <numFmt numFmtId="215" formatCode="0&quot;ª&quot;"/>
    <numFmt numFmtId="216" formatCode="_(&quot;R$&quot;* #,##0.00_);_(&quot;R$&quot;* \(#,##0.00\);_(&quot;R$&quot;* &quot;-&quot;??_);_(@_)"/>
    <numFmt numFmtId="217" formatCode="_-* #,##0_-;\-* #,##0_-;_-* &quot;-&quot;??_-;_-@_-"/>
  </numFmts>
  <fonts count="1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b/>
      <sz val="7"/>
      <color indexed="10"/>
      <name val="Arial"/>
      <family val="2"/>
    </font>
    <font>
      <b/>
      <sz val="16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6"/>
      <color indexed="12"/>
      <name val="Arial"/>
      <family val="2"/>
    </font>
    <font>
      <sz val="12"/>
      <color indexed="24"/>
      <name val="Arial"/>
      <family val="2"/>
    </font>
    <font>
      <sz val="11"/>
      <name val="CG Omega"/>
      <family val="2"/>
    </font>
    <font>
      <sz val="1"/>
      <color indexed="18"/>
      <name val="Courier"/>
      <family val="3"/>
    </font>
    <font>
      <b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rgb="FF0000FF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0000FF"/>
      <name val="Arial"/>
      <family val="2"/>
    </font>
    <font>
      <sz val="11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8"/>
      <name val="Arial"/>
      <family val="2"/>
    </font>
    <font>
      <i/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color rgb="FF0000FF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22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1"/>
      <color rgb="FF000000"/>
      <name val="Times New Roman"/>
      <family val="1"/>
    </font>
    <font>
      <b/>
      <sz val="10"/>
      <name val="Times New Roman"/>
      <family val="1"/>
    </font>
    <font>
      <sz val="10"/>
      <color indexed="10"/>
      <name val="Times New Roman"/>
      <family val="1"/>
    </font>
    <font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2"/>
      <color rgb="FF0000FF"/>
      <name val="Times New Roman"/>
      <family val="1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rgb="FF0070C0"/>
      <name val="Arial"/>
      <family val="2"/>
    </font>
    <font>
      <b/>
      <i/>
      <sz val="10"/>
      <color rgb="FFFF0000"/>
      <name val="Arial"/>
      <family val="2"/>
    </font>
    <font>
      <sz val="11"/>
      <name val="Arial Narrow"/>
      <family val="2"/>
    </font>
    <font>
      <sz val="12"/>
      <color theme="1"/>
      <name val="Arial"/>
      <family val="2"/>
    </font>
    <font>
      <u/>
      <sz val="9"/>
      <color theme="1"/>
      <name val="Arial"/>
      <family val="2"/>
    </font>
    <font>
      <b/>
      <sz val="16"/>
      <color theme="1"/>
      <name val="Arial"/>
      <family val="2"/>
    </font>
    <font>
      <sz val="12"/>
      <color indexed="10"/>
      <name val="Calibri"/>
      <family val="2"/>
      <scheme val="minor"/>
    </font>
    <font>
      <sz val="12"/>
      <color indexed="48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1"/>
      <name val="Arial"/>
      <family val="2"/>
    </font>
    <font>
      <sz val="14"/>
      <name val="Arial"/>
      <family val="2"/>
    </font>
    <font>
      <i/>
      <sz val="11"/>
      <name val="Calibri"/>
      <family val="2"/>
    </font>
    <font>
      <sz val="9"/>
      <color indexed="10"/>
      <name val="Arial"/>
      <family val="2"/>
    </font>
    <font>
      <sz val="9"/>
      <color indexed="48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FF00"/>
      <name val="Calibri"/>
      <family val="2"/>
      <scheme val="minor"/>
    </font>
    <font>
      <b/>
      <sz val="10"/>
      <color rgb="FFFFFF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5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1"/>
      <color theme="0"/>
      <name val="Arial"/>
      <family val="2"/>
    </font>
    <font>
      <i/>
      <sz val="11"/>
      <color theme="1"/>
      <name val="Calibri"/>
      <family val="2"/>
      <scheme val="minor"/>
    </font>
    <font>
      <sz val="14"/>
      <color theme="1"/>
      <name val="Arial"/>
      <family val="2"/>
    </font>
    <font>
      <i/>
      <sz val="12.5"/>
      <name val="Arial"/>
      <family val="2"/>
    </font>
    <font>
      <sz val="12.5"/>
      <color theme="1"/>
      <name val="Arial"/>
      <family val="2"/>
    </font>
    <font>
      <i/>
      <sz val="12.5"/>
      <color theme="1"/>
      <name val="Arial"/>
      <family val="2"/>
    </font>
    <font>
      <sz val="12.5"/>
      <name val="Arial"/>
      <family val="2"/>
    </font>
    <font>
      <b/>
      <sz val="14"/>
      <color theme="1"/>
      <name val="Arial"/>
      <family val="2"/>
    </font>
    <font>
      <i/>
      <sz val="12"/>
      <color theme="0"/>
      <name val="Arial"/>
      <family val="2"/>
    </font>
    <font>
      <sz val="12.5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name val="Arial"/>
      <family val="2"/>
    </font>
    <font>
      <sz val="10"/>
      <color rgb="FFFFFFFF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CC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color rgb="FFFFFFFF"/>
      <name val="Calibri"/>
      <family val="2"/>
      <charset val="1"/>
    </font>
    <font>
      <i/>
      <sz val="10"/>
      <color rgb="FF808080"/>
      <name val="Calibri"/>
      <family val="2"/>
      <charset val="1"/>
    </font>
    <font>
      <sz val="10"/>
      <color rgb="FF006600"/>
      <name val="Calibri"/>
      <family val="2"/>
      <charset val="1"/>
    </font>
    <font>
      <sz val="18"/>
      <color rgb="FF000000"/>
      <name val="Calibri"/>
      <family val="2"/>
      <charset val="1"/>
    </font>
    <font>
      <b/>
      <sz val="24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EE"/>
      <name val="Calibri"/>
      <family val="2"/>
      <charset val="1"/>
    </font>
    <font>
      <u/>
      <sz val="11"/>
      <color rgb="FF0066CC"/>
      <name val="Calibri"/>
      <family val="2"/>
      <charset val="1"/>
    </font>
    <font>
      <u/>
      <sz val="12"/>
      <color rgb="FF0066CC"/>
      <name val="Arial"/>
      <family val="2"/>
      <charset val="1"/>
    </font>
    <font>
      <sz val="10"/>
      <color rgb="FF996600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Times New Roman"/>
      <family val="1"/>
    </font>
    <font>
      <sz val="10"/>
      <color rgb="FF000000"/>
      <name val="Arial"/>
      <family val="2"/>
      <charset val="1"/>
    </font>
    <font>
      <sz val="11"/>
      <name val="Arial"/>
      <family val="1"/>
    </font>
    <font>
      <sz val="12"/>
      <color rgb="FF000000"/>
      <name val="Arial"/>
      <family val="2"/>
      <charset val="1"/>
    </font>
    <font>
      <sz val="10"/>
      <color rgb="FF333333"/>
      <name val="Calibri"/>
      <family val="2"/>
      <charset val="1"/>
    </font>
    <font>
      <sz val="10"/>
      <color rgb="FF000000"/>
      <name val="Arial2"/>
      <charset val="1"/>
    </font>
    <font>
      <sz val="9"/>
      <color rgb="FF000000"/>
      <name val="Calibri"/>
      <family val="2"/>
      <scheme val="minor"/>
    </font>
    <font>
      <sz val="9"/>
      <color rgb="FF000000"/>
      <name val="Arial"/>
      <family val="2"/>
    </font>
    <font>
      <b/>
      <sz val="11"/>
      <color rgb="FF000000"/>
      <name val="Arial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8"/>
      <color indexed="8"/>
      <name val="Arial"/>
      <family val="2"/>
    </font>
    <font>
      <sz val="11"/>
      <color indexed="12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b/>
      <sz val="10"/>
      <color indexed="13"/>
      <name val="Arial"/>
      <family val="2"/>
    </font>
    <font>
      <sz val="10"/>
      <color indexed="12"/>
      <name val="Arial"/>
      <family val="2"/>
    </font>
    <font>
      <sz val="12"/>
      <color rgb="FF0000FF"/>
      <name val="Times New Roman"/>
      <family val="1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b/>
      <sz val="13"/>
      <name val="Arial"/>
      <family val="2"/>
    </font>
    <font>
      <b/>
      <sz val="13"/>
      <name val="Calibri"/>
      <family val="2"/>
    </font>
    <font>
      <b/>
      <sz val="13"/>
      <color indexed="8"/>
      <name val="Arial"/>
      <family val="2"/>
    </font>
    <font>
      <sz val="13"/>
      <color indexed="8"/>
      <name val="Arial"/>
      <family val="2"/>
    </font>
    <font>
      <sz val="13"/>
      <color theme="1"/>
      <name val="Calibri"/>
      <family val="2"/>
      <scheme val="minor"/>
    </font>
    <font>
      <sz val="14"/>
      <color theme="0"/>
      <name val="Arial"/>
      <family val="2"/>
    </font>
    <font>
      <b/>
      <sz val="11"/>
      <color rgb="FF0000FF"/>
      <name val="Arial"/>
      <family val="2"/>
    </font>
    <font>
      <sz val="11"/>
      <color rgb="FF000000"/>
      <name val="Arial"/>
      <family val="2"/>
    </font>
    <font>
      <u/>
      <sz val="11"/>
      <color rgb="FF000000"/>
      <name val="Arial"/>
      <family val="2"/>
    </font>
    <font>
      <sz val="11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8"/>
      <color rgb="FFFFFF00"/>
      <name val="Arial"/>
      <family val="2"/>
    </font>
    <font>
      <b/>
      <sz val="28"/>
      <name val="Arial"/>
      <family val="2"/>
    </font>
    <font>
      <b/>
      <u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sz val="10"/>
      <color rgb="FF000000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rgb="FF222222"/>
      </patternFill>
    </fill>
    <fill>
      <patternFill patternType="solid">
        <fgColor rgb="FF808080"/>
        <bgColor rgb="FF767171"/>
      </patternFill>
    </fill>
    <fill>
      <patternFill patternType="solid">
        <fgColor rgb="FFDDDDDD"/>
        <bgColor rgb="FFD9D9D9"/>
      </patternFill>
    </fill>
    <fill>
      <patternFill patternType="solid">
        <fgColor rgb="FFFFCCCC"/>
        <bgColor rgb="FFFFC7CE"/>
      </patternFill>
    </fill>
    <fill>
      <patternFill patternType="solid">
        <fgColor rgb="FFCC0000"/>
        <bgColor rgb="FF9C0006"/>
      </patternFill>
    </fill>
    <fill>
      <patternFill patternType="solid">
        <fgColor rgb="FFCCFFCC"/>
        <bgColor rgb="FFDEE6EF"/>
      </patternFill>
    </fill>
    <fill>
      <patternFill patternType="solid">
        <fgColor rgb="FFFFFFCC"/>
        <bgColor rgb="FFFFFFD7"/>
      </patternFill>
    </fill>
    <fill>
      <patternFill patternType="solid">
        <fgColor indexed="43"/>
        <bgColor indexed="64"/>
      </patternFill>
    </fill>
    <fill>
      <patternFill patternType="solid">
        <fgColor rgb="FFDFDFDF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E7"/>
      </patternFill>
    </fill>
    <fill>
      <patternFill patternType="solid">
        <fgColor rgb="FFDFDFDF"/>
        <bgColor rgb="FFE6E0EC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15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/>
      <diagonal style="thin">
        <color indexed="0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ck">
        <color auto="1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</borders>
  <cellStyleXfs count="591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0" borderId="3" applyNumberFormat="0" applyFont="0" applyAlignment="0">
      <alignment horizontal="left" vertical="top" indent="1"/>
    </xf>
    <xf numFmtId="0" fontId="10" fillId="4" borderId="0" applyNumberFormat="0" applyBorder="0" applyAlignment="0" applyProtection="0"/>
    <xf numFmtId="0" fontId="11" fillId="21" borderId="6" applyNumberFormat="0" applyAlignment="0" applyProtection="0"/>
    <xf numFmtId="0" fontId="12" fillId="22" borderId="7" applyNumberFormat="0" applyAlignment="0" applyProtection="0"/>
    <xf numFmtId="166" fontId="4" fillId="0" borderId="0" applyFill="0" applyBorder="0" applyAlignment="0" applyProtection="0"/>
    <xf numFmtId="167" fontId="4" fillId="0" borderId="0" applyFill="0" applyBorder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6" applyNumberFormat="0" applyAlignment="0" applyProtection="0"/>
    <xf numFmtId="0" fontId="19" fillId="0" borderId="11" applyNumberFormat="0" applyFill="0" applyAlignment="0" applyProtection="0"/>
    <xf numFmtId="168" fontId="7" fillId="0" borderId="0" applyFont="0" applyFill="0" applyBorder="0" applyAlignment="0" applyProtection="0"/>
    <xf numFmtId="0" fontId="20" fillId="23" borderId="0" applyNumberFormat="0" applyBorder="0" applyAlignment="0" applyProtection="0"/>
    <xf numFmtId="0" fontId="7" fillId="0" borderId="0"/>
    <xf numFmtId="0" fontId="4" fillId="24" borderId="12" applyNumberFormat="0" applyFont="0" applyAlignment="0" applyProtection="0"/>
    <xf numFmtId="0" fontId="21" fillId="21" borderId="13" applyNumberFormat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2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ill="0" applyBorder="0" applyAlignment="0" applyProtection="0"/>
    <xf numFmtId="167" fontId="4" fillId="0" borderId="0" applyFill="0" applyBorder="0" applyAlignment="0" applyProtection="0"/>
    <xf numFmtId="0" fontId="4" fillId="24" borderId="12" applyNumberFormat="0" applyFont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ill="0" applyBorder="0" applyAlignment="0" applyProtection="0"/>
    <xf numFmtId="172" fontId="4" fillId="0" borderId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" fillId="0" borderId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0" fillId="27" borderId="4" applyNumberFormat="0" applyFont="0" applyBorder="0" applyAlignment="0">
      <alignment horizontal="left" vertical="center"/>
    </xf>
    <xf numFmtId="175" fontId="4" fillId="0" borderId="0" applyFill="0" applyBorder="0" applyAlignment="0" applyProtection="0"/>
    <xf numFmtId="168" fontId="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4" fillId="0" borderId="0" applyFill="0" applyBorder="0" applyAlignment="0" applyProtection="0"/>
    <xf numFmtId="168" fontId="7" fillId="0" borderId="0" applyFont="0" applyFill="0" applyBorder="0" applyAlignment="0" applyProtection="0"/>
    <xf numFmtId="175" fontId="4" fillId="0" borderId="0"/>
    <xf numFmtId="0" fontId="4" fillId="0" borderId="0"/>
    <xf numFmtId="0" fontId="1" fillId="0" borderId="0"/>
    <xf numFmtId="0" fontId="24" fillId="0" borderId="0"/>
    <xf numFmtId="0" fontId="7" fillId="0" borderId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14" applyNumberFormat="0" applyBorder="0" applyAlignment="0">
      <alignment horizontal="center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2" fontId="4" fillId="0" borderId="0" applyFont="0" applyFill="0" applyProtection="0"/>
    <xf numFmtId="0" fontId="4" fillId="0" borderId="0"/>
    <xf numFmtId="0" fontId="4" fillId="0" borderId="0"/>
    <xf numFmtId="175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7" fillId="0" borderId="0"/>
    <xf numFmtId="0" fontId="1" fillId="0" borderId="0"/>
    <xf numFmtId="17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4" fillId="0" borderId="15" applyNumberFormat="0" applyAlignment="0"/>
    <xf numFmtId="0" fontId="14" fillId="5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1" fillId="21" borderId="6" applyNumberFormat="0" applyAlignment="0" applyProtection="0"/>
    <xf numFmtId="0" fontId="12" fillId="22" borderId="7" applyNumberFormat="0" applyAlignment="0" applyProtection="0"/>
    <xf numFmtId="0" fontId="19" fillId="0" borderId="11" applyNumberFormat="0" applyFill="0" applyAlignment="0" applyProtection="0"/>
    <xf numFmtId="3" fontId="34" fillId="0" borderId="0" applyFont="0" applyFill="0" applyBorder="0" applyAlignment="0" applyProtection="0"/>
    <xf numFmtId="178" fontId="35" fillId="0" borderId="0">
      <protection locked="0"/>
    </xf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18" fillId="8" borderId="6" applyNumberFormat="0" applyAlignment="0" applyProtection="0"/>
    <xf numFmtId="179" fontId="36" fillId="0" borderId="0" applyFont="0" applyFill="0" applyBorder="0" applyAlignment="0" applyProtection="0"/>
    <xf numFmtId="0" fontId="37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178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0" fillId="4" borderId="0" applyNumberFormat="0" applyBorder="0" applyAlignment="0" applyProtection="0"/>
    <xf numFmtId="0" fontId="36" fillId="0" borderId="0"/>
    <xf numFmtId="180" fontId="41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20" fillId="23" borderId="0" applyNumberFormat="0" applyBorder="0" applyAlignment="0" applyProtection="0"/>
    <xf numFmtId="0" fontId="4" fillId="0" borderId="0"/>
    <xf numFmtId="0" fontId="27" fillId="0" borderId="0"/>
    <xf numFmtId="0" fontId="4" fillId="0" borderId="0"/>
    <xf numFmtId="0" fontId="4" fillId="0" borderId="0"/>
    <xf numFmtId="0" fontId="42" fillId="0" borderId="0"/>
    <xf numFmtId="0" fontId="1" fillId="0" borderId="0"/>
    <xf numFmtId="0" fontId="4" fillId="0" borderId="0"/>
    <xf numFmtId="0" fontId="4" fillId="24" borderId="12" applyNumberFormat="0" applyFont="0" applyAlignment="0" applyProtection="0"/>
    <xf numFmtId="0" fontId="7" fillId="2" borderId="1" applyNumberFormat="0" applyFont="0" applyAlignment="0" applyProtection="0"/>
    <xf numFmtId="178" fontId="35" fillId="0" borderId="0">
      <protection locked="0"/>
    </xf>
    <xf numFmtId="178" fontId="35" fillId="0" borderId="0">
      <protection locked="0"/>
    </xf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9" fontId="25" fillId="0" borderId="16">
      <alignment horizontal="left" vertical="center" wrapText="1"/>
    </xf>
    <xf numFmtId="49" fontId="25" fillId="0" borderId="16">
      <alignment horizontal="left" vertical="center" wrapText="1"/>
      <protection locked="0"/>
    </xf>
    <xf numFmtId="0" fontId="21" fillId="21" borderId="13" applyNumberFormat="0" applyAlignment="0" applyProtection="0"/>
    <xf numFmtId="178" fontId="43" fillId="0" borderId="0">
      <protection locked="0"/>
    </xf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8" fontId="44" fillId="0" borderId="0">
      <protection locked="0"/>
    </xf>
    <xf numFmtId="178" fontId="44" fillId="0" borderId="0">
      <protection locked="0"/>
    </xf>
    <xf numFmtId="0" fontId="45" fillId="0" borderId="17" applyNumberFormat="0" applyFill="0" applyAlignment="0" applyProtection="0"/>
    <xf numFmtId="0" fontId="2" fillId="0" borderId="2" applyNumberFormat="0" applyFill="0" applyAlignment="0" applyProtection="0"/>
    <xf numFmtId="43" fontId="4" fillId="0" borderId="0" applyFont="0" applyFill="0" applyBorder="0" applyAlignment="0" applyProtection="0"/>
    <xf numFmtId="3" fontId="41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4" fontId="4" fillId="0" borderId="0" applyFont="0" applyFill="0" applyBorder="0" applyAlignment="0" applyProtection="0"/>
    <xf numFmtId="2" fontId="4" fillId="0" borderId="0">
      <alignment horizontal="left"/>
      <protection locked="0"/>
    </xf>
    <xf numFmtId="2" fontId="4" fillId="0" borderId="0" applyFill="0" applyBorder="0" applyAlignment="0" applyProtection="0"/>
    <xf numFmtId="2" fontId="4" fillId="0" borderId="0">
      <alignment horizontal="left"/>
      <protection locked="0"/>
    </xf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4" fillId="0" borderId="0" applyFill="0" applyBorder="0" applyAlignment="0" applyProtection="0"/>
    <xf numFmtId="18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/>
    <xf numFmtId="12" fontId="4" fillId="0" borderId="0" applyFont="0" applyFill="0" applyProtection="0"/>
    <xf numFmtId="177" fontId="4" fillId="0" borderId="0" applyFont="0" applyFill="0" applyProtection="0"/>
    <xf numFmtId="186" fontId="4" fillId="0" borderId="0" applyFont="0" applyFill="0" applyProtection="0"/>
    <xf numFmtId="0" fontId="4" fillId="0" borderId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164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0" fontId="30" fillId="27" borderId="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90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47" applyNumberFormat="0" applyFont="0" applyAlignment="0">
      <alignment horizontal="left" vertical="top" indent="1"/>
    </xf>
    <xf numFmtId="0" fontId="11" fillId="21" borderId="48" applyNumberFormat="0" applyAlignment="0" applyProtection="0"/>
    <xf numFmtId="0" fontId="18" fillId="8" borderId="48" applyNumberFormat="0" applyAlignment="0" applyProtection="0"/>
    <xf numFmtId="0" fontId="4" fillId="24" borderId="49" applyNumberFormat="0" applyFont="0" applyAlignment="0" applyProtection="0"/>
    <xf numFmtId="0" fontId="21" fillId="21" borderId="50" applyNumberFormat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4" borderId="49" applyNumberFormat="0" applyFont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51" applyNumberFormat="0" applyAlignment="0"/>
    <xf numFmtId="0" fontId="11" fillId="21" borderId="48" applyNumberFormat="0" applyAlignment="0" applyProtection="0"/>
    <xf numFmtId="0" fontId="18" fillId="8" borderId="48" applyNumberFormat="0" applyAlignment="0" applyProtection="0"/>
    <xf numFmtId="0" fontId="4" fillId="24" borderId="49" applyNumberFormat="0" applyFont="0" applyAlignment="0" applyProtection="0"/>
    <xf numFmtId="0" fontId="21" fillId="21" borderId="50" applyNumberFormat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5" fillId="0" borderId="52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0" fontId="30" fillId="27" borderId="33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22" fillId="0" borderId="64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122" fillId="0" borderId="0"/>
    <xf numFmtId="0" fontId="123" fillId="39" borderId="0"/>
    <xf numFmtId="0" fontId="123" fillId="39" borderId="0"/>
    <xf numFmtId="0" fontId="123" fillId="40" borderId="0"/>
    <xf numFmtId="0" fontId="123" fillId="40" borderId="0"/>
    <xf numFmtId="0" fontId="124" fillId="41" borderId="0"/>
    <xf numFmtId="0" fontId="124" fillId="41" borderId="0"/>
    <xf numFmtId="0" fontId="124" fillId="0" borderId="0"/>
    <xf numFmtId="0" fontId="124" fillId="0" borderId="0"/>
    <xf numFmtId="0" fontId="125" fillId="42" borderId="0"/>
    <xf numFmtId="0" fontId="125" fillId="42" borderId="0"/>
    <xf numFmtId="203" fontId="126" fillId="0" borderId="0"/>
    <xf numFmtId="203" fontId="126" fillId="0" borderId="0"/>
    <xf numFmtId="203" fontId="126" fillId="0" borderId="0"/>
    <xf numFmtId="203" fontId="126" fillId="0" borderId="0"/>
    <xf numFmtId="203" fontId="126" fillId="0" borderId="0"/>
    <xf numFmtId="203" fontId="126" fillId="0" borderId="0"/>
    <xf numFmtId="203" fontId="126" fillId="0" borderId="0"/>
    <xf numFmtId="0" fontId="127" fillId="43" borderId="0"/>
    <xf numFmtId="0" fontId="127" fillId="43" borderId="0"/>
    <xf numFmtId="203" fontId="126" fillId="0" borderId="0"/>
    <xf numFmtId="9" fontId="126" fillId="0" borderId="0"/>
    <xf numFmtId="0" fontId="128" fillId="0" borderId="0"/>
    <xf numFmtId="0" fontId="128" fillId="0" borderId="0"/>
    <xf numFmtId="0" fontId="129" fillId="44" borderId="0"/>
    <xf numFmtId="0" fontId="129" fillId="44" borderId="0"/>
    <xf numFmtId="0" fontId="130" fillId="0" borderId="0"/>
    <xf numFmtId="0" fontId="130" fillId="0" borderId="0"/>
    <xf numFmtId="0" fontId="131" fillId="0" borderId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/>
    <xf numFmtId="0" fontId="135" fillId="0" borderId="0"/>
    <xf numFmtId="0" fontId="136" fillId="0" borderId="0"/>
    <xf numFmtId="0" fontId="137" fillId="0" borderId="0"/>
    <xf numFmtId="44" fontId="4" fillId="0" borderId="0" applyNumberFormat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NumberFormat="0" applyFont="0" applyFill="0" applyBorder="0" applyAlignment="0" applyProtection="0"/>
    <xf numFmtId="0" fontId="138" fillId="45" borderId="0"/>
    <xf numFmtId="0" fontId="138" fillId="45" borderId="0"/>
    <xf numFmtId="0" fontId="126" fillId="0" borderId="0"/>
    <xf numFmtId="0" fontId="126" fillId="0" borderId="0"/>
    <xf numFmtId="0" fontId="126" fillId="0" borderId="0"/>
    <xf numFmtId="0" fontId="139" fillId="0" borderId="0"/>
    <xf numFmtId="0" fontId="139" fillId="0" borderId="0"/>
    <xf numFmtId="0" fontId="4" fillId="0" borderId="0"/>
    <xf numFmtId="0" fontId="103" fillId="0" borderId="0"/>
    <xf numFmtId="0" fontId="140" fillId="0" borderId="0"/>
    <xf numFmtId="0" fontId="126" fillId="0" borderId="0"/>
    <xf numFmtId="0" fontId="12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42" fillId="0" borderId="0"/>
    <xf numFmtId="0" fontId="143" fillId="0" borderId="0"/>
    <xf numFmtId="0" fontId="1" fillId="0" borderId="0"/>
    <xf numFmtId="0" fontId="141" fillId="0" borderId="0"/>
    <xf numFmtId="49" fontId="4" fillId="46" borderId="68" applyNumberFormat="0" applyFont="0" applyFill="0" applyBorder="0" applyAlignment="0">
      <alignment horizontal="center" vertical="center" wrapText="1"/>
    </xf>
    <xf numFmtId="0" fontId="126" fillId="0" borderId="0"/>
    <xf numFmtId="0" fontId="1" fillId="0" borderId="0"/>
    <xf numFmtId="0" fontId="126" fillId="0" borderId="0"/>
    <xf numFmtId="0" fontId="122" fillId="0" borderId="0"/>
    <xf numFmtId="0" fontId="4" fillId="0" borderId="0" applyNumberFormat="0" applyFont="0" applyFill="0" applyBorder="0" applyAlignment="0" applyProtection="0"/>
    <xf numFmtId="0" fontId="126" fillId="0" borderId="0"/>
    <xf numFmtId="0" fontId="126" fillId="0" borderId="0"/>
    <xf numFmtId="0" fontId="4" fillId="0" borderId="0" applyNumberFormat="0" applyFont="0" applyFill="0" applyBorder="0" applyAlignment="0" applyProtection="0"/>
    <xf numFmtId="0" fontId="126" fillId="0" borderId="0"/>
    <xf numFmtId="0" fontId="1" fillId="0" borderId="0"/>
    <xf numFmtId="0" fontId="1" fillId="0" borderId="0"/>
    <xf numFmtId="0" fontId="126" fillId="0" borderId="0"/>
    <xf numFmtId="0" fontId="141" fillId="0" borderId="0"/>
    <xf numFmtId="0" fontId="126" fillId="0" borderId="0"/>
    <xf numFmtId="0" fontId="126" fillId="0" borderId="0"/>
    <xf numFmtId="0" fontId="143" fillId="0" borderId="0"/>
    <xf numFmtId="0" fontId="144" fillId="45" borderId="69"/>
    <xf numFmtId="0" fontId="144" fillId="45" borderId="69"/>
    <xf numFmtId="9" fontId="126" fillId="0" borderId="0"/>
    <xf numFmtId="9" fontId="126" fillId="0" borderId="0"/>
    <xf numFmtId="9" fontId="126" fillId="0" borderId="0"/>
    <xf numFmtId="9" fontId="4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126" fillId="0" borderId="0"/>
    <xf numFmtId="9" fontId="1" fillId="0" borderId="0" applyFont="0" applyFill="0" applyBorder="0" applyAlignment="0" applyProtection="0"/>
    <xf numFmtId="9" fontId="141" fillId="0" borderId="0"/>
    <xf numFmtId="9" fontId="1" fillId="0" borderId="0" applyFont="0" applyFill="0" applyBorder="0" applyAlignment="0" applyProtection="0"/>
    <xf numFmtId="9" fontId="126" fillId="0" borderId="0"/>
    <xf numFmtId="9" fontId="1" fillId="0" borderId="0" applyFont="0" applyFill="0" applyBorder="0" applyAlignment="0" applyProtection="0"/>
    <xf numFmtId="0" fontId="122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Border="0" applyProtection="0"/>
    <xf numFmtId="9" fontId="140" fillId="0" borderId="0" applyFont="0" applyFill="0" applyBorder="0" applyAlignment="0" applyProtection="0"/>
    <xf numFmtId="43" fontId="4" fillId="0" borderId="0" applyNumberFormat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6" fillId="0" borderId="0"/>
    <xf numFmtId="43" fontId="4" fillId="0" borderId="0" applyFont="0" applyFill="0" applyBorder="0" applyAlignment="0" applyProtection="0"/>
    <xf numFmtId="204" fontId="126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203" fontId="126" fillId="0" borderId="0"/>
    <xf numFmtId="205" fontId="145" fillId="0" borderId="0"/>
    <xf numFmtId="206" fontId="141" fillId="0" borderId="0" applyBorder="0" applyProtection="0"/>
    <xf numFmtId="0" fontId="125" fillId="0" borderId="0"/>
    <xf numFmtId="0" fontId="125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140" fillId="0" borderId="0"/>
    <xf numFmtId="0" fontId="140" fillId="0" borderId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0" fontId="122" fillId="0" borderId="0"/>
    <xf numFmtId="9" fontId="1" fillId="0" borderId="0" applyFont="0" applyFill="0" applyBorder="0" applyAlignment="0" applyProtection="0"/>
    <xf numFmtId="0" fontId="4" fillId="0" borderId="64"/>
    <xf numFmtId="0" fontId="172" fillId="0" borderId="0"/>
    <xf numFmtId="0" fontId="1" fillId="0" borderId="0"/>
    <xf numFmtId="0" fontId="106" fillId="0" borderId="0"/>
    <xf numFmtId="216" fontId="1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64"/>
    <xf numFmtId="0" fontId="1" fillId="0" borderId="0"/>
    <xf numFmtId="0" fontId="184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64"/>
    <xf numFmtId="0" fontId="185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00">
    <xf numFmtId="0" fontId="0" fillId="0" borderId="0" xfId="0"/>
    <xf numFmtId="0" fontId="47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0" fontId="52" fillId="0" borderId="5" xfId="0" applyFont="1" applyBorder="1" applyAlignment="1">
      <alignment vertical="center"/>
    </xf>
    <xf numFmtId="0" fontId="55" fillId="0" borderId="0" xfId="0" applyFont="1" applyAlignment="1">
      <alignment horizontal="left" vertical="center"/>
    </xf>
    <xf numFmtId="43" fontId="50" fillId="0" borderId="0" xfId="1" applyFont="1" applyBorder="1" applyAlignment="1">
      <alignment horizontal="center" vertical="center"/>
    </xf>
    <xf numFmtId="43" fontId="49" fillId="0" borderId="0" xfId="1" applyFont="1" applyBorder="1" applyAlignment="1">
      <alignment horizontal="center" vertical="center"/>
    </xf>
    <xf numFmtId="0" fontId="47" fillId="0" borderId="0" xfId="160" applyFont="1" applyAlignment="1" applyProtection="1">
      <alignment vertical="center"/>
      <protection locked="0"/>
    </xf>
    <xf numFmtId="0" fontId="4" fillId="28" borderId="5" xfId="0" applyFont="1" applyFill="1" applyBorder="1" applyAlignment="1">
      <alignment vertical="center"/>
    </xf>
    <xf numFmtId="0" fontId="4" fillId="28" borderId="0" xfId="3032" applyFill="1"/>
    <xf numFmtId="0" fontId="4" fillId="0" borderId="0" xfId="3032" applyAlignment="1">
      <alignment horizontal="center" vertical="center"/>
    </xf>
    <xf numFmtId="4" fontId="4" fillId="0" borderId="0" xfId="3032" applyNumberFormat="1"/>
    <xf numFmtId="2" fontId="4" fillId="0" borderId="0" xfId="3032" applyNumberFormat="1"/>
    <xf numFmtId="0" fontId="4" fillId="28" borderId="0" xfId="3032" applyFill="1" applyAlignment="1">
      <alignment horizontal="center"/>
    </xf>
    <xf numFmtId="1" fontId="4" fillId="28" borderId="0" xfId="3032" applyNumberFormat="1" applyFill="1" applyAlignment="1">
      <alignment horizontal="center"/>
    </xf>
    <xf numFmtId="1" fontId="3" fillId="28" borderId="24" xfId="3032" applyNumberFormat="1" applyFont="1" applyFill="1" applyBorder="1" applyAlignment="1">
      <alignment horizontal="right" vertical="center" wrapText="1"/>
    </xf>
    <xf numFmtId="1" fontId="3" fillId="28" borderId="25" xfId="3032" applyNumberFormat="1" applyFont="1" applyFill="1" applyBorder="1" applyAlignment="1">
      <alignment horizontal="center" vertical="center" wrapText="1"/>
    </xf>
    <xf numFmtId="2" fontId="3" fillId="28" borderId="22" xfId="3032" applyNumberFormat="1" applyFont="1" applyFill="1" applyBorder="1" applyAlignment="1">
      <alignment horizontal="left" vertical="center" wrapText="1"/>
    </xf>
    <xf numFmtId="0" fontId="3" fillId="28" borderId="23" xfId="3032" applyFont="1" applyFill="1" applyBorder="1" applyAlignment="1">
      <alignment horizontal="center" vertical="center" wrapText="1"/>
    </xf>
    <xf numFmtId="43" fontId="3" fillId="28" borderId="24" xfId="1" applyFont="1" applyFill="1" applyBorder="1" applyAlignment="1">
      <alignment horizontal="center" vertical="center" wrapText="1"/>
    </xf>
    <xf numFmtId="43" fontId="3" fillId="28" borderId="23" xfId="1" applyFont="1" applyFill="1" applyBorder="1" applyAlignment="1">
      <alignment horizontal="center" vertical="center" wrapText="1"/>
    </xf>
    <xf numFmtId="43" fontId="3" fillId="28" borderId="22" xfId="1" applyFont="1" applyFill="1" applyBorder="1" applyAlignment="1">
      <alignment horizontal="center" vertical="center" wrapText="1"/>
    </xf>
    <xf numFmtId="43" fontId="3" fillId="28" borderId="24" xfId="1" applyFont="1" applyFill="1" applyBorder="1" applyAlignment="1">
      <alignment horizontal="center" vertical="distributed" wrapText="1"/>
    </xf>
    <xf numFmtId="174" fontId="3" fillId="28" borderId="22" xfId="1" applyNumberFormat="1" applyFont="1" applyFill="1" applyBorder="1" applyAlignment="1">
      <alignment horizontal="center" vertical="distributed" wrapText="1"/>
    </xf>
    <xf numFmtId="169" fontId="3" fillId="28" borderId="22" xfId="3032" applyNumberFormat="1" applyFont="1" applyFill="1" applyBorder="1" applyAlignment="1">
      <alignment horizontal="center" vertical="distributed" wrapText="1"/>
    </xf>
    <xf numFmtId="0" fontId="3" fillId="28" borderId="23" xfId="283" applyFont="1" applyFill="1" applyBorder="1" applyAlignment="1">
      <alignment horizontal="left" vertical="center" wrapText="1"/>
    </xf>
    <xf numFmtId="1" fontId="3" fillId="28" borderId="27" xfId="3032" applyNumberFormat="1" applyFont="1" applyFill="1" applyBorder="1" applyAlignment="1">
      <alignment horizontal="center" vertical="center" wrapText="1"/>
    </xf>
    <xf numFmtId="0" fontId="3" fillId="28" borderId="27" xfId="283" applyFont="1" applyFill="1" applyBorder="1" applyAlignment="1">
      <alignment horizontal="left" vertical="center" wrapText="1"/>
    </xf>
    <xf numFmtId="0" fontId="3" fillId="28" borderId="27" xfId="3032" applyFont="1" applyFill="1" applyBorder="1" applyAlignment="1">
      <alignment horizontal="center" vertical="distributed" wrapText="1"/>
    </xf>
    <xf numFmtId="0" fontId="73" fillId="28" borderId="23" xfId="283" applyFont="1" applyFill="1" applyBorder="1" applyAlignment="1">
      <alignment horizontal="left" vertical="center" wrapText="1"/>
    </xf>
    <xf numFmtId="1" fontId="73" fillId="28" borderId="24" xfId="3032" applyNumberFormat="1" applyFont="1" applyFill="1" applyBorder="1" applyAlignment="1">
      <alignment horizontal="right" vertical="center" wrapText="1"/>
    </xf>
    <xf numFmtId="1" fontId="73" fillId="28" borderId="25" xfId="3032" applyNumberFormat="1" applyFont="1" applyFill="1" applyBorder="1" applyAlignment="1">
      <alignment horizontal="center" vertical="center" wrapText="1"/>
    </xf>
    <xf numFmtId="2" fontId="73" fillId="28" borderId="22" xfId="3032" applyNumberFormat="1" applyFont="1" applyFill="1" applyBorder="1" applyAlignment="1">
      <alignment horizontal="left" vertical="center" wrapText="1"/>
    </xf>
    <xf numFmtId="0" fontId="3" fillId="28" borderId="0" xfId="3032" applyFont="1" applyFill="1" applyAlignment="1">
      <alignment wrapText="1"/>
    </xf>
    <xf numFmtId="0" fontId="28" fillId="28" borderId="0" xfId="0" applyFont="1" applyFill="1" applyAlignment="1">
      <alignment vertical="center" wrapText="1"/>
    </xf>
    <xf numFmtId="174" fontId="73" fillId="28" borderId="22" xfId="1" applyNumberFormat="1" applyFont="1" applyFill="1" applyBorder="1" applyAlignment="1">
      <alignment horizontal="center" vertical="distributed" wrapText="1"/>
    </xf>
    <xf numFmtId="43" fontId="73" fillId="28" borderId="23" xfId="1" applyFont="1" applyFill="1" applyBorder="1" applyAlignment="1">
      <alignment horizontal="center" vertical="center" wrapText="1"/>
    </xf>
    <xf numFmtId="43" fontId="73" fillId="28" borderId="24" xfId="1" applyFont="1" applyFill="1" applyBorder="1" applyAlignment="1">
      <alignment horizontal="center" vertical="distributed" wrapText="1"/>
    </xf>
    <xf numFmtId="43" fontId="73" fillId="28" borderId="22" xfId="1" applyFont="1" applyFill="1" applyBorder="1" applyAlignment="1">
      <alignment horizontal="center" vertical="center" wrapText="1"/>
    </xf>
    <xf numFmtId="43" fontId="73" fillId="28" borderId="24" xfId="1" applyFont="1" applyFill="1" applyBorder="1" applyAlignment="1">
      <alignment horizontal="center" vertical="center" wrapText="1"/>
    </xf>
    <xf numFmtId="0" fontId="73" fillId="28" borderId="23" xfId="3032" applyFont="1" applyFill="1" applyBorder="1" applyAlignment="1">
      <alignment horizontal="center" vertical="center" wrapText="1"/>
    </xf>
    <xf numFmtId="0" fontId="73" fillId="28" borderId="23" xfId="3032" applyFont="1" applyFill="1" applyBorder="1" applyAlignment="1">
      <alignment horizontal="left" vertical="distributed" wrapText="1"/>
    </xf>
    <xf numFmtId="43" fontId="73" fillId="28" borderId="22" xfId="1" applyFont="1" applyFill="1" applyBorder="1" applyAlignment="1">
      <alignment horizontal="center" vertical="distributed" wrapText="1"/>
    </xf>
    <xf numFmtId="191" fontId="73" fillId="28" borderId="23" xfId="3032" applyNumberFormat="1" applyFont="1" applyFill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/>
    </xf>
    <xf numFmtId="14" fontId="47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6" fillId="0" borderId="21" xfId="3032" applyFont="1" applyBorder="1" applyAlignment="1">
      <alignment vertical="center"/>
    </xf>
    <xf numFmtId="0" fontId="6" fillId="0" borderId="20" xfId="3032" applyFont="1" applyBorder="1" applyAlignment="1">
      <alignment horizontal="center" vertical="center"/>
    </xf>
    <xf numFmtId="168" fontId="6" fillId="0" borderId="20" xfId="3032" applyNumberFormat="1" applyFont="1" applyBorder="1" applyAlignment="1">
      <alignment horizontal="center" vertical="center"/>
    </xf>
    <xf numFmtId="0" fontId="6" fillId="0" borderId="19" xfId="3032" applyFont="1" applyBorder="1" applyAlignment="1">
      <alignment horizontal="center" vertical="center"/>
    </xf>
    <xf numFmtId="14" fontId="6" fillId="0" borderId="28" xfId="0" applyNumberFormat="1" applyFont="1" applyBorder="1" applyAlignment="1">
      <alignment horizontal="center" vertical="center"/>
    </xf>
    <xf numFmtId="168" fontId="6" fillId="0" borderId="27" xfId="3032" applyNumberFormat="1" applyFont="1" applyBorder="1" applyAlignment="1">
      <alignment horizontal="center" vertical="center"/>
    </xf>
    <xf numFmtId="14" fontId="6" fillId="0" borderId="26" xfId="3032" applyNumberFormat="1" applyFont="1" applyBorder="1" applyAlignment="1">
      <alignment horizontal="center" vertical="center"/>
    </xf>
    <xf numFmtId="49" fontId="4" fillId="0" borderId="0" xfId="3032" applyNumberFormat="1" applyAlignment="1">
      <alignment horizontal="center" vertical="center"/>
    </xf>
    <xf numFmtId="0" fontId="70" fillId="0" borderId="0" xfId="3032" applyFont="1"/>
    <xf numFmtId="14" fontId="70" fillId="0" borderId="0" xfId="3032" applyNumberFormat="1" applyFont="1"/>
    <xf numFmtId="0" fontId="70" fillId="0" borderId="0" xfId="0" applyFont="1"/>
    <xf numFmtId="4" fontId="6" fillId="28" borderId="39" xfId="0" applyNumberFormat="1" applyFont="1" applyFill="1" applyBorder="1" applyAlignment="1">
      <alignment horizontal="center"/>
    </xf>
    <xf numFmtId="10" fontId="70" fillId="0" borderId="0" xfId="236" applyNumberFormat="1" applyFont="1"/>
    <xf numFmtId="4" fontId="78" fillId="28" borderId="42" xfId="3032" applyNumberFormat="1" applyFont="1" applyFill="1" applyBorder="1" applyAlignment="1">
      <alignment horizontal="center" vertical="center"/>
    </xf>
    <xf numFmtId="10" fontId="78" fillId="28" borderId="43" xfId="3032" applyNumberFormat="1" applyFont="1" applyFill="1" applyBorder="1" applyAlignment="1">
      <alignment horizontal="center" vertical="center"/>
    </xf>
    <xf numFmtId="4" fontId="6" fillId="0" borderId="37" xfId="3032" applyNumberFormat="1" applyFont="1" applyBorder="1" applyAlignment="1">
      <alignment horizontal="center" vertical="center"/>
    </xf>
    <xf numFmtId="192" fontId="6" fillId="0" borderId="40" xfId="3032" applyNumberFormat="1" applyFont="1" applyBorder="1" applyAlignment="1">
      <alignment horizontal="center" vertical="center"/>
    </xf>
    <xf numFmtId="3" fontId="6" fillId="0" borderId="44" xfId="3032" applyNumberFormat="1" applyFont="1" applyBorder="1" applyAlignment="1">
      <alignment horizontal="center" vertical="center"/>
    </xf>
    <xf numFmtId="4" fontId="77" fillId="0" borderId="37" xfId="3032" applyNumberFormat="1" applyFont="1" applyBorder="1" applyAlignment="1">
      <alignment horizontal="center" vertical="center"/>
    </xf>
    <xf numFmtId="192" fontId="77" fillId="0" borderId="40" xfId="3032" applyNumberFormat="1" applyFont="1" applyBorder="1" applyAlignment="1">
      <alignment horizontal="center" vertical="center"/>
    </xf>
    <xf numFmtId="3" fontId="77" fillId="0" borderId="44" xfId="3032" applyNumberFormat="1" applyFont="1" applyBorder="1" applyAlignment="1">
      <alignment horizontal="center" vertical="center"/>
    </xf>
    <xf numFmtId="192" fontId="4" fillId="0" borderId="0" xfId="3032" applyNumberFormat="1"/>
    <xf numFmtId="193" fontId="4" fillId="0" borderId="0" xfId="3032" applyNumberFormat="1"/>
    <xf numFmtId="168" fontId="4" fillId="0" borderId="0" xfId="3032" applyNumberFormat="1"/>
    <xf numFmtId="0" fontId="4" fillId="28" borderId="5" xfId="439" applyFill="1" applyBorder="1"/>
    <xf numFmtId="0" fontId="47" fillId="0" borderId="0" xfId="0" applyFont="1" applyAlignment="1">
      <alignment horizontal="center" vertical="center"/>
    </xf>
    <xf numFmtId="0" fontId="47" fillId="0" borderId="0" xfId="160" applyFont="1" applyAlignment="1" applyProtection="1">
      <alignment horizontal="center" vertical="center"/>
      <protection locked="0"/>
    </xf>
    <xf numFmtId="0" fontId="4" fillId="0" borderId="0" xfId="3032"/>
    <xf numFmtId="0" fontId="27" fillId="0" borderId="0" xfId="160" applyFont="1" applyAlignment="1">
      <alignment vertical="top"/>
    </xf>
    <xf numFmtId="165" fontId="52" fillId="0" borderId="0" xfId="0" applyNumberFormat="1" applyFont="1" applyAlignment="1">
      <alignment horizontal="center" vertical="center"/>
    </xf>
    <xf numFmtId="0" fontId="86" fillId="0" borderId="0" xfId="0" applyFont="1" applyAlignment="1">
      <alignment vertical="center"/>
    </xf>
    <xf numFmtId="8" fontId="52" fillId="0" borderId="0" xfId="0" applyNumberFormat="1" applyFont="1" applyAlignment="1">
      <alignment horizontal="center" vertical="center"/>
    </xf>
    <xf numFmtId="0" fontId="47" fillId="0" borderId="5" xfId="316" applyFont="1" applyBorder="1" applyAlignment="1">
      <alignment horizontal="left" vertical="center"/>
    </xf>
    <xf numFmtId="0" fontId="48" fillId="0" borderId="0" xfId="0" applyFont="1" applyAlignment="1">
      <alignment vertical="center"/>
    </xf>
    <xf numFmtId="0" fontId="4" fillId="28" borderId="0" xfId="439" applyFill="1"/>
    <xf numFmtId="0" fontId="65" fillId="28" borderId="0" xfId="439" applyFont="1" applyFill="1"/>
    <xf numFmtId="2" fontId="66" fillId="37" borderId="5" xfId="439" applyNumberFormat="1" applyFont="1" applyFill="1" applyBorder="1" applyAlignment="1" applyProtection="1">
      <alignment horizontal="center" vertical="center"/>
      <protection hidden="1"/>
    </xf>
    <xf numFmtId="196" fontId="68" fillId="37" borderId="5" xfId="439" applyNumberFormat="1" applyFont="1" applyFill="1" applyBorder="1" applyAlignment="1" applyProtection="1">
      <alignment horizontal="center" vertical="center" wrapText="1"/>
      <protection hidden="1"/>
    </xf>
    <xf numFmtId="197" fontId="67" fillId="0" borderId="5" xfId="439" applyNumberFormat="1" applyFont="1" applyBorder="1" applyAlignment="1" applyProtection="1">
      <alignment horizontal="center" vertical="center"/>
      <protection hidden="1"/>
    </xf>
    <xf numFmtId="10" fontId="88" fillId="0" borderId="5" xfId="439" applyNumberFormat="1" applyFont="1" applyBorder="1" applyAlignment="1" applyProtection="1">
      <alignment horizontal="right" vertical="center" wrapText="1"/>
      <protection hidden="1"/>
    </xf>
    <xf numFmtId="10" fontId="89" fillId="0" borderId="5" xfId="439" applyNumberFormat="1" applyFont="1" applyBorder="1" applyAlignment="1" applyProtection="1">
      <alignment horizontal="right" vertical="center" wrapText="1"/>
      <protection hidden="1"/>
    </xf>
    <xf numFmtId="10" fontId="65" fillId="28" borderId="0" xfId="439" applyNumberFormat="1" applyFont="1" applyFill="1"/>
    <xf numFmtId="43" fontId="88" fillId="0" borderId="5" xfId="439" applyNumberFormat="1" applyFont="1" applyBorder="1" applyAlignment="1" applyProtection="1">
      <alignment horizontal="right" vertical="center"/>
      <protection hidden="1"/>
    </xf>
    <xf numFmtId="43" fontId="89" fillId="0" borderId="5" xfId="3034" applyNumberFormat="1" applyFont="1" applyBorder="1" applyAlignment="1" applyProtection="1">
      <alignment vertical="center"/>
      <protection hidden="1"/>
    </xf>
    <xf numFmtId="0" fontId="67" fillId="29" borderId="0" xfId="439" applyFont="1" applyFill="1"/>
    <xf numFmtId="44" fontId="65" fillId="28" borderId="0" xfId="439" applyNumberFormat="1" applyFont="1" applyFill="1"/>
    <xf numFmtId="0" fontId="91" fillId="0" borderId="0" xfId="439" applyFont="1"/>
    <xf numFmtId="0" fontId="3" fillId="28" borderId="0" xfId="439" applyFont="1" applyFill="1"/>
    <xf numFmtId="0" fontId="3" fillId="28" borderId="5" xfId="439" applyFont="1" applyFill="1" applyBorder="1"/>
    <xf numFmtId="43" fontId="92" fillId="28" borderId="5" xfId="3035" applyFont="1" applyFill="1" applyBorder="1" applyProtection="1">
      <protection locked="0"/>
    </xf>
    <xf numFmtId="2" fontId="4" fillId="28" borderId="0" xfId="439" applyNumberFormat="1" applyFill="1"/>
    <xf numFmtId="43" fontId="4" fillId="28" borderId="0" xfId="439" applyNumberFormat="1" applyFill="1"/>
    <xf numFmtId="4" fontId="4" fillId="28" borderId="0" xfId="439" applyNumberFormat="1" applyFill="1"/>
    <xf numFmtId="10" fontId="4" fillId="28" borderId="0" xfId="439" applyNumberFormat="1" applyFill="1"/>
    <xf numFmtId="0" fontId="4" fillId="28" borderId="0" xfId="439" applyFill="1" applyAlignment="1">
      <alignment horizontal="center"/>
    </xf>
    <xf numFmtId="0" fontId="4" fillId="29" borderId="0" xfId="439" applyFill="1"/>
    <xf numFmtId="0" fontId="26" fillId="29" borderId="0" xfId="3032" applyFont="1" applyFill="1" applyAlignment="1">
      <alignment vertical="center"/>
    </xf>
    <xf numFmtId="0" fontId="3" fillId="29" borderId="0" xfId="439" applyFont="1" applyFill="1"/>
    <xf numFmtId="17" fontId="94" fillId="29" borderId="0" xfId="439" applyNumberFormat="1" applyFont="1" applyFill="1" applyAlignment="1">
      <alignment vertical="center"/>
    </xf>
    <xf numFmtId="0" fontId="94" fillId="29" borderId="0" xfId="439" applyFont="1" applyFill="1" applyAlignment="1">
      <alignment vertical="center"/>
    </xf>
    <xf numFmtId="0" fontId="26" fillId="29" borderId="0" xfId="430" applyFont="1" applyFill="1" applyAlignment="1">
      <alignment horizontal="left" vertical="center"/>
    </xf>
    <xf numFmtId="0" fontId="4" fillId="29" borderId="0" xfId="439" applyFill="1" applyAlignment="1">
      <alignment horizontal="left"/>
    </xf>
    <xf numFmtId="43" fontId="4" fillId="29" borderId="0" xfId="439" applyNumberFormat="1" applyFill="1"/>
    <xf numFmtId="165" fontId="4" fillId="28" borderId="0" xfId="439" applyNumberFormat="1" applyFill="1"/>
    <xf numFmtId="0" fontId="95" fillId="0" borderId="0" xfId="439" applyFont="1"/>
    <xf numFmtId="2" fontId="5" fillId="37" borderId="5" xfId="439" applyNumberFormat="1" applyFont="1" applyFill="1" applyBorder="1" applyAlignment="1" applyProtection="1">
      <alignment horizontal="center" vertical="center"/>
      <protection hidden="1"/>
    </xf>
    <xf numFmtId="197" fontId="4" fillId="0" borderId="5" xfId="439" applyNumberFormat="1" applyBorder="1" applyAlignment="1" applyProtection="1">
      <alignment horizontal="center" vertical="center"/>
      <protection hidden="1"/>
    </xf>
    <xf numFmtId="10" fontId="96" fillId="0" borderId="5" xfId="439" applyNumberFormat="1" applyFont="1" applyBorder="1" applyAlignment="1" applyProtection="1">
      <alignment horizontal="right" vertical="center" wrapText="1"/>
      <protection hidden="1"/>
    </xf>
    <xf numFmtId="10" fontId="97" fillId="0" borderId="5" xfId="439" applyNumberFormat="1" applyFont="1" applyBorder="1" applyAlignment="1" applyProtection="1">
      <alignment horizontal="right" vertical="center" wrapText="1"/>
      <protection hidden="1"/>
    </xf>
    <xf numFmtId="2" fontId="3" fillId="28" borderId="0" xfId="439" applyNumberFormat="1" applyFont="1" applyFill="1"/>
    <xf numFmtId="188" fontId="65" fillId="28" borderId="0" xfId="439" applyNumberFormat="1" applyFont="1" applyFill="1"/>
    <xf numFmtId="0" fontId="27" fillId="0" borderId="0" xfId="0" applyFont="1" applyAlignment="1">
      <alignment vertical="center"/>
    </xf>
    <xf numFmtId="2" fontId="47" fillId="0" borderId="0" xfId="0" applyNumberFormat="1" applyFont="1" applyAlignment="1">
      <alignment horizontal="center" vertical="center"/>
    </xf>
    <xf numFmtId="0" fontId="52" fillId="0" borderId="0" xfId="160" applyFont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101" fillId="0" borderId="0" xfId="0" applyFont="1" applyAlignment="1">
      <alignment horizontal="left"/>
    </xf>
    <xf numFmtId="0" fontId="61" fillId="0" borderId="0" xfId="0" applyFont="1"/>
    <xf numFmtId="0" fontId="106" fillId="0" borderId="0" xfId="0" applyFont="1"/>
    <xf numFmtId="0" fontId="101" fillId="0" borderId="0" xfId="0" applyFont="1"/>
    <xf numFmtId="0" fontId="53" fillId="38" borderId="53" xfId="0" applyFont="1" applyFill="1" applyBorder="1" applyAlignment="1">
      <alignment horizontal="center" vertical="center"/>
    </xf>
    <xf numFmtId="0" fontId="2" fillId="28" borderId="0" xfId="0" applyFont="1" applyFill="1"/>
    <xf numFmtId="0" fontId="2" fillId="28" borderId="58" xfId="0" applyFont="1" applyFill="1" applyBorder="1"/>
    <xf numFmtId="0" fontId="85" fillId="28" borderId="0" xfId="0" applyFont="1" applyFill="1" applyAlignment="1">
      <alignment horizontal="center"/>
    </xf>
    <xf numFmtId="0" fontId="85" fillId="28" borderId="0" xfId="0" applyFont="1" applyFill="1"/>
    <xf numFmtId="0" fontId="0" fillId="28" borderId="0" xfId="0" applyFill="1"/>
    <xf numFmtId="0" fontId="0" fillId="28" borderId="58" xfId="0" applyFill="1" applyBorder="1"/>
    <xf numFmtId="0" fontId="99" fillId="0" borderId="0" xfId="0" applyFont="1" applyAlignment="1">
      <alignment horizontal="left"/>
    </xf>
    <xf numFmtId="0" fontId="99" fillId="0" borderId="0" xfId="0" applyFont="1" applyAlignment="1">
      <alignment horizontal="center"/>
    </xf>
    <xf numFmtId="0" fontId="52" fillId="0" borderId="54" xfId="0" applyFont="1" applyBorder="1" applyAlignment="1">
      <alignment vertical="center"/>
    </xf>
    <xf numFmtId="0" fontId="58" fillId="0" borderId="59" xfId="0" applyFont="1" applyBorder="1" applyAlignment="1">
      <alignment vertical="center"/>
    </xf>
    <xf numFmtId="0" fontId="47" fillId="0" borderId="0" xfId="0" applyFont="1" applyAlignment="1">
      <alignment vertical="top"/>
    </xf>
    <xf numFmtId="0" fontId="52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113" fillId="0" borderId="59" xfId="0" applyFont="1" applyBorder="1" applyAlignment="1">
      <alignment vertical="center"/>
    </xf>
    <xf numFmtId="0" fontId="114" fillId="0" borderId="59" xfId="0" applyFont="1" applyBorder="1" applyAlignment="1">
      <alignment vertical="center"/>
    </xf>
    <xf numFmtId="0" fontId="114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3" fillId="0" borderId="0" xfId="160" applyFont="1" applyAlignment="1" applyProtection="1">
      <alignment vertical="center"/>
      <protection locked="0"/>
    </xf>
    <xf numFmtId="0" fontId="3" fillId="0" borderId="0" xfId="160" applyFont="1" applyAlignment="1">
      <alignment vertical="center"/>
    </xf>
    <xf numFmtId="0" fontId="53" fillId="0" borderId="0" xfId="0" applyFont="1" applyAlignment="1">
      <alignment vertical="center"/>
    </xf>
    <xf numFmtId="0" fontId="118" fillId="0" borderId="0" xfId="0" applyFont="1" applyAlignment="1">
      <alignment horizontal="left" vertical="center"/>
    </xf>
    <xf numFmtId="0" fontId="11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5" xfId="316" applyFont="1" applyBorder="1" applyAlignment="1">
      <alignment horizontal="left" vertical="center"/>
    </xf>
    <xf numFmtId="0" fontId="85" fillId="0" borderId="0" xfId="0" applyFont="1" applyAlignment="1">
      <alignment horizontal="center" vertical="center"/>
    </xf>
    <xf numFmtId="165" fontId="85" fillId="0" borderId="0" xfId="0" applyNumberFormat="1" applyFont="1" applyAlignment="1">
      <alignment horizontal="center" vertical="center"/>
    </xf>
    <xf numFmtId="0" fontId="3" fillId="28" borderId="0" xfId="0" applyFont="1" applyFill="1" applyAlignment="1">
      <alignment horizontal="left" vertical="center"/>
    </xf>
    <xf numFmtId="2" fontId="73" fillId="28" borderId="0" xfId="0" applyNumberFormat="1" applyFont="1" applyFill="1" applyAlignment="1">
      <alignment horizontal="center" vertical="center"/>
    </xf>
    <xf numFmtId="2" fontId="72" fillId="28" borderId="0" xfId="0" applyNumberFormat="1" applyFont="1" applyFill="1" applyAlignment="1">
      <alignment horizontal="center" vertical="center"/>
    </xf>
    <xf numFmtId="2" fontId="85" fillId="0" borderId="0" xfId="1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top" wrapText="1"/>
    </xf>
    <xf numFmtId="0" fontId="55" fillId="28" borderId="0" xfId="0" applyFont="1" applyFill="1" applyAlignment="1">
      <alignment vertical="center"/>
    </xf>
    <xf numFmtId="0" fontId="47" fillId="28" borderId="0" xfId="0" applyFont="1" applyFill="1" applyAlignment="1">
      <alignment vertical="center"/>
    </xf>
    <xf numFmtId="0" fontId="52" fillId="28" borderId="0" xfId="0" applyFont="1" applyFill="1" applyAlignment="1">
      <alignment vertical="center"/>
    </xf>
    <xf numFmtId="0" fontId="49" fillId="28" borderId="0" xfId="0" applyFont="1" applyFill="1" applyAlignment="1">
      <alignment vertical="center"/>
    </xf>
    <xf numFmtId="0" fontId="28" fillId="0" borderId="0" xfId="160" applyFont="1" applyAlignment="1">
      <alignment horizontal="center" vertical="center"/>
    </xf>
    <xf numFmtId="189" fontId="3" fillId="0" borderId="0" xfId="51" applyNumberFormat="1" applyFont="1" applyFill="1" applyBorder="1" applyAlignment="1">
      <alignment horizontal="center" vertical="center"/>
    </xf>
    <xf numFmtId="10" fontId="3" fillId="0" borderId="0" xfId="160" applyNumberFormat="1" applyFont="1" applyAlignment="1">
      <alignment horizontal="center" vertical="center"/>
    </xf>
    <xf numFmtId="189" fontId="3" fillId="0" borderId="0" xfId="160" applyNumberFormat="1" applyFont="1" applyAlignment="1">
      <alignment horizontal="center" vertical="center"/>
    </xf>
    <xf numFmtId="0" fontId="3" fillId="0" borderId="0" xfId="160" applyFont="1" applyAlignment="1" applyProtection="1">
      <alignment horizontal="center" vertical="center"/>
      <protection locked="0"/>
    </xf>
    <xf numFmtId="0" fontId="28" fillId="28" borderId="0" xfId="160" applyFont="1" applyFill="1" applyAlignment="1" applyProtection="1">
      <alignment horizontal="center" vertical="center" wrapText="1"/>
      <protection locked="0"/>
    </xf>
    <xf numFmtId="0" fontId="113" fillId="0" borderId="61" xfId="0" applyFont="1" applyBorder="1" applyAlignment="1">
      <alignment vertical="center"/>
    </xf>
    <xf numFmtId="165" fontId="116" fillId="0" borderId="60" xfId="160" quotePrefix="1" applyNumberFormat="1" applyFont="1" applyBorder="1" applyAlignment="1">
      <alignment vertical="center"/>
    </xf>
    <xf numFmtId="0" fontId="113" fillId="0" borderId="59" xfId="160" applyFont="1" applyBorder="1" applyAlignment="1">
      <alignment vertical="center"/>
    </xf>
    <xf numFmtId="187" fontId="58" fillId="0" borderId="60" xfId="160" applyNumberFormat="1" applyFont="1" applyBorder="1" applyAlignment="1">
      <alignment vertical="center" wrapText="1"/>
    </xf>
    <xf numFmtId="49" fontId="94" fillId="29" borderId="0" xfId="439" applyNumberFormat="1" applyFont="1" applyFill="1" applyAlignment="1">
      <alignment vertical="center" wrapText="1"/>
    </xf>
    <xf numFmtId="2" fontId="94" fillId="29" borderId="0" xfId="439" applyNumberFormat="1" applyFont="1" applyFill="1" applyAlignment="1">
      <alignment vertical="center" wrapText="1"/>
    </xf>
    <xf numFmtId="1" fontId="4" fillId="28" borderId="25" xfId="3052" applyNumberFormat="1" applyFont="1" applyFill="1" applyBorder="1" applyAlignment="1">
      <alignment horizontal="left" vertical="center" wrapText="1"/>
    </xf>
    <xf numFmtId="1" fontId="4" fillId="28" borderId="18" xfId="3052" applyNumberFormat="1" applyFont="1" applyFill="1" applyBorder="1" applyAlignment="1">
      <alignment horizontal="left" vertical="center" wrapText="1"/>
    </xf>
    <xf numFmtId="0" fontId="4" fillId="0" borderId="0" xfId="3032" applyAlignment="1">
      <alignment wrapText="1"/>
    </xf>
    <xf numFmtId="0" fontId="69" fillId="0" borderId="0" xfId="3032" applyFont="1" applyAlignment="1">
      <alignment wrapText="1"/>
    </xf>
    <xf numFmtId="0" fontId="84" fillId="31" borderId="0" xfId="0" applyFont="1" applyFill="1" applyAlignment="1">
      <alignment wrapText="1"/>
    </xf>
    <xf numFmtId="0" fontId="84" fillId="29" borderId="0" xfId="0" applyFont="1" applyFill="1" applyAlignment="1">
      <alignment wrapText="1"/>
    </xf>
    <xf numFmtId="1" fontId="5" fillId="25" borderId="18" xfId="3052" applyNumberFormat="1" applyFont="1" applyFill="1" applyBorder="1" applyAlignment="1">
      <alignment horizontal="left" vertical="center" wrapText="1"/>
    </xf>
    <xf numFmtId="169" fontId="5" fillId="25" borderId="18" xfId="3052" applyNumberFormat="1" applyFont="1" applyFill="1" applyBorder="1" applyAlignment="1">
      <alignment horizontal="right" vertical="center" wrapText="1"/>
    </xf>
    <xf numFmtId="169" fontId="4" fillId="28" borderId="25" xfId="3052" applyNumberFormat="1" applyFont="1" applyFill="1" applyBorder="1" applyAlignment="1">
      <alignment horizontal="right" vertical="center" wrapText="1"/>
    </xf>
    <xf numFmtId="1" fontId="4" fillId="28" borderId="22" xfId="3052" applyNumberFormat="1" applyFont="1" applyFill="1" applyBorder="1" applyAlignment="1">
      <alignment horizontal="center" vertical="center" wrapText="1"/>
    </xf>
    <xf numFmtId="1" fontId="4" fillId="28" borderId="25" xfId="3052" applyNumberFormat="1" applyFont="1" applyFill="1" applyBorder="1" applyAlignment="1">
      <alignment horizontal="center" vertical="center" wrapText="1"/>
    </xf>
    <xf numFmtId="0" fontId="84" fillId="25" borderId="0" xfId="0" applyFont="1" applyFill="1" applyAlignment="1">
      <alignment wrapText="1"/>
    </xf>
    <xf numFmtId="1" fontId="54" fillId="25" borderId="25" xfId="3052" applyNumberFormat="1" applyFont="1" applyFill="1" applyBorder="1" applyAlignment="1">
      <alignment horizontal="left" vertical="center" wrapText="1"/>
    </xf>
    <xf numFmtId="169" fontId="54" fillId="25" borderId="25" xfId="3052" applyNumberFormat="1" applyFont="1" applyFill="1" applyBorder="1" applyAlignment="1">
      <alignment horizontal="right" vertical="center" wrapText="1"/>
    </xf>
    <xf numFmtId="1" fontId="54" fillId="25" borderId="22" xfId="3052" applyNumberFormat="1" applyFont="1" applyFill="1" applyBorder="1" applyAlignment="1">
      <alignment horizontal="center" vertical="center" wrapText="1"/>
    </xf>
    <xf numFmtId="169" fontId="4" fillId="28" borderId="18" xfId="3052" applyNumberFormat="1" applyFont="1" applyFill="1" applyBorder="1" applyAlignment="1">
      <alignment horizontal="right" vertical="center" wrapText="1"/>
    </xf>
    <xf numFmtId="1" fontId="4" fillId="28" borderId="18" xfId="3052" applyNumberFormat="1" applyFont="1" applyFill="1" applyBorder="1" applyAlignment="1">
      <alignment horizontal="center" vertical="center" wrapText="1"/>
    </xf>
    <xf numFmtId="0" fontId="120" fillId="31" borderId="0" xfId="0" applyFont="1" applyFill="1" applyAlignment="1">
      <alignment wrapText="1"/>
    </xf>
    <xf numFmtId="1" fontId="61" fillId="28" borderId="18" xfId="3052" applyNumberFormat="1" applyFont="1" applyFill="1" applyBorder="1" applyAlignment="1">
      <alignment horizontal="left" vertical="center" wrapText="1"/>
    </xf>
    <xf numFmtId="169" fontId="61" fillId="28" borderId="18" xfId="3052" applyNumberFormat="1" applyFont="1" applyFill="1" applyBorder="1" applyAlignment="1">
      <alignment horizontal="right" vertical="center" wrapText="1"/>
    </xf>
    <xf numFmtId="1" fontId="61" fillId="28" borderId="18" xfId="3052" applyNumberFormat="1" applyFont="1" applyFill="1" applyBorder="1" applyAlignment="1">
      <alignment horizontal="center" vertical="center" wrapText="1"/>
    </xf>
    <xf numFmtId="0" fontId="84" fillId="31" borderId="0" xfId="0" applyFont="1" applyFill="1" applyAlignment="1">
      <alignment horizontal="center" wrapText="1"/>
    </xf>
    <xf numFmtId="1" fontId="5" fillId="25" borderId="18" xfId="3052" applyNumberFormat="1" applyFont="1" applyFill="1" applyBorder="1" applyAlignment="1">
      <alignment horizontal="center" vertical="center" wrapText="1"/>
    </xf>
    <xf numFmtId="0" fontId="119" fillId="25" borderId="0" xfId="0" applyFont="1" applyFill="1" applyAlignment="1">
      <alignment wrapText="1"/>
    </xf>
    <xf numFmtId="0" fontId="84" fillId="28" borderId="0" xfId="0" applyFont="1" applyFill="1" applyAlignment="1">
      <alignment wrapText="1"/>
    </xf>
    <xf numFmtId="0" fontId="78" fillId="28" borderId="42" xfId="3032" applyFont="1" applyFill="1" applyBorder="1" applyAlignment="1">
      <alignment horizontal="center" vertical="center"/>
    </xf>
    <xf numFmtId="2" fontId="4" fillId="0" borderId="0" xfId="3032" applyNumberFormat="1" applyAlignment="1">
      <alignment wrapText="1"/>
    </xf>
    <xf numFmtId="2" fontId="84" fillId="31" borderId="0" xfId="0" applyNumberFormat="1" applyFont="1" applyFill="1" applyAlignment="1">
      <alignment wrapText="1"/>
    </xf>
    <xf numFmtId="2" fontId="84" fillId="29" borderId="0" xfId="0" applyNumberFormat="1" applyFont="1" applyFill="1" applyAlignment="1">
      <alignment wrapText="1"/>
    </xf>
    <xf numFmtId="2" fontId="84" fillId="25" borderId="0" xfId="0" applyNumberFormat="1" applyFont="1" applyFill="1" applyAlignment="1">
      <alignment wrapText="1"/>
    </xf>
    <xf numFmtId="2" fontId="120" fillId="31" borderId="0" xfId="0" applyNumberFormat="1" applyFont="1" applyFill="1" applyAlignment="1">
      <alignment wrapText="1"/>
    </xf>
    <xf numFmtId="2" fontId="119" fillId="25" borderId="0" xfId="0" applyNumberFormat="1" applyFont="1" applyFill="1" applyAlignment="1">
      <alignment wrapText="1"/>
    </xf>
    <xf numFmtId="2" fontId="84" fillId="28" borderId="0" xfId="0" applyNumberFormat="1" applyFont="1" applyFill="1" applyAlignment="1">
      <alignment wrapText="1"/>
    </xf>
    <xf numFmtId="0" fontId="6" fillId="0" borderId="26" xfId="3032" applyFont="1" applyBorder="1" applyAlignment="1">
      <alignment horizontal="center" vertical="center"/>
    </xf>
    <xf numFmtId="0" fontId="65" fillId="0" borderId="0" xfId="3032" applyFont="1" applyAlignment="1">
      <alignment horizontal="center"/>
    </xf>
    <xf numFmtId="0" fontId="6" fillId="0" borderId="21" xfId="3032" applyFont="1" applyBorder="1" applyAlignment="1">
      <alignment horizontal="center" vertical="center"/>
    </xf>
    <xf numFmtId="168" fontId="6" fillId="0" borderId="27" xfId="0" applyNumberFormat="1" applyFont="1" applyBorder="1" applyAlignment="1">
      <alignment horizontal="center" vertical="center"/>
    </xf>
    <xf numFmtId="10" fontId="78" fillId="28" borderId="62" xfId="3032" applyNumberFormat="1" applyFont="1" applyFill="1" applyBorder="1" applyAlignment="1">
      <alignment horizontal="center" vertical="center"/>
    </xf>
    <xf numFmtId="0" fontId="61" fillId="28" borderId="0" xfId="3032" applyFont="1" applyFill="1" applyAlignment="1">
      <alignment horizontal="center" vertical="center" wrapText="1"/>
    </xf>
    <xf numFmtId="0" fontId="120" fillId="28" borderId="0" xfId="0" applyFont="1" applyFill="1" applyAlignment="1">
      <alignment horizontal="center" vertical="center" wrapText="1"/>
    </xf>
    <xf numFmtId="0" fontId="121" fillId="28" borderId="0" xfId="0" applyFont="1" applyFill="1" applyAlignment="1">
      <alignment horizontal="center" vertical="center" wrapText="1"/>
    </xf>
    <xf numFmtId="0" fontId="120" fillId="25" borderId="0" xfId="0" applyFont="1" applyFill="1" applyAlignment="1">
      <alignment horizontal="center" vertical="center" wrapText="1"/>
    </xf>
    <xf numFmtId="0" fontId="121" fillId="25" borderId="0" xfId="0" applyFont="1" applyFill="1" applyAlignment="1">
      <alignment horizontal="center" vertical="center" wrapText="1"/>
    </xf>
    <xf numFmtId="0" fontId="84" fillId="29" borderId="0" xfId="0" applyFont="1" applyFill="1" applyAlignment="1">
      <alignment horizontal="center" vertical="center" wrapText="1"/>
    </xf>
    <xf numFmtId="0" fontId="84" fillId="25" borderId="0" xfId="0" applyFont="1" applyFill="1" applyAlignment="1">
      <alignment horizontal="center" vertical="center" wrapText="1"/>
    </xf>
    <xf numFmtId="0" fontId="120" fillId="28" borderId="57" xfId="0" applyFont="1" applyFill="1" applyBorder="1" applyAlignment="1">
      <alignment horizontal="center" vertical="center" wrapText="1"/>
    </xf>
    <xf numFmtId="1" fontId="4" fillId="28" borderId="24" xfId="3052" applyNumberFormat="1" applyFont="1" applyFill="1" applyBorder="1" applyAlignment="1">
      <alignment horizontal="center" vertical="center" wrapText="1"/>
    </xf>
    <xf numFmtId="0" fontId="70" fillId="32" borderId="0" xfId="0" applyFont="1" applyFill="1"/>
    <xf numFmtId="0" fontId="99" fillId="0" borderId="0" xfId="160" applyFont="1" applyAlignment="1">
      <alignment vertical="top"/>
    </xf>
    <xf numFmtId="0" fontId="28" fillId="28" borderId="0" xfId="439" applyFont="1" applyFill="1"/>
    <xf numFmtId="0" fontId="5" fillId="28" borderId="0" xfId="439" applyFont="1" applyFill="1"/>
    <xf numFmtId="0" fontId="102" fillId="0" borderId="0" xfId="3032" applyFont="1" applyAlignment="1">
      <alignment wrapText="1"/>
    </xf>
    <xf numFmtId="0" fontId="101" fillId="28" borderId="0" xfId="0" applyFont="1" applyFill="1"/>
    <xf numFmtId="0" fontId="2" fillId="32" borderId="0" xfId="0" applyFont="1" applyFill="1"/>
    <xf numFmtId="0" fontId="51" fillId="0" borderId="0" xfId="160" applyFont="1" applyAlignment="1">
      <alignment vertical="top"/>
    </xf>
    <xf numFmtId="4" fontId="146" fillId="47" borderId="70" xfId="5860" applyNumberFormat="1" applyFont="1" applyFill="1" applyBorder="1" applyAlignment="1">
      <alignment horizontal="right" vertical="center" shrinkToFit="1"/>
    </xf>
    <xf numFmtId="0" fontId="4" fillId="0" borderId="5" xfId="0" applyFont="1" applyBorder="1" applyAlignment="1">
      <alignment vertical="center"/>
    </xf>
    <xf numFmtId="0" fontId="6" fillId="0" borderId="45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4" fontId="6" fillId="0" borderId="39" xfId="0" applyNumberFormat="1" applyFont="1" applyBorder="1" applyAlignment="1">
      <alignment horizontal="center"/>
    </xf>
    <xf numFmtId="188" fontId="6" fillId="0" borderId="39" xfId="0" applyNumberFormat="1" applyFont="1" applyBorder="1" applyAlignment="1">
      <alignment horizontal="center"/>
    </xf>
    <xf numFmtId="43" fontId="89" fillId="0" borderId="5" xfId="3034" applyNumberFormat="1" applyFont="1" applyFill="1" applyBorder="1" applyAlignment="1" applyProtection="1">
      <alignment vertical="center"/>
      <protection hidden="1"/>
    </xf>
    <xf numFmtId="9" fontId="65" fillId="28" borderId="0" xfId="5871" applyFont="1" applyFill="1"/>
    <xf numFmtId="0" fontId="28" fillId="28" borderId="0" xfId="3032" applyFont="1" applyFill="1" applyAlignment="1">
      <alignment horizontal="center" wrapText="1"/>
    </xf>
    <xf numFmtId="0" fontId="3" fillId="28" borderId="0" xfId="3032" applyFont="1" applyFill="1" applyAlignment="1">
      <alignment horizontal="center" wrapText="1"/>
    </xf>
    <xf numFmtId="0" fontId="28" fillId="28" borderId="0" xfId="430" applyFont="1" applyFill="1" applyAlignment="1">
      <alignment horizontal="center" vertical="center" wrapText="1"/>
    </xf>
    <xf numFmtId="0" fontId="48" fillId="31" borderId="0" xfId="3032" applyFont="1" applyFill="1" applyAlignment="1">
      <alignment horizontal="left" vertical="center" wrapText="1"/>
    </xf>
    <xf numFmtId="0" fontId="47" fillId="31" borderId="0" xfId="3032" applyFont="1" applyFill="1" applyAlignment="1">
      <alignment vertical="center" wrapText="1"/>
    </xf>
    <xf numFmtId="49" fontId="47" fillId="31" borderId="0" xfId="3032" applyNumberFormat="1" applyFont="1" applyFill="1" applyAlignment="1">
      <alignment vertical="center" wrapText="1"/>
    </xf>
    <xf numFmtId="14" fontId="47" fillId="31" borderId="0" xfId="3032" applyNumberFormat="1" applyFont="1" applyFill="1" applyAlignment="1">
      <alignment horizontal="left" vertical="center" wrapText="1"/>
    </xf>
    <xf numFmtId="0" fontId="47" fillId="31" borderId="0" xfId="3032" applyFont="1" applyFill="1" applyAlignment="1">
      <alignment horizontal="left" vertical="center"/>
    </xf>
    <xf numFmtId="0" fontId="28" fillId="31" borderId="0" xfId="3032" applyFont="1" applyFill="1" applyAlignment="1">
      <alignment horizontal="center" vertical="center" wrapText="1"/>
    </xf>
    <xf numFmtId="0" fontId="83" fillId="28" borderId="0" xfId="3032" applyFont="1" applyFill="1" applyAlignment="1">
      <alignment horizontal="center" vertical="center" wrapText="1"/>
    </xf>
    <xf numFmtId="0" fontId="3" fillId="31" borderId="0" xfId="3032" applyFont="1" applyFill="1" applyAlignment="1">
      <alignment horizontal="center" wrapText="1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4" fontId="149" fillId="0" borderId="0" xfId="0" applyNumberFormat="1" applyFont="1"/>
    <xf numFmtId="43" fontId="149" fillId="0" borderId="0" xfId="1" applyFont="1"/>
    <xf numFmtId="169" fontId="4" fillId="0" borderId="0" xfId="0" applyNumberFormat="1" applyFont="1"/>
    <xf numFmtId="43" fontId="24" fillId="0" borderId="0" xfId="1" applyFont="1"/>
    <xf numFmtId="169" fontId="24" fillId="0" borderId="0" xfId="0" applyNumberFormat="1" applyFont="1"/>
    <xf numFmtId="4" fontId="24" fillId="0" borderId="0" xfId="0" applyNumberFormat="1" applyFont="1"/>
    <xf numFmtId="4" fontId="24" fillId="0" borderId="0" xfId="0" applyNumberFormat="1" applyFont="1" applyAlignment="1">
      <alignment horizontal="center" vertical="center"/>
    </xf>
    <xf numFmtId="0" fontId="24" fillId="25" borderId="0" xfId="0" applyFont="1" applyFill="1" applyAlignment="1">
      <alignment vertical="center"/>
    </xf>
    <xf numFmtId="0" fontId="24" fillId="25" borderId="0" xfId="0" applyFont="1" applyFill="1"/>
    <xf numFmtId="2" fontId="63" fillId="28" borderId="20" xfId="0" applyNumberFormat="1" applyFont="1" applyFill="1" applyBorder="1" applyAlignment="1">
      <alignment horizontal="center" vertical="center"/>
    </xf>
    <xf numFmtId="0" fontId="63" fillId="28" borderId="20" xfId="0" applyFont="1" applyFill="1" applyBorder="1" applyAlignment="1">
      <alignment horizontal="center" vertical="center"/>
    </xf>
    <xf numFmtId="0" fontId="61" fillId="0" borderId="20" xfId="3042" applyFont="1" applyBorder="1" applyAlignment="1">
      <alignment horizontal="justify" vertical="center" wrapText="1"/>
    </xf>
    <xf numFmtId="190" fontId="4" fillId="0" borderId="34" xfId="3036" applyBorder="1" applyAlignment="1">
      <alignment horizontal="center" vertical="center" wrapText="1"/>
    </xf>
    <xf numFmtId="208" fontId="4" fillId="0" borderId="36" xfId="3036" applyNumberFormat="1" applyBorder="1" applyAlignment="1">
      <alignment horizontal="center" vertical="center" wrapText="1"/>
    </xf>
    <xf numFmtId="43" fontId="4" fillId="0" borderId="37" xfId="1" applyFont="1" applyBorder="1" applyAlignment="1">
      <alignment horizontal="center" vertical="center" wrapText="1"/>
    </xf>
    <xf numFmtId="208" fontId="4" fillId="0" borderId="34" xfId="3036" applyNumberFormat="1" applyBorder="1" applyAlignment="1">
      <alignment horizontal="center" vertical="center" wrapText="1"/>
    </xf>
    <xf numFmtId="190" fontId="4" fillId="0" borderId="37" xfId="3036" applyFill="1" applyBorder="1" applyAlignment="1">
      <alignment horizontal="center" vertical="center" wrapText="1"/>
    </xf>
    <xf numFmtId="2" fontId="63" fillId="28" borderId="23" xfId="0" applyNumberFormat="1" applyFont="1" applyFill="1" applyBorder="1" applyAlignment="1">
      <alignment horizontal="center" vertical="center"/>
    </xf>
    <xf numFmtId="0" fontId="63" fillId="28" borderId="23" xfId="0" applyFont="1" applyFill="1" applyBorder="1" applyAlignment="1">
      <alignment horizontal="center" vertical="center"/>
    </xf>
    <xf numFmtId="0" fontId="61" fillId="0" borderId="23" xfId="3042" applyFont="1" applyBorder="1" applyAlignment="1">
      <alignment horizontal="justify" vertical="center" wrapText="1"/>
    </xf>
    <xf numFmtId="190" fontId="4" fillId="0" borderId="45" xfId="3036" applyBorder="1" applyAlignment="1">
      <alignment horizontal="center" vertical="center" wrapText="1"/>
    </xf>
    <xf numFmtId="208" fontId="4" fillId="0" borderId="39" xfId="3036" applyNumberFormat="1" applyBorder="1" applyAlignment="1">
      <alignment horizontal="center" vertical="center" wrapText="1"/>
    </xf>
    <xf numFmtId="43" fontId="4" fillId="0" borderId="46" xfId="1" applyFont="1" applyBorder="1" applyAlignment="1">
      <alignment horizontal="center" vertical="center" wrapText="1"/>
    </xf>
    <xf numFmtId="208" fontId="4" fillId="0" borderId="45" xfId="3036" applyNumberFormat="1" applyBorder="1" applyAlignment="1">
      <alignment horizontal="center" vertical="center" wrapText="1"/>
    </xf>
    <xf numFmtId="190" fontId="4" fillId="0" borderId="46" xfId="3036" applyFill="1" applyBorder="1" applyAlignment="1">
      <alignment horizontal="center" vertical="center" wrapText="1"/>
    </xf>
    <xf numFmtId="190" fontId="4" fillId="0" borderId="45" xfId="3036" applyFill="1" applyBorder="1" applyAlignment="1">
      <alignment horizontal="center" vertical="center" wrapText="1"/>
    </xf>
    <xf numFmtId="208" fontId="4" fillId="0" borderId="39" xfId="3036" applyNumberFormat="1" applyFill="1" applyBorder="1" applyAlignment="1">
      <alignment horizontal="center" vertical="center" wrapText="1"/>
    </xf>
    <xf numFmtId="43" fontId="4" fillId="0" borderId="46" xfId="1" applyFont="1" applyFill="1" applyBorder="1" applyAlignment="1">
      <alignment horizontal="center" vertical="center" wrapText="1"/>
    </xf>
    <xf numFmtId="208" fontId="4" fillId="0" borderId="45" xfId="3036" applyNumberFormat="1" applyFill="1" applyBorder="1" applyAlignment="1">
      <alignment horizontal="center" vertical="center" wrapText="1"/>
    </xf>
    <xf numFmtId="2" fontId="24" fillId="0" borderId="31" xfId="0" applyNumberFormat="1" applyFont="1" applyBorder="1" applyAlignment="1">
      <alignment horizontal="center" vertical="center"/>
    </xf>
    <xf numFmtId="0" fontId="61" fillId="0" borderId="31" xfId="3042" applyFont="1" applyBorder="1" applyAlignment="1">
      <alignment horizontal="justify" vertical="center" wrapText="1"/>
    </xf>
    <xf numFmtId="0" fontId="4" fillId="0" borderId="31" xfId="3044" applyFont="1" applyBorder="1" applyAlignment="1">
      <alignment horizontal="center" vertical="center"/>
    </xf>
    <xf numFmtId="190" fontId="4" fillId="0" borderId="38" xfId="3036" applyBorder="1" applyAlignment="1">
      <alignment horizontal="center" vertical="center" wrapText="1"/>
    </xf>
    <xf numFmtId="208" fontId="4" fillId="0" borderId="35" xfId="3036" applyNumberFormat="1" applyBorder="1" applyAlignment="1">
      <alignment horizontal="center" vertical="center" wrapText="1"/>
    </xf>
    <xf numFmtId="43" fontId="4" fillId="0" borderId="40" xfId="1" applyFont="1" applyBorder="1" applyAlignment="1">
      <alignment horizontal="center" vertical="center" wrapText="1"/>
    </xf>
    <xf numFmtId="208" fontId="4" fillId="0" borderId="38" xfId="3036" applyNumberFormat="1" applyBorder="1" applyAlignment="1">
      <alignment horizontal="center" vertical="center" wrapText="1"/>
    </xf>
    <xf numFmtId="190" fontId="4" fillId="0" borderId="40" xfId="3036" applyFill="1" applyBorder="1" applyAlignment="1">
      <alignment horizontal="center" vertical="center" wrapText="1"/>
    </xf>
    <xf numFmtId="2" fontId="24" fillId="0" borderId="23" xfId="0" applyNumberFormat="1" applyFont="1" applyBorder="1" applyAlignment="1">
      <alignment horizontal="center" vertical="center"/>
    </xf>
    <xf numFmtId="0" fontId="4" fillId="0" borderId="23" xfId="3044" applyFont="1" applyBorder="1" applyAlignment="1">
      <alignment horizontal="center" vertical="center"/>
    </xf>
    <xf numFmtId="2" fontId="4" fillId="0" borderId="23" xfId="0" applyNumberFormat="1" applyFont="1" applyBorder="1" applyAlignment="1">
      <alignment horizontal="center" vertical="center"/>
    </xf>
    <xf numFmtId="0" fontId="4" fillId="0" borderId="23" xfId="3042" applyBorder="1" applyAlignment="1">
      <alignment horizontal="justify" vertical="center" wrapText="1"/>
    </xf>
    <xf numFmtId="190" fontId="4" fillId="0" borderId="45" xfId="3036" applyFont="1" applyBorder="1" applyAlignment="1">
      <alignment horizontal="center" vertical="center" wrapText="1"/>
    </xf>
    <xf numFmtId="208" fontId="4" fillId="0" borderId="39" xfId="3036" applyNumberFormat="1" applyFont="1" applyBorder="1" applyAlignment="1">
      <alignment horizontal="center" vertical="center" wrapText="1"/>
    </xf>
    <xf numFmtId="208" fontId="4" fillId="0" borderId="45" xfId="3036" applyNumberFormat="1" applyFont="1" applyBorder="1" applyAlignment="1">
      <alignment horizontal="center" vertical="center" wrapText="1"/>
    </xf>
    <xf numFmtId="190" fontId="4" fillId="0" borderId="46" xfId="3036" applyFont="1" applyBorder="1" applyAlignment="1">
      <alignment horizontal="center" vertical="center" wrapText="1"/>
    </xf>
    <xf numFmtId="190" fontId="4" fillId="28" borderId="45" xfId="3036" applyFont="1" applyFill="1" applyBorder="1" applyAlignment="1">
      <alignment horizontal="center" vertical="center" wrapText="1"/>
    </xf>
    <xf numFmtId="208" fontId="4" fillId="28" borderId="39" xfId="3036" applyNumberFormat="1" applyFont="1" applyFill="1" applyBorder="1" applyAlignment="1">
      <alignment horizontal="center" vertical="center" wrapText="1"/>
    </xf>
    <xf numFmtId="208" fontId="4" fillId="28" borderId="45" xfId="3036" applyNumberFormat="1" applyFont="1" applyFill="1" applyBorder="1" applyAlignment="1">
      <alignment horizontal="center" vertical="center" wrapText="1"/>
    </xf>
    <xf numFmtId="43" fontId="4" fillId="28" borderId="46" xfId="1" applyFont="1" applyFill="1" applyBorder="1" applyAlignment="1">
      <alignment horizontal="center" vertical="center" wrapText="1"/>
    </xf>
    <xf numFmtId="190" fontId="4" fillId="28" borderId="46" xfId="3036" applyFont="1" applyFill="1" applyBorder="1" applyAlignment="1">
      <alignment horizontal="center" vertical="center" wrapText="1"/>
    </xf>
    <xf numFmtId="190" fontId="4" fillId="0" borderId="45" xfId="3036" applyFont="1" applyFill="1" applyBorder="1" applyAlignment="1">
      <alignment horizontal="center" vertical="center" wrapText="1"/>
    </xf>
    <xf numFmtId="208" fontId="4" fillId="0" borderId="39" xfId="3036" applyNumberFormat="1" applyFont="1" applyFill="1" applyBorder="1" applyAlignment="1">
      <alignment horizontal="center" vertical="center" wrapText="1"/>
    </xf>
    <xf numFmtId="208" fontId="4" fillId="0" borderId="45" xfId="3036" applyNumberFormat="1" applyFont="1" applyFill="1" applyBorder="1" applyAlignment="1">
      <alignment horizontal="center" vertical="center" wrapText="1"/>
    </xf>
    <xf numFmtId="190" fontId="4" fillId="0" borderId="46" xfId="3036" applyFont="1" applyFill="1" applyBorder="1" applyAlignment="1">
      <alignment horizontal="center" vertical="center" wrapText="1"/>
    </xf>
    <xf numFmtId="0" fontId="4" fillId="0" borderId="31" xfId="3042" applyBorder="1" applyAlignment="1">
      <alignment horizontal="justify" vertical="center" wrapText="1"/>
    </xf>
    <xf numFmtId="190" fontId="4" fillId="0" borderId="38" xfId="3036" applyFont="1" applyBorder="1" applyAlignment="1">
      <alignment horizontal="center" vertical="center" wrapText="1"/>
    </xf>
    <xf numFmtId="208" fontId="4" fillId="0" borderId="35" xfId="3036" applyNumberFormat="1" applyFont="1" applyBorder="1" applyAlignment="1">
      <alignment horizontal="center" vertical="center" wrapText="1"/>
    </xf>
    <xf numFmtId="208" fontId="4" fillId="0" borderId="38" xfId="3036" applyNumberFormat="1" applyFont="1" applyBorder="1" applyAlignment="1">
      <alignment horizontal="center" vertical="center" wrapText="1"/>
    </xf>
    <xf numFmtId="190" fontId="4" fillId="0" borderId="40" xfId="3036" applyFont="1" applyBorder="1" applyAlignment="1">
      <alignment horizontal="center" vertical="center" wrapText="1"/>
    </xf>
    <xf numFmtId="2" fontId="4" fillId="0" borderId="31" xfId="0" applyNumberFormat="1" applyFont="1" applyBorder="1" applyAlignment="1">
      <alignment horizontal="center" vertical="center"/>
    </xf>
    <xf numFmtId="1" fontId="4" fillId="0" borderId="31" xfId="3043" applyNumberFormat="1" applyFont="1" applyBorder="1" applyAlignment="1">
      <alignment horizontal="center" vertical="center" wrapText="1"/>
    </xf>
    <xf numFmtId="4" fontId="4" fillId="0" borderId="23" xfId="0" applyNumberFormat="1" applyFont="1" applyBorder="1" applyAlignment="1">
      <alignment horizontal="center" vertical="center"/>
    </xf>
    <xf numFmtId="2" fontId="4" fillId="0" borderId="23" xfId="3042" applyNumberFormat="1" applyBorder="1" applyAlignment="1">
      <alignment horizontal="center" vertical="center"/>
    </xf>
    <xf numFmtId="2" fontId="61" fillId="0" borderId="23" xfId="3042" applyNumberFormat="1" applyFont="1" applyBorder="1" applyAlignment="1">
      <alignment horizontal="center" vertical="center"/>
    </xf>
    <xf numFmtId="1" fontId="4" fillId="0" borderId="23" xfId="3043" applyNumberFormat="1" applyFont="1" applyBorder="1" applyAlignment="1">
      <alignment horizontal="center" vertical="center" wrapText="1"/>
    </xf>
    <xf numFmtId="1" fontId="24" fillId="0" borderId="23" xfId="3043" applyNumberFormat="1" applyFont="1" applyBorder="1" applyAlignment="1">
      <alignment horizontal="center" vertical="center" wrapText="1"/>
    </xf>
    <xf numFmtId="2" fontId="150" fillId="0" borderId="0" xfId="3044" applyNumberFormat="1" applyFont="1" applyAlignment="1">
      <alignment horizontal="center" vertical="center" wrapText="1"/>
    </xf>
    <xf numFmtId="0" fontId="150" fillId="0" borderId="0" xfId="3044" applyFont="1" applyAlignment="1">
      <alignment horizontal="center" vertical="center" wrapText="1"/>
    </xf>
    <xf numFmtId="0" fontId="151" fillId="0" borderId="0" xfId="3044" applyFont="1" applyAlignment="1">
      <alignment horizontal="right" vertical="center" wrapText="1"/>
    </xf>
    <xf numFmtId="43" fontId="118" fillId="0" borderId="0" xfId="1" applyFont="1" applyAlignment="1" applyProtection="1">
      <alignment horizontal="center" vertical="center"/>
      <protection locked="0"/>
    </xf>
    <xf numFmtId="169" fontId="150" fillId="0" borderId="0" xfId="3044" applyNumberFormat="1" applyFont="1" applyAlignment="1">
      <alignment vertical="center" wrapText="1"/>
    </xf>
    <xf numFmtId="43" fontId="60" fillId="0" borderId="0" xfId="1" applyFont="1" applyAlignment="1" applyProtection="1">
      <alignment horizontal="center" vertical="center"/>
      <protection locked="0"/>
    </xf>
    <xf numFmtId="4" fontId="60" fillId="0" borderId="0" xfId="3041" applyNumberFormat="1" applyFont="1" applyAlignment="1" applyProtection="1">
      <alignment horizontal="center" vertical="center"/>
      <protection locked="0"/>
    </xf>
    <xf numFmtId="0" fontId="152" fillId="0" borderId="0" xfId="3044" applyFont="1" applyAlignment="1">
      <alignment horizontal="right" vertical="center" wrapText="1"/>
    </xf>
    <xf numFmtId="43" fontId="149" fillId="0" borderId="0" xfId="1" applyFont="1" applyBorder="1" applyAlignment="1" applyProtection="1">
      <alignment horizontal="center" vertical="center"/>
      <protection locked="0"/>
    </xf>
    <xf numFmtId="0" fontId="153" fillId="0" borderId="0" xfId="3044" applyFont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3" fontId="149" fillId="0" borderId="0" xfId="1" applyFont="1" applyBorder="1" applyAlignment="1">
      <alignment horizontal="center" vertical="center"/>
    </xf>
    <xf numFmtId="169" fontId="24" fillId="0" borderId="75" xfId="0" applyNumberFormat="1" applyFont="1" applyBorder="1" applyAlignment="1">
      <alignment horizontal="right" indent="1"/>
    </xf>
    <xf numFmtId="4" fontId="24" fillId="0" borderId="76" xfId="0" applyNumberFormat="1" applyFont="1" applyBorder="1" applyAlignment="1">
      <alignment horizontal="right" vertical="center" indent="1"/>
    </xf>
    <xf numFmtId="4" fontId="24" fillId="0" borderId="77" xfId="0" applyNumberFormat="1" applyFont="1" applyBorder="1" applyAlignment="1">
      <alignment horizontal="center" vertical="center"/>
    </xf>
    <xf numFmtId="169" fontId="24" fillId="0" borderId="78" xfId="0" applyNumberFormat="1" applyFont="1" applyBorder="1" applyAlignment="1">
      <alignment horizontal="right" indent="1"/>
    </xf>
    <xf numFmtId="10" fontId="24" fillId="0" borderId="79" xfId="3050" applyNumberFormat="1" applyFont="1" applyBorder="1" applyAlignment="1">
      <alignment horizontal="right" vertical="center" indent="1"/>
    </xf>
    <xf numFmtId="210" fontId="24" fillId="0" borderId="80" xfId="3050" applyNumberFormat="1" applyFont="1" applyBorder="1" applyAlignment="1">
      <alignment horizontal="center" vertical="center"/>
    </xf>
    <xf numFmtId="211" fontId="49" fillId="0" borderId="0" xfId="1" applyNumberFormat="1" applyFont="1" applyAlignment="1"/>
    <xf numFmtId="169" fontId="24" fillId="0" borderId="81" xfId="0" applyNumberFormat="1" applyFont="1" applyBorder="1" applyAlignment="1">
      <alignment horizontal="right" indent="1"/>
    </xf>
    <xf numFmtId="4" fontId="24" fillId="0" borderId="82" xfId="0" applyNumberFormat="1" applyFont="1" applyBorder="1" applyAlignment="1">
      <alignment horizontal="right" vertical="center" indent="1"/>
    </xf>
    <xf numFmtId="4" fontId="24" fillId="0" borderId="83" xfId="0" applyNumberFormat="1" applyFont="1" applyBorder="1" applyAlignment="1">
      <alignment horizontal="center" vertical="center"/>
    </xf>
    <xf numFmtId="211" fontId="24" fillId="0" borderId="0" xfId="1" applyNumberFormat="1" applyFont="1" applyAlignment="1"/>
    <xf numFmtId="170" fontId="24" fillId="0" borderId="0" xfId="0" applyNumberFormat="1" applyFont="1"/>
    <xf numFmtId="4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2" fontId="0" fillId="0" borderId="0" xfId="0" applyNumberFormat="1"/>
    <xf numFmtId="2" fontId="155" fillId="28" borderId="0" xfId="0" applyNumberFormat="1" applyFont="1" applyFill="1" applyAlignment="1">
      <alignment vertical="center"/>
    </xf>
    <xf numFmtId="0" fontId="27" fillId="28" borderId="0" xfId="0" applyFont="1" applyFill="1" applyAlignment="1">
      <alignment vertical="center"/>
    </xf>
    <xf numFmtId="2" fontId="4" fillId="32" borderId="0" xfId="3032" applyNumberFormat="1" applyFill="1" applyAlignment="1">
      <alignment horizontal="center" vertical="center"/>
    </xf>
    <xf numFmtId="0" fontId="4" fillId="32" borderId="0" xfId="3032" applyFill="1"/>
    <xf numFmtId="0" fontId="28" fillId="28" borderId="53" xfId="3032" applyFont="1" applyFill="1" applyBorder="1" applyAlignment="1">
      <alignment horizontal="center" vertical="top" wrapText="1"/>
    </xf>
    <xf numFmtId="2" fontId="46" fillId="28" borderId="0" xfId="3032" applyNumberFormat="1" applyFont="1" applyFill="1" applyAlignment="1">
      <alignment horizontal="center" vertical="center"/>
    </xf>
    <xf numFmtId="49" fontId="73" fillId="28" borderId="23" xfId="283" applyNumberFormat="1" applyFont="1" applyFill="1" applyBorder="1" applyAlignment="1">
      <alignment horizontal="center" vertical="center" wrapText="1"/>
    </xf>
    <xf numFmtId="43" fontId="73" fillId="28" borderId="25" xfId="1" applyFont="1" applyFill="1" applyBorder="1" applyAlignment="1">
      <alignment horizontal="center" vertical="center" wrapText="1"/>
    </xf>
    <xf numFmtId="0" fontId="46" fillId="28" borderId="0" xfId="3032" applyFont="1" applyFill="1" applyAlignment="1">
      <alignment horizontal="center"/>
    </xf>
    <xf numFmtId="1" fontId="46" fillId="28" borderId="0" xfId="3032" applyNumberFormat="1" applyFont="1" applyFill="1" applyAlignment="1">
      <alignment horizontal="center"/>
    </xf>
    <xf numFmtId="0" fontId="46" fillId="33" borderId="0" xfId="3032" applyFont="1" applyFill="1" applyAlignment="1">
      <alignment horizontal="center"/>
    </xf>
    <xf numFmtId="2" fontId="46" fillId="28" borderId="0" xfId="3032" applyNumberFormat="1" applyFont="1" applyFill="1"/>
    <xf numFmtId="0" fontId="46" fillId="28" borderId="0" xfId="3032" applyFont="1" applyFill="1"/>
    <xf numFmtId="174" fontId="73" fillId="28" borderId="23" xfId="1" applyNumberFormat="1" applyFont="1" applyFill="1" applyBorder="1" applyAlignment="1">
      <alignment horizontal="center" vertical="distributed" wrapText="1"/>
    </xf>
    <xf numFmtId="43" fontId="73" fillId="28" borderId="32" xfId="1" applyFont="1" applyFill="1" applyBorder="1" applyAlignment="1">
      <alignment horizontal="center" vertical="distributed" wrapText="1"/>
    </xf>
    <xf numFmtId="2" fontId="46" fillId="0" borderId="0" xfId="3032" applyNumberFormat="1" applyFont="1" applyAlignment="1">
      <alignment horizontal="center" vertical="center"/>
    </xf>
    <xf numFmtId="174" fontId="73" fillId="28" borderId="31" xfId="1" applyNumberFormat="1" applyFont="1" applyFill="1" applyBorder="1" applyAlignment="1">
      <alignment horizontal="center" vertical="distributed" wrapText="1"/>
    </xf>
    <xf numFmtId="43" fontId="73" fillId="28" borderId="23" xfId="1" applyFont="1" applyFill="1" applyBorder="1" applyAlignment="1">
      <alignment horizontal="center" vertical="distributed" wrapText="1"/>
    </xf>
    <xf numFmtId="0" fontId="46" fillId="0" borderId="0" xfId="3032" applyFont="1" applyAlignment="1">
      <alignment horizontal="center"/>
    </xf>
    <xf numFmtId="1" fontId="46" fillId="0" borderId="0" xfId="3032" applyNumberFormat="1" applyFont="1" applyAlignment="1">
      <alignment horizontal="center"/>
    </xf>
    <xf numFmtId="0" fontId="46" fillId="0" borderId="0" xfId="3032" applyFont="1"/>
    <xf numFmtId="2" fontId="4" fillId="0" borderId="0" xfId="3032" applyNumberFormat="1" applyAlignment="1">
      <alignment horizontal="center" vertical="center"/>
    </xf>
    <xf numFmtId="169" fontId="3" fillId="28" borderId="22" xfId="1" applyNumberFormat="1" applyFont="1" applyFill="1" applyBorder="1" applyAlignment="1">
      <alignment horizontal="center" vertical="distributed" wrapText="1"/>
    </xf>
    <xf numFmtId="2" fontId="3" fillId="28" borderId="27" xfId="3032" applyNumberFormat="1" applyFont="1" applyFill="1" applyBorder="1" applyAlignment="1">
      <alignment horizontal="center" vertical="distributed" wrapText="1"/>
    </xf>
    <xf numFmtId="0" fontId="3" fillId="0" borderId="0" xfId="3032" applyFont="1" applyAlignment="1">
      <alignment wrapText="1"/>
    </xf>
    <xf numFmtId="0" fontId="51" fillId="28" borderId="0" xfId="0" applyFont="1" applyFill="1" applyAlignment="1">
      <alignment horizontal="right" vertical="center"/>
    </xf>
    <xf numFmtId="0" fontId="102" fillId="0" borderId="0" xfId="3032" applyFont="1"/>
    <xf numFmtId="2" fontId="4" fillId="32" borderId="0" xfId="3032" applyNumberFormat="1" applyFill="1"/>
    <xf numFmtId="2" fontId="46" fillId="0" borderId="0" xfId="3032" applyNumberFormat="1" applyFont="1"/>
    <xf numFmtId="2" fontId="46" fillId="28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1" fontId="27" fillId="28" borderId="0" xfId="0" applyNumberFormat="1" applyFont="1" applyFill="1" applyAlignment="1">
      <alignment horizontal="right" vertical="center"/>
    </xf>
    <xf numFmtId="0" fontId="27" fillId="28" borderId="0" xfId="0" applyFont="1" applyFill="1" applyAlignment="1">
      <alignment horizontal="center" vertical="center"/>
    </xf>
    <xf numFmtId="2" fontId="27" fillId="28" borderId="0" xfId="0" applyNumberFormat="1" applyFont="1" applyFill="1" applyAlignment="1">
      <alignment horizontal="left" vertical="center"/>
    </xf>
    <xf numFmtId="4" fontId="27" fillId="28" borderId="0" xfId="0" applyNumberFormat="1" applyFont="1" applyFill="1" applyAlignment="1">
      <alignment vertical="center"/>
    </xf>
    <xf numFmtId="194" fontId="27" fillId="28" borderId="0" xfId="5871" applyNumberFormat="1" applyFont="1" applyFill="1" applyAlignment="1">
      <alignment vertical="center"/>
    </xf>
    <xf numFmtId="0" fontId="27" fillId="28" borderId="0" xfId="3037" applyNumberFormat="1" applyFont="1" applyFill="1" applyBorder="1" applyAlignment="1">
      <alignment vertical="center"/>
    </xf>
    <xf numFmtId="0" fontId="47" fillId="28" borderId="0" xfId="3051" applyNumberFormat="1" applyFont="1" applyFill="1" applyBorder="1" applyAlignment="1">
      <alignment vertical="center"/>
    </xf>
    <xf numFmtId="0" fontId="64" fillId="28" borderId="0" xfId="0" applyFont="1" applyFill="1" applyAlignment="1">
      <alignment horizontal="right" vertical="center"/>
    </xf>
    <xf numFmtId="0" fontId="4" fillId="28" borderId="0" xfId="0" applyFont="1" applyFill="1" applyAlignment="1">
      <alignment vertical="center"/>
    </xf>
    <xf numFmtId="4" fontId="4" fillId="28" borderId="0" xfId="0" applyNumberFormat="1" applyFont="1" applyFill="1" applyAlignment="1">
      <alignment vertical="center"/>
    </xf>
    <xf numFmtId="169" fontId="4" fillId="28" borderId="0" xfId="0" applyNumberFormat="1" applyFont="1" applyFill="1" applyAlignment="1">
      <alignment vertical="center"/>
    </xf>
    <xf numFmtId="0" fontId="158" fillId="28" borderId="0" xfId="0" applyFont="1" applyFill="1" applyAlignment="1">
      <alignment vertical="center"/>
    </xf>
    <xf numFmtId="2" fontId="159" fillId="28" borderId="0" xfId="0" applyNumberFormat="1" applyFont="1" applyFill="1" applyAlignment="1">
      <alignment vertical="center"/>
    </xf>
    <xf numFmtId="0" fontId="27" fillId="28" borderId="0" xfId="0" applyFont="1" applyFill="1" applyAlignment="1">
      <alignment horizontal="right" vertical="center"/>
    </xf>
    <xf numFmtId="1" fontId="5" fillId="29" borderId="0" xfId="0" applyNumberFormat="1" applyFont="1" applyFill="1" applyAlignment="1">
      <alignment horizontal="right" vertical="center"/>
    </xf>
    <xf numFmtId="0" fontId="5" fillId="29" borderId="0" xfId="3037" applyNumberFormat="1" applyFont="1" applyFill="1" applyAlignment="1">
      <alignment horizontal="center" vertical="center"/>
    </xf>
    <xf numFmtId="0" fontId="5" fillId="29" borderId="0" xfId="0" applyFont="1" applyFill="1" applyAlignment="1">
      <alignment horizontal="center" vertical="center"/>
    </xf>
    <xf numFmtId="169" fontId="5" fillId="29" borderId="0" xfId="3037" applyNumberFormat="1" applyFont="1" applyFill="1" applyAlignment="1">
      <alignment horizontal="center" vertical="center" wrapText="1"/>
    </xf>
    <xf numFmtId="0" fontId="5" fillId="29" borderId="0" xfId="0" applyFont="1" applyFill="1" applyAlignment="1">
      <alignment horizontal="center" vertical="center" wrapText="1"/>
    </xf>
    <xf numFmtId="0" fontId="4" fillId="29" borderId="0" xfId="3037" applyNumberFormat="1" applyFont="1" applyFill="1" applyAlignment="1">
      <alignment horizontal="center" vertical="center"/>
    </xf>
    <xf numFmtId="10" fontId="48" fillId="29" borderId="0" xfId="3050" applyNumberFormat="1" applyFont="1" applyFill="1" applyAlignment="1">
      <alignment horizontal="center" vertical="center"/>
    </xf>
    <xf numFmtId="10" fontId="5" fillId="29" borderId="0" xfId="0" applyNumberFormat="1" applyFont="1" applyFill="1" applyAlignment="1">
      <alignment horizontal="center" vertical="center" wrapText="1"/>
    </xf>
    <xf numFmtId="0" fontId="47" fillId="29" borderId="0" xfId="3051" applyNumberFormat="1" applyFont="1" applyFill="1" applyAlignment="1">
      <alignment horizontal="center" vertical="center"/>
    </xf>
    <xf numFmtId="2" fontId="27" fillId="28" borderId="0" xfId="0" applyNumberFormat="1" applyFont="1" applyFill="1" applyAlignment="1">
      <alignment vertical="center"/>
    </xf>
    <xf numFmtId="169" fontId="27" fillId="28" borderId="0" xfId="0" applyNumberFormat="1" applyFont="1" applyFill="1" applyAlignment="1">
      <alignment vertical="center"/>
    </xf>
    <xf numFmtId="0" fontId="27" fillId="0" borderId="63" xfId="0" applyFont="1" applyBorder="1" applyAlignment="1">
      <alignment horizontal="center" vertical="center"/>
    </xf>
    <xf numFmtId="0" fontId="27" fillId="28" borderId="84" xfId="0" applyFont="1" applyFill="1" applyBorder="1" applyAlignment="1">
      <alignment vertical="center"/>
    </xf>
    <xf numFmtId="1" fontId="27" fillId="28" borderId="84" xfId="0" applyNumberFormat="1" applyFont="1" applyFill="1" applyBorder="1" applyAlignment="1">
      <alignment horizontal="right" vertical="center"/>
    </xf>
    <xf numFmtId="0" fontId="27" fillId="28" borderId="85" xfId="0" applyFont="1" applyFill="1" applyBorder="1" applyAlignment="1">
      <alignment vertical="center"/>
    </xf>
    <xf numFmtId="4" fontId="27" fillId="28" borderId="85" xfId="0" applyNumberFormat="1" applyFont="1" applyFill="1" applyBorder="1" applyAlignment="1">
      <alignment vertical="center"/>
    </xf>
    <xf numFmtId="169" fontId="27" fillId="28" borderId="85" xfId="0" applyNumberFormat="1" applyFont="1" applyFill="1" applyBorder="1" applyAlignment="1">
      <alignment vertical="center"/>
    </xf>
    <xf numFmtId="0" fontId="27" fillId="28" borderId="84" xfId="0" applyFont="1" applyFill="1" applyBorder="1" applyAlignment="1">
      <alignment horizontal="center" vertical="center"/>
    </xf>
    <xf numFmtId="0" fontId="47" fillId="28" borderId="86" xfId="3051" applyNumberFormat="1" applyFont="1" applyFill="1" applyBorder="1" applyAlignment="1">
      <alignment vertical="center"/>
    </xf>
    <xf numFmtId="0" fontId="53" fillId="25" borderId="5" xfId="0" applyFont="1" applyFill="1" applyBorder="1" applyAlignment="1">
      <alignment horizontal="center" vertical="center"/>
    </xf>
    <xf numFmtId="0" fontId="57" fillId="0" borderId="0" xfId="160" applyFont="1" applyAlignment="1" applyProtection="1">
      <alignment vertical="center"/>
      <protection locked="0"/>
    </xf>
    <xf numFmtId="0" fontId="53" fillId="25" borderId="5" xfId="0" applyFont="1" applyFill="1" applyBorder="1" applyAlignment="1">
      <alignment horizontal="center" vertical="center" wrapText="1"/>
    </xf>
    <xf numFmtId="0" fontId="0" fillId="25" borderId="0" xfId="0" applyFill="1" applyAlignment="1">
      <alignment vertical="center"/>
    </xf>
    <xf numFmtId="0" fontId="0" fillId="28" borderId="0" xfId="0" applyFill="1" applyAlignment="1">
      <alignment vertical="center"/>
    </xf>
    <xf numFmtId="0" fontId="106" fillId="25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 applyAlignment="1">
      <alignment vertical="center"/>
    </xf>
    <xf numFmtId="0" fontId="0" fillId="32" borderId="0" xfId="0" applyFill="1" applyAlignment="1">
      <alignment vertical="center" wrapText="1"/>
    </xf>
    <xf numFmtId="0" fontId="85" fillId="28" borderId="5" xfId="0" applyFont="1" applyFill="1" applyBorder="1"/>
    <xf numFmtId="0" fontId="99" fillId="0" borderId="5" xfId="0" applyFont="1" applyBorder="1"/>
    <xf numFmtId="0" fontId="99" fillId="28" borderId="5" xfId="0" applyFont="1" applyFill="1" applyBorder="1"/>
    <xf numFmtId="0" fontId="108" fillId="28" borderId="5" xfId="0" applyFont="1" applyFill="1" applyBorder="1"/>
    <xf numFmtId="0" fontId="108" fillId="0" borderId="5" xfId="0" applyFont="1" applyBorder="1"/>
    <xf numFmtId="0" fontId="108" fillId="34" borderId="5" xfId="0" applyFont="1" applyFill="1" applyBorder="1" applyAlignment="1">
      <alignment vertical="center"/>
    </xf>
    <xf numFmtId="0" fontId="0" fillId="34" borderId="5" xfId="0" applyFill="1" applyBorder="1" applyAlignment="1">
      <alignment vertical="center"/>
    </xf>
    <xf numFmtId="0" fontId="53" fillId="28" borderId="0" xfId="0" applyFont="1" applyFill="1" applyAlignment="1">
      <alignment horizontal="left" vertical="center"/>
    </xf>
    <xf numFmtId="0" fontId="0" fillId="35" borderId="5" xfId="0" applyFill="1" applyBorder="1" applyAlignment="1">
      <alignment vertical="center"/>
    </xf>
    <xf numFmtId="0" fontId="85" fillId="28" borderId="5" xfId="0" applyFont="1" applyFill="1" applyBorder="1" applyAlignment="1">
      <alignment horizontal="justify" vertical="center" wrapText="1"/>
    </xf>
    <xf numFmtId="0" fontId="53" fillId="0" borderId="5" xfId="0" applyFont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 wrapText="1"/>
    </xf>
    <xf numFmtId="0" fontId="85" fillId="0" borderId="5" xfId="0" applyFont="1" applyBorder="1" applyAlignment="1">
      <alignment horizontal="justify" vertical="center" wrapText="1"/>
    </xf>
    <xf numFmtId="0" fontId="53" fillId="0" borderId="5" xfId="0" applyFont="1" applyBorder="1" applyAlignment="1">
      <alignment horizontal="justify" vertical="center" wrapText="1"/>
    </xf>
    <xf numFmtId="187" fontId="58" fillId="0" borderId="0" xfId="160" applyNumberFormat="1" applyFont="1" applyAlignment="1">
      <alignment vertical="center" wrapText="1"/>
    </xf>
    <xf numFmtId="0" fontId="113" fillId="0" borderId="0" xfId="160" applyFont="1" applyAlignment="1">
      <alignment vertical="center"/>
    </xf>
    <xf numFmtId="0" fontId="30" fillId="0" borderId="0" xfId="283" applyFont="1" applyAlignment="1">
      <alignment vertical="center" wrapText="1"/>
    </xf>
    <xf numFmtId="0" fontId="28" fillId="25" borderId="0" xfId="160" applyFont="1" applyFill="1" applyAlignment="1" applyProtection="1">
      <alignment vertical="center" wrapText="1"/>
      <protection locked="0"/>
    </xf>
    <xf numFmtId="0" fontId="47" fillId="0" borderId="0" xfId="160" applyFont="1" applyAlignment="1" applyProtection="1">
      <alignment vertical="center" wrapText="1"/>
      <protection locked="0"/>
    </xf>
    <xf numFmtId="187" fontId="113" fillId="0" borderId="0" xfId="160" applyNumberFormat="1" applyFont="1" applyAlignment="1">
      <alignment vertical="center" wrapText="1"/>
    </xf>
    <xf numFmtId="165" fontId="110" fillId="0" borderId="0" xfId="160" quotePrefix="1" applyNumberFormat="1" applyFont="1" applyAlignment="1">
      <alignment vertical="center"/>
    </xf>
    <xf numFmtId="0" fontId="110" fillId="0" borderId="0" xfId="160" quotePrefix="1" applyFont="1" applyAlignment="1">
      <alignment vertical="center"/>
    </xf>
    <xf numFmtId="0" fontId="112" fillId="0" borderId="0" xfId="160" applyFont="1" applyAlignment="1">
      <alignment vertical="center"/>
    </xf>
    <xf numFmtId="174" fontId="3" fillId="28" borderId="23" xfId="1" applyNumberFormat="1" applyFont="1" applyFill="1" applyBorder="1" applyAlignment="1">
      <alignment horizontal="center" vertical="distributed" wrapText="1"/>
    </xf>
    <xf numFmtId="191" fontId="3" fillId="28" borderId="23" xfId="3032" applyNumberFormat="1" applyFont="1" applyFill="1" applyBorder="1" applyAlignment="1">
      <alignment horizontal="center" vertical="center" wrapText="1"/>
    </xf>
    <xf numFmtId="43" fontId="3" fillId="28" borderId="23" xfId="1" applyFont="1" applyFill="1" applyBorder="1" applyAlignment="1">
      <alignment horizontal="center" vertical="distributed" wrapText="1"/>
    </xf>
    <xf numFmtId="4" fontId="24" fillId="32" borderId="0" xfId="0" applyNumberFormat="1" applyFont="1" applyFill="1" applyAlignment="1">
      <alignment horizontal="center" vertical="center"/>
    </xf>
    <xf numFmtId="0" fontId="0" fillId="32" borderId="0" xfId="0" applyFill="1"/>
    <xf numFmtId="0" fontId="53" fillId="0" borderId="5" xfId="0" applyFont="1" applyBorder="1" applyAlignment="1">
      <alignment vertical="center" wrapText="1"/>
    </xf>
    <xf numFmtId="0" fontId="3" fillId="28" borderId="23" xfId="3032" applyFont="1" applyFill="1" applyBorder="1" applyAlignment="1">
      <alignment horizontal="center" vertical="distributed" wrapText="1"/>
    </xf>
    <xf numFmtId="191" fontId="73" fillId="28" borderId="27" xfId="3032" applyNumberFormat="1" applyFont="1" applyFill="1" applyBorder="1" applyAlignment="1">
      <alignment horizontal="center" vertical="center" wrapText="1"/>
    </xf>
    <xf numFmtId="0" fontId="73" fillId="28" borderId="27" xfId="283" applyFont="1" applyFill="1" applyBorder="1" applyAlignment="1">
      <alignment horizontal="left" vertical="center" wrapText="1"/>
    </xf>
    <xf numFmtId="0" fontId="73" fillId="28" borderId="27" xfId="3032" applyFont="1" applyFill="1" applyBorder="1" applyAlignment="1">
      <alignment horizontal="left" vertical="distributed" wrapText="1"/>
    </xf>
    <xf numFmtId="49" fontId="73" fillId="28" borderId="27" xfId="283" applyNumberFormat="1" applyFont="1" applyFill="1" applyBorder="1" applyAlignment="1">
      <alignment horizontal="center" vertical="center" wrapText="1"/>
    </xf>
    <xf numFmtId="14" fontId="6" fillId="0" borderId="39" xfId="0" applyNumberFormat="1" applyFont="1" applyBorder="1" applyAlignment="1">
      <alignment horizontal="center"/>
    </xf>
    <xf numFmtId="10" fontId="6" fillId="0" borderId="39" xfId="0" applyNumberFormat="1" applyFont="1" applyBorder="1" applyAlignment="1">
      <alignment horizontal="center"/>
    </xf>
    <xf numFmtId="10" fontId="6" fillId="0" borderId="46" xfId="0" applyNumberFormat="1" applyFont="1" applyBorder="1" applyAlignment="1">
      <alignment horizontal="center"/>
    </xf>
    <xf numFmtId="0" fontId="6" fillId="28" borderId="45" xfId="0" applyFont="1" applyFill="1" applyBorder="1" applyAlignment="1">
      <alignment horizontal="center"/>
    </xf>
    <xf numFmtId="14" fontId="6" fillId="28" borderId="39" xfId="0" applyNumberFormat="1" applyFont="1" applyFill="1" applyBorder="1" applyAlignment="1">
      <alignment horizontal="center"/>
    </xf>
    <xf numFmtId="0" fontId="6" fillId="28" borderId="39" xfId="0" applyFont="1" applyFill="1" applyBorder="1" applyAlignment="1">
      <alignment horizontal="center"/>
    </xf>
    <xf numFmtId="14" fontId="77" fillId="28" borderId="39" xfId="0" applyNumberFormat="1" applyFont="1" applyFill="1" applyBorder="1" applyAlignment="1">
      <alignment horizontal="center"/>
    </xf>
    <xf numFmtId="49" fontId="73" fillId="28" borderId="20" xfId="283" applyNumberFormat="1" applyFont="1" applyFill="1" applyBorder="1" applyAlignment="1">
      <alignment horizontal="center" vertical="center" wrapText="1"/>
    </xf>
    <xf numFmtId="0" fontId="3" fillId="28" borderId="20" xfId="283" applyFont="1" applyFill="1" applyBorder="1" applyAlignment="1">
      <alignment horizontal="left" vertical="center" wrapText="1"/>
    </xf>
    <xf numFmtId="2" fontId="61" fillId="0" borderId="0" xfId="3032" applyNumberFormat="1" applyFont="1" applyAlignment="1">
      <alignment horizontal="center" vertical="center"/>
    </xf>
    <xf numFmtId="1" fontId="85" fillId="28" borderId="23" xfId="3032" applyNumberFormat="1" applyFont="1" applyFill="1" applyBorder="1" applyAlignment="1">
      <alignment horizontal="center" vertical="center" wrapText="1"/>
    </xf>
    <xf numFmtId="0" fontId="85" fillId="28" borderId="23" xfId="283" applyFont="1" applyFill="1" applyBorder="1" applyAlignment="1">
      <alignment horizontal="left" vertical="center" wrapText="1"/>
    </xf>
    <xf numFmtId="0" fontId="85" fillId="28" borderId="23" xfId="3032" applyFont="1" applyFill="1" applyBorder="1" applyAlignment="1">
      <alignment horizontal="center" vertical="center" wrapText="1"/>
    </xf>
    <xf numFmtId="43" fontId="85" fillId="28" borderId="24" xfId="1" applyFont="1" applyFill="1" applyBorder="1" applyAlignment="1">
      <alignment horizontal="center" vertical="center" wrapText="1"/>
    </xf>
    <xf numFmtId="43" fontId="85" fillId="28" borderId="23" xfId="1" applyFont="1" applyFill="1" applyBorder="1" applyAlignment="1">
      <alignment horizontal="center" vertical="center" wrapText="1"/>
    </xf>
    <xf numFmtId="43" fontId="85" fillId="28" borderId="22" xfId="1" applyFont="1" applyFill="1" applyBorder="1" applyAlignment="1">
      <alignment horizontal="center" vertical="center" wrapText="1"/>
    </xf>
    <xf numFmtId="43" fontId="85" fillId="28" borderId="24" xfId="1" applyFont="1" applyFill="1" applyBorder="1" applyAlignment="1">
      <alignment horizontal="center" vertical="distributed" wrapText="1"/>
    </xf>
    <xf numFmtId="174" fontId="85" fillId="28" borderId="22" xfId="1" applyNumberFormat="1" applyFont="1" applyFill="1" applyBorder="1" applyAlignment="1">
      <alignment horizontal="center" vertical="distributed" wrapText="1"/>
    </xf>
    <xf numFmtId="174" fontId="85" fillId="28" borderId="31" xfId="1" applyNumberFormat="1" applyFont="1" applyFill="1" applyBorder="1" applyAlignment="1">
      <alignment horizontal="center" vertical="distributed" wrapText="1"/>
    </xf>
    <xf numFmtId="43" fontId="85" fillId="28" borderId="23" xfId="1" applyFont="1" applyFill="1" applyBorder="1" applyAlignment="1">
      <alignment horizontal="center" vertical="distributed" wrapText="1"/>
    </xf>
    <xf numFmtId="191" fontId="85" fillId="28" borderId="27" xfId="3032" applyNumberFormat="1" applyFont="1" applyFill="1" applyBorder="1" applyAlignment="1">
      <alignment horizontal="center" vertical="center" wrapText="1"/>
    </xf>
    <xf numFmtId="0" fontId="85" fillId="28" borderId="27" xfId="3032" applyFont="1" applyFill="1" applyBorder="1" applyAlignment="1">
      <alignment horizontal="center" vertical="distributed" wrapText="1"/>
    </xf>
    <xf numFmtId="0" fontId="61" fillId="0" borderId="0" xfId="3032" applyFont="1"/>
    <xf numFmtId="2" fontId="61" fillId="0" borderId="0" xfId="3032" applyNumberFormat="1" applyFont="1"/>
    <xf numFmtId="43" fontId="85" fillId="28" borderId="25" xfId="1" applyFont="1" applyFill="1" applyBorder="1" applyAlignment="1">
      <alignment horizontal="center" vertical="center" wrapText="1"/>
    </xf>
    <xf numFmtId="0" fontId="3" fillId="28" borderId="20" xfId="3032" applyFont="1" applyFill="1" applyBorder="1" applyAlignment="1">
      <alignment horizontal="center" vertical="center" wrapText="1"/>
    </xf>
    <xf numFmtId="0" fontId="73" fillId="28" borderId="27" xfId="3032" applyFont="1" applyFill="1" applyBorder="1" applyAlignment="1">
      <alignment horizontal="center" vertical="center" wrapText="1"/>
    </xf>
    <xf numFmtId="2" fontId="157" fillId="29" borderId="55" xfId="3032" applyNumberFormat="1" applyFont="1" applyFill="1" applyBorder="1" applyAlignment="1">
      <alignment horizontal="center" vertical="distributed" wrapText="1"/>
    </xf>
    <xf numFmtId="169" fontId="157" fillId="29" borderId="53" xfId="1" applyNumberFormat="1" applyFont="1" applyFill="1" applyBorder="1" applyAlignment="1">
      <alignment horizontal="center" vertical="center" wrapText="1"/>
    </xf>
    <xf numFmtId="169" fontId="157" fillId="29" borderId="55" xfId="3032" applyNumberFormat="1" applyFont="1" applyFill="1" applyBorder="1" applyAlignment="1">
      <alignment horizontal="center" vertical="center" wrapText="1"/>
    </xf>
    <xf numFmtId="0" fontId="3" fillId="0" borderId="93" xfId="3032" applyFont="1" applyBorder="1" applyAlignment="1">
      <alignment wrapText="1"/>
    </xf>
    <xf numFmtId="43" fontId="3" fillId="28" borderId="20" xfId="1" applyFont="1" applyFill="1" applyBorder="1" applyAlignment="1">
      <alignment horizontal="center" vertical="center" wrapText="1"/>
    </xf>
    <xf numFmtId="43" fontId="3" fillId="28" borderId="20" xfId="1" applyFont="1" applyFill="1" applyBorder="1" applyAlignment="1">
      <alignment horizontal="center" vertical="distributed" wrapText="1"/>
    </xf>
    <xf numFmtId="174" fontId="3" fillId="28" borderId="20" xfId="1" applyNumberFormat="1" applyFont="1" applyFill="1" applyBorder="1" applyAlignment="1">
      <alignment horizontal="center" vertical="distributed" wrapText="1"/>
    </xf>
    <xf numFmtId="191" fontId="3" fillId="28" borderId="20" xfId="3032" applyNumberFormat="1" applyFont="1" applyFill="1" applyBorder="1" applyAlignment="1">
      <alignment horizontal="center" vertical="center" wrapText="1"/>
    </xf>
    <xf numFmtId="0" fontId="73" fillId="28" borderId="20" xfId="3032" applyFont="1" applyFill="1" applyBorder="1" applyAlignment="1">
      <alignment horizontal="left" vertical="distributed" wrapText="1"/>
    </xf>
    <xf numFmtId="174" fontId="85" fillId="28" borderId="23" xfId="1" applyNumberFormat="1" applyFont="1" applyFill="1" applyBorder="1" applyAlignment="1">
      <alignment horizontal="center" vertical="distributed" wrapText="1"/>
    </xf>
    <xf numFmtId="191" fontId="85" fillId="28" borderId="23" xfId="3032" applyNumberFormat="1" applyFont="1" applyFill="1" applyBorder="1" applyAlignment="1">
      <alignment horizontal="center" vertical="center" wrapText="1"/>
    </xf>
    <xf numFmtId="0" fontId="85" fillId="28" borderId="23" xfId="3032" applyFont="1" applyFill="1" applyBorder="1" applyAlignment="1">
      <alignment horizontal="center" vertical="distributed" wrapText="1"/>
    </xf>
    <xf numFmtId="43" fontId="73" fillId="28" borderId="27" xfId="1" applyFont="1" applyFill="1" applyBorder="1" applyAlignment="1">
      <alignment horizontal="center" vertical="center" wrapText="1"/>
    </xf>
    <xf numFmtId="43" fontId="73" fillId="28" borderId="27" xfId="1" applyFont="1" applyFill="1" applyBorder="1" applyAlignment="1">
      <alignment horizontal="center" vertical="distributed" wrapText="1"/>
    </xf>
    <xf numFmtId="174" fontId="73" fillId="28" borderId="27" xfId="1" applyNumberFormat="1" applyFont="1" applyFill="1" applyBorder="1" applyAlignment="1">
      <alignment horizontal="center" vertical="distributed" wrapText="1"/>
    </xf>
    <xf numFmtId="0" fontId="73" fillId="28" borderId="23" xfId="3032" applyFont="1" applyFill="1" applyBorder="1" applyAlignment="1">
      <alignment horizontal="center" vertical="distributed" wrapText="1"/>
    </xf>
    <xf numFmtId="1" fontId="28" fillId="28" borderId="90" xfId="0" applyNumberFormat="1" applyFont="1" applyFill="1" applyBorder="1" applyAlignment="1">
      <alignment vertical="center" wrapText="1"/>
    </xf>
    <xf numFmtId="0" fontId="28" fillId="28" borderId="90" xfId="0" applyFont="1" applyFill="1" applyBorder="1" applyAlignment="1">
      <alignment vertical="center" wrapText="1"/>
    </xf>
    <xf numFmtId="1" fontId="85" fillId="28" borderId="27" xfId="3032" applyNumberFormat="1" applyFont="1" applyFill="1" applyBorder="1" applyAlignment="1">
      <alignment horizontal="center" vertical="center" wrapText="1"/>
    </xf>
    <xf numFmtId="0" fontId="85" fillId="28" borderId="27" xfId="283" applyFont="1" applyFill="1" applyBorder="1" applyAlignment="1">
      <alignment horizontal="left" vertical="center" wrapText="1"/>
    </xf>
    <xf numFmtId="174" fontId="3" fillId="28" borderId="27" xfId="1" applyNumberFormat="1" applyFont="1" applyFill="1" applyBorder="1" applyAlignment="1">
      <alignment horizontal="center" vertical="distributed" wrapText="1"/>
    </xf>
    <xf numFmtId="2" fontId="61" fillId="28" borderId="0" xfId="3032" applyNumberFormat="1" applyFont="1" applyFill="1" applyAlignment="1">
      <alignment horizontal="center" vertical="center"/>
    </xf>
    <xf numFmtId="49" fontId="85" fillId="28" borderId="20" xfId="283" applyNumberFormat="1" applyFont="1" applyFill="1" applyBorder="1" applyAlignment="1">
      <alignment horizontal="center" vertical="center" wrapText="1"/>
    </xf>
    <xf numFmtId="0" fontId="61" fillId="28" borderId="0" xfId="3032" applyFont="1" applyFill="1" applyAlignment="1">
      <alignment horizontal="center"/>
    </xf>
    <xf numFmtId="1" fontId="61" fillId="28" borderId="0" xfId="3032" applyNumberFormat="1" applyFont="1" applyFill="1" applyAlignment="1">
      <alignment horizontal="center"/>
    </xf>
    <xf numFmtId="0" fontId="61" fillId="33" borderId="0" xfId="3032" applyFont="1" applyFill="1" applyAlignment="1">
      <alignment horizontal="center"/>
    </xf>
    <xf numFmtId="2" fontId="61" fillId="28" borderId="0" xfId="3032" applyNumberFormat="1" applyFont="1" applyFill="1"/>
    <xf numFmtId="0" fontId="61" fillId="28" borderId="0" xfId="3032" applyFont="1" applyFill="1"/>
    <xf numFmtId="49" fontId="85" fillId="28" borderId="23" xfId="283" applyNumberFormat="1" applyFont="1" applyFill="1" applyBorder="1" applyAlignment="1">
      <alignment horizontal="center" vertical="center" wrapText="1"/>
    </xf>
    <xf numFmtId="0" fontId="85" fillId="28" borderId="23" xfId="3032" applyFont="1" applyFill="1" applyBorder="1" applyAlignment="1">
      <alignment horizontal="left" vertical="distributed" wrapText="1"/>
    </xf>
    <xf numFmtId="0" fontId="61" fillId="0" borderId="0" xfId="3032" applyFont="1" applyAlignment="1">
      <alignment horizontal="center"/>
    </xf>
    <xf numFmtId="1" fontId="61" fillId="0" borderId="0" xfId="3032" applyNumberFormat="1" applyFont="1" applyAlignment="1">
      <alignment horizontal="center"/>
    </xf>
    <xf numFmtId="1" fontId="85" fillId="28" borderId="24" xfId="3032" applyNumberFormat="1" applyFont="1" applyFill="1" applyBorder="1" applyAlignment="1">
      <alignment horizontal="right" vertical="center" wrapText="1"/>
    </xf>
    <xf numFmtId="1" fontId="85" fillId="28" borderId="25" xfId="3032" applyNumberFormat="1" applyFont="1" applyFill="1" applyBorder="1" applyAlignment="1">
      <alignment horizontal="center" vertical="center" wrapText="1"/>
    </xf>
    <xf numFmtId="2" fontId="85" fillId="28" borderId="22" xfId="3032" applyNumberFormat="1" applyFont="1" applyFill="1" applyBorder="1" applyAlignment="1">
      <alignment horizontal="left" vertical="center" wrapText="1"/>
    </xf>
    <xf numFmtId="169" fontId="73" fillId="28" borderId="23" xfId="3032" applyNumberFormat="1" applyFont="1" applyFill="1" applyBorder="1" applyAlignment="1">
      <alignment horizontal="center" vertical="distributed" wrapText="1"/>
    </xf>
    <xf numFmtId="169" fontId="73" fillId="28" borderId="27" xfId="3032" applyNumberFormat="1" applyFont="1" applyFill="1" applyBorder="1" applyAlignment="1">
      <alignment horizontal="center" vertical="distributed" wrapText="1"/>
    </xf>
    <xf numFmtId="14" fontId="85" fillId="28" borderId="23" xfId="283" applyNumberFormat="1" applyFont="1" applyFill="1" applyBorder="1" applyAlignment="1">
      <alignment horizontal="left" vertical="center" wrapText="1"/>
    </xf>
    <xf numFmtId="43" fontId="85" fillId="28" borderId="23" xfId="1" applyFont="1" applyFill="1" applyBorder="1" applyAlignment="1">
      <alignment horizontal="right" vertical="center" wrapText="1"/>
    </xf>
    <xf numFmtId="169" fontId="85" fillId="28" borderId="23" xfId="3032" applyNumberFormat="1" applyFont="1" applyFill="1" applyBorder="1" applyAlignment="1">
      <alignment horizontal="center" vertical="distributed" wrapText="1"/>
    </xf>
    <xf numFmtId="49" fontId="85" fillId="28" borderId="27" xfId="283" applyNumberFormat="1" applyFont="1" applyFill="1" applyBorder="1" applyAlignment="1">
      <alignment horizontal="center" vertical="center" wrapText="1"/>
    </xf>
    <xf numFmtId="14" fontId="85" fillId="28" borderId="27" xfId="283" applyNumberFormat="1" applyFont="1" applyFill="1" applyBorder="1" applyAlignment="1">
      <alignment horizontal="left" vertical="center" wrapText="1"/>
    </xf>
    <xf numFmtId="1" fontId="85" fillId="28" borderId="28" xfId="3032" applyNumberFormat="1" applyFont="1" applyFill="1" applyBorder="1" applyAlignment="1">
      <alignment horizontal="right" vertical="center" wrapText="1"/>
    </xf>
    <xf numFmtId="1" fontId="85" fillId="28" borderId="30" xfId="3032" applyNumberFormat="1" applyFont="1" applyFill="1" applyBorder="1" applyAlignment="1">
      <alignment horizontal="center" vertical="center" wrapText="1"/>
    </xf>
    <xf numFmtId="2" fontId="85" fillId="28" borderId="26" xfId="3032" applyNumberFormat="1" applyFont="1" applyFill="1" applyBorder="1" applyAlignment="1">
      <alignment horizontal="left" vertical="center" wrapText="1"/>
    </xf>
    <xf numFmtId="0" fontId="85" fillId="28" borderId="27" xfId="3032" applyFont="1" applyFill="1" applyBorder="1" applyAlignment="1">
      <alignment horizontal="center" vertical="center" wrapText="1"/>
    </xf>
    <xf numFmtId="43" fontId="85" fillId="28" borderId="27" xfId="1" applyFont="1" applyFill="1" applyBorder="1" applyAlignment="1">
      <alignment horizontal="right" vertical="center" wrapText="1"/>
    </xf>
    <xf numFmtId="43" fontId="85" fillId="28" borderId="27" xfId="1" applyFont="1" applyFill="1" applyBorder="1" applyAlignment="1">
      <alignment horizontal="center" vertical="center" wrapText="1"/>
    </xf>
    <xf numFmtId="43" fontId="85" fillId="28" borderId="27" xfId="1" applyFont="1" applyFill="1" applyBorder="1" applyAlignment="1">
      <alignment horizontal="center" vertical="distributed" wrapText="1"/>
    </xf>
    <xf numFmtId="174" fontId="85" fillId="28" borderId="27" xfId="1" applyNumberFormat="1" applyFont="1" applyFill="1" applyBorder="1" applyAlignment="1">
      <alignment horizontal="center" vertical="distributed" wrapText="1"/>
    </xf>
    <xf numFmtId="169" fontId="85" fillId="28" borderId="27" xfId="3032" applyNumberFormat="1" applyFont="1" applyFill="1" applyBorder="1" applyAlignment="1">
      <alignment horizontal="center" vertical="distributed" wrapText="1"/>
    </xf>
    <xf numFmtId="0" fontId="85" fillId="28" borderId="27" xfId="3032" applyFont="1" applyFill="1" applyBorder="1" applyAlignment="1">
      <alignment horizontal="left" vertical="distributed" wrapText="1"/>
    </xf>
    <xf numFmtId="49" fontId="3" fillId="28" borderId="20" xfId="283" applyNumberFormat="1" applyFont="1" applyFill="1" applyBorder="1" applyAlignment="1">
      <alignment horizontal="center" vertical="center" wrapText="1"/>
    </xf>
    <xf numFmtId="43" fontId="85" fillId="28" borderId="22" xfId="1" applyFont="1" applyFill="1" applyBorder="1" applyAlignment="1">
      <alignment horizontal="center" vertical="distributed" wrapText="1"/>
    </xf>
    <xf numFmtId="43" fontId="85" fillId="28" borderId="32" xfId="1" applyFont="1" applyFill="1" applyBorder="1" applyAlignment="1">
      <alignment horizontal="center" vertical="distributed" wrapText="1"/>
    </xf>
    <xf numFmtId="169" fontId="85" fillId="28" borderId="22" xfId="1" applyNumberFormat="1" applyFont="1" applyFill="1" applyBorder="1" applyAlignment="1">
      <alignment horizontal="center" vertical="distributed" wrapText="1"/>
    </xf>
    <xf numFmtId="169" fontId="85" fillId="28" borderId="22" xfId="3032" applyNumberFormat="1" applyFont="1" applyFill="1" applyBorder="1" applyAlignment="1">
      <alignment horizontal="center" vertical="distributed" wrapText="1"/>
    </xf>
    <xf numFmtId="2" fontId="85" fillId="28" borderId="27" xfId="3032" applyNumberFormat="1" applyFont="1" applyFill="1" applyBorder="1" applyAlignment="1">
      <alignment horizontal="center" vertical="distributed" wrapText="1"/>
    </xf>
    <xf numFmtId="43" fontId="85" fillId="28" borderId="24" xfId="1" applyFont="1" applyFill="1" applyBorder="1" applyAlignment="1">
      <alignment horizontal="right" vertical="center" wrapText="1"/>
    </xf>
    <xf numFmtId="49" fontId="85" fillId="28" borderId="32" xfId="283" applyNumberFormat="1" applyFont="1" applyFill="1" applyBorder="1" applyAlignment="1">
      <alignment horizontal="center" vertical="center" wrapText="1"/>
    </xf>
    <xf numFmtId="0" fontId="85" fillId="28" borderId="32" xfId="283" applyFont="1" applyFill="1" applyBorder="1" applyAlignment="1">
      <alignment horizontal="left" vertical="center" wrapText="1"/>
    </xf>
    <xf numFmtId="191" fontId="85" fillId="28" borderId="32" xfId="3032" applyNumberFormat="1" applyFont="1" applyFill="1" applyBorder="1" applyAlignment="1">
      <alignment horizontal="center" vertical="center" wrapText="1"/>
    </xf>
    <xf numFmtId="0" fontId="85" fillId="28" borderId="32" xfId="3032" applyFont="1" applyFill="1" applyBorder="1" applyAlignment="1">
      <alignment horizontal="left" vertical="distributed" wrapText="1"/>
    </xf>
    <xf numFmtId="1" fontId="85" fillId="28" borderId="24" xfId="3032" applyNumberFormat="1" applyFont="1" applyFill="1" applyBorder="1" applyAlignment="1">
      <alignment horizontal="center" vertical="center" wrapText="1"/>
    </xf>
    <xf numFmtId="2" fontId="85" fillId="28" borderId="22" xfId="3032" applyNumberFormat="1" applyFont="1" applyFill="1" applyBorder="1" applyAlignment="1">
      <alignment horizontal="center" vertical="center" wrapText="1"/>
    </xf>
    <xf numFmtId="43" fontId="85" fillId="28" borderId="32" xfId="1" applyFont="1" applyFill="1" applyBorder="1" applyAlignment="1">
      <alignment horizontal="center" vertical="center" wrapText="1"/>
    </xf>
    <xf numFmtId="0" fontId="112" fillId="0" borderId="0" xfId="160" applyFont="1" applyAlignment="1">
      <alignment horizontal="right" vertical="center"/>
    </xf>
    <xf numFmtId="0" fontId="52" fillId="0" borderId="93" xfId="0" applyFont="1" applyBorder="1" applyAlignment="1">
      <alignment horizontal="center" vertical="center"/>
    </xf>
    <xf numFmtId="0" fontId="85" fillId="0" borderId="0" xfId="0" applyFont="1" applyAlignment="1">
      <alignment vertical="center"/>
    </xf>
    <xf numFmtId="0" fontId="85" fillId="0" borderId="93" xfId="0" applyFont="1" applyBorder="1" applyAlignment="1">
      <alignment vertical="center"/>
    </xf>
    <xf numFmtId="165" fontId="85" fillId="0" borderId="93" xfId="0" applyNumberFormat="1" applyFont="1" applyBorder="1" applyAlignment="1">
      <alignment horizontal="center" vertical="center"/>
    </xf>
    <xf numFmtId="0" fontId="85" fillId="0" borderId="93" xfId="0" applyFont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147" fillId="0" borderId="73" xfId="0" applyFont="1" applyBorder="1" applyAlignment="1">
      <alignment horizontal="left" vertical="center"/>
    </xf>
    <xf numFmtId="0" fontId="147" fillId="0" borderId="87" xfId="0" applyFont="1" applyBorder="1" applyAlignment="1">
      <alignment horizontal="left" vertical="center"/>
    </xf>
    <xf numFmtId="43" fontId="73" fillId="28" borderId="20" xfId="1" applyFont="1" applyFill="1" applyBorder="1" applyAlignment="1">
      <alignment horizontal="center" vertical="distributed" wrapText="1"/>
    </xf>
    <xf numFmtId="174" fontId="73" fillId="28" borderId="20" xfId="1" applyNumberFormat="1" applyFont="1" applyFill="1" applyBorder="1" applyAlignment="1">
      <alignment horizontal="center" vertical="distributed" wrapText="1"/>
    </xf>
    <xf numFmtId="0" fontId="147" fillId="0" borderId="66" xfId="0" applyFont="1" applyBorder="1" applyAlignment="1">
      <alignment horizontal="center" vertical="center"/>
    </xf>
    <xf numFmtId="0" fontId="147" fillId="0" borderId="67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4" xfId="0" applyBorder="1" applyAlignment="1">
      <alignment horizontal="left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left"/>
    </xf>
    <xf numFmtId="0" fontId="0" fillId="0" borderId="95" xfId="0" applyBorder="1" applyAlignment="1">
      <alignment horizontal="center" vertical="center"/>
    </xf>
    <xf numFmtId="1" fontId="3" fillId="28" borderId="24" xfId="3032" applyNumberFormat="1" applyFont="1" applyFill="1" applyBorder="1" applyAlignment="1">
      <alignment horizontal="center" vertical="center" wrapText="1"/>
    </xf>
    <xf numFmtId="2" fontId="3" fillId="28" borderId="22" xfId="3032" applyNumberFormat="1" applyFont="1" applyFill="1" applyBorder="1" applyAlignment="1">
      <alignment horizontal="center" vertical="center" wrapText="1"/>
    </xf>
    <xf numFmtId="0" fontId="28" fillId="28" borderId="0" xfId="3032" applyFont="1" applyFill="1" applyAlignment="1">
      <alignment horizontal="center" vertical="center" wrapText="1"/>
    </xf>
    <xf numFmtId="17" fontId="47" fillId="31" borderId="0" xfId="3032" applyNumberFormat="1" applyFont="1" applyFill="1" applyAlignment="1">
      <alignment vertical="center" wrapText="1"/>
    </xf>
    <xf numFmtId="0" fontId="160" fillId="32" borderId="0" xfId="0" applyFont="1" applyFill="1"/>
    <xf numFmtId="0" fontId="99" fillId="28" borderId="0" xfId="0" applyFont="1" applyFill="1" applyAlignment="1">
      <alignment vertical="center"/>
    </xf>
    <xf numFmtId="169" fontId="99" fillId="28" borderId="0" xfId="0" applyNumberFormat="1" applyFont="1" applyFill="1" applyAlignment="1">
      <alignment vertical="center"/>
    </xf>
    <xf numFmtId="0" fontId="61" fillId="28" borderId="0" xfId="0" applyFont="1" applyFill="1" applyAlignment="1">
      <alignment vertical="center"/>
    </xf>
    <xf numFmtId="0" fontId="0" fillId="25" borderId="0" xfId="0" applyFill="1"/>
    <xf numFmtId="190" fontId="4" fillId="0" borderId="40" xfId="3036" applyBorder="1" applyAlignment="1">
      <alignment horizontal="center" vertical="center" wrapText="1"/>
    </xf>
    <xf numFmtId="0" fontId="103" fillId="0" borderId="96" xfId="0" applyFont="1" applyBorder="1" applyAlignment="1">
      <alignment horizontal="center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27" xfId="0" applyFont="1" applyBorder="1" applyAlignment="1">
      <alignment horizontal="center" vertical="center" wrapText="1"/>
    </xf>
    <xf numFmtId="0" fontId="103" fillId="0" borderId="20" xfId="0" applyFont="1" applyBorder="1" applyAlignment="1">
      <alignment horizontal="center" vertical="center" wrapText="1"/>
    </xf>
    <xf numFmtId="0" fontId="161" fillId="0" borderId="0" xfId="3044" applyFont="1" applyAlignment="1">
      <alignment horizontal="center" vertical="center" wrapText="1"/>
    </xf>
    <xf numFmtId="0" fontId="103" fillId="0" borderId="97" xfId="0" applyFont="1" applyBorder="1" applyAlignment="1">
      <alignment horizontal="center" vertical="center" wrapText="1"/>
    </xf>
    <xf numFmtId="2" fontId="4" fillId="0" borderId="32" xfId="0" applyNumberFormat="1" applyFont="1" applyBorder="1" applyAlignment="1">
      <alignment horizontal="center" vertical="center"/>
    </xf>
    <xf numFmtId="0" fontId="4" fillId="0" borderId="32" xfId="3042" applyBorder="1" applyAlignment="1">
      <alignment horizontal="justify" vertical="center" wrapText="1"/>
    </xf>
    <xf numFmtId="0" fontId="4" fillId="0" borderId="32" xfId="3044" applyFont="1" applyBorder="1" applyAlignment="1">
      <alignment horizontal="center" vertical="center"/>
    </xf>
    <xf numFmtId="190" fontId="4" fillId="0" borderId="98" xfId="3036" applyFont="1" applyBorder="1" applyAlignment="1">
      <alignment horizontal="center" vertical="center" wrapText="1"/>
    </xf>
    <xf numFmtId="208" fontId="4" fillId="0" borderId="99" xfId="3036" applyNumberFormat="1" applyFont="1" applyBorder="1" applyAlignment="1">
      <alignment horizontal="center" vertical="center" wrapText="1"/>
    </xf>
    <xf numFmtId="43" fontId="4" fillId="0" borderId="100" xfId="1" applyFont="1" applyBorder="1" applyAlignment="1">
      <alignment horizontal="center" vertical="center" wrapText="1"/>
    </xf>
    <xf numFmtId="208" fontId="4" fillId="0" borderId="98" xfId="3036" applyNumberFormat="1" applyFont="1" applyBorder="1" applyAlignment="1">
      <alignment horizontal="center" vertical="center" wrapText="1"/>
    </xf>
    <xf numFmtId="190" fontId="4" fillId="0" borderId="100" xfId="3036" applyFont="1" applyBorder="1" applyAlignment="1">
      <alignment horizontal="center" vertical="center" wrapText="1"/>
    </xf>
    <xf numFmtId="0" fontId="103" fillId="0" borderId="31" xfId="0" applyFont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1" fontId="24" fillId="0" borderId="31" xfId="3043" applyNumberFormat="1" applyFont="1" applyBorder="1" applyAlignment="1">
      <alignment horizontal="center" vertical="center" wrapText="1"/>
    </xf>
    <xf numFmtId="1" fontId="4" fillId="0" borderId="32" xfId="3043" applyNumberFormat="1" applyFont="1" applyBorder="1" applyAlignment="1">
      <alignment horizontal="center" vertical="center" wrapText="1"/>
    </xf>
    <xf numFmtId="0" fontId="4" fillId="0" borderId="23" xfId="3042" applyBorder="1" applyAlignment="1">
      <alignment horizontal="center" vertical="center" wrapText="1"/>
    </xf>
    <xf numFmtId="0" fontId="162" fillId="0" borderId="0" xfId="0" applyFont="1" applyAlignment="1">
      <alignment wrapText="1"/>
    </xf>
    <xf numFmtId="2" fontId="4" fillId="0" borderId="20" xfId="0" applyNumberFormat="1" applyFont="1" applyBorder="1" applyAlignment="1">
      <alignment horizontal="center" vertical="center"/>
    </xf>
    <xf numFmtId="1" fontId="4" fillId="0" borderId="20" xfId="3043" applyNumberFormat="1" applyFont="1" applyBorder="1" applyAlignment="1">
      <alignment horizontal="center" vertical="center" wrapText="1"/>
    </xf>
    <xf numFmtId="0" fontId="4" fillId="0" borderId="20" xfId="3042" applyBorder="1" applyAlignment="1">
      <alignment horizontal="justify" vertical="center" wrapText="1"/>
    </xf>
    <xf numFmtId="0" fontId="4" fillId="0" borderId="20" xfId="3044" applyFont="1" applyBorder="1" applyAlignment="1">
      <alignment horizontal="center" vertical="center"/>
    </xf>
    <xf numFmtId="190" fontId="4" fillId="0" borderId="34" xfId="3036" applyFont="1" applyBorder="1" applyAlignment="1">
      <alignment horizontal="center" vertical="center" wrapText="1"/>
    </xf>
    <xf numFmtId="208" fontId="4" fillId="0" borderId="36" xfId="3036" applyNumberFormat="1" applyFont="1" applyBorder="1" applyAlignment="1">
      <alignment horizontal="center" vertical="center" wrapText="1"/>
    </xf>
    <xf numFmtId="208" fontId="4" fillId="0" borderId="34" xfId="3036" applyNumberFormat="1" applyFont="1" applyBorder="1" applyAlignment="1">
      <alignment horizontal="center" vertical="center" wrapText="1"/>
    </xf>
    <xf numFmtId="190" fontId="4" fillId="0" borderId="37" xfId="3036" applyFont="1" applyBorder="1" applyAlignment="1">
      <alignment horizontal="center" vertical="center" wrapText="1"/>
    </xf>
    <xf numFmtId="0" fontId="103" fillId="0" borderId="101" xfId="0" applyFont="1" applyBorder="1" applyAlignment="1">
      <alignment horizontal="center" vertical="center" wrapText="1"/>
    </xf>
    <xf numFmtId="0" fontId="103" fillId="0" borderId="102" xfId="0" applyFont="1" applyBorder="1" applyAlignment="1">
      <alignment horizontal="left" vertical="center" wrapText="1"/>
    </xf>
    <xf numFmtId="2" fontId="61" fillId="0" borderId="32" xfId="3042" applyNumberFormat="1" applyFont="1" applyBorder="1" applyAlignment="1">
      <alignment horizontal="center" vertical="center"/>
    </xf>
    <xf numFmtId="1" fontId="24" fillId="0" borderId="32" xfId="3043" applyNumberFormat="1" applyFont="1" applyBorder="1" applyAlignment="1">
      <alignment horizontal="center" vertical="center" wrapText="1"/>
    </xf>
    <xf numFmtId="0" fontId="61" fillId="0" borderId="32" xfId="3042" applyFont="1" applyBorder="1" applyAlignment="1">
      <alignment horizontal="justify" vertical="center" wrapText="1"/>
    </xf>
    <xf numFmtId="190" fontId="4" fillId="0" borderId="98" xfId="3036" applyFill="1" applyBorder="1" applyAlignment="1">
      <alignment horizontal="center" vertical="center" wrapText="1"/>
    </xf>
    <xf numFmtId="208" fontId="4" fillId="0" borderId="99" xfId="3036" applyNumberFormat="1" applyFill="1" applyBorder="1" applyAlignment="1">
      <alignment horizontal="center" vertical="center" wrapText="1"/>
    </xf>
    <xf numFmtId="43" fontId="4" fillId="0" borderId="100" xfId="1" applyFont="1" applyFill="1" applyBorder="1" applyAlignment="1">
      <alignment horizontal="center" vertical="center" wrapText="1"/>
    </xf>
    <xf numFmtId="208" fontId="4" fillId="0" borderId="98" xfId="3036" applyNumberFormat="1" applyFill="1" applyBorder="1" applyAlignment="1">
      <alignment horizontal="center" vertical="center" wrapText="1"/>
    </xf>
    <xf numFmtId="208" fontId="4" fillId="0" borderId="98" xfId="3036" applyNumberFormat="1" applyBorder="1" applyAlignment="1">
      <alignment horizontal="center" vertical="center" wrapText="1"/>
    </xf>
    <xf numFmtId="190" fontId="4" fillId="0" borderId="100" xfId="3036" applyFill="1" applyBorder="1" applyAlignment="1">
      <alignment horizontal="center" vertical="center" wrapText="1"/>
    </xf>
    <xf numFmtId="2" fontId="61" fillId="0" borderId="31" xfId="3042" applyNumberFormat="1" applyFont="1" applyBorder="1" applyAlignment="1">
      <alignment horizontal="center" vertical="center"/>
    </xf>
    <xf numFmtId="190" fontId="4" fillId="0" borderId="38" xfId="3036" applyFill="1" applyBorder="1" applyAlignment="1">
      <alignment horizontal="center" vertical="center" wrapText="1"/>
    </xf>
    <xf numFmtId="208" fontId="4" fillId="0" borderId="35" xfId="3036" applyNumberFormat="1" applyFill="1" applyBorder="1" applyAlignment="1">
      <alignment horizontal="center" vertical="center" wrapText="1"/>
    </xf>
    <xf numFmtId="43" fontId="4" fillId="0" borderId="40" xfId="1" applyFont="1" applyFill="1" applyBorder="1" applyAlignment="1">
      <alignment horizontal="center" vertical="center" wrapText="1"/>
    </xf>
    <xf numFmtId="208" fontId="4" fillId="0" borderId="38" xfId="3036" applyNumberFormat="1" applyFill="1" applyBorder="1" applyAlignment="1">
      <alignment horizontal="center" vertical="center" wrapText="1"/>
    </xf>
    <xf numFmtId="190" fontId="4" fillId="0" borderId="98" xfId="3036" applyFont="1" applyFill="1" applyBorder="1" applyAlignment="1">
      <alignment horizontal="center" vertical="center" wrapText="1"/>
    </xf>
    <xf numFmtId="208" fontId="4" fillId="0" borderId="99" xfId="3036" applyNumberFormat="1" applyFont="1" applyFill="1" applyBorder="1" applyAlignment="1">
      <alignment horizontal="center" vertical="center" wrapText="1"/>
    </xf>
    <xf numFmtId="208" fontId="4" fillId="0" borderId="98" xfId="3036" applyNumberFormat="1" applyFont="1" applyFill="1" applyBorder="1" applyAlignment="1">
      <alignment horizontal="center" vertical="center" wrapText="1"/>
    </xf>
    <xf numFmtId="190" fontId="4" fillId="0" borderId="100" xfId="3036" applyFont="1" applyFill="1" applyBorder="1" applyAlignment="1">
      <alignment horizontal="center" vertical="center" wrapText="1"/>
    </xf>
    <xf numFmtId="4" fontId="166" fillId="0" borderId="0" xfId="0" applyNumberFormat="1" applyFont="1" applyAlignment="1">
      <alignment horizontal="center" vertical="center"/>
    </xf>
    <xf numFmtId="0" fontId="167" fillId="0" borderId="0" xfId="0" applyFont="1"/>
    <xf numFmtId="43" fontId="24" fillId="25" borderId="0" xfId="0" applyNumberFormat="1" applyFont="1" applyFill="1"/>
    <xf numFmtId="4" fontId="166" fillId="0" borderId="0" xfId="0" applyNumberFormat="1" applyFont="1" applyAlignment="1">
      <alignment horizontal="right" vertical="center"/>
    </xf>
    <xf numFmtId="2" fontId="155" fillId="26" borderId="0" xfId="0" applyNumberFormat="1" applyFont="1" applyFill="1" applyAlignment="1">
      <alignment vertical="center"/>
    </xf>
    <xf numFmtId="169" fontId="99" fillId="26" borderId="0" xfId="0" applyNumberFormat="1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51" fillId="26" borderId="0" xfId="0" applyFont="1" applyFill="1" applyAlignment="1">
      <alignment horizontal="right" vertical="center"/>
    </xf>
    <xf numFmtId="0" fontId="84" fillId="31" borderId="0" xfId="0" applyFont="1" applyFill="1" applyAlignment="1">
      <alignment horizontal="center" vertical="center" wrapText="1"/>
    </xf>
    <xf numFmtId="1" fontId="54" fillId="25" borderId="24" xfId="3052" applyNumberFormat="1" applyFont="1" applyFill="1" applyBorder="1" applyAlignment="1">
      <alignment horizontal="center" vertical="center" wrapText="1"/>
    </xf>
    <xf numFmtId="0" fontId="84" fillId="28" borderId="0" xfId="0" applyFont="1" applyFill="1" applyAlignment="1">
      <alignment horizontal="center" vertical="center" wrapText="1"/>
    </xf>
    <xf numFmtId="1" fontId="61" fillId="28" borderId="25" xfId="3052" applyNumberFormat="1" applyFont="1" applyFill="1" applyBorder="1" applyAlignment="1">
      <alignment horizontal="left" vertical="center" wrapText="1"/>
    </xf>
    <xf numFmtId="169" fontId="61" fillId="28" borderId="25" xfId="3052" applyNumberFormat="1" applyFont="1" applyFill="1" applyBorder="1" applyAlignment="1">
      <alignment horizontal="right" vertical="center" wrapText="1"/>
    </xf>
    <xf numFmtId="1" fontId="61" fillId="28" borderId="22" xfId="3052" applyNumberFormat="1" applyFont="1" applyFill="1" applyBorder="1" applyAlignment="1">
      <alignment horizontal="center" vertical="center" wrapText="1"/>
    </xf>
    <xf numFmtId="0" fontId="65" fillId="25" borderId="0" xfId="439" applyFont="1" applyFill="1" applyAlignment="1">
      <alignment wrapText="1"/>
    </xf>
    <xf numFmtId="0" fontId="65" fillId="25" borderId="0" xfId="439" applyFont="1" applyFill="1"/>
    <xf numFmtId="0" fontId="66" fillId="29" borderId="0" xfId="3032" applyFont="1" applyFill="1" applyAlignment="1">
      <alignment horizontal="left" vertical="center"/>
    </xf>
    <xf numFmtId="0" fontId="80" fillId="29" borderId="0" xfId="3032" applyFont="1" applyFill="1" applyAlignment="1">
      <alignment horizontal="left" vertical="center"/>
    </xf>
    <xf numFmtId="0" fontId="80" fillId="29" borderId="0" xfId="430" applyFont="1" applyFill="1" applyAlignment="1">
      <alignment horizontal="left" vertical="center"/>
    </xf>
    <xf numFmtId="49" fontId="63" fillId="29" borderId="0" xfId="430" applyNumberFormat="1" applyFont="1" applyFill="1" applyAlignment="1">
      <alignment horizontal="left" vertical="center"/>
    </xf>
    <xf numFmtId="0" fontId="63" fillId="29" borderId="0" xfId="430" applyFont="1" applyFill="1" applyAlignment="1">
      <alignment horizontal="left" vertical="center"/>
    </xf>
    <xf numFmtId="44" fontId="67" fillId="0" borderId="53" xfId="3033" applyFont="1" applyFill="1" applyBorder="1" applyAlignment="1" applyProtection="1">
      <alignment horizontal="center" vertical="center"/>
      <protection hidden="1"/>
    </xf>
    <xf numFmtId="0" fontId="67" fillId="29" borderId="0" xfId="439" applyFont="1" applyFill="1" applyAlignment="1">
      <alignment vertical="center"/>
    </xf>
    <xf numFmtId="44" fontId="67" fillId="0" borderId="53" xfId="3033" applyFont="1" applyBorder="1" applyAlignment="1" applyProtection="1">
      <alignment horizontal="center" vertical="center"/>
      <protection hidden="1"/>
    </xf>
    <xf numFmtId="44" fontId="67" fillId="28" borderId="53" xfId="3033" applyFont="1" applyFill="1" applyBorder="1" applyAlignment="1" applyProtection="1">
      <alignment horizontal="center" vertical="center"/>
      <protection hidden="1"/>
    </xf>
    <xf numFmtId="0" fontId="67" fillId="29" borderId="54" xfId="439" applyFont="1" applyFill="1" applyBorder="1"/>
    <xf numFmtId="0" fontId="90" fillId="29" borderId="54" xfId="439" applyFont="1" applyFill="1" applyBorder="1"/>
    <xf numFmtId="0" fontId="91" fillId="29" borderId="54" xfId="439" applyFont="1" applyFill="1" applyBorder="1"/>
    <xf numFmtId="43" fontId="73" fillId="28" borderId="20" xfId="1" applyFont="1" applyFill="1" applyBorder="1" applyAlignment="1">
      <alignment horizontal="center" vertical="center" wrapText="1"/>
    </xf>
    <xf numFmtId="1" fontId="85" fillId="28" borderId="28" xfId="3032" applyNumberFormat="1" applyFont="1" applyFill="1" applyBorder="1" applyAlignment="1">
      <alignment horizontal="center" vertical="center" wrapText="1"/>
    </xf>
    <xf numFmtId="2" fontId="85" fillId="28" borderId="26" xfId="3032" applyNumberFormat="1" applyFont="1" applyFill="1" applyBorder="1" applyAlignment="1">
      <alignment horizontal="center" vertical="center" wrapText="1"/>
    </xf>
    <xf numFmtId="43" fontId="85" fillId="28" borderId="28" xfId="1" applyFont="1" applyFill="1" applyBorder="1" applyAlignment="1">
      <alignment horizontal="center" vertical="center" wrapText="1"/>
    </xf>
    <xf numFmtId="43" fontId="85" fillId="28" borderId="26" xfId="1" applyFont="1" applyFill="1" applyBorder="1" applyAlignment="1">
      <alignment horizontal="center" vertical="center" wrapText="1"/>
    </xf>
    <xf numFmtId="43" fontId="85" fillId="28" borderId="28" xfId="1" applyFont="1" applyFill="1" applyBorder="1" applyAlignment="1">
      <alignment horizontal="center" vertical="distributed" wrapText="1"/>
    </xf>
    <xf numFmtId="174" fontId="85" fillId="28" borderId="26" xfId="1" applyNumberFormat="1" applyFont="1" applyFill="1" applyBorder="1" applyAlignment="1">
      <alignment horizontal="center" vertical="distributed" wrapText="1"/>
    </xf>
    <xf numFmtId="2" fontId="4" fillId="0" borderId="27" xfId="0" applyNumberFormat="1" applyFont="1" applyBorder="1" applyAlignment="1">
      <alignment horizontal="center" vertical="center"/>
    </xf>
    <xf numFmtId="1" fontId="4" fillId="0" borderId="27" xfId="3043" applyNumberFormat="1" applyFont="1" applyBorder="1" applyAlignment="1">
      <alignment horizontal="center" vertical="center" wrapText="1"/>
    </xf>
    <xf numFmtId="0" fontId="4" fillId="0" borderId="27" xfId="3042" applyBorder="1" applyAlignment="1">
      <alignment horizontal="justify" vertical="center" wrapText="1"/>
    </xf>
    <xf numFmtId="0" fontId="4" fillId="0" borderId="27" xfId="3044" applyFont="1" applyBorder="1" applyAlignment="1">
      <alignment horizontal="center" vertical="center"/>
    </xf>
    <xf numFmtId="190" fontId="4" fillId="0" borderId="91" xfId="3036" applyFont="1" applyFill="1" applyBorder="1" applyAlignment="1">
      <alignment horizontal="center" vertical="center" wrapText="1"/>
    </xf>
    <xf numFmtId="208" fontId="4" fillId="0" borderId="92" xfId="3036" applyNumberFormat="1" applyFont="1" applyFill="1" applyBorder="1" applyAlignment="1">
      <alignment horizontal="center" vertical="center" wrapText="1"/>
    </xf>
    <xf numFmtId="43" fontId="4" fillId="0" borderId="44" xfId="1" applyFont="1" applyFill="1" applyBorder="1" applyAlignment="1">
      <alignment horizontal="center" vertical="center" wrapText="1"/>
    </xf>
    <xf numFmtId="208" fontId="4" fillId="0" borderId="91" xfId="3036" applyNumberFormat="1" applyFont="1" applyFill="1" applyBorder="1" applyAlignment="1">
      <alignment horizontal="center" vertical="center" wrapText="1"/>
    </xf>
    <xf numFmtId="208" fontId="4" fillId="0" borderId="91" xfId="3036" applyNumberFormat="1" applyFont="1" applyBorder="1" applyAlignment="1">
      <alignment horizontal="center" vertical="center" wrapText="1"/>
    </xf>
    <xf numFmtId="190" fontId="4" fillId="0" borderId="44" xfId="3036" applyFont="1" applyFill="1" applyBorder="1" applyAlignment="1">
      <alignment horizontal="center" vertical="center" wrapText="1"/>
    </xf>
    <xf numFmtId="190" fontId="4" fillId="0" borderId="34" xfId="3036" applyFont="1" applyFill="1" applyBorder="1" applyAlignment="1">
      <alignment horizontal="center" vertical="center" wrapText="1"/>
    </xf>
    <xf numFmtId="208" fontId="4" fillId="0" borderId="36" xfId="3036" applyNumberFormat="1" applyFont="1" applyFill="1" applyBorder="1" applyAlignment="1">
      <alignment horizontal="center" vertical="center" wrapText="1"/>
    </xf>
    <xf numFmtId="43" fontId="4" fillId="0" borderId="37" xfId="1" applyFont="1" applyFill="1" applyBorder="1" applyAlignment="1">
      <alignment horizontal="center" vertical="center" wrapText="1"/>
    </xf>
    <xf numFmtId="208" fontId="4" fillId="0" borderId="34" xfId="3036" applyNumberFormat="1" applyFont="1" applyFill="1" applyBorder="1" applyAlignment="1">
      <alignment horizontal="center" vertical="center" wrapText="1"/>
    </xf>
    <xf numFmtId="190" fontId="4" fillId="0" borderId="37" xfId="3036" applyFont="1" applyFill="1" applyBorder="1" applyAlignment="1">
      <alignment horizontal="center" vertical="center" wrapText="1"/>
    </xf>
    <xf numFmtId="2" fontId="61" fillId="0" borderId="20" xfId="3042" applyNumberFormat="1" applyFont="1" applyBorder="1" applyAlignment="1">
      <alignment horizontal="center" vertical="center"/>
    </xf>
    <xf numFmtId="1" fontId="24" fillId="0" borderId="20" xfId="3043" applyNumberFormat="1" applyFont="1" applyBorder="1" applyAlignment="1">
      <alignment horizontal="center" vertical="center" wrapText="1"/>
    </xf>
    <xf numFmtId="190" fontId="4" fillId="0" borderId="34" xfId="3036" applyFill="1" applyBorder="1" applyAlignment="1">
      <alignment horizontal="center" vertical="center" wrapText="1"/>
    </xf>
    <xf numFmtId="208" fontId="4" fillId="0" borderId="36" xfId="3036" applyNumberFormat="1" applyFill="1" applyBorder="1" applyAlignment="1">
      <alignment horizontal="center" vertical="center" wrapText="1"/>
    </xf>
    <xf numFmtId="208" fontId="4" fillId="0" borderId="34" xfId="3036" applyNumberFormat="1" applyFill="1" applyBorder="1" applyAlignment="1">
      <alignment horizontal="center" vertical="center" wrapText="1"/>
    </xf>
    <xf numFmtId="2" fontId="61" fillId="0" borderId="27" xfId="3042" applyNumberFormat="1" applyFont="1" applyBorder="1" applyAlignment="1">
      <alignment horizontal="center" vertical="center"/>
    </xf>
    <xf numFmtId="1" fontId="24" fillId="0" borderId="27" xfId="3043" applyNumberFormat="1" applyFont="1" applyBorder="1" applyAlignment="1">
      <alignment horizontal="center" vertical="center" wrapText="1"/>
    </xf>
    <xf numFmtId="0" fontId="61" fillId="0" borderId="27" xfId="3042" applyFont="1" applyBorder="1" applyAlignment="1">
      <alignment horizontal="justify" vertical="center" wrapText="1"/>
    </xf>
    <xf numFmtId="190" fontId="4" fillId="0" borderId="91" xfId="3036" applyFill="1" applyBorder="1" applyAlignment="1">
      <alignment horizontal="center" vertical="center" wrapText="1"/>
    </xf>
    <xf numFmtId="208" fontId="4" fillId="0" borderId="92" xfId="3036" applyNumberFormat="1" applyFill="1" applyBorder="1" applyAlignment="1">
      <alignment horizontal="center" vertical="center" wrapText="1"/>
    </xf>
    <xf numFmtId="208" fontId="4" fillId="0" borderId="91" xfId="3036" applyNumberFormat="1" applyFill="1" applyBorder="1" applyAlignment="1">
      <alignment horizontal="center" vertical="center" wrapText="1"/>
    </xf>
    <xf numFmtId="208" fontId="4" fillId="0" borderId="91" xfId="3036" applyNumberFormat="1" applyBorder="1" applyAlignment="1">
      <alignment horizontal="center" vertical="center" wrapText="1"/>
    </xf>
    <xf numFmtId="190" fontId="4" fillId="0" borderId="44" xfId="3036" applyFill="1" applyBorder="1" applyAlignment="1">
      <alignment horizontal="center" vertical="center" wrapText="1"/>
    </xf>
    <xf numFmtId="190" fontId="4" fillId="0" borderId="91" xfId="3036" applyFont="1" applyBorder="1" applyAlignment="1">
      <alignment horizontal="center" vertical="center" wrapText="1"/>
    </xf>
    <xf numFmtId="208" fontId="4" fillId="0" borderId="92" xfId="3036" applyNumberFormat="1" applyFont="1" applyBorder="1" applyAlignment="1">
      <alignment horizontal="center" vertical="center" wrapText="1"/>
    </xf>
    <xf numFmtId="43" fontId="4" fillId="0" borderId="44" xfId="1" applyFont="1" applyBorder="1" applyAlignment="1">
      <alignment horizontal="center" vertical="center" wrapText="1"/>
    </xf>
    <xf numFmtId="190" fontId="4" fillId="0" borderId="44" xfId="3036" applyFont="1" applyBorder="1" applyAlignment="1">
      <alignment horizontal="center" vertical="center" wrapText="1"/>
    </xf>
    <xf numFmtId="190" fontId="4" fillId="0" borderId="38" xfId="3036" applyFont="1" applyFill="1" applyBorder="1" applyAlignment="1">
      <alignment horizontal="center" vertical="center" wrapText="1"/>
    </xf>
    <xf numFmtId="208" fontId="4" fillId="0" borderId="35" xfId="3036" applyNumberFormat="1" applyFont="1" applyFill="1" applyBorder="1" applyAlignment="1">
      <alignment horizontal="center" vertical="center" wrapText="1"/>
    </xf>
    <xf numFmtId="208" fontId="4" fillId="0" borderId="38" xfId="3036" applyNumberFormat="1" applyFont="1" applyFill="1" applyBorder="1" applyAlignment="1">
      <alignment horizontal="center" vertical="center" wrapText="1"/>
    </xf>
    <xf numFmtId="190" fontId="4" fillId="0" borderId="40" xfId="3036" applyFont="1" applyFill="1" applyBorder="1" applyAlignment="1">
      <alignment horizontal="center" vertical="center" wrapText="1"/>
    </xf>
    <xf numFmtId="0" fontId="4" fillId="29" borderId="93" xfId="439" applyFill="1" applyBorder="1"/>
    <xf numFmtId="0" fontId="65" fillId="29" borderId="93" xfId="439" applyFont="1" applyFill="1" applyBorder="1"/>
    <xf numFmtId="0" fontId="65" fillId="29" borderId="93" xfId="439" applyFont="1" applyFill="1" applyBorder="1" applyAlignment="1">
      <alignment wrapText="1"/>
    </xf>
    <xf numFmtId="0" fontId="65" fillId="29" borderId="56" xfId="439" applyFont="1" applyFill="1" applyBorder="1"/>
    <xf numFmtId="0" fontId="65" fillId="29" borderId="55" xfId="439" applyFont="1" applyFill="1" applyBorder="1"/>
    <xf numFmtId="0" fontId="48" fillId="0" borderId="5" xfId="0" applyFont="1" applyBorder="1" applyAlignment="1">
      <alignment horizontal="center" vertical="center"/>
    </xf>
    <xf numFmtId="0" fontId="0" fillId="0" borderId="103" xfId="0" applyBorder="1" applyAlignment="1">
      <alignment horizontal="left"/>
    </xf>
    <xf numFmtId="0" fontId="0" fillId="0" borderId="5" xfId="0" applyBorder="1"/>
    <xf numFmtId="0" fontId="147" fillId="0" borderId="104" xfId="0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147" fillId="0" borderId="105" xfId="0" applyFont="1" applyBorder="1" applyAlignment="1">
      <alignment horizontal="center" vertical="center"/>
    </xf>
    <xf numFmtId="2" fontId="52" fillId="0" borderId="0" xfId="0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0" fontId="3" fillId="0" borderId="23" xfId="283" applyFont="1" applyBorder="1" applyAlignment="1">
      <alignment horizontal="left" vertical="center" wrapText="1"/>
    </xf>
    <xf numFmtId="0" fontId="99" fillId="0" borderId="110" xfId="0" applyFont="1" applyBorder="1" applyAlignment="1">
      <alignment horizontal="center" vertical="center"/>
    </xf>
    <xf numFmtId="0" fontId="99" fillId="0" borderId="111" xfId="0" applyFont="1" applyBorder="1" applyAlignment="1">
      <alignment horizontal="center" vertical="center"/>
    </xf>
    <xf numFmtId="14" fontId="0" fillId="0" borderId="112" xfId="0" applyNumberFormat="1" applyBorder="1" applyAlignment="1">
      <alignment horizontal="center"/>
    </xf>
    <xf numFmtId="0" fontId="99" fillId="0" borderId="113" xfId="0" applyFont="1" applyBorder="1" applyAlignment="1">
      <alignment horizontal="center" vertical="center"/>
    </xf>
    <xf numFmtId="14" fontId="0" fillId="0" borderId="67" xfId="0" applyNumberFormat="1" applyBorder="1" applyAlignment="1">
      <alignment horizontal="center"/>
    </xf>
    <xf numFmtId="0" fontId="147" fillId="0" borderId="110" xfId="0" applyFont="1" applyBorder="1" applyAlignment="1">
      <alignment horizontal="center" vertical="center"/>
    </xf>
    <xf numFmtId="0" fontId="99" fillId="0" borderId="114" xfId="0" applyFont="1" applyBorder="1" applyAlignment="1">
      <alignment horizontal="center" vertical="center"/>
    </xf>
    <xf numFmtId="0" fontId="99" fillId="0" borderId="112" xfId="0" applyFont="1" applyBorder="1" applyAlignment="1">
      <alignment horizontal="center"/>
    </xf>
    <xf numFmtId="0" fontId="99" fillId="0" borderId="67" xfId="0" applyFont="1" applyBorder="1" applyAlignment="1">
      <alignment horizontal="center"/>
    </xf>
    <xf numFmtId="0" fontId="147" fillId="0" borderId="56" xfId="0" applyFont="1" applyBorder="1" applyAlignment="1">
      <alignment horizontal="center" vertical="center"/>
    </xf>
    <xf numFmtId="0" fontId="147" fillId="0" borderId="117" xfId="0" applyFont="1" applyBorder="1" applyAlignment="1">
      <alignment horizontal="center" vertical="center"/>
    </xf>
    <xf numFmtId="0" fontId="147" fillId="0" borderId="89" xfId="0" applyFont="1" applyBorder="1" applyAlignment="1">
      <alignment horizontal="center" vertical="center"/>
    </xf>
    <xf numFmtId="0" fontId="29" fillId="0" borderId="0" xfId="430" applyFont="1" applyAlignment="1">
      <alignment vertical="center"/>
    </xf>
    <xf numFmtId="0" fontId="29" fillId="0" borderId="93" xfId="430" applyFont="1" applyBorder="1" applyAlignment="1">
      <alignment vertical="center"/>
    </xf>
    <xf numFmtId="0" fontId="28" fillId="28" borderId="93" xfId="0" applyFont="1" applyFill="1" applyBorder="1" applyAlignment="1">
      <alignment vertical="center" wrapText="1"/>
    </xf>
    <xf numFmtId="169" fontId="157" fillId="29" borderId="5" xfId="1" applyNumberFormat="1" applyFont="1" applyFill="1" applyBorder="1" applyAlignment="1">
      <alignment horizontal="center" vertical="center" wrapText="1"/>
    </xf>
    <xf numFmtId="169" fontId="157" fillId="29" borderId="5" xfId="3032" applyNumberFormat="1" applyFont="1" applyFill="1" applyBorder="1" applyAlignment="1">
      <alignment horizontal="center" vertical="center" wrapText="1"/>
    </xf>
    <xf numFmtId="43" fontId="3" fillId="28" borderId="25" xfId="1" applyFont="1" applyFill="1" applyBorder="1" applyAlignment="1">
      <alignment horizontal="center" vertical="center" wrapText="1"/>
    </xf>
    <xf numFmtId="43" fontId="3" fillId="28" borderId="22" xfId="1" applyFont="1" applyFill="1" applyBorder="1" applyAlignment="1">
      <alignment horizontal="center" vertical="distributed" wrapText="1"/>
    </xf>
    <xf numFmtId="43" fontId="3" fillId="28" borderId="90" xfId="1" applyFont="1" applyFill="1" applyBorder="1" applyAlignment="1">
      <alignment horizontal="center" vertical="distributed" wrapText="1"/>
    </xf>
    <xf numFmtId="171" fontId="3" fillId="28" borderId="20" xfId="1" applyNumberFormat="1" applyFont="1" applyFill="1" applyBorder="1" applyAlignment="1">
      <alignment horizontal="center" vertical="distributed" wrapText="1"/>
    </xf>
    <xf numFmtId="171" fontId="3" fillId="28" borderId="23" xfId="1" applyNumberFormat="1" applyFont="1" applyFill="1" applyBorder="1" applyAlignment="1">
      <alignment horizontal="center" vertical="distributed" wrapText="1"/>
    </xf>
    <xf numFmtId="9" fontId="73" fillId="28" borderId="22" xfId="1" applyNumberFormat="1" applyFont="1" applyFill="1" applyBorder="1" applyAlignment="1">
      <alignment horizontal="center" vertical="distributed" wrapText="1"/>
    </xf>
    <xf numFmtId="0" fontId="52" fillId="0" borderId="94" xfId="0" applyFont="1" applyBorder="1" applyAlignment="1">
      <alignment horizontal="left"/>
    </xf>
    <xf numFmtId="0" fontId="6" fillId="0" borderId="34" xfId="0" applyFont="1" applyBorder="1" applyAlignment="1">
      <alignment horizontal="center"/>
    </xf>
    <xf numFmtId="14" fontId="6" fillId="0" borderId="36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4" fontId="6" fillId="0" borderId="36" xfId="0" applyNumberFormat="1" applyFont="1" applyBorder="1" applyAlignment="1">
      <alignment horizontal="center"/>
    </xf>
    <xf numFmtId="188" fontId="6" fillId="0" borderId="36" xfId="0" applyNumberFormat="1" applyFont="1" applyBorder="1" applyAlignment="1">
      <alignment horizontal="center"/>
    </xf>
    <xf numFmtId="10" fontId="6" fillId="0" borderId="36" xfId="0" applyNumberFormat="1" applyFont="1" applyBorder="1" applyAlignment="1">
      <alignment horizontal="center"/>
    </xf>
    <xf numFmtId="10" fontId="6" fillId="0" borderId="37" xfId="0" applyNumberFormat="1" applyFont="1" applyBorder="1" applyAlignment="1">
      <alignment horizontal="center"/>
    </xf>
    <xf numFmtId="0" fontId="73" fillId="28" borderId="32" xfId="3032" applyFont="1" applyFill="1" applyBorder="1" applyAlignment="1">
      <alignment horizontal="left" vertical="distributed" wrapText="1"/>
    </xf>
    <xf numFmtId="43" fontId="73" fillId="28" borderId="26" xfId="1" applyFont="1" applyFill="1" applyBorder="1" applyAlignment="1">
      <alignment horizontal="center" vertical="center" wrapText="1"/>
    </xf>
    <xf numFmtId="43" fontId="73" fillId="28" borderId="28" xfId="1" applyFont="1" applyFill="1" applyBorder="1" applyAlignment="1">
      <alignment horizontal="center" vertical="distributed" wrapText="1"/>
    </xf>
    <xf numFmtId="43" fontId="73" fillId="28" borderId="26" xfId="1" applyFont="1" applyFill="1" applyBorder="1" applyAlignment="1">
      <alignment horizontal="center" vertical="distributed" wrapText="1"/>
    </xf>
    <xf numFmtId="213" fontId="3" fillId="0" borderId="20" xfId="1" applyNumberFormat="1" applyFont="1" applyFill="1" applyBorder="1" applyAlignment="1">
      <alignment horizontal="right" vertical="center" wrapText="1"/>
    </xf>
    <xf numFmtId="49" fontId="73" fillId="28" borderId="5" xfId="283" applyNumberFormat="1" applyFont="1" applyFill="1" applyBorder="1" applyAlignment="1">
      <alignment horizontal="center" vertical="center" wrapText="1"/>
    </xf>
    <xf numFmtId="0" fontId="73" fillId="28" borderId="5" xfId="283" applyFont="1" applyFill="1" applyBorder="1" applyAlignment="1">
      <alignment horizontal="left" vertical="center" wrapText="1"/>
    </xf>
    <xf numFmtId="0" fontId="73" fillId="28" borderId="5" xfId="3032" applyFont="1" applyFill="1" applyBorder="1" applyAlignment="1">
      <alignment horizontal="center" vertical="center" wrapText="1"/>
    </xf>
    <xf numFmtId="43" fontId="73" fillId="28" borderId="5" xfId="1" applyFont="1" applyFill="1" applyBorder="1" applyAlignment="1">
      <alignment horizontal="center" vertical="center" wrapText="1"/>
    </xf>
    <xf numFmtId="174" fontId="73" fillId="28" borderId="5" xfId="1" applyNumberFormat="1" applyFont="1" applyFill="1" applyBorder="1" applyAlignment="1">
      <alignment horizontal="center" vertical="distributed" wrapText="1"/>
    </xf>
    <xf numFmtId="43" fontId="73" fillId="28" borderId="5" xfId="1" applyFont="1" applyFill="1" applyBorder="1" applyAlignment="1">
      <alignment horizontal="center" vertical="distributed" wrapText="1"/>
    </xf>
    <xf numFmtId="191" fontId="73" fillId="28" borderId="5" xfId="3032" applyNumberFormat="1" applyFont="1" applyFill="1" applyBorder="1" applyAlignment="1">
      <alignment horizontal="center" vertical="center" wrapText="1"/>
    </xf>
    <xf numFmtId="0" fontId="73" fillId="28" borderId="5" xfId="3032" applyFont="1" applyFill="1" applyBorder="1" applyAlignment="1">
      <alignment horizontal="left" vertical="distributed" wrapText="1"/>
    </xf>
    <xf numFmtId="49" fontId="3" fillId="28" borderId="23" xfId="283" applyNumberFormat="1" applyFont="1" applyFill="1" applyBorder="1" applyAlignment="1">
      <alignment horizontal="center" vertical="center" wrapText="1"/>
    </xf>
    <xf numFmtId="0" fontId="3" fillId="28" borderId="23" xfId="283" applyFont="1" applyFill="1" applyBorder="1" applyAlignment="1">
      <alignment horizontal="center" vertical="center" wrapText="1"/>
    </xf>
    <xf numFmtId="210" fontId="46" fillId="28" borderId="0" xfId="3032" applyNumberFormat="1" applyFont="1" applyFill="1" applyAlignment="1">
      <alignment horizontal="center"/>
    </xf>
    <xf numFmtId="0" fontId="48" fillId="0" borderId="0" xfId="16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48" fillId="28" borderId="0" xfId="160" applyFont="1" applyFill="1" applyAlignment="1">
      <alignment horizontal="left" vertical="center"/>
    </xf>
    <xf numFmtId="0" fontId="3" fillId="28" borderId="0" xfId="160" applyFont="1" applyFill="1" applyAlignment="1">
      <alignment horizontal="left" vertical="center"/>
    </xf>
    <xf numFmtId="0" fontId="3" fillId="28" borderId="0" xfId="160" applyFont="1" applyFill="1" applyAlignment="1">
      <alignment vertical="center"/>
    </xf>
    <xf numFmtId="0" fontId="85" fillId="28" borderId="0" xfId="0" applyFont="1" applyFill="1" applyAlignment="1">
      <alignment horizontal="left" vertical="center"/>
    </xf>
    <xf numFmtId="0" fontId="108" fillId="35" borderId="5" xfId="0" applyFont="1" applyFill="1" applyBorder="1"/>
    <xf numFmtId="0" fontId="3" fillId="28" borderId="32" xfId="283" applyFont="1" applyFill="1" applyBorder="1" applyAlignment="1">
      <alignment horizontal="center" vertical="center" wrapText="1"/>
    </xf>
    <xf numFmtId="49" fontId="3" fillId="28" borderId="27" xfId="283" applyNumberFormat="1" applyFont="1" applyFill="1" applyBorder="1" applyAlignment="1">
      <alignment horizontal="center" vertical="center" wrapText="1"/>
    </xf>
    <xf numFmtId="0" fontId="3" fillId="28" borderId="27" xfId="3032" applyFont="1" applyFill="1" applyBorder="1" applyAlignment="1">
      <alignment horizontal="center" vertical="center" wrapText="1"/>
    </xf>
    <xf numFmtId="43" fontId="3" fillId="28" borderId="28" xfId="1" applyFont="1" applyFill="1" applyBorder="1" applyAlignment="1">
      <alignment horizontal="center" vertical="center" wrapText="1"/>
    </xf>
    <xf numFmtId="43" fontId="3" fillId="28" borderId="27" xfId="1" applyFont="1" applyFill="1" applyBorder="1" applyAlignment="1">
      <alignment horizontal="center" vertical="center" wrapText="1"/>
    </xf>
    <xf numFmtId="43" fontId="3" fillId="28" borderId="26" xfId="1" applyFont="1" applyFill="1" applyBorder="1" applyAlignment="1">
      <alignment horizontal="center" vertical="center" wrapText="1"/>
    </xf>
    <xf numFmtId="43" fontId="3" fillId="28" borderId="28" xfId="1" applyFont="1" applyFill="1" applyBorder="1" applyAlignment="1">
      <alignment horizontal="center" vertical="distributed" wrapText="1"/>
    </xf>
    <xf numFmtId="174" fontId="3" fillId="28" borderId="26" xfId="1" applyNumberFormat="1" applyFont="1" applyFill="1" applyBorder="1" applyAlignment="1">
      <alignment horizontal="center" vertical="distributed" wrapText="1"/>
    </xf>
    <xf numFmtId="43" fontId="3" fillId="28" borderId="27" xfId="1" applyFont="1" applyFill="1" applyBorder="1" applyAlignment="1">
      <alignment horizontal="center" vertical="distributed" wrapText="1"/>
    </xf>
    <xf numFmtId="191" fontId="3" fillId="28" borderId="27" xfId="3032" applyNumberFormat="1" applyFont="1" applyFill="1" applyBorder="1" applyAlignment="1">
      <alignment horizontal="center" vertical="center" wrapText="1"/>
    </xf>
    <xf numFmtId="49" fontId="3" fillId="28" borderId="5" xfId="283" applyNumberFormat="1" applyFont="1" applyFill="1" applyBorder="1" applyAlignment="1">
      <alignment horizontal="center" vertical="center" wrapText="1"/>
    </xf>
    <xf numFmtId="0" fontId="3" fillId="28" borderId="5" xfId="283" applyFont="1" applyFill="1" applyBorder="1" applyAlignment="1">
      <alignment horizontal="left" vertical="center" wrapText="1"/>
    </xf>
    <xf numFmtId="0" fontId="3" fillId="28" borderId="5" xfId="3032" applyFont="1" applyFill="1" applyBorder="1" applyAlignment="1">
      <alignment horizontal="center" vertical="center" wrapText="1"/>
    </xf>
    <xf numFmtId="43" fontId="3" fillId="28" borderId="5" xfId="1" applyFont="1" applyFill="1" applyBorder="1" applyAlignment="1">
      <alignment horizontal="center" vertical="center" wrapText="1"/>
    </xf>
    <xf numFmtId="174" fontId="3" fillId="28" borderId="5" xfId="1" applyNumberFormat="1" applyFont="1" applyFill="1" applyBorder="1" applyAlignment="1">
      <alignment horizontal="center" vertical="distributed" wrapText="1"/>
    </xf>
    <xf numFmtId="43" fontId="3" fillId="28" borderId="5" xfId="1" applyFont="1" applyFill="1" applyBorder="1" applyAlignment="1">
      <alignment horizontal="center" vertical="distributed" wrapText="1"/>
    </xf>
    <xf numFmtId="191" fontId="3" fillId="28" borderId="5" xfId="3032" applyNumberFormat="1" applyFont="1" applyFill="1" applyBorder="1" applyAlignment="1">
      <alignment horizontal="center" vertical="center" wrapText="1"/>
    </xf>
    <xf numFmtId="171" fontId="3" fillId="28" borderId="23" xfId="3032" applyNumberFormat="1" applyFont="1" applyFill="1" applyBorder="1" applyAlignment="1">
      <alignment horizontal="center" vertical="center" wrapText="1"/>
    </xf>
    <xf numFmtId="174" fontId="3" fillId="28" borderId="23" xfId="1" applyNumberFormat="1" applyFont="1" applyFill="1" applyBorder="1" applyAlignment="1">
      <alignment horizontal="center" vertical="center" wrapText="1"/>
    </xf>
    <xf numFmtId="0" fontId="3" fillId="28" borderId="23" xfId="3032" applyFont="1" applyFill="1" applyBorder="1" applyAlignment="1">
      <alignment horizontal="right" vertical="center" wrapText="1"/>
    </xf>
    <xf numFmtId="174" fontId="3" fillId="28" borderId="25" xfId="1" applyNumberFormat="1" applyFont="1" applyFill="1" applyBorder="1" applyAlignment="1">
      <alignment horizontal="center" vertical="center" wrapText="1"/>
    </xf>
    <xf numFmtId="0" fontId="85" fillId="0" borderId="5" xfId="0" applyFont="1" applyBorder="1" applyAlignment="1">
      <alignment horizontal="left" vertical="center" wrapText="1"/>
    </xf>
    <xf numFmtId="0" fontId="72" fillId="0" borderId="5" xfId="0" applyFont="1" applyBorder="1" applyAlignment="1">
      <alignment horizontal="left" vertical="center" wrapText="1"/>
    </xf>
    <xf numFmtId="0" fontId="24" fillId="25" borderId="0" xfId="0" applyFont="1" applyFill="1" applyAlignment="1">
      <alignment horizontal="center" vertical="center"/>
    </xf>
    <xf numFmtId="2" fontId="4" fillId="28" borderId="0" xfId="3032" applyNumberFormat="1" applyFill="1" applyAlignment="1">
      <alignment horizontal="center" vertical="center"/>
    </xf>
    <xf numFmtId="0" fontId="4" fillId="33" borderId="0" xfId="3032" applyFill="1" applyAlignment="1">
      <alignment horizontal="center"/>
    </xf>
    <xf numFmtId="2" fontId="4" fillId="28" borderId="0" xfId="3032" applyNumberFormat="1" applyFill="1"/>
    <xf numFmtId="43" fontId="3" fillId="28" borderId="32" xfId="1" applyFont="1" applyFill="1" applyBorder="1" applyAlignment="1">
      <alignment horizontal="center" vertical="distributed" wrapText="1"/>
    </xf>
    <xf numFmtId="0" fontId="3" fillId="28" borderId="23" xfId="3032" applyFont="1" applyFill="1" applyBorder="1" applyAlignment="1">
      <alignment horizontal="left" vertical="distributed" wrapText="1"/>
    </xf>
    <xf numFmtId="0" fontId="73" fillId="28" borderId="32" xfId="3032" applyFont="1" applyFill="1" applyBorder="1" applyAlignment="1">
      <alignment horizontal="center" vertical="distributed" wrapText="1"/>
    </xf>
    <xf numFmtId="0" fontId="3" fillId="28" borderId="32" xfId="3032" applyFont="1" applyFill="1" applyBorder="1" applyAlignment="1">
      <alignment horizontal="center" vertical="distributed" wrapText="1"/>
    </xf>
    <xf numFmtId="1" fontId="4" fillId="28" borderId="118" xfId="3052" applyNumberFormat="1" applyFont="1" applyFill="1" applyBorder="1" applyAlignment="1">
      <alignment horizontal="center" vertical="center" wrapText="1"/>
    </xf>
    <xf numFmtId="10" fontId="27" fillId="28" borderId="0" xfId="5871" applyNumberFormat="1" applyFont="1" applyFill="1" applyAlignment="1">
      <alignment vertical="center"/>
    </xf>
    <xf numFmtId="43" fontId="73" fillId="28" borderId="28" xfId="1" applyFont="1" applyFill="1" applyBorder="1" applyAlignment="1">
      <alignment horizontal="center" vertical="center" wrapText="1"/>
    </xf>
    <xf numFmtId="0" fontId="60" fillId="28" borderId="0" xfId="3032" applyFont="1" applyFill="1" applyAlignment="1" applyProtection="1">
      <alignment horizontal="center" vertical="center" wrapText="1"/>
      <protection locked="0"/>
    </xf>
    <xf numFmtId="0" fontId="60" fillId="0" borderId="0" xfId="3032" applyFont="1" applyAlignment="1" applyProtection="1">
      <alignment horizontal="center" vertical="center" wrapText="1"/>
      <protection locked="0"/>
    </xf>
    <xf numFmtId="1" fontId="4" fillId="28" borderId="119" xfId="3052" applyNumberFormat="1" applyFont="1" applyFill="1" applyBorder="1" applyAlignment="1">
      <alignment horizontal="center" vertical="center" wrapText="1"/>
    </xf>
    <xf numFmtId="169" fontId="4" fillId="28" borderId="121" xfId="3052" applyNumberFormat="1" applyFont="1" applyFill="1" applyBorder="1" applyAlignment="1">
      <alignment horizontal="right" vertical="center" wrapText="1"/>
    </xf>
    <xf numFmtId="1" fontId="4" fillId="28" borderId="122" xfId="3052" applyNumberFormat="1" applyFont="1" applyFill="1" applyBorder="1" applyAlignment="1">
      <alignment horizontal="center" vertical="center" wrapText="1"/>
    </xf>
    <xf numFmtId="0" fontId="112" fillId="0" borderId="61" xfId="0" applyFont="1" applyBorder="1" applyAlignment="1">
      <alignment horizontal="right" vertical="center"/>
    </xf>
    <xf numFmtId="0" fontId="61" fillId="28" borderId="0" xfId="3032" applyFont="1" applyFill="1" applyAlignment="1">
      <alignment horizontal="left"/>
    </xf>
    <xf numFmtId="0" fontId="46" fillId="28" borderId="0" xfId="3032" applyFont="1" applyFill="1" applyAlignment="1">
      <alignment horizontal="left"/>
    </xf>
    <xf numFmtId="0" fontId="4" fillId="28" borderId="0" xfId="3032" applyFill="1" applyAlignment="1">
      <alignment horizontal="left"/>
    </xf>
    <xf numFmtId="4" fontId="24" fillId="0" borderId="0" xfId="0" applyNumberFormat="1" applyFont="1" applyAlignment="1">
      <alignment horizontal="left" vertical="center"/>
    </xf>
    <xf numFmtId="0" fontId="4" fillId="0" borderId="0" xfId="3032" applyAlignment="1">
      <alignment horizontal="left"/>
    </xf>
    <xf numFmtId="0" fontId="24" fillId="25" borderId="0" xfId="0" applyFont="1" applyFill="1" applyAlignment="1">
      <alignment horizontal="left" vertical="center"/>
    </xf>
    <xf numFmtId="0" fontId="24" fillId="25" borderId="0" xfId="0" applyFont="1" applyFill="1" applyAlignment="1">
      <alignment horizontal="left"/>
    </xf>
    <xf numFmtId="4" fontId="24" fillId="32" borderId="0" xfId="0" applyNumberFormat="1" applyFont="1" applyFill="1" applyAlignment="1">
      <alignment horizontal="left" vertical="center"/>
    </xf>
    <xf numFmtId="209" fontId="24" fillId="0" borderId="0" xfId="1" applyNumberFormat="1" applyFont="1" applyAlignment="1">
      <alignment horizontal="left" vertical="center"/>
    </xf>
    <xf numFmtId="2" fontId="4" fillId="28" borderId="5" xfId="439" applyNumberFormat="1" applyFill="1" applyBorder="1" applyAlignment="1">
      <alignment horizontal="center"/>
    </xf>
    <xf numFmtId="2" fontId="4" fillId="0" borderId="5" xfId="0" applyNumberFormat="1" applyFont="1" applyBorder="1" applyAlignment="1">
      <alignment horizontal="center" vertical="center"/>
    </xf>
    <xf numFmtId="1" fontId="4" fillId="0" borderId="5" xfId="3043" applyNumberFormat="1" applyFont="1" applyBorder="1" applyAlignment="1">
      <alignment horizontal="center" vertical="center" wrapText="1"/>
    </xf>
    <xf numFmtId="0" fontId="4" fillId="0" borderId="5" xfId="3042" applyBorder="1" applyAlignment="1">
      <alignment horizontal="justify" vertical="center" wrapText="1"/>
    </xf>
    <xf numFmtId="0" fontId="4" fillId="0" borderId="5" xfId="3044" applyFont="1" applyBorder="1" applyAlignment="1">
      <alignment horizontal="center" vertical="center"/>
    </xf>
    <xf numFmtId="190" fontId="4" fillId="0" borderId="43" xfId="3036" applyFont="1" applyFill="1" applyBorder="1" applyAlignment="1">
      <alignment horizontal="center" vertical="center" wrapText="1"/>
    </xf>
    <xf numFmtId="208" fontId="4" fillId="0" borderId="42" xfId="3036" applyNumberFormat="1" applyFont="1" applyFill="1" applyBorder="1" applyAlignment="1">
      <alignment horizontal="center" vertical="center" wrapText="1"/>
    </xf>
    <xf numFmtId="43" fontId="4" fillId="0" borderId="62" xfId="1" applyFont="1" applyFill="1" applyBorder="1" applyAlignment="1">
      <alignment horizontal="center" vertical="center" wrapText="1"/>
    </xf>
    <xf numFmtId="208" fontId="4" fillId="0" borderId="43" xfId="3036" applyNumberFormat="1" applyFont="1" applyFill="1" applyBorder="1" applyAlignment="1">
      <alignment horizontal="center" vertical="center" wrapText="1"/>
    </xf>
    <xf numFmtId="208" fontId="4" fillId="0" borderId="43" xfId="3036" applyNumberFormat="1" applyFont="1" applyBorder="1" applyAlignment="1">
      <alignment horizontal="center" vertical="center" wrapText="1"/>
    </xf>
    <xf numFmtId="190" fontId="4" fillId="0" borderId="62" xfId="3036" applyFont="1" applyFill="1" applyBorder="1" applyAlignment="1">
      <alignment horizontal="center" vertical="center" wrapText="1"/>
    </xf>
    <xf numFmtId="0" fontId="113" fillId="0" borderId="0" xfId="0" applyFont="1" applyAlignment="1">
      <alignment vertical="center"/>
    </xf>
    <xf numFmtId="0" fontId="85" fillId="28" borderId="0" xfId="0" applyFont="1" applyFill="1" applyAlignment="1">
      <alignment horizontal="justify" vertical="center" wrapText="1"/>
    </xf>
    <xf numFmtId="0" fontId="113" fillId="0" borderId="123" xfId="0" applyFont="1" applyBorder="1" applyAlignment="1">
      <alignment vertical="center"/>
    </xf>
    <xf numFmtId="0" fontId="112" fillId="0" borderId="123" xfId="0" applyFont="1" applyBorder="1" applyAlignment="1">
      <alignment horizontal="right" vertical="center"/>
    </xf>
    <xf numFmtId="0" fontId="85" fillId="28" borderId="0" xfId="0" applyFont="1" applyFill="1" applyAlignment="1">
      <alignment horizontal="center" vertical="center" wrapText="1"/>
    </xf>
    <xf numFmtId="0" fontId="53" fillId="28" borderId="0" xfId="0" applyFont="1" applyFill="1" applyAlignment="1">
      <alignment horizontal="center" vertical="center" wrapText="1"/>
    </xf>
    <xf numFmtId="49" fontId="3" fillId="28" borderId="32" xfId="283" applyNumberFormat="1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center" vertical="center" wrapText="1"/>
    </xf>
    <xf numFmtId="43" fontId="3" fillId="28" borderId="32" xfId="1" applyFont="1" applyFill="1" applyBorder="1" applyAlignment="1">
      <alignment horizontal="center" vertical="center" wrapText="1"/>
    </xf>
    <xf numFmtId="174" fontId="3" fillId="28" borderId="32" xfId="1" applyNumberFormat="1" applyFont="1" applyFill="1" applyBorder="1" applyAlignment="1">
      <alignment horizontal="center" vertical="distributed" wrapText="1"/>
    </xf>
    <xf numFmtId="191" fontId="3" fillId="28" borderId="32" xfId="3032" applyNumberFormat="1" applyFont="1" applyFill="1" applyBorder="1" applyAlignment="1">
      <alignment horizontal="center" vertical="center" wrapText="1"/>
    </xf>
    <xf numFmtId="0" fontId="3" fillId="28" borderId="32" xfId="283" applyFont="1" applyFill="1" applyBorder="1" applyAlignment="1">
      <alignment horizontal="left" vertical="center" wrapText="1"/>
    </xf>
    <xf numFmtId="43" fontId="3" fillId="28" borderId="120" xfId="1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right" vertical="center" wrapText="1"/>
    </xf>
    <xf numFmtId="43" fontId="3" fillId="28" borderId="122" xfId="1" applyFont="1" applyFill="1" applyBorder="1" applyAlignment="1">
      <alignment horizontal="center" vertical="center" wrapText="1"/>
    </xf>
    <xf numFmtId="43" fontId="3" fillId="28" borderId="121" xfId="1" applyFont="1" applyFill="1" applyBorder="1" applyAlignment="1">
      <alignment horizontal="center" vertical="center" wrapText="1"/>
    </xf>
    <xf numFmtId="43" fontId="3" fillId="28" borderId="120" xfId="1" applyFont="1" applyFill="1" applyBorder="1" applyAlignment="1">
      <alignment horizontal="center" vertical="distributed" wrapText="1"/>
    </xf>
    <xf numFmtId="0" fontId="73" fillId="28" borderId="122" xfId="3032" applyFont="1" applyFill="1" applyBorder="1" applyAlignment="1">
      <alignment horizontal="left" vertical="distributed" wrapText="1"/>
    </xf>
    <xf numFmtId="0" fontId="3" fillId="28" borderId="32" xfId="3032" applyFont="1" applyFill="1" applyBorder="1" applyAlignment="1">
      <alignment horizontal="left" vertical="distributed" wrapText="1"/>
    </xf>
    <xf numFmtId="174" fontId="3" fillId="28" borderId="22" xfId="1" applyNumberFormat="1" applyFont="1" applyFill="1" applyBorder="1" applyAlignment="1">
      <alignment horizontal="center" vertical="center" wrapText="1"/>
    </xf>
    <xf numFmtId="174" fontId="3" fillId="28" borderId="24" xfId="1" applyNumberFormat="1" applyFont="1" applyFill="1" applyBorder="1" applyAlignment="1">
      <alignment horizontal="center" vertical="distributed" wrapText="1"/>
    </xf>
    <xf numFmtId="0" fontId="3" fillId="0" borderId="23" xfId="3032" applyFont="1" applyBorder="1" applyAlignment="1">
      <alignment horizontal="left" vertical="distributed" wrapText="1"/>
    </xf>
    <xf numFmtId="0" fontId="3" fillId="0" borderId="5" xfId="3032" applyFont="1" applyBorder="1" applyAlignment="1">
      <alignment horizontal="left" vertical="distributed" wrapText="1"/>
    </xf>
    <xf numFmtId="10" fontId="3" fillId="28" borderId="22" xfId="1" applyNumberFormat="1" applyFont="1" applyFill="1" applyBorder="1" applyAlignment="1">
      <alignment horizontal="center" vertical="distributed" wrapText="1"/>
    </xf>
    <xf numFmtId="174" fontId="3" fillId="28" borderId="31" xfId="1" applyNumberFormat="1" applyFont="1" applyFill="1" applyBorder="1" applyAlignment="1">
      <alignment horizontal="center" vertical="distributed" wrapText="1"/>
    </xf>
    <xf numFmtId="0" fontId="0" fillId="0" borderId="5" xfId="0" applyBorder="1" applyAlignment="1">
      <alignment horizontal="center"/>
    </xf>
    <xf numFmtId="1" fontId="3" fillId="28" borderId="0" xfId="3032" applyNumberFormat="1" applyFont="1" applyFill="1" applyAlignment="1">
      <alignment horizontal="center" vertical="center" wrapText="1"/>
    </xf>
    <xf numFmtId="1" fontId="3" fillId="28" borderId="93" xfId="3032" applyNumberFormat="1" applyFont="1" applyFill="1" applyBorder="1" applyAlignment="1">
      <alignment horizontal="center" vertical="center" wrapText="1"/>
    </xf>
    <xf numFmtId="43" fontId="3" fillId="28" borderId="93" xfId="1" applyFont="1" applyFill="1" applyBorder="1" applyAlignment="1">
      <alignment horizontal="center" vertical="center" wrapText="1"/>
    </xf>
    <xf numFmtId="43" fontId="3" fillId="28" borderId="93" xfId="1" applyFont="1" applyFill="1" applyBorder="1" applyAlignment="1">
      <alignment horizontal="center" vertical="distributed" wrapText="1"/>
    </xf>
    <xf numFmtId="0" fontId="3" fillId="28" borderId="120" xfId="283" applyFont="1" applyFill="1" applyBorder="1" applyAlignment="1">
      <alignment vertical="center" wrapText="1"/>
    </xf>
    <xf numFmtId="0" fontId="3" fillId="28" borderId="121" xfId="283" applyFont="1" applyFill="1" applyBorder="1" applyAlignment="1">
      <alignment vertical="center" wrapText="1"/>
    </xf>
    <xf numFmtId="0" fontId="3" fillId="28" borderId="122" xfId="283" applyFont="1" applyFill="1" applyBorder="1" applyAlignment="1">
      <alignment vertical="center" wrapText="1"/>
    </xf>
    <xf numFmtId="0" fontId="3" fillId="28" borderId="0" xfId="283" applyFont="1" applyFill="1" applyAlignment="1">
      <alignment vertical="center" wrapText="1"/>
    </xf>
    <xf numFmtId="0" fontId="3" fillId="28" borderId="93" xfId="283" applyFont="1" applyFill="1" applyBorder="1" applyAlignment="1">
      <alignment vertical="center" wrapText="1"/>
    </xf>
    <xf numFmtId="174" fontId="3" fillId="28" borderId="122" xfId="1" applyNumberFormat="1" applyFont="1" applyFill="1" applyBorder="1" applyAlignment="1">
      <alignment horizontal="center" vertical="distributed" wrapText="1"/>
    </xf>
    <xf numFmtId="43" fontId="3" fillId="28" borderId="122" xfId="1" applyFont="1" applyFill="1" applyBorder="1" applyAlignment="1">
      <alignment horizontal="center" vertical="distributed" wrapText="1"/>
    </xf>
    <xf numFmtId="169" fontId="3" fillId="28" borderId="22" xfId="1" applyNumberFormat="1" applyFont="1" applyFill="1" applyBorder="1" applyAlignment="1">
      <alignment horizontal="right" vertical="distributed" wrapText="1"/>
    </xf>
    <xf numFmtId="49" fontId="3" fillId="0" borderId="23" xfId="283" applyNumberFormat="1" applyFont="1" applyBorder="1" applyAlignment="1">
      <alignment horizontal="center" vertical="center" wrapText="1"/>
    </xf>
    <xf numFmtId="1" fontId="3" fillId="0" borderId="24" xfId="3032" applyNumberFormat="1" applyFont="1" applyBorder="1" applyAlignment="1">
      <alignment horizontal="center" vertical="center" wrapText="1"/>
    </xf>
    <xf numFmtId="1" fontId="3" fillId="0" borderId="25" xfId="3032" applyNumberFormat="1" applyFont="1" applyBorder="1" applyAlignment="1">
      <alignment horizontal="center" vertical="center" wrapText="1"/>
    </xf>
    <xf numFmtId="2" fontId="3" fillId="0" borderId="22" xfId="3032" applyNumberFormat="1" applyFont="1" applyBorder="1" applyAlignment="1">
      <alignment horizontal="center" vertical="center" wrapText="1"/>
    </xf>
    <xf numFmtId="0" fontId="3" fillId="0" borderId="23" xfId="3032" applyFont="1" applyBorder="1" applyAlignment="1">
      <alignment horizontal="center" vertical="center" wrapText="1"/>
    </xf>
    <xf numFmtId="43" fontId="3" fillId="0" borderId="24" xfId="1" applyFont="1" applyFill="1" applyBorder="1" applyAlignment="1">
      <alignment horizontal="center" vertical="center" wrapText="1"/>
    </xf>
    <xf numFmtId="43" fontId="3" fillId="0" borderId="23" xfId="1" applyFont="1" applyFill="1" applyBorder="1" applyAlignment="1">
      <alignment horizontal="center" vertical="center" wrapText="1"/>
    </xf>
    <xf numFmtId="43" fontId="3" fillId="0" borderId="22" xfId="1" applyFont="1" applyFill="1" applyBorder="1" applyAlignment="1">
      <alignment horizontal="center" vertical="center" wrapText="1"/>
    </xf>
    <xf numFmtId="174" fontId="3" fillId="0" borderId="23" xfId="1" applyNumberFormat="1" applyFont="1" applyFill="1" applyBorder="1" applyAlignment="1">
      <alignment horizontal="center" vertical="distributed" wrapText="1"/>
    </xf>
    <xf numFmtId="191" fontId="3" fillId="0" borderId="23" xfId="3032" applyNumberFormat="1" applyFont="1" applyBorder="1" applyAlignment="1">
      <alignment horizontal="center" vertical="center" wrapText="1"/>
    </xf>
    <xf numFmtId="174" fontId="3" fillId="0" borderId="23" xfId="1" applyNumberFormat="1" applyFont="1" applyFill="1" applyBorder="1" applyAlignment="1">
      <alignment horizontal="center" vertical="center" wrapText="1"/>
    </xf>
    <xf numFmtId="43" fontId="3" fillId="0" borderId="25" xfId="1" applyFont="1" applyFill="1" applyBorder="1" applyAlignment="1">
      <alignment horizontal="center" vertical="center" wrapText="1"/>
    </xf>
    <xf numFmtId="43" fontId="3" fillId="0" borderId="24" xfId="1" applyFont="1" applyFill="1" applyBorder="1" applyAlignment="1">
      <alignment horizontal="center" vertical="distributed" wrapText="1"/>
    </xf>
    <xf numFmtId="174" fontId="3" fillId="0" borderId="25" xfId="1" applyNumberFormat="1" applyFont="1" applyFill="1" applyBorder="1" applyAlignment="1">
      <alignment horizontal="center" vertical="center" wrapText="1"/>
    </xf>
    <xf numFmtId="4" fontId="3" fillId="0" borderId="23" xfId="3032" applyNumberFormat="1" applyFont="1" applyBorder="1" applyAlignment="1">
      <alignment horizontal="right" vertical="distributed" wrapText="1"/>
    </xf>
    <xf numFmtId="43" fontId="3" fillId="0" borderId="22" xfId="1" applyFont="1" applyFill="1" applyBorder="1" applyAlignment="1">
      <alignment horizontal="center" vertical="distributed" wrapText="1"/>
    </xf>
    <xf numFmtId="49" fontId="3" fillId="0" borderId="5" xfId="283" applyNumberFormat="1" applyFont="1" applyBorder="1" applyAlignment="1">
      <alignment horizontal="center" vertical="center" wrapText="1"/>
    </xf>
    <xf numFmtId="0" fontId="3" fillId="0" borderId="5" xfId="283" applyFont="1" applyBorder="1" applyAlignment="1">
      <alignment horizontal="left" vertical="center" wrapText="1"/>
    </xf>
    <xf numFmtId="0" fontId="3" fillId="0" borderId="5" xfId="3032" applyFont="1" applyBorder="1" applyAlignment="1">
      <alignment horizontal="center" vertical="center" wrapText="1"/>
    </xf>
    <xf numFmtId="174" fontId="3" fillId="0" borderId="5" xfId="1" applyNumberFormat="1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174" fontId="3" fillId="0" borderId="5" xfId="1" applyNumberFormat="1" applyFont="1" applyFill="1" applyBorder="1" applyAlignment="1">
      <alignment horizontal="center" vertical="distributed" wrapText="1"/>
    </xf>
    <xf numFmtId="43" fontId="3" fillId="0" borderId="5" xfId="1" applyFont="1" applyFill="1" applyBorder="1" applyAlignment="1">
      <alignment horizontal="center" vertical="distributed" wrapText="1"/>
    </xf>
    <xf numFmtId="191" fontId="3" fillId="0" borderId="5" xfId="3032" applyNumberFormat="1" applyFont="1" applyBorder="1" applyAlignment="1">
      <alignment horizontal="center" vertical="center" wrapText="1"/>
    </xf>
    <xf numFmtId="0" fontId="73" fillId="0" borderId="5" xfId="3032" applyFont="1" applyBorder="1" applyAlignment="1">
      <alignment horizontal="left" vertical="distributed" wrapText="1"/>
    </xf>
    <xf numFmtId="0" fontId="3" fillId="28" borderId="122" xfId="3032" applyFont="1" applyFill="1" applyBorder="1" applyAlignment="1">
      <alignment horizontal="left" vertical="distributed" wrapText="1"/>
    </xf>
    <xf numFmtId="174" fontId="3" fillId="0" borderId="22" xfId="1" applyNumberFormat="1" applyFont="1" applyFill="1" applyBorder="1" applyAlignment="1">
      <alignment horizontal="center" vertical="distributed" wrapText="1"/>
    </xf>
    <xf numFmtId="0" fontId="3" fillId="0" borderId="27" xfId="283" applyFont="1" applyBorder="1" applyAlignment="1">
      <alignment horizontal="left" vertical="center" wrapText="1"/>
    </xf>
    <xf numFmtId="1" fontId="3" fillId="0" borderId="24" xfId="3032" applyNumberFormat="1" applyFont="1" applyBorder="1" applyAlignment="1">
      <alignment horizontal="right" vertical="center" wrapText="1"/>
    </xf>
    <xf numFmtId="2" fontId="3" fillId="0" borderId="22" xfId="3032" applyNumberFormat="1" applyFont="1" applyBorder="1" applyAlignment="1">
      <alignment horizontal="left" vertical="center" wrapText="1"/>
    </xf>
    <xf numFmtId="10" fontId="3" fillId="0" borderId="22" xfId="1" applyNumberFormat="1" applyFont="1" applyFill="1" applyBorder="1" applyAlignment="1">
      <alignment horizontal="center" vertical="distributed" wrapText="1"/>
    </xf>
    <xf numFmtId="43" fontId="3" fillId="0" borderId="32" xfId="1" applyFont="1" applyFill="1" applyBorder="1" applyAlignment="1">
      <alignment horizontal="center" vertical="distributed" wrapText="1"/>
    </xf>
    <xf numFmtId="1" fontId="3" fillId="28" borderId="120" xfId="3032" applyNumberFormat="1" applyFont="1" applyFill="1" applyBorder="1" applyAlignment="1">
      <alignment horizontal="right" vertical="center" wrapText="1"/>
    </xf>
    <xf numFmtId="1" fontId="3" fillId="28" borderId="121" xfId="3032" applyNumberFormat="1" applyFont="1" applyFill="1" applyBorder="1" applyAlignment="1">
      <alignment horizontal="center" vertical="center" wrapText="1"/>
    </xf>
    <xf numFmtId="2" fontId="3" fillId="28" borderId="122" xfId="3032" applyNumberFormat="1" applyFont="1" applyFill="1" applyBorder="1" applyAlignment="1">
      <alignment horizontal="left" vertical="center" wrapText="1"/>
    </xf>
    <xf numFmtId="174" fontId="3" fillId="28" borderId="32" xfId="1" applyNumberFormat="1" applyFont="1" applyFill="1" applyBorder="1" applyAlignment="1">
      <alignment horizontal="center" vertical="center" wrapText="1"/>
    </xf>
    <xf numFmtId="174" fontId="3" fillId="28" borderId="120" xfId="1" applyNumberFormat="1" applyFont="1" applyFill="1" applyBorder="1" applyAlignment="1">
      <alignment horizontal="center" vertical="distributed" wrapText="1"/>
    </xf>
    <xf numFmtId="169" fontId="3" fillId="28" borderId="122" xfId="1" applyNumberFormat="1" applyFont="1" applyFill="1" applyBorder="1" applyAlignment="1">
      <alignment horizontal="right" vertical="distributed" wrapText="1"/>
    </xf>
    <xf numFmtId="1" fontId="3" fillId="28" borderId="28" xfId="3032" applyNumberFormat="1" applyFont="1" applyFill="1" applyBorder="1" applyAlignment="1">
      <alignment horizontal="right" vertical="center" wrapText="1"/>
    </xf>
    <xf numFmtId="1" fontId="3" fillId="28" borderId="30" xfId="3032" applyNumberFormat="1" applyFont="1" applyFill="1" applyBorder="1" applyAlignment="1">
      <alignment horizontal="center" vertical="center" wrapText="1"/>
    </xf>
    <xf numFmtId="2" fontId="3" fillId="28" borderId="26" xfId="3032" applyNumberFormat="1" applyFont="1" applyFill="1" applyBorder="1" applyAlignment="1">
      <alignment horizontal="left" vertical="center" wrapText="1"/>
    </xf>
    <xf numFmtId="171" fontId="3" fillId="28" borderId="26" xfId="3032" applyNumberFormat="1" applyFont="1" applyFill="1" applyBorder="1" applyAlignment="1">
      <alignment horizontal="left" vertical="center" wrapText="1"/>
    </xf>
    <xf numFmtId="211" fontId="3" fillId="28" borderId="27" xfId="1" applyNumberFormat="1" applyFont="1" applyFill="1" applyBorder="1" applyAlignment="1">
      <alignment horizontal="center" vertical="distributed" wrapText="1"/>
    </xf>
    <xf numFmtId="0" fontId="3" fillId="28" borderId="27" xfId="3032" applyFont="1" applyFill="1" applyBorder="1" applyAlignment="1">
      <alignment horizontal="left" vertical="distributed" wrapText="1"/>
    </xf>
    <xf numFmtId="1" fontId="3" fillId="28" borderId="23" xfId="3032" applyNumberFormat="1" applyFont="1" applyFill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3" fillId="28" borderId="90" xfId="283" applyFont="1" applyFill="1" applyBorder="1" applyAlignment="1">
      <alignment horizontal="left" vertical="center" wrapText="1"/>
    </xf>
    <xf numFmtId="0" fontId="3" fillId="28" borderId="27" xfId="283" applyFont="1" applyFill="1" applyBorder="1" applyAlignment="1">
      <alignment vertical="center" wrapText="1"/>
    </xf>
    <xf numFmtId="0" fontId="3" fillId="28" borderId="90" xfId="283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vertical="distributed" wrapText="1"/>
    </xf>
    <xf numFmtId="0" fontId="3" fillId="28" borderId="90" xfId="3032" applyFont="1" applyFill="1" applyBorder="1" applyAlignment="1">
      <alignment vertical="distributed" wrapText="1"/>
    </xf>
    <xf numFmtId="0" fontId="3" fillId="28" borderId="31" xfId="3032" applyFont="1" applyFill="1" applyBorder="1" applyAlignment="1">
      <alignment vertical="distributed" wrapText="1"/>
    </xf>
    <xf numFmtId="0" fontId="3" fillId="0" borderId="0" xfId="283" applyFont="1" applyAlignment="1">
      <alignment vertical="center" wrapText="1"/>
    </xf>
    <xf numFmtId="0" fontId="3" fillId="0" borderId="93" xfId="283" applyFont="1" applyBorder="1" applyAlignment="1">
      <alignment vertical="center" wrapText="1"/>
    </xf>
    <xf numFmtId="0" fontId="3" fillId="0" borderId="32" xfId="3032" applyFont="1" applyBorder="1" applyAlignment="1">
      <alignment horizontal="center" vertical="center" wrapText="1"/>
    </xf>
    <xf numFmtId="43" fontId="3" fillId="0" borderId="120" xfId="1" applyFont="1" applyFill="1" applyBorder="1" applyAlignment="1">
      <alignment horizontal="center" vertical="center" wrapText="1"/>
    </xf>
    <xf numFmtId="43" fontId="3" fillId="0" borderId="32" xfId="1" applyFont="1" applyFill="1" applyBorder="1" applyAlignment="1">
      <alignment horizontal="center" vertical="center" wrapText="1"/>
    </xf>
    <xf numFmtId="43" fontId="3" fillId="0" borderId="122" xfId="1" applyFont="1" applyFill="1" applyBorder="1" applyAlignment="1">
      <alignment horizontal="center" vertical="center" wrapText="1"/>
    </xf>
    <xf numFmtId="1" fontId="3" fillId="0" borderId="0" xfId="3032" applyNumberFormat="1" applyFont="1" applyAlignment="1">
      <alignment horizontal="center" vertical="center" wrapText="1"/>
    </xf>
    <xf numFmtId="1" fontId="3" fillId="0" borderId="93" xfId="3032" applyNumberFormat="1" applyFont="1" applyBorder="1" applyAlignment="1">
      <alignment horizontal="center" vertical="center" wrapText="1"/>
    </xf>
    <xf numFmtId="0" fontId="3" fillId="0" borderId="120" xfId="283" applyFont="1" applyBorder="1" applyAlignment="1">
      <alignment vertical="center" wrapText="1"/>
    </xf>
    <xf numFmtId="0" fontId="3" fillId="0" borderId="121" xfId="283" applyFont="1" applyBorder="1" applyAlignment="1">
      <alignment vertical="center" wrapText="1"/>
    </xf>
    <xf numFmtId="0" fontId="3" fillId="0" borderId="122" xfId="283" applyFont="1" applyBorder="1" applyAlignment="1">
      <alignment vertical="center" wrapText="1"/>
    </xf>
    <xf numFmtId="0" fontId="3" fillId="0" borderId="32" xfId="283" applyFont="1" applyBorder="1" applyAlignment="1">
      <alignment vertical="center" wrapText="1"/>
    </xf>
    <xf numFmtId="43" fontId="3" fillId="0" borderId="23" xfId="1" applyFont="1" applyFill="1" applyBorder="1" applyAlignment="1">
      <alignment horizontal="center" vertical="distributed" wrapText="1"/>
    </xf>
    <xf numFmtId="43" fontId="3" fillId="0" borderId="120" xfId="1" applyFont="1" applyFill="1" applyBorder="1" applyAlignment="1">
      <alignment horizontal="center" vertical="distributed" wrapText="1"/>
    </xf>
    <xf numFmtId="174" fontId="3" fillId="0" borderId="122" xfId="1" applyNumberFormat="1" applyFont="1" applyFill="1" applyBorder="1" applyAlignment="1">
      <alignment horizontal="center" vertical="distributed" wrapText="1"/>
    </xf>
    <xf numFmtId="174" fontId="3" fillId="0" borderId="90" xfId="1" applyNumberFormat="1" applyFont="1" applyFill="1" applyBorder="1" applyAlignment="1">
      <alignment horizontal="center" vertical="distributed" wrapText="1"/>
    </xf>
    <xf numFmtId="0" fontId="3" fillId="0" borderId="90" xfId="283" applyFont="1" applyBorder="1" applyAlignment="1">
      <alignment horizontal="left" vertical="center" wrapText="1"/>
    </xf>
    <xf numFmtId="1" fontId="3" fillId="0" borderId="30" xfId="3032" applyNumberFormat="1" applyFont="1" applyBorder="1" applyAlignment="1">
      <alignment horizontal="center" vertical="center" wrapText="1"/>
    </xf>
    <xf numFmtId="0" fontId="3" fillId="0" borderId="27" xfId="3032" applyFont="1" applyBorder="1" applyAlignment="1">
      <alignment horizontal="center" vertical="center" wrapText="1"/>
    </xf>
    <xf numFmtId="43" fontId="3" fillId="0" borderId="28" xfId="1" applyFont="1" applyFill="1" applyBorder="1" applyAlignment="1">
      <alignment horizontal="center" vertical="center" wrapText="1"/>
    </xf>
    <xf numFmtId="43" fontId="3" fillId="0" borderId="27" xfId="1" applyFont="1" applyFill="1" applyBorder="1" applyAlignment="1">
      <alignment horizontal="center" vertical="center" wrapText="1"/>
    </xf>
    <xf numFmtId="43" fontId="3" fillId="0" borderId="26" xfId="1" applyFont="1" applyFill="1" applyBorder="1" applyAlignment="1">
      <alignment horizontal="center" vertical="center" wrapText="1"/>
    </xf>
    <xf numFmtId="174" fontId="3" fillId="0" borderId="26" xfId="1" applyNumberFormat="1" applyFont="1" applyFill="1" applyBorder="1" applyAlignment="1">
      <alignment horizontal="center" vertical="distributed" wrapText="1"/>
    </xf>
    <xf numFmtId="191" fontId="3" fillId="0" borderId="27" xfId="3032" applyNumberFormat="1" applyFont="1" applyBorder="1" applyAlignment="1">
      <alignment horizontal="center" vertical="center" wrapText="1"/>
    </xf>
    <xf numFmtId="174" fontId="3" fillId="28" borderId="28" xfId="1" applyNumberFormat="1" applyFont="1" applyFill="1" applyBorder="1" applyAlignment="1">
      <alignment horizontal="center" vertical="distributed" wrapText="1"/>
    </xf>
    <xf numFmtId="174" fontId="3" fillId="0" borderId="24" xfId="1" applyNumberFormat="1" applyFont="1" applyFill="1" applyBorder="1" applyAlignment="1">
      <alignment horizontal="center" vertical="distributed" wrapText="1"/>
    </xf>
    <xf numFmtId="169" fontId="3" fillId="0" borderId="22" xfId="1" applyNumberFormat="1" applyFont="1" applyFill="1" applyBorder="1" applyAlignment="1">
      <alignment horizontal="right" vertical="distributed" wrapText="1"/>
    </xf>
    <xf numFmtId="174" fontId="3" fillId="0" borderId="32" xfId="1" applyNumberFormat="1" applyFont="1" applyFill="1" applyBorder="1" applyAlignment="1">
      <alignment horizontal="center" vertical="center" wrapText="1"/>
    </xf>
    <xf numFmtId="43" fontId="3" fillId="0" borderId="122" xfId="1" applyFont="1" applyFill="1" applyBorder="1" applyAlignment="1">
      <alignment horizontal="center" vertical="distributed" wrapText="1"/>
    </xf>
    <xf numFmtId="191" fontId="3" fillId="0" borderId="32" xfId="3032" applyNumberFormat="1" applyFont="1" applyBorder="1" applyAlignment="1">
      <alignment horizontal="center" vertical="center" wrapText="1"/>
    </xf>
    <xf numFmtId="0" fontId="3" fillId="0" borderId="32" xfId="3032" applyFont="1" applyBorder="1" applyAlignment="1">
      <alignment horizontal="left" vertical="distributed" wrapText="1"/>
    </xf>
    <xf numFmtId="43" fontId="3" fillId="0" borderId="121" xfId="1" applyFont="1" applyFill="1" applyBorder="1" applyAlignment="1">
      <alignment horizontal="center" vertical="center" wrapText="1"/>
    </xf>
    <xf numFmtId="174" fontId="3" fillId="0" borderId="120" xfId="1" applyNumberFormat="1" applyFont="1" applyFill="1" applyBorder="1" applyAlignment="1">
      <alignment horizontal="center" vertical="distributed" wrapText="1"/>
    </xf>
    <xf numFmtId="169" fontId="3" fillId="0" borderId="122" xfId="1" applyNumberFormat="1" applyFont="1" applyFill="1" applyBorder="1" applyAlignment="1">
      <alignment horizontal="right" vertical="distributed" wrapText="1"/>
    </xf>
    <xf numFmtId="0" fontId="3" fillId="28" borderId="90" xfId="3032" applyFont="1" applyFill="1" applyBorder="1" applyAlignment="1">
      <alignment horizontal="center" vertical="distributed" wrapText="1"/>
    </xf>
    <xf numFmtId="43" fontId="3" fillId="0" borderId="90" xfId="1" applyFont="1" applyFill="1" applyBorder="1" applyAlignment="1">
      <alignment horizontal="center" vertical="distributed" wrapText="1"/>
    </xf>
    <xf numFmtId="174" fontId="3" fillId="28" borderId="122" xfId="1" applyNumberFormat="1" applyFont="1" applyFill="1" applyBorder="1" applyAlignment="1">
      <alignment horizontal="center" vertical="center" wrapText="1"/>
    </xf>
    <xf numFmtId="0" fontId="3" fillId="28" borderId="32" xfId="283" applyFont="1" applyFill="1" applyBorder="1" applyAlignment="1">
      <alignment vertical="center" wrapText="1"/>
    </xf>
    <xf numFmtId="0" fontId="3" fillId="28" borderId="90" xfId="283" applyFont="1" applyFill="1" applyBorder="1" applyAlignment="1">
      <alignment vertical="center" wrapText="1"/>
    </xf>
    <xf numFmtId="174" fontId="3" fillId="28" borderId="24" xfId="1" applyNumberFormat="1" applyFont="1" applyFill="1" applyBorder="1" applyAlignment="1">
      <alignment horizontal="center" vertical="center" wrapText="1"/>
    </xf>
    <xf numFmtId="0" fontId="3" fillId="28" borderId="31" xfId="3032" applyFont="1" applyFill="1" applyBorder="1" applyAlignment="1">
      <alignment horizontal="center" vertical="distributed" wrapText="1"/>
    </xf>
    <xf numFmtId="4" fontId="3" fillId="28" borderId="32" xfId="3032" applyNumberFormat="1" applyFont="1" applyFill="1" applyBorder="1" applyAlignment="1">
      <alignment horizontal="center" vertical="distributed" wrapText="1"/>
    </xf>
    <xf numFmtId="1" fontId="3" fillId="28" borderId="120" xfId="3032" applyNumberFormat="1" applyFont="1" applyFill="1" applyBorder="1" applyAlignment="1">
      <alignment horizontal="center" vertical="center" wrapText="1"/>
    </xf>
    <xf numFmtId="2" fontId="3" fillId="28" borderId="122" xfId="3032" applyNumberFormat="1" applyFont="1" applyFill="1" applyBorder="1" applyAlignment="1">
      <alignment horizontal="center" vertical="center" wrapText="1"/>
    </xf>
    <xf numFmtId="174" fontId="3" fillId="28" borderId="121" xfId="1" applyNumberFormat="1" applyFont="1" applyFill="1" applyBorder="1" applyAlignment="1">
      <alignment horizontal="center" vertical="center" wrapText="1"/>
    </xf>
    <xf numFmtId="0" fontId="3" fillId="0" borderId="32" xfId="283" applyFont="1" applyBorder="1" applyAlignment="1">
      <alignment horizontal="left" vertical="center" wrapText="1"/>
    </xf>
    <xf numFmtId="169" fontId="3" fillId="0" borderId="23" xfId="3032" applyNumberFormat="1" applyFont="1" applyBorder="1" applyAlignment="1">
      <alignment horizontal="center" vertical="center" wrapText="1"/>
    </xf>
    <xf numFmtId="0" fontId="73" fillId="0" borderId="27" xfId="283" applyFont="1" applyBorder="1" applyAlignment="1">
      <alignment horizontal="left" vertical="center" wrapText="1"/>
    </xf>
    <xf numFmtId="174" fontId="3" fillId="28" borderId="90" xfId="1" applyNumberFormat="1" applyFont="1" applyFill="1" applyBorder="1" applyAlignment="1">
      <alignment horizontal="center" vertical="distributed" wrapText="1"/>
    </xf>
    <xf numFmtId="171" fontId="3" fillId="0" borderId="93" xfId="3032" applyNumberFormat="1" applyFont="1" applyBorder="1" applyAlignment="1">
      <alignment wrapText="1"/>
    </xf>
    <xf numFmtId="1" fontId="28" fillId="28" borderId="53" xfId="0" applyNumberFormat="1" applyFont="1" applyFill="1" applyBorder="1" applyAlignment="1">
      <alignment vertical="center" wrapText="1"/>
    </xf>
    <xf numFmtId="0" fontId="28" fillId="28" borderId="54" xfId="0" applyFont="1" applyFill="1" applyBorder="1" applyAlignment="1">
      <alignment vertical="center" wrapText="1"/>
    </xf>
    <xf numFmtId="0" fontId="3" fillId="0" borderId="54" xfId="3032" applyFont="1" applyBorder="1" applyAlignment="1">
      <alignment wrapText="1"/>
    </xf>
    <xf numFmtId="0" fontId="3" fillId="0" borderId="55" xfId="3032" applyFont="1" applyBorder="1" applyAlignment="1">
      <alignment wrapText="1"/>
    </xf>
    <xf numFmtId="0" fontId="6" fillId="25" borderId="39" xfId="0" applyFont="1" applyFill="1" applyBorder="1" applyAlignment="1">
      <alignment horizontal="center" vertical="center"/>
    </xf>
    <xf numFmtId="0" fontId="6" fillId="25" borderId="45" xfId="0" applyFont="1" applyFill="1" applyBorder="1" applyAlignment="1">
      <alignment horizontal="center" vertical="center" wrapText="1"/>
    </xf>
    <xf numFmtId="4" fontId="6" fillId="25" borderId="39" xfId="0" applyNumberFormat="1" applyFont="1" applyFill="1" applyBorder="1" applyAlignment="1">
      <alignment horizontal="center" vertical="center"/>
    </xf>
    <xf numFmtId="188" fontId="6" fillId="25" borderId="39" xfId="0" applyNumberFormat="1" applyFont="1" applyFill="1" applyBorder="1" applyAlignment="1">
      <alignment horizontal="center" vertical="center"/>
    </xf>
    <xf numFmtId="10" fontId="6" fillId="25" borderId="39" xfId="0" applyNumberFormat="1" applyFont="1" applyFill="1" applyBorder="1" applyAlignment="1">
      <alignment horizontal="center" vertical="center"/>
    </xf>
    <xf numFmtId="10" fontId="6" fillId="25" borderId="46" xfId="0" applyNumberFormat="1" applyFont="1" applyFill="1" applyBorder="1" applyAlignment="1">
      <alignment horizontal="center" vertical="center"/>
    </xf>
    <xf numFmtId="0" fontId="30" fillId="29" borderId="0" xfId="0" applyFont="1" applyFill="1" applyAlignment="1">
      <alignment horizontal="right" vertical="center" wrapText="1"/>
    </xf>
    <xf numFmtId="1" fontId="28" fillId="0" borderId="0" xfId="0" applyNumberFormat="1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157" fillId="0" borderId="0" xfId="0" applyFont="1" applyAlignment="1">
      <alignment horizontal="right" vertical="center" wrapText="1"/>
    </xf>
    <xf numFmtId="0" fontId="157" fillId="0" borderId="0" xfId="0" applyFont="1" applyAlignment="1">
      <alignment horizontal="center" vertical="center" wrapText="1"/>
    </xf>
    <xf numFmtId="10" fontId="157" fillId="0" borderId="0" xfId="3032" applyNumberFormat="1" applyFont="1" applyAlignment="1">
      <alignment horizontal="right" vertical="center" wrapText="1"/>
    </xf>
    <xf numFmtId="10" fontId="157" fillId="0" borderId="0" xfId="3032" applyNumberFormat="1" applyFont="1" applyAlignment="1">
      <alignment horizontal="center" vertical="center" wrapText="1"/>
    </xf>
    <xf numFmtId="171" fontId="157" fillId="0" borderId="0" xfId="3032" applyNumberFormat="1" applyFont="1" applyAlignment="1">
      <alignment horizontal="center" vertical="center" wrapText="1"/>
    </xf>
    <xf numFmtId="0" fontId="157" fillId="0" borderId="0" xfId="3032" applyFont="1" applyAlignment="1">
      <alignment horizontal="center" vertical="center" wrapText="1"/>
    </xf>
    <xf numFmtId="169" fontId="157" fillId="0" borderId="0" xfId="1" applyNumberFormat="1" applyFont="1" applyFill="1" applyBorder="1" applyAlignment="1">
      <alignment horizontal="center" vertical="center" wrapText="1"/>
    </xf>
    <xf numFmtId="169" fontId="157" fillId="0" borderId="0" xfId="3032" applyNumberFormat="1" applyFont="1" applyAlignment="1">
      <alignment horizontal="center" vertical="center" wrapText="1"/>
    </xf>
    <xf numFmtId="169" fontId="61" fillId="28" borderId="0" xfId="3032" applyNumberFormat="1" applyFont="1" applyFill="1" applyAlignment="1">
      <alignment horizontal="center"/>
    </xf>
    <xf numFmtId="0" fontId="73" fillId="28" borderId="27" xfId="283" applyFont="1" applyFill="1" applyBorder="1" applyAlignment="1">
      <alignment horizontal="center" vertical="center" wrapText="1"/>
    </xf>
    <xf numFmtId="49" fontId="73" fillId="0" borderId="23" xfId="283" applyNumberFormat="1" applyFont="1" applyBorder="1" applyAlignment="1">
      <alignment horizontal="center" vertical="center" wrapText="1"/>
    </xf>
    <xf numFmtId="0" fontId="73" fillId="0" borderId="23" xfId="283" applyFont="1" applyBorder="1" applyAlignment="1">
      <alignment horizontal="left" vertical="center" wrapText="1"/>
    </xf>
    <xf numFmtId="0" fontId="73" fillId="0" borderId="23" xfId="3032" applyFont="1" applyBorder="1" applyAlignment="1">
      <alignment horizontal="center" vertical="center" wrapText="1"/>
    </xf>
    <xf numFmtId="43" fontId="73" fillId="0" borderId="24" xfId="1" applyFont="1" applyFill="1" applyBorder="1" applyAlignment="1">
      <alignment horizontal="center" vertical="center" wrapText="1"/>
    </xf>
    <xf numFmtId="43" fontId="73" fillId="0" borderId="23" xfId="1" applyFont="1" applyFill="1" applyBorder="1" applyAlignment="1">
      <alignment horizontal="center" vertical="center" wrapText="1"/>
    </xf>
    <xf numFmtId="43" fontId="73" fillId="0" borderId="22" xfId="1" applyFont="1" applyFill="1" applyBorder="1" applyAlignment="1">
      <alignment horizontal="center" vertical="center" wrapText="1"/>
    </xf>
    <xf numFmtId="43" fontId="73" fillId="0" borderId="25" xfId="1" applyFont="1" applyFill="1" applyBorder="1" applyAlignment="1">
      <alignment horizontal="center" vertical="center" wrapText="1"/>
    </xf>
    <xf numFmtId="43" fontId="73" fillId="0" borderId="24" xfId="1" applyFont="1" applyFill="1" applyBorder="1" applyAlignment="1">
      <alignment horizontal="center" vertical="distributed" wrapText="1"/>
    </xf>
    <xf numFmtId="43" fontId="73" fillId="0" borderId="22" xfId="1" applyFont="1" applyFill="1" applyBorder="1" applyAlignment="1">
      <alignment horizontal="center" vertical="distributed" wrapText="1"/>
    </xf>
    <xf numFmtId="191" fontId="73" fillId="0" borderId="23" xfId="3032" applyNumberFormat="1" applyFont="1" applyBorder="1" applyAlignment="1">
      <alignment horizontal="center" vertical="center" wrapText="1"/>
    </xf>
    <xf numFmtId="0" fontId="73" fillId="0" borderId="23" xfId="3032" applyFont="1" applyBorder="1" applyAlignment="1">
      <alignment horizontal="left" vertical="distributed" wrapText="1"/>
    </xf>
    <xf numFmtId="206" fontId="173" fillId="49" borderId="5" xfId="5873" applyNumberFormat="1" applyFont="1" applyFill="1" applyBorder="1" applyProtection="1">
      <protection locked="0"/>
    </xf>
    <xf numFmtId="4" fontId="173" fillId="50" borderId="5" xfId="5873" applyNumberFormat="1" applyFont="1" applyFill="1" applyBorder="1" applyAlignment="1">
      <alignment horizontal="right" vertical="center" shrinkToFit="1"/>
    </xf>
    <xf numFmtId="4" fontId="146" fillId="47" borderId="0" xfId="5860" applyNumberFormat="1" applyFont="1" applyFill="1" applyAlignment="1">
      <alignment horizontal="right" vertical="center" shrinkToFit="1"/>
    </xf>
    <xf numFmtId="49" fontId="73" fillId="28" borderId="32" xfId="283" applyNumberFormat="1" applyFont="1" applyFill="1" applyBorder="1" applyAlignment="1">
      <alignment horizontal="center" vertical="center" wrapText="1"/>
    </xf>
    <xf numFmtId="0" fontId="54" fillId="29" borderId="5" xfId="0" applyFont="1" applyFill="1" applyBorder="1" applyAlignment="1">
      <alignment horizontal="center" vertical="center"/>
    </xf>
    <xf numFmtId="0" fontId="102" fillId="0" borderId="0" xfId="0" applyFont="1"/>
    <xf numFmtId="0" fontId="61" fillId="0" borderId="5" xfId="0" applyFont="1" applyBorder="1" applyAlignment="1">
      <alignment horizontal="justify" vertical="center" wrapText="1"/>
    </xf>
    <xf numFmtId="0" fontId="81" fillId="0" borderId="5" xfId="0" applyFont="1" applyBorder="1" applyAlignment="1">
      <alignment horizontal="center" vertical="center"/>
    </xf>
    <xf numFmtId="0" fontId="103" fillId="0" borderId="0" xfId="0" applyFont="1" applyAlignment="1">
      <alignment horizontal="justify" vertical="center"/>
    </xf>
    <xf numFmtId="0" fontId="104" fillId="0" borderId="0" xfId="0" applyFont="1" applyAlignment="1">
      <alignment horizontal="justify" vertical="center"/>
    </xf>
    <xf numFmtId="0" fontId="61" fillId="0" borderId="53" xfId="0" applyFont="1" applyBorder="1" applyAlignment="1">
      <alignment horizontal="justify" vertical="center" wrapText="1"/>
    </xf>
    <xf numFmtId="0" fontId="81" fillId="0" borderId="53" xfId="0" applyFont="1" applyBorder="1" applyAlignment="1">
      <alignment horizontal="center" vertical="center"/>
    </xf>
    <xf numFmtId="0" fontId="4" fillId="0" borderId="53" xfId="0" applyFont="1" applyBorder="1" applyAlignment="1">
      <alignment horizontal="justify" vertical="center" wrapText="1"/>
    </xf>
    <xf numFmtId="0" fontId="61" fillId="0" borderId="5" xfId="0" applyFont="1" applyBorder="1" applyAlignment="1">
      <alignment horizontal="left" vertical="center" wrapText="1"/>
    </xf>
    <xf numFmtId="0" fontId="61" fillId="0" borderId="0" xfId="0" applyFont="1" applyAlignment="1">
      <alignment vertical="center"/>
    </xf>
    <xf numFmtId="0" fontId="5" fillId="0" borderId="5" xfId="0" applyFont="1" applyBorder="1" applyAlignment="1">
      <alignment horizontal="justify" vertical="center" wrapText="1"/>
    </xf>
    <xf numFmtId="0" fontId="53" fillId="29" borderId="53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left" vertical="center" wrapText="1"/>
    </xf>
    <xf numFmtId="0" fontId="107" fillId="25" borderId="0" xfId="0" applyFont="1" applyFill="1" applyAlignment="1">
      <alignment vertical="center"/>
    </xf>
    <xf numFmtId="0" fontId="169" fillId="0" borderId="5" xfId="0" applyFont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170" fillId="0" borderId="5" xfId="0" applyFont="1" applyBorder="1" applyAlignment="1">
      <alignment horizontal="justify" vertical="center"/>
    </xf>
    <xf numFmtId="0" fontId="170" fillId="0" borderId="5" xfId="0" applyFont="1" applyBorder="1" applyAlignment="1">
      <alignment horizontal="justify" vertical="center" wrapText="1"/>
    </xf>
    <xf numFmtId="0" fontId="62" fillId="0" borderId="5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99" fillId="0" borderId="5" xfId="0" applyFont="1" applyBorder="1" applyAlignment="1">
      <alignment horizontal="justify" vertical="center" wrapText="1"/>
    </xf>
    <xf numFmtId="0" fontId="100" fillId="38" borderId="5" xfId="0" applyFont="1" applyFill="1" applyBorder="1" applyAlignment="1">
      <alignment horizontal="left" vertical="center"/>
    </xf>
    <xf numFmtId="0" fontId="170" fillId="28" borderId="5" xfId="0" applyFont="1" applyFill="1" applyBorder="1" applyAlignment="1">
      <alignment horizontal="left" vertical="center" wrapText="1"/>
    </xf>
    <xf numFmtId="0" fontId="170" fillId="0" borderId="5" xfId="0" applyFont="1" applyBorder="1" applyAlignment="1">
      <alignment horizontal="left" vertical="center" wrapText="1"/>
    </xf>
    <xf numFmtId="0" fontId="100" fillId="38" borderId="5" xfId="0" applyFont="1" applyFill="1" applyBorder="1" applyAlignment="1">
      <alignment horizontal="left" vertical="center" wrapText="1"/>
    </xf>
    <xf numFmtId="0" fontId="62" fillId="38" borderId="5" xfId="0" applyFont="1" applyFill="1" applyBorder="1" applyAlignment="1">
      <alignment horizontal="center" vertical="center"/>
    </xf>
    <xf numFmtId="0" fontId="73" fillId="28" borderId="32" xfId="283" applyFont="1" applyFill="1" applyBorder="1" applyAlignment="1">
      <alignment horizontal="center" vertical="center" wrapText="1"/>
    </xf>
    <xf numFmtId="0" fontId="73" fillId="28" borderId="27" xfId="3032" applyFont="1" applyFill="1" applyBorder="1" applyAlignment="1">
      <alignment horizontal="center" vertical="distributed" wrapText="1"/>
    </xf>
    <xf numFmtId="1" fontId="3" fillId="0" borderId="28" xfId="3032" applyNumberFormat="1" applyFont="1" applyBorder="1" applyAlignment="1">
      <alignment horizontal="center" vertical="center" wrapText="1"/>
    </xf>
    <xf numFmtId="2" fontId="3" fillId="0" borderId="26" xfId="3032" applyNumberFormat="1" applyFont="1" applyBorder="1" applyAlignment="1">
      <alignment horizontal="center" vertical="center" wrapText="1"/>
    </xf>
    <xf numFmtId="43" fontId="3" fillId="0" borderId="28" xfId="1" applyFont="1" applyFill="1" applyBorder="1" applyAlignment="1">
      <alignment horizontal="center" vertical="distributed" wrapText="1"/>
    </xf>
    <xf numFmtId="174" fontId="3" fillId="0" borderId="27" xfId="1" applyNumberFormat="1" applyFont="1" applyFill="1" applyBorder="1" applyAlignment="1">
      <alignment horizontal="center" vertical="distributed" wrapText="1"/>
    </xf>
    <xf numFmtId="0" fontId="61" fillId="0" borderId="5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 wrapText="1"/>
    </xf>
    <xf numFmtId="0" fontId="174" fillId="0" borderId="0" xfId="0" applyFont="1"/>
    <xf numFmtId="49" fontId="3" fillId="28" borderId="90" xfId="283" applyNumberFormat="1" applyFont="1" applyFill="1" applyBorder="1" applyAlignment="1">
      <alignment horizontal="center" vertical="center" wrapText="1"/>
    </xf>
    <xf numFmtId="0" fontId="73" fillId="28" borderId="90" xfId="283" applyFont="1" applyFill="1" applyBorder="1" applyAlignment="1">
      <alignment horizontal="center" vertical="center" wrapText="1"/>
    </xf>
    <xf numFmtId="0" fontId="53" fillId="29" borderId="5" xfId="0" applyFont="1" applyFill="1" applyBorder="1" applyAlignment="1">
      <alignment horizontal="center" vertical="center"/>
    </xf>
    <xf numFmtId="0" fontId="103" fillId="0" borderId="5" xfId="0" applyFont="1" applyBorder="1" applyAlignment="1">
      <alignment horizontal="justify" vertical="center"/>
    </xf>
    <xf numFmtId="0" fontId="54" fillId="0" borderId="5" xfId="0" applyFont="1" applyBorder="1" applyAlignment="1">
      <alignment horizontal="left" vertical="center"/>
    </xf>
    <xf numFmtId="0" fontId="28" fillId="31" borderId="71" xfId="0" applyFont="1" applyFill="1" applyBorder="1" applyAlignment="1">
      <alignment vertical="center"/>
    </xf>
    <xf numFmtId="0" fontId="28" fillId="31" borderId="125" xfId="0" applyFont="1" applyFill="1" applyBorder="1" applyAlignment="1">
      <alignment vertical="center"/>
    </xf>
    <xf numFmtId="0" fontId="28" fillId="0" borderId="87" xfId="0" applyFont="1" applyBorder="1" applyAlignment="1">
      <alignment horizontal="left" vertical="center"/>
    </xf>
    <xf numFmtId="15" fontId="28" fillId="0" borderId="129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8" fillId="31" borderId="104" xfId="0" applyFont="1" applyFill="1" applyBorder="1" applyAlignment="1">
      <alignment vertical="center"/>
    </xf>
    <xf numFmtId="0" fontId="28" fillId="31" borderId="0" xfId="0" applyFont="1" applyFill="1" applyAlignment="1">
      <alignment vertical="center"/>
    </xf>
    <xf numFmtId="214" fontId="28" fillId="0" borderId="130" xfId="0" applyNumberFormat="1" applyFont="1" applyBorder="1" applyAlignment="1">
      <alignment horizontal="center" vertical="center"/>
    </xf>
    <xf numFmtId="0" fontId="28" fillId="31" borderId="88" xfId="0" applyFont="1" applyFill="1" applyBorder="1" applyAlignment="1">
      <alignment vertical="center"/>
    </xf>
    <xf numFmtId="0" fontId="28" fillId="31" borderId="131" xfId="0" applyFont="1" applyFill="1" applyBorder="1" applyAlignment="1">
      <alignment vertical="center"/>
    </xf>
    <xf numFmtId="49" fontId="28" fillId="28" borderId="134" xfId="0" applyNumberFormat="1" applyFont="1" applyFill="1" applyBorder="1" applyAlignment="1">
      <alignment horizontal="center" vertical="center"/>
    </xf>
    <xf numFmtId="0" fontId="177" fillId="28" borderId="112" xfId="5874" applyFont="1" applyFill="1" applyBorder="1" applyAlignment="1">
      <alignment horizontal="right" vertical="center"/>
    </xf>
    <xf numFmtId="215" fontId="177" fillId="28" borderId="136" xfId="5874" applyNumberFormat="1" applyFont="1" applyFill="1" applyBorder="1" applyAlignment="1">
      <alignment horizontal="center" vertical="center"/>
    </xf>
    <xf numFmtId="14" fontId="67" fillId="28" borderId="113" xfId="3032" applyNumberFormat="1" applyFont="1" applyFill="1" applyBorder="1" applyAlignment="1">
      <alignment horizontal="center" vertical="center"/>
    </xf>
    <xf numFmtId="215" fontId="177" fillId="28" borderId="53" xfId="5874" applyNumberFormat="1" applyFont="1" applyFill="1" applyBorder="1" applyAlignment="1">
      <alignment horizontal="center" vertical="center"/>
    </xf>
    <xf numFmtId="215" fontId="106" fillId="28" borderId="137" xfId="5" applyNumberFormat="1" applyFont="1" applyFill="1" applyBorder="1" applyAlignment="1">
      <alignment horizontal="center" vertical="center"/>
    </xf>
    <xf numFmtId="0" fontId="28" fillId="31" borderId="14" xfId="0" applyFont="1" applyFill="1" applyBorder="1" applyAlignment="1">
      <alignment horizontal="left" vertical="center"/>
    </xf>
    <xf numFmtId="214" fontId="28" fillId="0" borderId="138" xfId="0" applyNumberFormat="1" applyFont="1" applyBorder="1" applyAlignment="1">
      <alignment horizontal="center" vertical="center"/>
    </xf>
    <xf numFmtId="0" fontId="28" fillId="0" borderId="73" xfId="0" applyFont="1" applyBorder="1" applyAlignment="1">
      <alignment vertical="center"/>
    </xf>
    <xf numFmtId="0" fontId="28" fillId="0" borderId="135" xfId="0" applyFont="1" applyBorder="1" applyAlignment="1">
      <alignment vertical="center"/>
    </xf>
    <xf numFmtId="49" fontId="180" fillId="28" borderId="133" xfId="5874" applyNumberFormat="1" applyFont="1" applyFill="1" applyBorder="1" applyAlignment="1">
      <alignment vertical="center"/>
    </xf>
    <xf numFmtId="49" fontId="180" fillId="28" borderId="139" xfId="5874" applyNumberFormat="1" applyFont="1" applyFill="1" applyBorder="1" applyAlignment="1">
      <alignment vertical="center"/>
    </xf>
    <xf numFmtId="0" fontId="66" fillId="28" borderId="73" xfId="5874" applyFont="1" applyFill="1" applyBorder="1" applyAlignment="1">
      <alignment vertical="center"/>
    </xf>
    <xf numFmtId="0" fontId="66" fillId="28" borderId="133" xfId="5874" applyFont="1" applyFill="1" applyBorder="1" applyAlignment="1">
      <alignment vertical="center"/>
    </xf>
    <xf numFmtId="0" fontId="77" fillId="28" borderId="45" xfId="0" applyFont="1" applyFill="1" applyBorder="1" applyAlignment="1">
      <alignment horizontal="center"/>
    </xf>
    <xf numFmtId="0" fontId="106" fillId="0" borderId="0" xfId="5875"/>
    <xf numFmtId="0" fontId="177" fillId="51" borderId="114" xfId="5875" applyFont="1" applyFill="1" applyBorder="1" applyAlignment="1">
      <alignment horizontal="center"/>
    </xf>
    <xf numFmtId="0" fontId="177" fillId="51" borderId="141" xfId="5875" applyFont="1" applyFill="1" applyBorder="1" applyAlignment="1">
      <alignment horizontal="center"/>
    </xf>
    <xf numFmtId="14" fontId="106" fillId="0" borderId="112" xfId="5875" applyNumberFormat="1" applyBorder="1" applyAlignment="1">
      <alignment horizontal="center"/>
    </xf>
    <xf numFmtId="0" fontId="106" fillId="0" borderId="5" xfId="5875" applyBorder="1" applyAlignment="1">
      <alignment horizontal="center"/>
    </xf>
    <xf numFmtId="216" fontId="0" fillId="0" borderId="5" xfId="5876" applyFont="1" applyBorder="1" applyAlignment="1">
      <alignment horizontal="center"/>
    </xf>
    <xf numFmtId="14" fontId="106" fillId="0" borderId="5" xfId="5875" applyNumberFormat="1" applyBorder="1" applyAlignment="1">
      <alignment horizontal="center"/>
    </xf>
    <xf numFmtId="14" fontId="106" fillId="36" borderId="112" xfId="5875" applyNumberFormat="1" applyFill="1" applyBorder="1" applyAlignment="1">
      <alignment horizontal="center"/>
    </xf>
    <xf numFmtId="0" fontId="106" fillId="36" borderId="5" xfId="5875" applyFill="1" applyBorder="1" applyAlignment="1">
      <alignment horizontal="center"/>
    </xf>
    <xf numFmtId="216" fontId="0" fillId="36" borderId="5" xfId="5876" applyFont="1" applyFill="1" applyBorder="1" applyAlignment="1">
      <alignment horizontal="center"/>
    </xf>
    <xf numFmtId="14" fontId="106" fillId="36" borderId="5" xfId="5875" applyNumberFormat="1" applyFill="1" applyBorder="1" applyAlignment="1">
      <alignment horizontal="center"/>
    </xf>
    <xf numFmtId="0" fontId="163" fillId="26" borderId="133" xfId="3044" applyFont="1" applyFill="1" applyBorder="1" applyAlignment="1">
      <alignment horizontal="center" vertical="center" wrapText="1"/>
    </xf>
    <xf numFmtId="216" fontId="182" fillId="26" borderId="117" xfId="5875" applyNumberFormat="1" applyFont="1" applyFill="1" applyBorder="1" applyAlignment="1">
      <alignment vertical="center"/>
    </xf>
    <xf numFmtId="0" fontId="163" fillId="26" borderId="139" xfId="3044" applyFont="1" applyFill="1" applyBorder="1" applyAlignment="1">
      <alignment horizontal="center" vertical="center" wrapText="1"/>
    </xf>
    <xf numFmtId="0" fontId="183" fillId="0" borderId="0" xfId="5875" applyFont="1"/>
    <xf numFmtId="49" fontId="73" fillId="0" borderId="27" xfId="283" applyNumberFormat="1" applyFont="1" applyBorder="1" applyAlignment="1">
      <alignment horizontal="center" vertical="center" wrapText="1"/>
    </xf>
    <xf numFmtId="4" fontId="3" fillId="28" borderId="90" xfId="3032" applyNumberFormat="1" applyFont="1" applyFill="1" applyBorder="1" applyAlignment="1">
      <alignment horizontal="center" vertical="distributed" wrapText="1"/>
    </xf>
    <xf numFmtId="0" fontId="3" fillId="28" borderId="90" xfId="3032" applyFont="1" applyFill="1" applyBorder="1" applyAlignment="1">
      <alignment horizontal="center" vertical="center" wrapText="1"/>
    </xf>
    <xf numFmtId="174" fontId="3" fillId="0" borderId="32" xfId="1" applyNumberFormat="1" applyFont="1" applyFill="1" applyBorder="1" applyAlignment="1">
      <alignment horizontal="center" vertical="distributed" wrapText="1"/>
    </xf>
    <xf numFmtId="1" fontId="3" fillId="0" borderId="120" xfId="3032" applyNumberFormat="1" applyFont="1" applyBorder="1" applyAlignment="1">
      <alignment horizontal="right" vertical="center" wrapText="1"/>
    </xf>
    <xf numFmtId="1" fontId="3" fillId="0" borderId="121" xfId="3032" applyNumberFormat="1" applyFont="1" applyBorder="1" applyAlignment="1">
      <alignment horizontal="center" vertical="center" wrapText="1"/>
    </xf>
    <xf numFmtId="2" fontId="3" fillId="0" borderId="122" xfId="3032" applyNumberFormat="1" applyFont="1" applyBorder="1" applyAlignment="1">
      <alignment horizontal="left" vertical="center" wrapText="1"/>
    </xf>
    <xf numFmtId="169" fontId="3" fillId="0" borderId="32" xfId="3032" applyNumberFormat="1" applyFont="1" applyBorder="1" applyAlignment="1">
      <alignment horizontal="center" vertical="center" wrapText="1"/>
    </xf>
    <xf numFmtId="191" fontId="3" fillId="28" borderId="90" xfId="3032" applyNumberFormat="1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left" vertical="distributed"/>
    </xf>
    <xf numFmtId="0" fontId="3" fillId="0" borderId="27" xfId="3032" applyFont="1" applyBorder="1" applyAlignment="1">
      <alignment horizontal="left" vertical="distributed" wrapText="1"/>
    </xf>
    <xf numFmtId="43" fontId="3" fillId="0" borderId="118" xfId="1" applyFont="1" applyFill="1" applyBorder="1" applyAlignment="1">
      <alignment horizontal="center" vertical="distributed" wrapText="1"/>
    </xf>
    <xf numFmtId="0" fontId="4" fillId="29" borderId="148" xfId="439" applyFill="1" applyBorder="1"/>
    <xf numFmtId="2" fontId="66" fillId="25" borderId="144" xfId="439" applyNumberFormat="1" applyFont="1" applyFill="1" applyBorder="1" applyAlignment="1" applyProtection="1">
      <alignment vertical="center"/>
      <protection hidden="1"/>
    </xf>
    <xf numFmtId="196" fontId="68" fillId="37" borderId="143" xfId="439" applyNumberFormat="1" applyFont="1" applyFill="1" applyBorder="1" applyAlignment="1" applyProtection="1">
      <alignment horizontal="center" vertical="center" wrapText="1"/>
      <protection hidden="1"/>
    </xf>
    <xf numFmtId="191" fontId="3" fillId="28" borderId="121" xfId="3032" applyNumberFormat="1" applyFont="1" applyFill="1" applyBorder="1" applyAlignment="1">
      <alignment horizontal="center" vertical="center" wrapText="1"/>
    </xf>
    <xf numFmtId="0" fontId="73" fillId="28" borderId="28" xfId="3032" applyFont="1" applyFill="1" applyBorder="1" applyAlignment="1">
      <alignment horizontal="center" vertical="center" wrapText="1"/>
    </xf>
    <xf numFmtId="191" fontId="73" fillId="28" borderId="30" xfId="3032" applyNumberFormat="1" applyFont="1" applyFill="1" applyBorder="1" applyAlignment="1">
      <alignment horizontal="center" vertical="center" wrapText="1"/>
    </xf>
    <xf numFmtId="0" fontId="3" fillId="0" borderId="121" xfId="283" applyFont="1" applyBorder="1" applyAlignment="1">
      <alignment horizontal="left" vertical="center" wrapText="1"/>
    </xf>
    <xf numFmtId="0" fontId="3" fillId="28" borderId="120" xfId="3032" applyFont="1" applyFill="1" applyBorder="1" applyAlignment="1">
      <alignment horizontal="center" vertical="center" wrapText="1"/>
    </xf>
    <xf numFmtId="43" fontId="3" fillId="28" borderId="90" xfId="1" applyFont="1" applyFill="1" applyBorder="1" applyAlignment="1">
      <alignment horizontal="center" vertical="center" wrapText="1"/>
    </xf>
    <xf numFmtId="0" fontId="3" fillId="28" borderId="90" xfId="3032" applyFont="1" applyFill="1" applyBorder="1" applyAlignment="1">
      <alignment horizontal="right" vertical="center" wrapText="1"/>
    </xf>
    <xf numFmtId="43" fontId="3" fillId="28" borderId="0" xfId="1" applyFont="1" applyFill="1" applyBorder="1" applyAlignment="1">
      <alignment horizontal="center" vertical="center" wrapText="1"/>
    </xf>
    <xf numFmtId="0" fontId="3" fillId="28" borderId="121" xfId="283" applyFont="1" applyFill="1" applyBorder="1" applyAlignment="1">
      <alignment horizontal="left" vertical="center" wrapText="1"/>
    </xf>
    <xf numFmtId="0" fontId="73" fillId="28" borderId="30" xfId="283" applyFont="1" applyFill="1" applyBorder="1" applyAlignment="1">
      <alignment horizontal="left" vertical="center" wrapText="1"/>
    </xf>
    <xf numFmtId="174" fontId="3" fillId="28" borderId="145" xfId="1" applyNumberFormat="1" applyFont="1" applyFill="1" applyBorder="1" applyAlignment="1">
      <alignment horizontal="center" vertical="distributed" wrapText="1"/>
    </xf>
    <xf numFmtId="174" fontId="3" fillId="28" borderId="93" xfId="1" applyNumberFormat="1" applyFont="1" applyFill="1" applyBorder="1" applyAlignment="1">
      <alignment horizontal="center" vertical="distributed" wrapText="1"/>
    </xf>
    <xf numFmtId="169" fontId="3" fillId="28" borderId="122" xfId="3032" applyNumberFormat="1" applyFont="1" applyFill="1" applyBorder="1" applyAlignment="1">
      <alignment horizontal="center" vertical="distributed" wrapText="1"/>
    </xf>
    <xf numFmtId="0" fontId="47" fillId="0" borderId="54" xfId="0" applyFont="1" applyBorder="1" applyAlignment="1">
      <alignment vertical="center"/>
    </xf>
    <xf numFmtId="0" fontId="48" fillId="28" borderId="5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186" fillId="0" borderId="5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2" fontId="73" fillId="0" borderId="142" xfId="0" applyNumberFormat="1" applyFont="1" applyBorder="1" applyAlignment="1">
      <alignment horizontal="center" vertical="center"/>
    </xf>
    <xf numFmtId="2" fontId="73" fillId="0" borderId="144" xfId="0" applyNumberFormat="1" applyFont="1" applyBorder="1" applyAlignment="1">
      <alignment horizontal="center" vertical="center"/>
    </xf>
    <xf numFmtId="2" fontId="73" fillId="0" borderId="143" xfId="0" applyNumberFormat="1" applyFont="1" applyBorder="1" applyAlignment="1">
      <alignment horizontal="center" vertical="center"/>
    </xf>
    <xf numFmtId="0" fontId="85" fillId="28" borderId="142" xfId="0" applyFont="1" applyFill="1" applyBorder="1" applyAlignment="1">
      <alignment horizontal="left" vertical="center"/>
    </xf>
    <xf numFmtId="0" fontId="85" fillId="28" borderId="144" xfId="0" applyFont="1" applyFill="1" applyBorder="1" applyAlignment="1">
      <alignment horizontal="left" vertical="center"/>
    </xf>
    <xf numFmtId="0" fontId="85" fillId="28" borderId="143" xfId="0" applyFont="1" applyFill="1" applyBorder="1" applyAlignment="1">
      <alignment horizontal="left" vertical="center"/>
    </xf>
    <xf numFmtId="4" fontId="73" fillId="0" borderId="142" xfId="1" applyNumberFormat="1" applyFont="1" applyFill="1" applyBorder="1" applyAlignment="1">
      <alignment horizontal="center" vertical="center"/>
    </xf>
    <xf numFmtId="4" fontId="73" fillId="0" borderId="144" xfId="1" applyNumberFormat="1" applyFont="1" applyFill="1" applyBorder="1" applyAlignment="1">
      <alignment horizontal="center" vertical="center"/>
    </xf>
    <xf numFmtId="4" fontId="73" fillId="0" borderId="143" xfId="1" applyNumberFormat="1" applyFont="1" applyFill="1" applyBorder="1" applyAlignment="1">
      <alignment horizontal="center" vertical="center"/>
    </xf>
    <xf numFmtId="4" fontId="3" fillId="28" borderId="32" xfId="3032" applyNumberFormat="1" applyFont="1" applyFill="1" applyBorder="1" applyAlignment="1">
      <alignment horizontal="left" vertical="distributed" wrapText="1"/>
    </xf>
    <xf numFmtId="174" fontId="3" fillId="0" borderId="145" xfId="1" applyNumberFormat="1" applyFont="1" applyFill="1" applyBorder="1" applyAlignment="1">
      <alignment horizontal="center" vertical="distributed" wrapText="1"/>
    </xf>
    <xf numFmtId="174" fontId="3" fillId="28" borderId="118" xfId="1" applyNumberFormat="1" applyFont="1" applyFill="1" applyBorder="1" applyAlignment="1">
      <alignment horizontal="center" vertical="distributed" wrapText="1"/>
    </xf>
    <xf numFmtId="2" fontId="66" fillId="25" borderId="145" xfId="439" applyNumberFormat="1" applyFont="1" applyFill="1" applyBorder="1" applyAlignment="1" applyProtection="1">
      <alignment horizontal="center" vertical="center"/>
      <protection hidden="1"/>
    </xf>
    <xf numFmtId="2" fontId="66" fillId="25" borderId="142" xfId="439" applyNumberFormat="1" applyFont="1" applyFill="1" applyBorder="1" applyAlignment="1" applyProtection="1">
      <alignment vertical="center"/>
      <protection hidden="1"/>
    </xf>
    <xf numFmtId="2" fontId="66" fillId="25" borderId="143" xfId="439" applyNumberFormat="1" applyFont="1" applyFill="1" applyBorder="1" applyAlignment="1" applyProtection="1">
      <alignment vertical="center"/>
      <protection hidden="1"/>
    </xf>
    <xf numFmtId="2" fontId="66" fillId="37" borderId="145" xfId="439" applyNumberFormat="1" applyFont="1" applyFill="1" applyBorder="1" applyAlignment="1" applyProtection="1">
      <alignment horizontal="center" vertical="center"/>
      <protection hidden="1"/>
    </xf>
    <xf numFmtId="2" fontId="66" fillId="37" borderId="142" xfId="439" applyNumberFormat="1" applyFont="1" applyFill="1" applyBorder="1" applyAlignment="1" applyProtection="1">
      <alignment horizontal="center" vertical="center"/>
      <protection hidden="1"/>
    </xf>
    <xf numFmtId="196" fontId="68" fillId="37" borderId="144" xfId="439" applyNumberFormat="1" applyFont="1" applyFill="1" applyBorder="1" applyAlignment="1" applyProtection="1">
      <alignment horizontal="center" vertical="center" wrapText="1"/>
      <protection hidden="1"/>
    </xf>
    <xf numFmtId="1" fontId="3" fillId="28" borderId="28" xfId="3032" applyNumberFormat="1" applyFont="1" applyFill="1" applyBorder="1" applyAlignment="1">
      <alignment horizontal="center" vertical="center" wrapText="1"/>
    </xf>
    <xf numFmtId="2" fontId="3" fillId="28" borderId="26" xfId="3032" applyNumberFormat="1" applyFont="1" applyFill="1" applyBorder="1" applyAlignment="1">
      <alignment horizontal="center" vertical="center" wrapText="1"/>
    </xf>
    <xf numFmtId="174" fontId="3" fillId="28" borderId="30" xfId="1" applyNumberFormat="1" applyFont="1" applyFill="1" applyBorder="1" applyAlignment="1">
      <alignment horizontal="center" vertical="center" wrapText="1"/>
    </xf>
    <xf numFmtId="191" fontId="3" fillId="28" borderId="30" xfId="3032" applyNumberFormat="1" applyFont="1" applyFill="1" applyBorder="1" applyAlignment="1">
      <alignment horizontal="center" vertical="center" wrapText="1"/>
    </xf>
    <xf numFmtId="43" fontId="73" fillId="28" borderId="30" xfId="1" applyFont="1" applyFill="1" applyBorder="1" applyAlignment="1">
      <alignment horizontal="center" vertical="center" wrapText="1"/>
    </xf>
    <xf numFmtId="0" fontId="73" fillId="28" borderId="27" xfId="3032" applyFont="1" applyFill="1" applyBorder="1" applyAlignment="1">
      <alignment horizontal="right" vertical="center" wrapText="1"/>
    </xf>
    <xf numFmtId="4" fontId="77" fillId="28" borderId="39" xfId="0" applyNumberFormat="1" applyFont="1" applyFill="1" applyBorder="1" applyAlignment="1">
      <alignment horizontal="center"/>
    </xf>
    <xf numFmtId="1" fontId="73" fillId="0" borderId="28" xfId="3032" applyNumberFormat="1" applyFont="1" applyBorder="1" applyAlignment="1">
      <alignment horizontal="right" vertical="center" wrapText="1"/>
    </xf>
    <xf numFmtId="1" fontId="73" fillId="0" borderId="30" xfId="3032" applyNumberFormat="1" applyFont="1" applyBorder="1" applyAlignment="1">
      <alignment horizontal="center" vertical="center" wrapText="1"/>
    </xf>
    <xf numFmtId="2" fontId="73" fillId="0" borderId="26" xfId="3032" applyNumberFormat="1" applyFont="1" applyBorder="1" applyAlignment="1">
      <alignment horizontal="left" vertical="center" wrapText="1"/>
    </xf>
    <xf numFmtId="43" fontId="73" fillId="0" borderId="28" xfId="1" applyFont="1" applyFill="1" applyBorder="1" applyAlignment="1">
      <alignment horizontal="center" vertical="center" wrapText="1"/>
    </xf>
    <xf numFmtId="43" fontId="73" fillId="0" borderId="27" xfId="1" applyFont="1" applyFill="1" applyBorder="1" applyAlignment="1">
      <alignment horizontal="center" vertical="center" wrapText="1"/>
    </xf>
    <xf numFmtId="191" fontId="73" fillId="0" borderId="27" xfId="3032" applyNumberFormat="1" applyFont="1" applyBorder="1" applyAlignment="1">
      <alignment horizontal="center" vertical="center" wrapText="1"/>
    </xf>
    <xf numFmtId="0" fontId="3" fillId="28" borderId="30" xfId="283" applyFont="1" applyFill="1" applyBorder="1" applyAlignment="1">
      <alignment horizontal="left" vertical="center" wrapText="1"/>
    </xf>
    <xf numFmtId="0" fontId="3" fillId="28" borderId="28" xfId="3032" applyFont="1" applyFill="1" applyBorder="1" applyAlignment="1">
      <alignment horizontal="center" vertical="center" wrapText="1"/>
    </xf>
    <xf numFmtId="43" fontId="3" fillId="28" borderId="30" xfId="1" applyFont="1" applyFill="1" applyBorder="1" applyAlignment="1">
      <alignment horizontal="center" vertical="center" wrapText="1"/>
    </xf>
    <xf numFmtId="43" fontId="3" fillId="28" borderId="26" xfId="1" applyFont="1" applyFill="1" applyBorder="1" applyAlignment="1">
      <alignment horizontal="center" vertical="distributed" wrapText="1"/>
    </xf>
    <xf numFmtId="0" fontId="73" fillId="0" borderId="93" xfId="3032" applyFont="1" applyBorder="1" applyAlignment="1">
      <alignment wrapText="1"/>
    </xf>
    <xf numFmtId="191" fontId="73" fillId="28" borderId="32" xfId="3032" applyNumberFormat="1" applyFont="1" applyFill="1" applyBorder="1" applyAlignment="1">
      <alignment horizontal="center" vertical="center" wrapText="1"/>
    </xf>
    <xf numFmtId="9" fontId="3" fillId="28" borderId="22" xfId="1" applyNumberFormat="1" applyFont="1" applyFill="1" applyBorder="1" applyAlignment="1">
      <alignment horizontal="center" vertical="distributed" wrapText="1"/>
    </xf>
    <xf numFmtId="43" fontId="65" fillId="28" borderId="0" xfId="439" applyNumberFormat="1" applyFont="1" applyFill="1"/>
    <xf numFmtId="0" fontId="56" fillId="52" borderId="5" xfId="0" applyFont="1" applyFill="1" applyBorder="1" applyAlignment="1">
      <alignment horizontal="center" vertical="center"/>
    </xf>
    <xf numFmtId="43" fontId="3" fillId="28" borderId="24" xfId="5898" applyFont="1" applyFill="1" applyBorder="1" applyAlignment="1">
      <alignment horizontal="center" vertical="center" wrapText="1"/>
    </xf>
    <xf numFmtId="43" fontId="3" fillId="28" borderId="23" xfId="5898" applyFont="1" applyFill="1" applyBorder="1" applyAlignment="1">
      <alignment horizontal="center" vertical="center" wrapText="1"/>
    </xf>
    <xf numFmtId="43" fontId="3" fillId="28" borderId="22" xfId="5898" applyFont="1" applyFill="1" applyBorder="1" applyAlignment="1">
      <alignment horizontal="center" vertical="center" wrapText="1"/>
    </xf>
    <xf numFmtId="43" fontId="3" fillId="28" borderId="25" xfId="5898" applyFont="1" applyFill="1" applyBorder="1" applyAlignment="1">
      <alignment horizontal="center" vertical="center" wrapText="1"/>
    </xf>
    <xf numFmtId="43" fontId="3" fillId="28" borderId="24" xfId="5898" applyFont="1" applyFill="1" applyBorder="1" applyAlignment="1">
      <alignment horizontal="center" vertical="distributed" wrapText="1"/>
    </xf>
    <xf numFmtId="43" fontId="3" fillId="28" borderId="22" xfId="5898" applyFont="1" applyFill="1" applyBorder="1" applyAlignment="1">
      <alignment horizontal="center" vertical="distributed" wrapText="1"/>
    </xf>
    <xf numFmtId="174" fontId="3" fillId="28" borderId="145" xfId="5898" applyNumberFormat="1" applyFont="1" applyFill="1" applyBorder="1" applyAlignment="1">
      <alignment horizontal="center" vertical="distributed" wrapText="1"/>
    </xf>
    <xf numFmtId="43" fontId="0" fillId="0" borderId="0" xfId="0" applyNumberFormat="1"/>
    <xf numFmtId="43" fontId="187" fillId="0" borderId="111" xfId="1" applyFont="1" applyFill="1" applyBorder="1" applyAlignment="1">
      <alignment horizontal="right" vertical="center" wrapText="1"/>
    </xf>
    <xf numFmtId="0" fontId="73" fillId="0" borderId="30" xfId="283" applyFont="1" applyBorder="1" applyAlignment="1">
      <alignment horizontal="left" vertical="center" wrapText="1"/>
    </xf>
    <xf numFmtId="2" fontId="73" fillId="0" borderId="30" xfId="3032" applyNumberFormat="1" applyFont="1" applyBorder="1" applyAlignment="1">
      <alignment horizontal="left" vertical="center" wrapText="1"/>
    </xf>
    <xf numFmtId="169" fontId="73" fillId="0" borderId="28" xfId="3032" applyNumberFormat="1" applyFont="1" applyBorder="1" applyAlignment="1">
      <alignment horizontal="center" vertical="center" wrapText="1"/>
    </xf>
    <xf numFmtId="43" fontId="73" fillId="0" borderId="28" xfId="5898" applyFont="1" applyFill="1" applyBorder="1" applyAlignment="1">
      <alignment horizontal="center" vertical="center" wrapText="1"/>
    </xf>
    <xf numFmtId="174" fontId="73" fillId="0" borderId="27" xfId="5898" applyNumberFormat="1" applyFont="1" applyFill="1" applyBorder="1" applyAlignment="1">
      <alignment horizontal="center" vertical="center" wrapText="1"/>
    </xf>
    <xf numFmtId="43" fontId="73" fillId="0" borderId="30" xfId="5898" applyFont="1" applyFill="1" applyBorder="1" applyAlignment="1">
      <alignment horizontal="center" vertical="center" wrapText="1"/>
    </xf>
    <xf numFmtId="174" fontId="73" fillId="0" borderId="28" xfId="5898" applyNumberFormat="1" applyFont="1" applyFill="1" applyBorder="1" applyAlignment="1">
      <alignment horizontal="center" vertical="distributed" wrapText="1"/>
    </xf>
    <xf numFmtId="43" fontId="73" fillId="0" borderId="27" xfId="5898" applyFont="1" applyFill="1" applyBorder="1" applyAlignment="1">
      <alignment horizontal="center" vertical="distributed" wrapText="1"/>
    </xf>
    <xf numFmtId="174" fontId="73" fillId="0" borderId="27" xfId="5898" applyNumberFormat="1" applyFont="1" applyFill="1" applyBorder="1" applyAlignment="1">
      <alignment horizontal="center" vertical="distributed" wrapText="1"/>
    </xf>
    <xf numFmtId="174" fontId="73" fillId="28" borderId="26" xfId="5898" applyNumberFormat="1" applyFont="1" applyFill="1" applyBorder="1" applyAlignment="1">
      <alignment horizontal="center" vertical="distributed" wrapText="1"/>
    </xf>
    <xf numFmtId="4" fontId="73" fillId="28" borderId="27" xfId="3032" applyNumberFormat="1" applyFont="1" applyFill="1" applyBorder="1" applyAlignment="1">
      <alignment horizontal="left" vertical="distributed" wrapText="1"/>
    </xf>
    <xf numFmtId="0" fontId="73" fillId="0" borderId="32" xfId="283" applyFont="1" applyBorder="1" applyAlignment="1">
      <alignment horizontal="left" vertical="center" wrapText="1"/>
    </xf>
    <xf numFmtId="1" fontId="73" fillId="0" borderId="120" xfId="3032" applyNumberFormat="1" applyFont="1" applyBorder="1" applyAlignment="1">
      <alignment horizontal="right" vertical="center" wrapText="1"/>
    </xf>
    <xf numFmtId="1" fontId="73" fillId="0" borderId="121" xfId="3032" applyNumberFormat="1" applyFont="1" applyBorder="1" applyAlignment="1">
      <alignment horizontal="center" vertical="center" wrapText="1"/>
    </xf>
    <xf numFmtId="2" fontId="73" fillId="0" borderId="122" xfId="3032" applyNumberFormat="1" applyFont="1" applyBorder="1" applyAlignment="1">
      <alignment horizontal="left" vertical="center" wrapText="1"/>
    </xf>
    <xf numFmtId="169" fontId="73" fillId="0" borderId="32" xfId="3032" applyNumberFormat="1" applyFont="1" applyBorder="1" applyAlignment="1">
      <alignment horizontal="center" vertical="center" wrapText="1"/>
    </xf>
    <xf numFmtId="43" fontId="73" fillId="0" borderId="120" xfId="1" applyFont="1" applyFill="1" applyBorder="1" applyAlignment="1">
      <alignment horizontal="center" vertical="center" wrapText="1"/>
    </xf>
    <xf numFmtId="174" fontId="73" fillId="0" borderId="32" xfId="1" applyNumberFormat="1" applyFont="1" applyFill="1" applyBorder="1" applyAlignment="1">
      <alignment horizontal="center" vertical="center" wrapText="1"/>
    </xf>
    <xf numFmtId="43" fontId="73" fillId="0" borderId="122" xfId="1" applyFont="1" applyFill="1" applyBorder="1" applyAlignment="1">
      <alignment horizontal="center" vertical="center" wrapText="1"/>
    </xf>
    <xf numFmtId="43" fontId="73" fillId="0" borderId="121" xfId="1" applyFont="1" applyFill="1" applyBorder="1" applyAlignment="1">
      <alignment horizontal="center" vertical="center" wrapText="1"/>
    </xf>
    <xf numFmtId="174" fontId="73" fillId="0" borderId="120" xfId="1" applyNumberFormat="1" applyFont="1" applyFill="1" applyBorder="1" applyAlignment="1">
      <alignment horizontal="center" vertical="distributed" wrapText="1"/>
    </xf>
    <xf numFmtId="43" fontId="73" fillId="0" borderId="32" xfId="1" applyFont="1" applyFill="1" applyBorder="1" applyAlignment="1">
      <alignment horizontal="center" vertical="center" wrapText="1"/>
    </xf>
    <xf numFmtId="43" fontId="73" fillId="0" borderId="122" xfId="1" applyFont="1" applyFill="1" applyBorder="1" applyAlignment="1">
      <alignment horizontal="center" vertical="distributed" wrapText="1"/>
    </xf>
    <xf numFmtId="174" fontId="73" fillId="0" borderId="32" xfId="1" applyNumberFormat="1" applyFont="1" applyFill="1" applyBorder="1" applyAlignment="1">
      <alignment horizontal="center" vertical="distributed" wrapText="1"/>
    </xf>
    <xf numFmtId="174" fontId="73" fillId="28" borderId="32" xfId="1" applyNumberFormat="1" applyFont="1" applyFill="1" applyBorder="1" applyAlignment="1">
      <alignment horizontal="center" vertical="distributed" wrapText="1"/>
    </xf>
    <xf numFmtId="4" fontId="73" fillId="28" borderId="32" xfId="3032" applyNumberFormat="1" applyFont="1" applyFill="1" applyBorder="1" applyAlignment="1">
      <alignment horizontal="left" vertical="distributed" wrapText="1"/>
    </xf>
    <xf numFmtId="0" fontId="55" fillId="0" borderId="0" xfId="0" quotePrefix="1" applyFont="1" applyAlignment="1">
      <alignment vertical="center"/>
    </xf>
    <xf numFmtId="169" fontId="4" fillId="0" borderId="0" xfId="3032" applyNumberFormat="1"/>
    <xf numFmtId="169" fontId="73" fillId="28" borderId="22" xfId="3032" applyNumberFormat="1" applyFont="1" applyFill="1" applyBorder="1" applyAlignment="1">
      <alignment horizontal="center" vertical="distributed" wrapText="1"/>
    </xf>
    <xf numFmtId="10" fontId="73" fillId="0" borderId="22" xfId="1" applyNumberFormat="1" applyFont="1" applyFill="1" applyBorder="1" applyAlignment="1">
      <alignment horizontal="center" vertical="distributed" wrapText="1"/>
    </xf>
    <xf numFmtId="0" fontId="77" fillId="0" borderId="39" xfId="0" applyFont="1" applyBorder="1" applyAlignment="1">
      <alignment horizontal="center"/>
    </xf>
    <xf numFmtId="4" fontId="77" fillId="0" borderId="39" xfId="0" applyNumberFormat="1" applyFont="1" applyBorder="1" applyAlignment="1">
      <alignment horizontal="center"/>
    </xf>
    <xf numFmtId="188" fontId="77" fillId="0" borderId="39" xfId="0" applyNumberFormat="1" applyFont="1" applyBorder="1" applyAlignment="1">
      <alignment horizontal="center"/>
    </xf>
    <xf numFmtId="10" fontId="77" fillId="0" borderId="39" xfId="0" applyNumberFormat="1" applyFont="1" applyBorder="1" applyAlignment="1">
      <alignment horizontal="center"/>
    </xf>
    <xf numFmtId="10" fontId="77" fillId="0" borderId="46" xfId="0" applyNumberFormat="1" applyFont="1" applyBorder="1" applyAlignment="1">
      <alignment horizontal="center"/>
    </xf>
    <xf numFmtId="1" fontId="73" fillId="0" borderId="28" xfId="3032" applyNumberFormat="1" applyFont="1" applyBorder="1" applyAlignment="1">
      <alignment horizontal="center" vertical="center" wrapText="1"/>
    </xf>
    <xf numFmtId="43" fontId="73" fillId="0" borderId="30" xfId="1" applyFont="1" applyFill="1" applyBorder="1" applyAlignment="1">
      <alignment horizontal="center" vertical="center" wrapText="1"/>
    </xf>
    <xf numFmtId="43" fontId="73" fillId="0" borderId="28" xfId="1" applyFont="1" applyFill="1" applyBorder="1" applyAlignment="1">
      <alignment horizontal="center" vertical="distributed" wrapText="1"/>
    </xf>
    <xf numFmtId="174" fontId="73" fillId="0" borderId="27" xfId="1" applyNumberFormat="1" applyFont="1" applyFill="1" applyBorder="1" applyAlignment="1">
      <alignment horizontal="center" vertical="distributed" wrapText="1"/>
    </xf>
    <xf numFmtId="169" fontId="73" fillId="0" borderId="26" xfId="3032" applyNumberFormat="1" applyFont="1" applyBorder="1" applyAlignment="1">
      <alignment horizontal="center" vertical="distributed" wrapText="1"/>
    </xf>
    <xf numFmtId="191" fontId="73" fillId="0" borderId="30" xfId="3032" applyNumberFormat="1" applyFont="1" applyBorder="1" applyAlignment="1">
      <alignment horizontal="center" vertical="center" wrapText="1"/>
    </xf>
    <xf numFmtId="14" fontId="73" fillId="28" borderId="23" xfId="283" applyNumberFormat="1" applyFont="1" applyFill="1" applyBorder="1" applyAlignment="1">
      <alignment horizontal="left" vertical="center" wrapText="1"/>
    </xf>
    <xf numFmtId="169" fontId="61" fillId="28" borderId="0" xfId="3032" applyNumberFormat="1" applyFont="1" applyFill="1" applyAlignment="1">
      <alignment horizontal="right"/>
    </xf>
    <xf numFmtId="14" fontId="3" fillId="28" borderId="20" xfId="283" applyNumberFormat="1" applyFont="1" applyFill="1" applyBorder="1" applyAlignment="1">
      <alignment horizontal="left" vertical="center" wrapText="1"/>
    </xf>
    <xf numFmtId="1" fontId="3" fillId="28" borderId="21" xfId="3032" applyNumberFormat="1" applyFont="1" applyFill="1" applyBorder="1" applyAlignment="1">
      <alignment horizontal="right" vertical="center" wrapText="1"/>
    </xf>
    <xf numFmtId="1" fontId="3" fillId="28" borderId="29" xfId="3032" applyNumberFormat="1" applyFont="1" applyFill="1" applyBorder="1" applyAlignment="1">
      <alignment horizontal="center" vertical="center" wrapText="1"/>
    </xf>
    <xf numFmtId="2" fontId="3" fillId="28" borderId="19" xfId="3032" applyNumberFormat="1" applyFont="1" applyFill="1" applyBorder="1" applyAlignment="1">
      <alignment horizontal="left" vertical="center" wrapText="1"/>
    </xf>
    <xf numFmtId="43" fontId="3" fillId="28" borderId="21" xfId="1" applyFont="1" applyFill="1" applyBorder="1" applyAlignment="1">
      <alignment horizontal="right" vertical="center" wrapText="1"/>
    </xf>
    <xf numFmtId="43" fontId="3" fillId="28" borderId="21" xfId="1" applyFont="1" applyFill="1" applyBorder="1" applyAlignment="1">
      <alignment horizontal="center" vertical="distributed" wrapText="1"/>
    </xf>
    <xf numFmtId="43" fontId="3" fillId="28" borderId="19" xfId="1" applyFont="1" applyFill="1" applyBorder="1" applyAlignment="1">
      <alignment horizontal="center" vertical="distributed" wrapText="1"/>
    </xf>
    <xf numFmtId="14" fontId="3" fillId="28" borderId="23" xfId="283" applyNumberFormat="1" applyFont="1" applyFill="1" applyBorder="1" applyAlignment="1">
      <alignment horizontal="left" vertical="center" wrapText="1"/>
    </xf>
    <xf numFmtId="43" fontId="3" fillId="28" borderId="23" xfId="1" applyFont="1" applyFill="1" applyBorder="1" applyAlignment="1">
      <alignment horizontal="right" vertical="center" wrapText="1"/>
    </xf>
    <xf numFmtId="169" fontId="3" fillId="28" borderId="23" xfId="3032" applyNumberFormat="1" applyFont="1" applyFill="1" applyBorder="1" applyAlignment="1">
      <alignment horizontal="center" vertical="distributed" wrapText="1"/>
    </xf>
    <xf numFmtId="43" fontId="3" fillId="28" borderId="27" xfId="1" applyFont="1" applyFill="1" applyBorder="1" applyAlignment="1">
      <alignment horizontal="right" vertical="center" wrapText="1"/>
    </xf>
    <xf numFmtId="43" fontId="3" fillId="28" borderId="32" xfId="1" applyFont="1" applyFill="1" applyBorder="1" applyAlignment="1">
      <alignment horizontal="right" vertical="center" wrapText="1"/>
    </xf>
    <xf numFmtId="1" fontId="3" fillId="0" borderId="28" xfId="3032" applyNumberFormat="1" applyFont="1" applyBorder="1" applyAlignment="1">
      <alignment horizontal="right" vertical="center" wrapText="1"/>
    </xf>
    <xf numFmtId="2" fontId="3" fillId="0" borderId="26" xfId="3032" applyNumberFormat="1" applyFont="1" applyBorder="1" applyAlignment="1">
      <alignment horizontal="left" vertical="center" wrapText="1"/>
    </xf>
    <xf numFmtId="174" fontId="3" fillId="0" borderId="27" xfId="1" applyNumberFormat="1" applyFont="1" applyFill="1" applyBorder="1" applyAlignment="1">
      <alignment horizontal="center" vertical="center" wrapText="1"/>
    </xf>
    <xf numFmtId="43" fontId="3" fillId="0" borderId="27" xfId="1" applyFont="1" applyFill="1" applyBorder="1" applyAlignment="1">
      <alignment horizontal="center" vertical="distributed" wrapText="1"/>
    </xf>
    <xf numFmtId="0" fontId="3" fillId="28" borderId="27" xfId="3032" applyFont="1" applyFill="1" applyBorder="1" applyAlignment="1">
      <alignment horizontal="left" vertical="center" wrapText="1"/>
    </xf>
    <xf numFmtId="186" fontId="46" fillId="28" borderId="0" xfId="3032" applyNumberFormat="1" applyFont="1" applyFill="1"/>
    <xf numFmtId="186" fontId="4" fillId="28" borderId="0" xfId="3032" applyNumberFormat="1" applyFill="1"/>
    <xf numFmtId="0" fontId="73" fillId="28" borderId="20" xfId="283" applyFont="1" applyFill="1" applyBorder="1" applyAlignment="1">
      <alignment horizontal="left" vertical="center" wrapText="1"/>
    </xf>
    <xf numFmtId="0" fontId="73" fillId="28" borderId="20" xfId="3032" applyFont="1" applyFill="1" applyBorder="1" applyAlignment="1">
      <alignment horizontal="center" vertical="center" wrapText="1"/>
    </xf>
    <xf numFmtId="191" fontId="73" fillId="28" borderId="20" xfId="3032" applyNumberFormat="1" applyFont="1" applyFill="1" applyBorder="1" applyAlignment="1">
      <alignment horizontal="center" vertical="center" wrapText="1"/>
    </xf>
    <xf numFmtId="217" fontId="73" fillId="28" borderId="23" xfId="1" applyNumberFormat="1" applyFont="1" applyFill="1" applyBorder="1" applyAlignment="1">
      <alignment horizontal="center" vertical="distributed" wrapText="1"/>
    </xf>
    <xf numFmtId="0" fontId="73" fillId="28" borderId="120" xfId="283" applyFont="1" applyFill="1" applyBorder="1" applyAlignment="1">
      <alignment vertical="center" wrapText="1"/>
    </xf>
    <xf numFmtId="0" fontId="73" fillId="28" borderId="121" xfId="283" applyFont="1" applyFill="1" applyBorder="1" applyAlignment="1">
      <alignment vertical="center" wrapText="1"/>
    </xf>
    <xf numFmtId="0" fontId="73" fillId="28" borderId="122" xfId="283" applyFont="1" applyFill="1" applyBorder="1" applyAlignment="1">
      <alignment vertical="center" wrapText="1"/>
    </xf>
    <xf numFmtId="0" fontId="73" fillId="28" borderId="32" xfId="3032" applyFont="1" applyFill="1" applyBorder="1" applyAlignment="1">
      <alignment horizontal="center" vertical="center" wrapText="1"/>
    </xf>
    <xf numFmtId="43" fontId="73" fillId="28" borderId="120" xfId="1" applyFont="1" applyFill="1" applyBorder="1" applyAlignment="1">
      <alignment horizontal="center" vertical="center" wrapText="1"/>
    </xf>
    <xf numFmtId="43" fontId="73" fillId="28" borderId="32" xfId="1" applyFont="1" applyFill="1" applyBorder="1" applyAlignment="1">
      <alignment horizontal="center" vertical="center" wrapText="1"/>
    </xf>
    <xf numFmtId="43" fontId="73" fillId="0" borderId="120" xfId="1" applyFont="1" applyFill="1" applyBorder="1" applyAlignment="1">
      <alignment horizontal="center" vertical="distributed" wrapText="1"/>
    </xf>
    <xf numFmtId="174" fontId="73" fillId="28" borderId="23" xfId="1" applyNumberFormat="1" applyFont="1" applyFill="1" applyBorder="1" applyAlignment="1">
      <alignment horizontal="center" vertical="center" wrapText="1"/>
    </xf>
    <xf numFmtId="169" fontId="73" fillId="28" borderId="23" xfId="3032" applyNumberFormat="1" applyFont="1" applyFill="1" applyBorder="1" applyAlignment="1">
      <alignment horizontal="left" vertical="distributed" wrapText="1"/>
    </xf>
    <xf numFmtId="169" fontId="46" fillId="0" borderId="0" xfId="3032" applyNumberFormat="1" applyFont="1"/>
    <xf numFmtId="0" fontId="73" fillId="28" borderId="24" xfId="283" applyFont="1" applyFill="1" applyBorder="1" applyAlignment="1">
      <alignment horizontal="center" vertical="center" wrapText="1"/>
    </xf>
    <xf numFmtId="0" fontId="73" fillId="28" borderId="25" xfId="283" applyFont="1" applyFill="1" applyBorder="1" applyAlignment="1">
      <alignment horizontal="center" vertical="center" wrapText="1"/>
    </xf>
    <xf numFmtId="0" fontId="73" fillId="28" borderId="22" xfId="283" applyFont="1" applyFill="1" applyBorder="1" applyAlignment="1">
      <alignment horizontal="center" vertical="center" wrapText="1"/>
    </xf>
    <xf numFmtId="43" fontId="73" fillId="28" borderId="120" xfId="1" applyFont="1" applyFill="1" applyBorder="1" applyAlignment="1">
      <alignment horizontal="center" vertical="distributed" wrapText="1"/>
    </xf>
    <xf numFmtId="0" fontId="4" fillId="32" borderId="0" xfId="439" applyFill="1"/>
    <xf numFmtId="188" fontId="65" fillId="32" borderId="0" xfId="439" applyNumberFormat="1" applyFont="1" applyFill="1"/>
    <xf numFmtId="0" fontId="100" fillId="0" borderId="5" xfId="0" applyFont="1" applyBorder="1" applyAlignment="1">
      <alignment horizontal="center" vertical="center"/>
    </xf>
    <xf numFmtId="189" fontId="47" fillId="0" borderId="0" xfId="0" applyNumberFormat="1" applyFont="1" applyAlignment="1">
      <alignment vertical="center"/>
    </xf>
    <xf numFmtId="43" fontId="73" fillId="28" borderId="122" xfId="1" applyFont="1" applyFill="1" applyBorder="1" applyAlignment="1">
      <alignment horizontal="center" vertical="center" wrapText="1"/>
    </xf>
    <xf numFmtId="43" fontId="73" fillId="28" borderId="122" xfId="1" applyFont="1" applyFill="1" applyBorder="1" applyAlignment="1">
      <alignment horizontal="center" vertical="distributed" wrapText="1"/>
    </xf>
    <xf numFmtId="191" fontId="73" fillId="28" borderId="121" xfId="3032" applyNumberFormat="1" applyFont="1" applyFill="1" applyBorder="1" applyAlignment="1">
      <alignment horizontal="center" vertical="center" wrapText="1"/>
    </xf>
    <xf numFmtId="0" fontId="73" fillId="0" borderId="121" xfId="283" applyFont="1" applyBorder="1" applyAlignment="1">
      <alignment horizontal="left" vertical="center" wrapText="1"/>
    </xf>
    <xf numFmtId="1" fontId="4" fillId="28" borderId="0" xfId="3052" applyNumberFormat="1" applyFont="1" applyFill="1" applyAlignment="1">
      <alignment horizontal="center" vertical="center" wrapText="1"/>
    </xf>
    <xf numFmtId="1" fontId="4" fillId="28" borderId="0" xfId="3052" applyNumberFormat="1" applyFont="1" applyFill="1" applyAlignment="1">
      <alignment horizontal="left" vertical="center" wrapText="1"/>
    </xf>
    <xf numFmtId="169" fontId="4" fillId="28" borderId="0" xfId="3052" applyNumberFormat="1" applyFont="1" applyFill="1" applyAlignment="1">
      <alignment horizontal="right" vertical="center" wrapText="1"/>
    </xf>
    <xf numFmtId="1" fontId="73" fillId="28" borderId="24" xfId="3032" applyNumberFormat="1" applyFont="1" applyFill="1" applyBorder="1" applyAlignment="1">
      <alignment horizontal="center" vertical="center" wrapText="1"/>
    </xf>
    <xf numFmtId="2" fontId="73" fillId="28" borderId="22" xfId="3032" applyNumberFormat="1" applyFont="1" applyFill="1" applyBorder="1" applyAlignment="1">
      <alignment horizontal="center" vertical="center" wrapText="1"/>
    </xf>
    <xf numFmtId="165" fontId="85" fillId="0" borderId="142" xfId="0" applyNumberFormat="1" applyFont="1" applyBorder="1" applyAlignment="1">
      <alignment horizontal="center" vertical="center"/>
    </xf>
    <xf numFmtId="165" fontId="85" fillId="0" borderId="144" xfId="0" applyNumberFormat="1" applyFont="1" applyBorder="1" applyAlignment="1">
      <alignment horizontal="center" vertical="center"/>
    </xf>
    <xf numFmtId="165" fontId="85" fillId="0" borderId="143" xfId="0" applyNumberFormat="1" applyFont="1" applyBorder="1" applyAlignment="1">
      <alignment horizontal="center" vertical="center"/>
    </xf>
    <xf numFmtId="0" fontId="85" fillId="0" borderId="142" xfId="0" applyFont="1" applyBorder="1" applyAlignment="1">
      <alignment horizontal="center" vertical="center"/>
    </xf>
    <xf numFmtId="0" fontId="85" fillId="0" borderId="144" xfId="0" applyFont="1" applyBorder="1" applyAlignment="1">
      <alignment horizontal="center" vertical="center"/>
    </xf>
    <xf numFmtId="0" fontId="85" fillId="0" borderId="143" xfId="0" applyFont="1" applyBorder="1" applyAlignment="1">
      <alignment horizontal="center" vertical="center"/>
    </xf>
    <xf numFmtId="43" fontId="73" fillId="28" borderId="90" xfId="1" applyFont="1" applyFill="1" applyBorder="1" applyAlignment="1">
      <alignment horizontal="center" vertical="distributed" wrapText="1"/>
    </xf>
    <xf numFmtId="1" fontId="73" fillId="28" borderId="27" xfId="3032" applyNumberFormat="1" applyFont="1" applyFill="1" applyBorder="1" applyAlignment="1">
      <alignment horizontal="center" vertical="center" wrapText="1"/>
    </xf>
    <xf numFmtId="169" fontId="73" fillId="28" borderId="22" xfId="1" applyNumberFormat="1" applyFont="1" applyFill="1" applyBorder="1" applyAlignment="1">
      <alignment horizontal="right" vertical="distributed" wrapText="1"/>
    </xf>
    <xf numFmtId="0" fontId="53" fillId="0" borderId="142" xfId="0" applyFont="1" applyBorder="1" applyAlignment="1">
      <alignment vertical="center"/>
    </xf>
    <xf numFmtId="0" fontId="53" fillId="0" borderId="144" xfId="0" applyFont="1" applyBorder="1" applyAlignment="1">
      <alignment vertical="center"/>
    </xf>
    <xf numFmtId="0" fontId="53" fillId="0" borderId="143" xfId="0" applyFont="1" applyBorder="1" applyAlignment="1">
      <alignment vertical="center"/>
    </xf>
    <xf numFmtId="49" fontId="85" fillId="28" borderId="142" xfId="0" applyNumberFormat="1" applyFont="1" applyFill="1" applyBorder="1" applyAlignment="1">
      <alignment vertical="center"/>
    </xf>
    <xf numFmtId="49" fontId="85" fillId="28" borderId="144" xfId="0" applyNumberFormat="1" applyFont="1" applyFill="1" applyBorder="1" applyAlignment="1">
      <alignment vertical="center"/>
    </xf>
    <xf numFmtId="49" fontId="85" fillId="28" borderId="143" xfId="0" applyNumberFormat="1" applyFont="1" applyFill="1" applyBorder="1" applyAlignment="1">
      <alignment vertical="center"/>
    </xf>
    <xf numFmtId="1" fontId="3" fillId="0" borderId="144" xfId="0" applyNumberFormat="1" applyFont="1" applyBorder="1" applyAlignment="1">
      <alignment vertical="center"/>
    </xf>
    <xf numFmtId="1" fontId="3" fillId="0" borderId="143" xfId="0" applyNumberFormat="1" applyFont="1" applyBorder="1" applyAlignment="1">
      <alignment vertical="center"/>
    </xf>
    <xf numFmtId="2" fontId="85" fillId="0" borderId="142" xfId="1" applyNumberFormat="1" applyFont="1" applyBorder="1" applyAlignment="1">
      <alignment horizontal="center" vertical="center"/>
    </xf>
    <xf numFmtId="2" fontId="85" fillId="0" borderId="144" xfId="1" applyNumberFormat="1" applyFont="1" applyBorder="1" applyAlignment="1">
      <alignment horizontal="center" vertical="center"/>
    </xf>
    <xf numFmtId="2" fontId="85" fillId="0" borderId="143" xfId="1" applyNumberFormat="1" applyFont="1" applyBorder="1" applyAlignment="1">
      <alignment horizontal="center" vertical="center"/>
    </xf>
    <xf numFmtId="165" fontId="73" fillId="0" borderId="142" xfId="0" applyNumberFormat="1" applyFont="1" applyBorder="1" applyAlignment="1">
      <alignment horizontal="center" vertical="center"/>
    </xf>
    <xf numFmtId="165" fontId="73" fillId="0" borderId="144" xfId="0" applyNumberFormat="1" applyFont="1" applyBorder="1" applyAlignment="1">
      <alignment horizontal="center" vertical="center"/>
    </xf>
    <xf numFmtId="165" fontId="73" fillId="0" borderId="143" xfId="0" applyNumberFormat="1" applyFont="1" applyBorder="1" applyAlignment="1">
      <alignment horizontal="center" vertical="center"/>
    </xf>
    <xf numFmtId="0" fontId="75" fillId="0" borderId="5" xfId="3032" applyFont="1" applyBorder="1" applyAlignment="1">
      <alignment horizontal="center" vertical="center" wrapText="1"/>
    </xf>
    <xf numFmtId="0" fontId="4" fillId="28" borderId="93" xfId="3032" applyFill="1" applyBorder="1"/>
    <xf numFmtId="0" fontId="4" fillId="28" borderId="54" xfId="3032" applyFill="1" applyBorder="1"/>
    <xf numFmtId="0" fontId="4" fillId="28" borderId="55" xfId="3032" applyFill="1" applyBorder="1"/>
    <xf numFmtId="0" fontId="4" fillId="29" borderId="146" xfId="439" applyFill="1" applyBorder="1"/>
    <xf numFmtId="0" fontId="3" fillId="29" borderId="148" xfId="439" applyFont="1" applyFill="1" applyBorder="1"/>
    <xf numFmtId="0" fontId="4" fillId="29" borderId="147" xfId="439" applyFill="1" applyBorder="1"/>
    <xf numFmtId="2" fontId="66" fillId="25" borderId="145" xfId="439" applyNumberFormat="1" applyFont="1" applyFill="1" applyBorder="1" applyAlignment="1" applyProtection="1">
      <alignment horizontal="center" vertical="center" wrapText="1"/>
      <protection hidden="1"/>
    </xf>
    <xf numFmtId="0" fontId="3" fillId="29" borderId="93" xfId="439" applyFont="1" applyFill="1" applyBorder="1"/>
    <xf numFmtId="0" fontId="94" fillId="29" borderId="93" xfId="439" applyFont="1" applyFill="1" applyBorder="1" applyAlignment="1">
      <alignment vertical="center"/>
    </xf>
    <xf numFmtId="0" fontId="4" fillId="29" borderId="56" xfId="439" applyFill="1" applyBorder="1"/>
    <xf numFmtId="0" fontId="4" fillId="29" borderId="54" xfId="439" applyFill="1" applyBorder="1"/>
    <xf numFmtId="165" fontId="4" fillId="29" borderId="54" xfId="439" applyNumberFormat="1" applyFill="1" applyBorder="1"/>
    <xf numFmtId="165" fontId="4" fillId="29" borderId="55" xfId="439" applyNumberFormat="1" applyFill="1" applyBorder="1"/>
    <xf numFmtId="0" fontId="61" fillId="28" borderId="5" xfId="3032" applyFont="1" applyFill="1" applyBorder="1" applyAlignment="1">
      <alignment horizontal="center" vertical="center" wrapText="1"/>
    </xf>
    <xf numFmtId="0" fontId="1" fillId="28" borderId="5" xfId="0" applyFont="1" applyFill="1" applyBorder="1" applyAlignment="1">
      <alignment horizontal="center" vertical="center" wrapText="1"/>
    </xf>
    <xf numFmtId="0" fontId="120" fillId="28" borderId="5" xfId="0" applyFont="1" applyFill="1" applyBorder="1" applyAlignment="1">
      <alignment horizontal="center" vertical="center" wrapText="1"/>
    </xf>
    <xf numFmtId="0" fontId="121" fillId="28" borderId="5" xfId="0" applyFont="1" applyFill="1" applyBorder="1" applyAlignment="1">
      <alignment horizontal="center" vertical="center" wrapText="1"/>
    </xf>
    <xf numFmtId="0" fontId="121" fillId="25" borderId="5" xfId="0" applyFont="1" applyFill="1" applyBorder="1" applyAlignment="1">
      <alignment horizontal="center" vertical="center" wrapText="1"/>
    </xf>
    <xf numFmtId="0" fontId="120" fillId="25" borderId="5" xfId="0" applyFont="1" applyFill="1" applyBorder="1" applyAlignment="1">
      <alignment horizontal="center" vertical="center" wrapText="1"/>
    </xf>
    <xf numFmtId="0" fontId="84" fillId="31" borderId="90" xfId="0" applyFont="1" applyFill="1" applyBorder="1" applyAlignment="1">
      <alignment wrapText="1"/>
    </xf>
    <xf numFmtId="4" fontId="60" fillId="25" borderId="5" xfId="3041" applyNumberFormat="1" applyFont="1" applyFill="1" applyBorder="1" applyAlignment="1" applyProtection="1">
      <alignment horizontal="center" vertical="center"/>
      <protection locked="0"/>
    </xf>
    <xf numFmtId="2" fontId="60" fillId="25" borderId="5" xfId="0" applyNumberFormat="1" applyFont="1" applyFill="1" applyBorder="1" applyAlignment="1">
      <alignment horizontal="center" vertical="center"/>
    </xf>
    <xf numFmtId="0" fontId="60" fillId="25" borderId="5" xfId="3041" applyFont="1" applyFill="1" applyBorder="1" applyAlignment="1" applyProtection="1">
      <alignment horizontal="center" vertical="center" wrapText="1"/>
      <protection locked="0"/>
    </xf>
    <xf numFmtId="43" fontId="60" fillId="25" borderId="5" xfId="1" applyFont="1" applyFill="1" applyBorder="1" applyAlignment="1" applyProtection="1">
      <alignment horizontal="center" vertical="center"/>
      <protection locked="0"/>
    </xf>
    <xf numFmtId="2" fontId="54" fillId="25" borderId="142" xfId="3042" applyNumberFormat="1" applyFont="1" applyFill="1" applyBorder="1" applyAlignment="1">
      <alignment vertical="center"/>
    </xf>
    <xf numFmtId="0" fontId="54" fillId="25" borderId="144" xfId="3042" applyFont="1" applyFill="1" applyBorder="1" applyAlignment="1">
      <alignment vertical="center" wrapText="1"/>
    </xf>
    <xf numFmtId="0" fontId="54" fillId="25" borderId="144" xfId="3042" applyFont="1" applyFill="1" applyBorder="1" applyAlignment="1">
      <alignment vertical="center"/>
    </xf>
    <xf numFmtId="43" fontId="54" fillId="25" borderId="144" xfId="1" applyFont="1" applyFill="1" applyBorder="1" applyAlignment="1">
      <alignment vertical="center"/>
    </xf>
    <xf numFmtId="43" fontId="54" fillId="25" borderId="143" xfId="1" applyFont="1" applyFill="1" applyBorder="1" applyAlignment="1">
      <alignment vertical="center"/>
    </xf>
    <xf numFmtId="2" fontId="54" fillId="25" borderId="142" xfId="3042" applyNumberFormat="1" applyFont="1" applyFill="1" applyBorder="1" applyAlignment="1">
      <alignment horizontal="center" vertical="center"/>
    </xf>
    <xf numFmtId="0" fontId="5" fillId="25" borderId="144" xfId="0" applyFont="1" applyFill="1" applyBorder="1" applyAlignment="1">
      <alignment horizontal="left" vertical="center"/>
    </xf>
    <xf numFmtId="4" fontId="54" fillId="25" borderId="144" xfId="3042" applyNumberFormat="1" applyFont="1" applyFill="1" applyBorder="1" applyAlignment="1">
      <alignment vertical="center"/>
    </xf>
    <xf numFmtId="2" fontId="24" fillId="26" borderId="5" xfId="0" applyNumberFormat="1" applyFont="1" applyFill="1" applyBorder="1" applyAlignment="1">
      <alignment horizontal="center" vertical="center"/>
    </xf>
    <xf numFmtId="1" fontId="24" fillId="26" borderId="5" xfId="3045" applyNumberFormat="1" applyFont="1" applyFill="1" applyBorder="1" applyAlignment="1">
      <alignment horizontal="center" vertical="center" wrapText="1"/>
    </xf>
    <xf numFmtId="43" fontId="150" fillId="26" borderId="143" xfId="1" applyFont="1" applyFill="1" applyBorder="1" applyAlignment="1">
      <alignment horizontal="right" vertical="center" wrapText="1"/>
    </xf>
    <xf numFmtId="169" fontId="150" fillId="26" borderId="142" xfId="3044" applyNumberFormat="1" applyFont="1" applyFill="1" applyBorder="1" applyAlignment="1">
      <alignment vertical="center" wrapText="1"/>
    </xf>
    <xf numFmtId="43" fontId="60" fillId="26" borderId="143" xfId="1" applyFont="1" applyFill="1" applyBorder="1" applyAlignment="1">
      <alignment horizontal="right" vertical="center"/>
    </xf>
    <xf numFmtId="2" fontId="54" fillId="29" borderId="142" xfId="3042" applyNumberFormat="1" applyFont="1" applyFill="1" applyBorder="1" applyAlignment="1">
      <alignment horizontal="center" vertical="center"/>
    </xf>
    <xf numFmtId="0" fontId="5" fillId="29" borderId="144" xfId="0" applyFont="1" applyFill="1" applyBorder="1" applyAlignment="1">
      <alignment horizontal="left" vertical="center"/>
    </xf>
    <xf numFmtId="0" fontId="54" fillId="29" borderId="144" xfId="3042" applyFont="1" applyFill="1" applyBorder="1" applyAlignment="1">
      <alignment vertical="center"/>
    </xf>
    <xf numFmtId="43" fontId="54" fillId="29" borderId="144" xfId="1" applyFont="1" applyFill="1" applyBorder="1" applyAlignment="1">
      <alignment vertical="center"/>
    </xf>
    <xf numFmtId="43" fontId="54" fillId="29" borderId="143" xfId="1" applyFont="1" applyFill="1" applyBorder="1" applyAlignment="1">
      <alignment vertical="center"/>
    </xf>
    <xf numFmtId="43" fontId="54" fillId="29" borderId="144" xfId="1" applyFont="1" applyFill="1" applyBorder="1" applyAlignment="1">
      <alignment horizontal="right" vertical="center"/>
    </xf>
    <xf numFmtId="190" fontId="54" fillId="25" borderId="144" xfId="3042" applyNumberFormat="1" applyFont="1" applyFill="1" applyBorder="1" applyAlignment="1">
      <alignment vertical="center"/>
    </xf>
    <xf numFmtId="0" fontId="163" fillId="26" borderId="144" xfId="3044" applyFont="1" applyFill="1" applyBorder="1" applyAlignment="1">
      <alignment horizontal="center" vertical="center" wrapText="1"/>
    </xf>
    <xf numFmtId="0" fontId="164" fillId="26" borderId="144" xfId="3044" applyFont="1" applyFill="1" applyBorder="1" applyAlignment="1">
      <alignment vertical="center" wrapText="1"/>
    </xf>
    <xf numFmtId="43" fontId="165" fillId="26" borderId="143" xfId="1" applyFont="1" applyFill="1" applyBorder="1" applyAlignment="1" applyProtection="1">
      <alignment horizontal="center" vertical="center"/>
      <protection locked="0"/>
    </xf>
    <xf numFmtId="169" fontId="164" fillId="26" borderId="142" xfId="3044" applyNumberFormat="1" applyFont="1" applyFill="1" applyBorder="1" applyAlignment="1">
      <alignment vertical="center" wrapText="1"/>
    </xf>
    <xf numFmtId="169" fontId="166" fillId="26" borderId="142" xfId="0" applyNumberFormat="1" applyFont="1" applyFill="1" applyBorder="1"/>
    <xf numFmtId="4" fontId="165" fillId="26" borderId="142" xfId="3041" applyNumberFormat="1" applyFont="1" applyFill="1" applyBorder="1" applyAlignment="1" applyProtection="1">
      <alignment horizontal="center" vertical="center"/>
      <protection locked="0"/>
    </xf>
    <xf numFmtId="0" fontId="28" fillId="26" borderId="142" xfId="0" applyFont="1" applyFill="1" applyBorder="1" applyAlignment="1">
      <alignment horizontal="center" vertical="center"/>
    </xf>
    <xf numFmtId="0" fontId="28" fillId="26" borderId="144" xfId="0" applyFont="1" applyFill="1" applyBorder="1" applyAlignment="1">
      <alignment vertical="center"/>
    </xf>
    <xf numFmtId="0" fontId="28" fillId="26" borderId="144" xfId="0" applyFont="1" applyFill="1" applyBorder="1" applyAlignment="1">
      <alignment horizontal="center" vertical="center"/>
    </xf>
    <xf numFmtId="1" fontId="3" fillId="26" borderId="144" xfId="0" applyNumberFormat="1" applyFont="1" applyFill="1" applyBorder="1" applyAlignment="1">
      <alignment vertical="center"/>
    </xf>
    <xf numFmtId="0" fontId="3" fillId="26" borderId="144" xfId="0" applyFont="1" applyFill="1" applyBorder="1" applyAlignment="1">
      <alignment vertical="center"/>
    </xf>
    <xf numFmtId="1" fontId="156" fillId="26" borderId="144" xfId="0" applyNumberFormat="1" applyFont="1" applyFill="1" applyBorder="1" applyAlignment="1">
      <alignment horizontal="right" vertical="center"/>
    </xf>
    <xf numFmtId="169" fontId="156" fillId="26" borderId="144" xfId="0" applyNumberFormat="1" applyFont="1" applyFill="1" applyBorder="1" applyAlignment="1">
      <alignment horizontal="right" vertical="center"/>
    </xf>
    <xf numFmtId="0" fontId="3" fillId="26" borderId="143" xfId="0" applyFont="1" applyFill="1" applyBorder="1" applyAlignment="1">
      <alignment vertical="center"/>
    </xf>
    <xf numFmtId="0" fontId="28" fillId="28" borderId="145" xfId="3032" applyFont="1" applyFill="1" applyBorder="1" applyAlignment="1">
      <alignment horizontal="center" wrapText="1"/>
    </xf>
    <xf numFmtId="0" fontId="27" fillId="0" borderId="90" xfId="58" applyFont="1" applyBorder="1" applyAlignment="1">
      <alignment horizontal="justify" vertical="center" wrapText="1"/>
    </xf>
    <xf numFmtId="2" fontId="157" fillId="29" borderId="143" xfId="3032" applyNumberFormat="1" applyFont="1" applyFill="1" applyBorder="1" applyAlignment="1">
      <alignment horizontal="center" vertical="distributed" wrapText="1"/>
    </xf>
    <xf numFmtId="169" fontId="157" fillId="29" borderId="143" xfId="3032" applyNumberFormat="1" applyFont="1" applyFill="1" applyBorder="1" applyAlignment="1">
      <alignment horizontal="center" vertical="center" wrapText="1"/>
    </xf>
    <xf numFmtId="169" fontId="157" fillId="29" borderId="145" xfId="1" applyNumberFormat="1" applyFont="1" applyFill="1" applyBorder="1" applyAlignment="1">
      <alignment horizontal="center" vertical="center" wrapText="1"/>
    </xf>
    <xf numFmtId="169" fontId="157" fillId="29" borderId="145" xfId="3032" applyNumberFormat="1" applyFont="1" applyFill="1" applyBorder="1" applyAlignment="1">
      <alignment horizontal="center" vertical="center" wrapText="1"/>
    </xf>
    <xf numFmtId="1" fontId="28" fillId="0" borderId="142" xfId="0" applyNumberFormat="1" applyFont="1" applyBorder="1" applyAlignment="1">
      <alignment vertical="center" wrapText="1"/>
    </xf>
    <xf numFmtId="0" fontId="28" fillId="0" borderId="144" xfId="0" applyFont="1" applyBorder="1" applyAlignment="1">
      <alignment vertical="center" wrapText="1"/>
    </xf>
    <xf numFmtId="0" fontId="157" fillId="0" borderId="144" xfId="0" applyFont="1" applyBorder="1" applyAlignment="1">
      <alignment horizontal="right" vertical="center" wrapText="1"/>
    </xf>
    <xf numFmtId="0" fontId="157" fillId="0" borderId="144" xfId="0" applyFont="1" applyBorder="1" applyAlignment="1">
      <alignment horizontal="center" vertical="center" wrapText="1"/>
    </xf>
    <xf numFmtId="10" fontId="157" fillId="0" borderId="144" xfId="3032" applyNumberFormat="1" applyFont="1" applyBorder="1" applyAlignment="1">
      <alignment horizontal="right" vertical="center" wrapText="1"/>
    </xf>
    <xf numFmtId="10" fontId="157" fillId="0" borderId="144" xfId="3032" applyNumberFormat="1" applyFont="1" applyBorder="1" applyAlignment="1">
      <alignment horizontal="center" vertical="center" wrapText="1"/>
    </xf>
    <xf numFmtId="171" fontId="157" fillId="0" borderId="144" xfId="3032" applyNumberFormat="1" applyFont="1" applyBorder="1" applyAlignment="1">
      <alignment horizontal="center" vertical="center" wrapText="1"/>
    </xf>
    <xf numFmtId="0" fontId="157" fillId="0" borderId="144" xfId="3032" applyFont="1" applyBorder="1" applyAlignment="1">
      <alignment horizontal="center" vertical="center" wrapText="1"/>
    </xf>
    <xf numFmtId="169" fontId="157" fillId="0" borderId="144" xfId="1" applyNumberFormat="1" applyFont="1" applyFill="1" applyBorder="1" applyAlignment="1">
      <alignment horizontal="center" vertical="center" wrapText="1"/>
    </xf>
    <xf numFmtId="169" fontId="157" fillId="0" borderId="144" xfId="3032" applyNumberFormat="1" applyFont="1" applyBorder="1" applyAlignment="1">
      <alignment horizontal="center" vertical="center" wrapText="1"/>
    </xf>
    <xf numFmtId="0" fontId="3" fillId="0" borderId="144" xfId="3032" applyFont="1" applyBorder="1" applyAlignment="1">
      <alignment wrapText="1"/>
    </xf>
    <xf numFmtId="0" fontId="3" fillId="0" borderId="143" xfId="3032" applyFont="1" applyBorder="1" applyAlignment="1">
      <alignment wrapText="1"/>
    </xf>
    <xf numFmtId="174" fontId="73" fillId="28" borderId="145" xfId="1" applyNumberFormat="1" applyFont="1" applyFill="1" applyBorder="1" applyAlignment="1">
      <alignment horizontal="center" vertical="distributed" wrapText="1"/>
    </xf>
    <xf numFmtId="1" fontId="28" fillId="0" borderId="146" xfId="0" applyNumberFormat="1" applyFont="1" applyBorder="1" applyAlignment="1">
      <alignment vertical="center" wrapText="1"/>
    </xf>
    <xf numFmtId="0" fontId="28" fillId="0" borderId="148" xfId="0" applyFont="1" applyBorder="1" applyAlignment="1">
      <alignment vertical="center" wrapText="1"/>
    </xf>
    <xf numFmtId="0" fontId="157" fillId="0" borderId="148" xfId="0" applyFont="1" applyBorder="1" applyAlignment="1">
      <alignment horizontal="right" vertical="center" wrapText="1"/>
    </xf>
    <xf numFmtId="0" fontId="157" fillId="0" borderId="148" xfId="0" applyFont="1" applyBorder="1" applyAlignment="1">
      <alignment horizontal="center" vertical="center" wrapText="1"/>
    </xf>
    <xf numFmtId="10" fontId="157" fillId="0" borderId="148" xfId="3032" applyNumberFormat="1" applyFont="1" applyBorder="1" applyAlignment="1">
      <alignment horizontal="right" vertical="center" wrapText="1"/>
    </xf>
    <xf numFmtId="10" fontId="157" fillId="0" borderId="148" xfId="3032" applyNumberFormat="1" applyFont="1" applyBorder="1" applyAlignment="1">
      <alignment horizontal="center" vertical="center" wrapText="1"/>
    </xf>
    <xf numFmtId="171" fontId="157" fillId="0" borderId="148" xfId="3032" applyNumberFormat="1" applyFont="1" applyBorder="1" applyAlignment="1">
      <alignment horizontal="center" vertical="center" wrapText="1"/>
    </xf>
    <xf numFmtId="0" fontId="157" fillId="0" borderId="148" xfId="3032" applyFont="1" applyBorder="1" applyAlignment="1">
      <alignment horizontal="center" vertical="center" wrapText="1"/>
    </xf>
    <xf numFmtId="169" fontId="157" fillId="0" borderId="148" xfId="1" applyNumberFormat="1" applyFont="1" applyFill="1" applyBorder="1" applyAlignment="1">
      <alignment horizontal="center" vertical="center" wrapText="1"/>
    </xf>
    <xf numFmtId="169" fontId="157" fillId="0" borderId="148" xfId="3032" applyNumberFormat="1" applyFont="1" applyBorder="1" applyAlignment="1">
      <alignment horizontal="center" vertical="center" wrapText="1"/>
    </xf>
    <xf numFmtId="0" fontId="3" fillId="0" borderId="148" xfId="3032" applyFont="1" applyBorder="1" applyAlignment="1">
      <alignment wrapText="1"/>
    </xf>
    <xf numFmtId="0" fontId="3" fillId="0" borderId="147" xfId="3032" applyFont="1" applyBorder="1" applyAlignment="1">
      <alignment wrapText="1"/>
    </xf>
    <xf numFmtId="0" fontId="51" fillId="26" borderId="144" xfId="0" applyFont="1" applyFill="1" applyBorder="1" applyAlignment="1">
      <alignment horizontal="right" vertical="center"/>
    </xf>
    <xf numFmtId="0" fontId="27" fillId="26" borderId="144" xfId="0" applyFont="1" applyFill="1" applyBorder="1" applyAlignment="1">
      <alignment vertical="center"/>
    </xf>
    <xf numFmtId="0" fontId="27" fillId="26" borderId="143" xfId="0" applyFont="1" applyFill="1" applyBorder="1" applyAlignment="1">
      <alignment vertical="center"/>
    </xf>
    <xf numFmtId="169" fontId="156" fillId="26" borderId="143" xfId="0" applyNumberFormat="1" applyFont="1" applyFill="1" applyBorder="1" applyAlignment="1">
      <alignment horizontal="right" vertical="center"/>
    </xf>
    <xf numFmtId="1" fontId="3" fillId="28" borderId="142" xfId="3032" applyNumberFormat="1" applyFont="1" applyFill="1" applyBorder="1" applyAlignment="1">
      <alignment horizontal="right" vertical="center" wrapText="1"/>
    </xf>
    <xf numFmtId="1" fontId="3" fillId="28" borderId="144" xfId="3032" applyNumberFormat="1" applyFont="1" applyFill="1" applyBorder="1" applyAlignment="1">
      <alignment horizontal="center" vertical="center" wrapText="1"/>
    </xf>
    <xf numFmtId="2" fontId="3" fillId="28" borderId="143" xfId="3032" applyNumberFormat="1" applyFont="1" applyFill="1" applyBorder="1" applyAlignment="1">
      <alignment horizontal="left" vertical="center" wrapText="1"/>
    </xf>
    <xf numFmtId="43" fontId="3" fillId="28" borderId="142" xfId="1" applyFont="1" applyFill="1" applyBorder="1" applyAlignment="1">
      <alignment horizontal="center" vertical="center" wrapText="1"/>
    </xf>
    <xf numFmtId="43" fontId="3" fillId="28" borderId="143" xfId="1" applyFont="1" applyFill="1" applyBorder="1" applyAlignment="1">
      <alignment horizontal="center" vertical="center" wrapText="1"/>
    </xf>
    <xf numFmtId="43" fontId="3" fillId="28" borderId="144" xfId="1" applyFont="1" applyFill="1" applyBorder="1" applyAlignment="1">
      <alignment horizontal="center" vertical="center" wrapText="1"/>
    </xf>
    <xf numFmtId="43" fontId="3" fillId="28" borderId="142" xfId="1" applyFont="1" applyFill="1" applyBorder="1" applyAlignment="1">
      <alignment horizontal="center" vertical="distributed" wrapText="1"/>
    </xf>
    <xf numFmtId="43" fontId="3" fillId="28" borderId="143" xfId="1" applyFont="1" applyFill="1" applyBorder="1" applyAlignment="1">
      <alignment horizontal="center" vertical="distributed" wrapText="1"/>
    </xf>
    <xf numFmtId="1" fontId="73" fillId="28" borderId="142" xfId="3032" applyNumberFormat="1" applyFont="1" applyFill="1" applyBorder="1" applyAlignment="1">
      <alignment horizontal="right" vertical="center" wrapText="1"/>
    </xf>
    <xf numFmtId="1" fontId="73" fillId="28" borderId="144" xfId="3032" applyNumberFormat="1" applyFont="1" applyFill="1" applyBorder="1" applyAlignment="1">
      <alignment horizontal="center" vertical="center" wrapText="1"/>
    </xf>
    <xf numFmtId="2" fontId="73" fillId="28" borderId="143" xfId="3032" applyNumberFormat="1" applyFont="1" applyFill="1" applyBorder="1" applyAlignment="1">
      <alignment horizontal="left" vertical="center" wrapText="1"/>
    </xf>
    <xf numFmtId="43" fontId="73" fillId="28" borderId="142" xfId="1" applyFont="1" applyFill="1" applyBorder="1" applyAlignment="1">
      <alignment horizontal="center" vertical="center" wrapText="1"/>
    </xf>
    <xf numFmtId="43" fontId="73" fillId="28" borderId="143" xfId="1" applyFont="1" applyFill="1" applyBorder="1" applyAlignment="1">
      <alignment horizontal="center" vertical="center" wrapText="1"/>
    </xf>
    <xf numFmtId="43" fontId="73" fillId="28" borderId="144" xfId="1" applyFont="1" applyFill="1" applyBorder="1" applyAlignment="1">
      <alignment horizontal="center" vertical="center" wrapText="1"/>
    </xf>
    <xf numFmtId="43" fontId="73" fillId="28" borderId="142" xfId="1" applyFont="1" applyFill="1" applyBorder="1" applyAlignment="1">
      <alignment horizontal="center" vertical="distributed" wrapText="1"/>
    </xf>
    <xf numFmtId="43" fontId="73" fillId="28" borderId="143" xfId="1" applyFont="1" applyFill="1" applyBorder="1" applyAlignment="1">
      <alignment horizontal="center" vertical="distributed" wrapText="1"/>
    </xf>
    <xf numFmtId="1" fontId="28" fillId="28" borderId="145" xfId="0" applyNumberFormat="1" applyFont="1" applyFill="1" applyBorder="1" applyAlignment="1">
      <alignment vertical="center" wrapText="1"/>
    </xf>
    <xf numFmtId="0" fontId="28" fillId="28" borderId="148" xfId="0" applyFont="1" applyFill="1" applyBorder="1" applyAlignment="1">
      <alignment vertical="center" wrapText="1"/>
    </xf>
    <xf numFmtId="43" fontId="3" fillId="28" borderId="145" xfId="1" applyFont="1" applyFill="1" applyBorder="1" applyAlignment="1">
      <alignment horizontal="center" vertical="distributed" wrapText="1"/>
    </xf>
    <xf numFmtId="1" fontId="3" fillId="0" borderId="142" xfId="3032" applyNumberFormat="1" applyFont="1" applyBorder="1" applyAlignment="1">
      <alignment horizontal="right" vertical="center" wrapText="1"/>
    </xf>
    <xf numFmtId="1" fontId="3" fillId="0" borderId="144" xfId="3032" applyNumberFormat="1" applyFont="1" applyBorder="1" applyAlignment="1">
      <alignment horizontal="center" vertical="center" wrapText="1"/>
    </xf>
    <xf numFmtId="2" fontId="3" fillId="0" borderId="143" xfId="3032" applyNumberFormat="1" applyFont="1" applyBorder="1" applyAlignment="1">
      <alignment horizontal="left" vertical="center" wrapText="1"/>
    </xf>
    <xf numFmtId="43" fontId="3" fillId="0" borderId="142" xfId="1" applyFont="1" applyFill="1" applyBorder="1" applyAlignment="1">
      <alignment horizontal="center" vertical="center" wrapText="1"/>
    </xf>
    <xf numFmtId="43" fontId="3" fillId="0" borderId="143" xfId="1" applyFont="1" applyFill="1" applyBorder="1" applyAlignment="1">
      <alignment horizontal="center" vertical="center" wrapText="1"/>
    </xf>
    <xf numFmtId="43" fontId="3" fillId="0" borderId="144" xfId="1" applyFont="1" applyFill="1" applyBorder="1" applyAlignment="1">
      <alignment horizontal="center" vertical="center" wrapText="1"/>
    </xf>
    <xf numFmtId="43" fontId="3" fillId="0" borderId="142" xfId="1" applyFont="1" applyFill="1" applyBorder="1" applyAlignment="1">
      <alignment horizontal="center" vertical="distributed" wrapText="1"/>
    </xf>
    <xf numFmtId="43" fontId="3" fillId="0" borderId="143" xfId="1" applyFont="1" applyFill="1" applyBorder="1" applyAlignment="1">
      <alignment horizontal="center" vertical="distributed" wrapText="1"/>
    </xf>
    <xf numFmtId="174" fontId="3" fillId="0" borderId="143" xfId="1" applyNumberFormat="1" applyFont="1" applyFill="1" applyBorder="1" applyAlignment="1">
      <alignment horizontal="center" vertical="distributed" wrapText="1"/>
    </xf>
    <xf numFmtId="43" fontId="3" fillId="28" borderId="90" xfId="5898" applyFont="1" applyFill="1" applyBorder="1" applyAlignment="1">
      <alignment horizontal="center" vertical="distributed" wrapText="1"/>
    </xf>
    <xf numFmtId="174" fontId="73" fillId="0" borderId="145" xfId="1" applyNumberFormat="1" applyFont="1" applyFill="1" applyBorder="1" applyAlignment="1">
      <alignment horizontal="center" vertical="distributed" wrapText="1"/>
    </xf>
    <xf numFmtId="43" fontId="73" fillId="0" borderId="90" xfId="1" applyFont="1" applyFill="1" applyBorder="1" applyAlignment="1">
      <alignment horizontal="center" vertical="distributed" wrapText="1"/>
    </xf>
    <xf numFmtId="0" fontId="82" fillId="0" borderId="148" xfId="0" applyFont="1" applyBorder="1" applyAlignment="1">
      <alignment horizontal="center" vertical="center"/>
    </xf>
    <xf numFmtId="0" fontId="82" fillId="0" borderId="148" xfId="0" applyFont="1" applyBorder="1" applyAlignment="1">
      <alignment horizontal="center" vertical="center" wrapText="1"/>
    </xf>
    <xf numFmtId="0" fontId="85" fillId="0" borderId="63" xfId="0" applyFont="1" applyBorder="1" applyAlignment="1">
      <alignment horizontal="center" vertical="center"/>
    </xf>
    <xf numFmtId="165" fontId="85" fillId="0" borderId="63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horizontal="center" vertical="center"/>
    </xf>
    <xf numFmtId="0" fontId="85" fillId="0" borderId="63" xfId="0" applyFont="1" applyBorder="1" applyAlignment="1">
      <alignment vertical="center"/>
    </xf>
    <xf numFmtId="0" fontId="4" fillId="29" borderId="63" xfId="439" applyFill="1" applyBorder="1"/>
    <xf numFmtId="0" fontId="65" fillId="29" borderId="63" xfId="439" applyFont="1" applyFill="1" applyBorder="1"/>
    <xf numFmtId="0" fontId="65" fillId="29" borderId="63" xfId="439" applyFont="1" applyFill="1" applyBorder="1" applyAlignment="1">
      <alignment wrapText="1"/>
    </xf>
    <xf numFmtId="0" fontId="84" fillId="31" borderId="63" xfId="0" applyFont="1" applyFill="1" applyBorder="1" applyAlignment="1">
      <alignment wrapText="1"/>
    </xf>
    <xf numFmtId="0" fontId="29" fillId="0" borderId="63" xfId="430" applyFont="1" applyBorder="1" applyAlignment="1">
      <alignment vertical="center"/>
    </xf>
    <xf numFmtId="169" fontId="61" fillId="28" borderId="63" xfId="3032" applyNumberFormat="1" applyFont="1" applyFill="1" applyBorder="1" applyAlignment="1">
      <alignment horizontal="right"/>
    </xf>
    <xf numFmtId="169" fontId="46" fillId="28" borderId="63" xfId="3032" applyNumberFormat="1" applyFont="1" applyFill="1" applyBorder="1" applyAlignment="1">
      <alignment horizontal="right"/>
    </xf>
    <xf numFmtId="169" fontId="61" fillId="28" borderId="63" xfId="3032" applyNumberFormat="1" applyFont="1" applyFill="1" applyBorder="1" applyAlignment="1">
      <alignment horizontal="center"/>
    </xf>
    <xf numFmtId="43" fontId="3" fillId="28" borderId="63" xfId="1" applyFont="1" applyFill="1" applyBorder="1" applyAlignment="1">
      <alignment horizontal="center" vertical="center" wrapText="1"/>
    </xf>
    <xf numFmtId="43" fontId="3" fillId="28" borderId="63" xfId="1" applyFont="1" applyFill="1" applyBorder="1" applyAlignment="1">
      <alignment horizontal="center" vertical="distributed" wrapText="1"/>
    </xf>
    <xf numFmtId="0" fontId="3" fillId="0" borderId="63" xfId="283" applyFont="1" applyBorder="1" applyAlignment="1">
      <alignment vertical="center" wrapText="1"/>
    </xf>
    <xf numFmtId="1" fontId="3" fillId="28" borderId="63" xfId="3032" applyNumberFormat="1" applyFont="1" applyFill="1" applyBorder="1" applyAlignment="1">
      <alignment horizontal="center" vertical="center" wrapText="1"/>
    </xf>
    <xf numFmtId="0" fontId="3" fillId="28" borderId="63" xfId="283" applyFont="1" applyFill="1" applyBorder="1" applyAlignment="1">
      <alignment vertical="center" wrapText="1"/>
    </xf>
    <xf numFmtId="1" fontId="3" fillId="0" borderId="63" xfId="3032" applyNumberFormat="1" applyFont="1" applyBorder="1" applyAlignment="1">
      <alignment horizontal="center" vertical="center" wrapText="1"/>
    </xf>
    <xf numFmtId="0" fontId="3" fillId="28" borderId="24" xfId="283" applyFont="1" applyFill="1" applyBorder="1" applyAlignment="1">
      <alignment horizontal="center" vertical="center" wrapText="1"/>
    </xf>
    <xf numFmtId="0" fontId="3" fillId="28" borderId="25" xfId="283" applyFont="1" applyFill="1" applyBorder="1" applyAlignment="1">
      <alignment horizontal="center" vertical="center" wrapText="1"/>
    </xf>
    <xf numFmtId="0" fontId="3" fillId="28" borderId="22" xfId="283" applyFont="1" applyFill="1" applyBorder="1" applyAlignment="1">
      <alignment horizontal="center" vertical="center" wrapText="1"/>
    </xf>
    <xf numFmtId="0" fontId="73" fillId="0" borderId="27" xfId="3032" applyFont="1" applyBorder="1" applyAlignment="1">
      <alignment horizontal="center" vertical="center" wrapText="1"/>
    </xf>
    <xf numFmtId="174" fontId="73" fillId="0" borderId="27" xfId="1" applyNumberFormat="1" applyFont="1" applyFill="1" applyBorder="1" applyAlignment="1">
      <alignment horizontal="center" vertical="center" wrapText="1"/>
    </xf>
    <xf numFmtId="174" fontId="73" fillId="28" borderId="28" xfId="1" applyNumberFormat="1" applyFont="1" applyFill="1" applyBorder="1" applyAlignment="1">
      <alignment horizontal="center" vertical="distributed" wrapText="1"/>
    </xf>
    <xf numFmtId="174" fontId="73" fillId="0" borderId="26" xfId="1" applyNumberFormat="1" applyFont="1" applyFill="1" applyBorder="1" applyAlignment="1">
      <alignment horizontal="center" vertical="distributed" wrapText="1"/>
    </xf>
    <xf numFmtId="169" fontId="73" fillId="28" borderId="26" xfId="1" applyNumberFormat="1" applyFont="1" applyFill="1" applyBorder="1" applyAlignment="1">
      <alignment horizontal="right" vertical="distributed" wrapText="1"/>
    </xf>
    <xf numFmtId="43" fontId="73" fillId="0" borderId="27" xfId="1" applyFont="1" applyFill="1" applyBorder="1" applyAlignment="1">
      <alignment horizontal="center" vertical="distributed" wrapText="1"/>
    </xf>
    <xf numFmtId="0" fontId="73" fillId="0" borderId="27" xfId="3032" applyFont="1" applyBorder="1" applyAlignment="1">
      <alignment horizontal="left" vertical="distributed" wrapText="1"/>
    </xf>
    <xf numFmtId="0" fontId="73" fillId="28" borderId="28" xfId="283" applyFont="1" applyFill="1" applyBorder="1" applyAlignment="1">
      <alignment vertical="center" wrapText="1"/>
    </xf>
    <xf numFmtId="0" fontId="73" fillId="28" borderId="30" xfId="283" applyFont="1" applyFill="1" applyBorder="1" applyAlignment="1">
      <alignment vertical="center" wrapText="1"/>
    </xf>
    <xf numFmtId="0" fontId="73" fillId="28" borderId="26" xfId="283" applyFont="1" applyFill="1" applyBorder="1" applyAlignment="1">
      <alignment vertical="center" wrapText="1"/>
    </xf>
    <xf numFmtId="174" fontId="73" fillId="28" borderId="26" xfId="1" applyNumberFormat="1" applyFont="1" applyFill="1" applyBorder="1" applyAlignment="1">
      <alignment horizontal="center" vertical="distributed" wrapText="1"/>
    </xf>
    <xf numFmtId="0" fontId="176" fillId="31" borderId="127" xfId="0" applyFont="1" applyFill="1" applyBorder="1" applyAlignment="1">
      <alignment horizontal="center" vertical="center"/>
    </xf>
    <xf numFmtId="0" fontId="176" fillId="31" borderId="128" xfId="0" applyFont="1" applyFill="1" applyBorder="1" applyAlignment="1">
      <alignment horizontal="center" vertical="center"/>
    </xf>
    <xf numFmtId="0" fontId="176" fillId="31" borderId="129" xfId="0" applyFont="1" applyFill="1" applyBorder="1" applyAlignment="1">
      <alignment horizontal="center" vertical="center"/>
    </xf>
    <xf numFmtId="0" fontId="4" fillId="31" borderId="117" xfId="0" applyFont="1" applyFill="1" applyBorder="1" applyAlignment="1">
      <alignment horizontal="left" vertical="center"/>
    </xf>
    <xf numFmtId="0" fontId="4" fillId="31" borderId="133" xfId="0" applyFont="1" applyFill="1" applyBorder="1" applyAlignment="1">
      <alignment horizontal="left" vertical="center"/>
    </xf>
    <xf numFmtId="0" fontId="4" fillId="31" borderId="135" xfId="0" applyFont="1" applyFill="1" applyBorder="1" applyAlignment="1">
      <alignment horizontal="left" vertical="center"/>
    </xf>
    <xf numFmtId="0" fontId="5" fillId="29" borderId="144" xfId="0" applyFont="1" applyFill="1" applyBorder="1" applyAlignment="1">
      <alignment horizontal="left" vertical="center"/>
    </xf>
    <xf numFmtId="0" fontId="54" fillId="25" borderId="144" xfId="3042" applyFont="1" applyFill="1" applyBorder="1" applyAlignment="1">
      <alignment horizontal="left" vertical="center"/>
    </xf>
    <xf numFmtId="0" fontId="29" fillId="25" borderId="5" xfId="430" applyFont="1" applyFill="1" applyBorder="1" applyAlignment="1">
      <alignment horizontal="center" vertical="center"/>
    </xf>
    <xf numFmtId="0" fontId="60" fillId="25" borderId="5" xfId="0" applyFont="1" applyFill="1" applyBorder="1" applyAlignment="1">
      <alignment horizontal="center" vertical="center"/>
    </xf>
    <xf numFmtId="0" fontId="60" fillId="25" borderId="5" xfId="3041" applyFont="1" applyFill="1" applyBorder="1" applyAlignment="1" applyProtection="1">
      <alignment horizontal="center" vertical="center"/>
      <protection locked="0"/>
    </xf>
    <xf numFmtId="4" fontId="60" fillId="25" borderId="5" xfId="3041" applyNumberFormat="1" applyFont="1" applyFill="1" applyBorder="1" applyAlignment="1" applyProtection="1">
      <alignment horizontal="center" vertical="center"/>
      <protection locked="0"/>
    </xf>
    <xf numFmtId="169" fontId="60" fillId="25" borderId="5" xfId="3041" applyNumberFormat="1" applyFont="1" applyFill="1" applyBorder="1" applyAlignment="1" applyProtection="1">
      <alignment horizontal="center" vertical="center"/>
      <protection locked="0"/>
    </xf>
    <xf numFmtId="207" fontId="48" fillId="25" borderId="5" xfId="3032" applyNumberFormat="1" applyFont="1" applyFill="1" applyBorder="1" applyAlignment="1">
      <alignment horizontal="center" vertical="center"/>
    </xf>
    <xf numFmtId="0" fontId="4" fillId="31" borderId="142" xfId="0" applyFont="1" applyFill="1" applyBorder="1" applyAlignment="1">
      <alignment horizontal="left" vertical="center"/>
    </xf>
    <xf numFmtId="0" fontId="4" fillId="31" borderId="144" xfId="0" applyFont="1" applyFill="1" applyBorder="1" applyAlignment="1">
      <alignment horizontal="left" vertical="center"/>
    </xf>
    <xf numFmtId="0" fontId="4" fillId="31" borderId="138" xfId="0" applyFont="1" applyFill="1" applyBorder="1" applyAlignment="1">
      <alignment horizontal="left" vertical="center"/>
    </xf>
    <xf numFmtId="0" fontId="163" fillId="26" borderId="43" xfId="3044" applyFont="1" applyFill="1" applyBorder="1" applyAlignment="1">
      <alignment horizontal="center" vertical="center" wrapText="1"/>
    </xf>
    <xf numFmtId="0" fontId="163" fillId="26" borderId="42" xfId="3044" applyFont="1" applyFill="1" applyBorder="1" applyAlignment="1">
      <alignment horizontal="center" vertical="center" wrapText="1"/>
    </xf>
    <xf numFmtId="0" fontId="163" fillId="26" borderId="74" xfId="3044" applyFont="1" applyFill="1" applyBorder="1" applyAlignment="1">
      <alignment horizontal="center" vertical="center" wrapText="1"/>
    </xf>
    <xf numFmtId="0" fontId="150" fillId="26" borderId="43" xfId="3044" applyFont="1" applyFill="1" applyBorder="1" applyAlignment="1">
      <alignment horizontal="left" vertical="center" wrapText="1"/>
    </xf>
    <xf numFmtId="0" fontId="150" fillId="26" borderId="42" xfId="3044" applyFont="1" applyFill="1" applyBorder="1" applyAlignment="1">
      <alignment horizontal="left" vertical="center" wrapText="1"/>
    </xf>
    <xf numFmtId="0" fontId="150" fillId="26" borderId="74" xfId="3044" applyFont="1" applyFill="1" applyBorder="1" applyAlignment="1">
      <alignment horizontal="left" vertical="center" wrapText="1"/>
    </xf>
    <xf numFmtId="0" fontId="175" fillId="31" borderId="126" xfId="0" applyFont="1" applyFill="1" applyBorder="1" applyAlignment="1">
      <alignment horizontal="center" vertical="center"/>
    </xf>
    <xf numFmtId="0" fontId="175" fillId="31" borderId="93" xfId="0" applyFont="1" applyFill="1" applyBorder="1" applyAlignment="1">
      <alignment horizontal="center" vertical="center"/>
    </xf>
    <xf numFmtId="0" fontId="175" fillId="31" borderId="132" xfId="0" applyFont="1" applyFill="1" applyBorder="1" applyAlignment="1">
      <alignment horizontal="center" vertical="center"/>
    </xf>
    <xf numFmtId="0" fontId="27" fillId="0" borderId="0" xfId="160" applyFont="1" applyAlignment="1">
      <alignment horizontal="left" vertical="top" wrapText="1"/>
    </xf>
    <xf numFmtId="165" fontId="85" fillId="0" borderId="5" xfId="0" applyNumberFormat="1" applyFont="1" applyBorder="1" applyAlignment="1">
      <alignment horizontal="center" vertical="center"/>
    </xf>
    <xf numFmtId="0" fontId="47" fillId="30" borderId="145" xfId="316" applyFont="1" applyFill="1" applyBorder="1" applyAlignment="1" applyProtection="1">
      <alignment horizontal="center"/>
      <protection locked="0"/>
    </xf>
    <xf numFmtId="0" fontId="47" fillId="30" borderId="53" xfId="316" applyFont="1" applyFill="1" applyBorder="1" applyAlignment="1" applyProtection="1">
      <alignment horizontal="center"/>
      <protection locked="0"/>
    </xf>
    <xf numFmtId="0" fontId="3" fillId="0" borderId="5" xfId="316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99" fillId="0" borderId="0" xfId="435" applyFont="1" applyAlignment="1">
      <alignment horizontal="left" vertical="center" wrapText="1"/>
    </xf>
    <xf numFmtId="0" fontId="100" fillId="0" borderId="0" xfId="275" applyFont="1" applyAlignment="1">
      <alignment horizontal="left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3" fillId="0" borderId="146" xfId="316" applyFont="1" applyBorder="1" applyAlignment="1">
      <alignment horizontal="center" vertical="center"/>
    </xf>
    <xf numFmtId="0" fontId="3" fillId="0" borderId="147" xfId="316" applyFont="1" applyBorder="1" applyAlignment="1">
      <alignment horizontal="center" vertical="center"/>
    </xf>
    <xf numFmtId="0" fontId="3" fillId="0" borderId="56" xfId="316" applyFont="1" applyBorder="1" applyAlignment="1">
      <alignment horizontal="center" vertical="center"/>
    </xf>
    <xf numFmtId="0" fontId="3" fillId="0" borderId="55" xfId="316" applyFont="1" applyBorder="1" applyAlignment="1">
      <alignment horizontal="center" vertical="center"/>
    </xf>
    <xf numFmtId="0" fontId="85" fillId="0" borderId="5" xfId="0" applyFont="1" applyBorder="1" applyAlignment="1">
      <alignment horizontal="left"/>
    </xf>
    <xf numFmtId="0" fontId="85" fillId="0" borderId="5" xfId="0" applyFont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/>
    </xf>
    <xf numFmtId="165" fontId="85" fillId="0" borderId="142" xfId="0" applyNumberFormat="1" applyFont="1" applyBorder="1" applyAlignment="1">
      <alignment horizontal="center" vertical="center"/>
    </xf>
    <xf numFmtId="165" fontId="85" fillId="0" borderId="143" xfId="0" applyNumberFormat="1" applyFont="1" applyBorder="1" applyAlignment="1">
      <alignment horizontal="center" vertical="center"/>
    </xf>
    <xf numFmtId="0" fontId="3" fillId="0" borderId="63" xfId="316" applyFont="1" applyBorder="1" applyAlignment="1">
      <alignment horizontal="center" vertical="center"/>
    </xf>
    <xf numFmtId="0" fontId="3" fillId="0" borderId="93" xfId="316" applyFont="1" applyBorder="1" applyAlignment="1">
      <alignment horizontal="center" vertical="center"/>
    </xf>
    <xf numFmtId="2" fontId="85" fillId="0" borderId="142" xfId="1" applyNumberFormat="1" applyFont="1" applyBorder="1" applyAlignment="1">
      <alignment horizontal="center" vertical="center"/>
    </xf>
    <xf numFmtId="2" fontId="85" fillId="0" borderId="144" xfId="1" applyNumberFormat="1" applyFont="1" applyBorder="1" applyAlignment="1">
      <alignment horizontal="center" vertical="center"/>
    </xf>
    <xf numFmtId="2" fontId="85" fillId="0" borderId="143" xfId="1" applyNumberFormat="1" applyFont="1" applyBorder="1" applyAlignment="1">
      <alignment horizontal="center" vertical="center"/>
    </xf>
    <xf numFmtId="43" fontId="28" fillId="29" borderId="5" xfId="1" applyFont="1" applyFill="1" applyBorder="1" applyAlignment="1">
      <alignment horizontal="center" vertical="center"/>
    </xf>
    <xf numFmtId="0" fontId="85" fillId="0" borderId="142" xfId="0" applyFont="1" applyBorder="1" applyAlignment="1">
      <alignment horizontal="left"/>
    </xf>
    <xf numFmtId="0" fontId="85" fillId="0" borderId="144" xfId="0" applyFont="1" applyBorder="1" applyAlignment="1">
      <alignment horizontal="left"/>
    </xf>
    <xf numFmtId="0" fontId="85" fillId="0" borderId="143" xfId="0" applyFont="1" applyBorder="1" applyAlignment="1">
      <alignment horizontal="left"/>
    </xf>
    <xf numFmtId="4" fontId="72" fillId="0" borderId="142" xfId="1" applyNumberFormat="1" applyFont="1" applyBorder="1" applyAlignment="1">
      <alignment horizontal="center" vertical="center"/>
    </xf>
    <xf numFmtId="4" fontId="72" fillId="0" borderId="144" xfId="1" applyNumberFormat="1" applyFont="1" applyBorder="1" applyAlignment="1">
      <alignment horizontal="center" vertical="center"/>
    </xf>
    <xf numFmtId="4" fontId="72" fillId="0" borderId="143" xfId="1" applyNumberFormat="1" applyFont="1" applyBorder="1" applyAlignment="1">
      <alignment horizontal="center" vertical="center"/>
    </xf>
    <xf numFmtId="43" fontId="28" fillId="29" borderId="142" xfId="1" applyFont="1" applyFill="1" applyBorder="1" applyAlignment="1">
      <alignment horizontal="center" vertical="center"/>
    </xf>
    <xf numFmtId="43" fontId="28" fillId="29" borderId="144" xfId="1" applyFont="1" applyFill="1" applyBorder="1" applyAlignment="1">
      <alignment horizontal="center" vertical="center"/>
    </xf>
    <xf numFmtId="43" fontId="28" fillId="29" borderId="143" xfId="1" applyFont="1" applyFill="1" applyBorder="1" applyAlignment="1">
      <alignment horizontal="center" vertical="center"/>
    </xf>
    <xf numFmtId="4" fontId="73" fillId="0" borderId="142" xfId="1" applyNumberFormat="1" applyFont="1" applyFill="1" applyBorder="1" applyAlignment="1">
      <alignment horizontal="center" vertical="center"/>
    </xf>
    <xf numFmtId="4" fontId="73" fillId="0" borderId="144" xfId="1" applyNumberFormat="1" applyFont="1" applyFill="1" applyBorder="1" applyAlignment="1">
      <alignment horizontal="center" vertical="center"/>
    </xf>
    <xf numFmtId="4" fontId="73" fillId="0" borderId="143" xfId="1" applyNumberFormat="1" applyFont="1" applyFill="1" applyBorder="1" applyAlignment="1">
      <alignment horizontal="center" vertical="center"/>
    </xf>
    <xf numFmtId="4" fontId="72" fillId="0" borderId="5" xfId="1" applyNumberFormat="1" applyFont="1" applyBorder="1" applyAlignment="1">
      <alignment horizontal="center" vertical="center"/>
    </xf>
    <xf numFmtId="0" fontId="53" fillId="0" borderId="146" xfId="0" applyFont="1" applyBorder="1" applyAlignment="1">
      <alignment horizontal="left" vertical="center"/>
    </xf>
    <xf numFmtId="0" fontId="53" fillId="0" borderId="148" xfId="0" applyFont="1" applyBorder="1" applyAlignment="1">
      <alignment horizontal="left" vertical="center"/>
    </xf>
    <xf numFmtId="0" fontId="53" fillId="0" borderId="56" xfId="0" applyFont="1" applyBorder="1" applyAlignment="1">
      <alignment horizontal="left" vertical="center"/>
    </xf>
    <xf numFmtId="0" fontId="53" fillId="0" borderId="54" xfId="0" applyFont="1" applyBorder="1" applyAlignment="1">
      <alignment horizontal="left" vertical="center"/>
    </xf>
    <xf numFmtId="4" fontId="73" fillId="0" borderId="5" xfId="1" applyNumberFormat="1" applyFont="1" applyFill="1" applyBorder="1" applyAlignment="1">
      <alignment horizontal="center" vertical="center"/>
    </xf>
    <xf numFmtId="0" fontId="30" fillId="0" borderId="146" xfId="283" applyFont="1" applyBorder="1" applyAlignment="1">
      <alignment horizontal="center" vertical="center" wrapText="1"/>
    </xf>
    <xf numFmtId="0" fontId="30" fillId="0" borderId="148" xfId="283" applyFont="1" applyBorder="1" applyAlignment="1">
      <alignment horizontal="center" vertical="center" wrapText="1"/>
    </xf>
    <xf numFmtId="0" fontId="30" fillId="0" borderId="147" xfId="283" applyFont="1" applyBorder="1" applyAlignment="1">
      <alignment horizontal="center" vertical="center" wrapText="1"/>
    </xf>
    <xf numFmtId="0" fontId="30" fillId="0" borderId="56" xfId="283" applyFont="1" applyBorder="1" applyAlignment="1">
      <alignment horizontal="center" vertical="center" wrapText="1"/>
    </xf>
    <xf numFmtId="0" fontId="30" fillId="0" borderId="54" xfId="283" applyFont="1" applyBorder="1" applyAlignment="1">
      <alignment horizontal="center" vertical="center" wrapText="1"/>
    </xf>
    <xf numFmtId="0" fontId="30" fillId="0" borderId="55" xfId="283" applyFont="1" applyBorder="1" applyAlignment="1">
      <alignment horizontal="center" vertical="center" wrapText="1"/>
    </xf>
    <xf numFmtId="165" fontId="168" fillId="0" borderId="60" xfId="160" quotePrefix="1" applyNumberFormat="1" applyFont="1" applyBorder="1" applyAlignment="1">
      <alignment horizontal="right" vertical="center"/>
    </xf>
    <xf numFmtId="0" fontId="28" fillId="25" borderId="146" xfId="160" applyFont="1" applyFill="1" applyBorder="1" applyAlignment="1" applyProtection="1">
      <alignment horizontal="center" vertical="center" wrapText="1"/>
      <protection locked="0"/>
    </xf>
    <xf numFmtId="0" fontId="28" fillId="25" borderId="148" xfId="160" applyFont="1" applyFill="1" applyBorder="1" applyAlignment="1" applyProtection="1">
      <alignment horizontal="center" vertical="center" wrapText="1"/>
      <protection locked="0"/>
    </xf>
    <xf numFmtId="0" fontId="28" fillId="25" borderId="147" xfId="160" applyFont="1" applyFill="1" applyBorder="1" applyAlignment="1" applyProtection="1">
      <alignment horizontal="center" vertical="center" wrapText="1"/>
      <protection locked="0"/>
    </xf>
    <xf numFmtId="0" fontId="28" fillId="25" borderId="56" xfId="160" applyFont="1" applyFill="1" applyBorder="1" applyAlignment="1" applyProtection="1">
      <alignment horizontal="center" vertical="center" wrapText="1"/>
      <protection locked="0"/>
    </xf>
    <xf numFmtId="0" fontId="28" fillId="25" borderId="54" xfId="160" applyFont="1" applyFill="1" applyBorder="1" applyAlignment="1" applyProtection="1">
      <alignment horizontal="center" vertical="center" wrapText="1"/>
      <protection locked="0"/>
    </xf>
    <xf numFmtId="0" fontId="28" fillId="25" borderId="55" xfId="160" applyFont="1" applyFill="1" applyBorder="1" applyAlignment="1" applyProtection="1">
      <alignment horizontal="center" vertical="center" wrapText="1"/>
      <protection locked="0"/>
    </xf>
    <xf numFmtId="0" fontId="168" fillId="0" borderId="60" xfId="160" quotePrefix="1" applyFont="1" applyBorder="1" applyAlignment="1">
      <alignment horizontal="right" vertical="center"/>
    </xf>
    <xf numFmtId="0" fontId="113" fillId="0" borderId="59" xfId="160" applyFont="1" applyBorder="1" applyAlignment="1">
      <alignment horizontal="left" vertical="center"/>
    </xf>
    <xf numFmtId="0" fontId="112" fillId="0" borderId="59" xfId="160" applyFont="1" applyBorder="1" applyAlignment="1">
      <alignment horizontal="right" vertical="center"/>
    </xf>
    <xf numFmtId="187" fontId="111" fillId="0" borderId="60" xfId="160" applyNumberFormat="1" applyFont="1" applyBorder="1" applyAlignment="1">
      <alignment horizontal="left" vertical="center" wrapText="1"/>
    </xf>
    <xf numFmtId="0" fontId="47" fillId="0" borderId="146" xfId="160" applyFont="1" applyBorder="1" applyAlignment="1" applyProtection="1">
      <alignment horizontal="center" vertical="center" wrapText="1"/>
      <protection locked="0"/>
    </xf>
    <xf numFmtId="0" fontId="47" fillId="0" borderId="148" xfId="160" applyFont="1" applyBorder="1" applyAlignment="1" applyProtection="1">
      <alignment horizontal="center" vertical="center"/>
      <protection locked="0"/>
    </xf>
    <xf numFmtId="0" fontId="47" fillId="0" borderId="147" xfId="160" applyFont="1" applyBorder="1" applyAlignment="1" applyProtection="1">
      <alignment horizontal="center" vertical="center"/>
      <protection locked="0"/>
    </xf>
    <xf numFmtId="0" fontId="47" fillId="0" borderId="63" xfId="160" applyFont="1" applyBorder="1" applyAlignment="1" applyProtection="1">
      <alignment horizontal="center" vertical="center"/>
      <protection locked="0"/>
    </xf>
    <xf numFmtId="0" fontId="47" fillId="0" borderId="0" xfId="160" applyFont="1" applyAlignment="1" applyProtection="1">
      <alignment horizontal="center" vertical="center"/>
      <protection locked="0"/>
    </xf>
    <xf numFmtId="0" fontId="47" fillId="0" borderId="93" xfId="160" applyFont="1" applyBorder="1" applyAlignment="1" applyProtection="1">
      <alignment horizontal="center" vertical="center"/>
      <protection locked="0"/>
    </xf>
    <xf numFmtId="0" fontId="47" fillId="0" borderId="56" xfId="160" applyFont="1" applyBorder="1" applyAlignment="1" applyProtection="1">
      <alignment horizontal="center" vertical="center"/>
      <protection locked="0"/>
    </xf>
    <xf numFmtId="0" fontId="47" fillId="0" borderId="54" xfId="160" applyFont="1" applyBorder="1" applyAlignment="1" applyProtection="1">
      <alignment horizontal="center" vertical="center"/>
      <protection locked="0"/>
    </xf>
    <xf numFmtId="0" fontId="47" fillId="0" borderId="55" xfId="160" applyFont="1" applyBorder="1" applyAlignment="1" applyProtection="1">
      <alignment horizontal="center" vertical="center"/>
      <protection locked="0"/>
    </xf>
    <xf numFmtId="10" fontId="3" fillId="0" borderId="142" xfId="160" applyNumberFormat="1" applyFont="1" applyBorder="1" applyAlignment="1">
      <alignment horizontal="center" vertical="center"/>
    </xf>
    <xf numFmtId="10" fontId="3" fillId="0" borderId="144" xfId="160" applyNumberFormat="1" applyFont="1" applyBorder="1" applyAlignment="1">
      <alignment horizontal="center" vertical="center"/>
    </xf>
    <xf numFmtId="10" fontId="3" fillId="0" borderId="143" xfId="160" applyNumberFormat="1" applyFont="1" applyBorder="1" applyAlignment="1">
      <alignment horizontal="center" vertical="center"/>
    </xf>
    <xf numFmtId="189" fontId="3" fillId="0" borderId="5" xfId="160" applyNumberFormat="1" applyFont="1" applyBorder="1" applyAlignment="1">
      <alignment horizontal="center" vertical="center"/>
    </xf>
    <xf numFmtId="0" fontId="30" fillId="0" borderId="146" xfId="160" applyFont="1" applyBorder="1" applyAlignment="1" applyProtection="1">
      <alignment horizontal="center" vertical="center" wrapText="1"/>
      <protection locked="0"/>
    </xf>
    <xf numFmtId="0" fontId="57" fillId="0" borderId="148" xfId="160" applyFont="1" applyBorder="1" applyAlignment="1" applyProtection="1">
      <alignment horizontal="center" vertical="center"/>
      <protection locked="0"/>
    </xf>
    <xf numFmtId="0" fontId="57" fillId="0" borderId="147" xfId="160" applyFont="1" applyBorder="1" applyAlignment="1" applyProtection="1">
      <alignment horizontal="center" vertical="center"/>
      <protection locked="0"/>
    </xf>
    <xf numFmtId="0" fontId="57" fillId="0" borderId="56" xfId="160" applyFont="1" applyBorder="1" applyAlignment="1" applyProtection="1">
      <alignment horizontal="center" vertical="center"/>
      <protection locked="0"/>
    </xf>
    <xf numFmtId="0" fontId="57" fillId="0" borderId="54" xfId="160" applyFont="1" applyBorder="1" applyAlignment="1" applyProtection="1">
      <alignment horizontal="center" vertical="center"/>
      <protection locked="0"/>
    </xf>
    <xf numFmtId="0" fontId="57" fillId="0" borderId="55" xfId="160" applyFont="1" applyBorder="1" applyAlignment="1" applyProtection="1">
      <alignment horizontal="center" vertical="center"/>
      <protection locked="0"/>
    </xf>
    <xf numFmtId="189" fontId="3" fillId="0" borderId="146" xfId="51" applyNumberFormat="1" applyFont="1" applyFill="1" applyBorder="1" applyAlignment="1">
      <alignment horizontal="center" vertical="center"/>
    </xf>
    <xf numFmtId="189" fontId="3" fillId="0" borderId="148" xfId="51" applyNumberFormat="1" applyFont="1" applyFill="1" applyBorder="1" applyAlignment="1">
      <alignment horizontal="center" vertical="center"/>
    </xf>
    <xf numFmtId="189" fontId="3" fillId="0" borderId="147" xfId="51" applyNumberFormat="1" applyFont="1" applyFill="1" applyBorder="1" applyAlignment="1">
      <alignment horizontal="center" vertical="center"/>
    </xf>
    <xf numFmtId="189" fontId="3" fillId="0" borderId="56" xfId="51" applyNumberFormat="1" applyFont="1" applyFill="1" applyBorder="1" applyAlignment="1">
      <alignment horizontal="center" vertical="center"/>
    </xf>
    <xf numFmtId="189" fontId="3" fillId="0" borderId="54" xfId="51" applyNumberFormat="1" applyFont="1" applyFill="1" applyBorder="1" applyAlignment="1">
      <alignment horizontal="center" vertical="center"/>
    </xf>
    <xf numFmtId="189" fontId="3" fillId="0" borderId="55" xfId="51" applyNumberFormat="1" applyFont="1" applyFill="1" applyBorder="1" applyAlignment="1">
      <alignment horizontal="center" vertical="center"/>
    </xf>
    <xf numFmtId="10" fontId="3" fillId="0" borderId="142" xfId="51" applyNumberFormat="1" applyFont="1" applyFill="1" applyBorder="1" applyAlignment="1">
      <alignment horizontal="center" vertical="center"/>
    </xf>
    <xf numFmtId="10" fontId="3" fillId="0" borderId="144" xfId="51" applyNumberFormat="1" applyFont="1" applyFill="1" applyBorder="1" applyAlignment="1">
      <alignment horizontal="center" vertical="center"/>
    </xf>
    <xf numFmtId="10" fontId="3" fillId="0" borderId="143" xfId="51" applyNumberFormat="1" applyFont="1" applyFill="1" applyBorder="1" applyAlignment="1">
      <alignment horizontal="center" vertical="center"/>
    </xf>
    <xf numFmtId="0" fontId="28" fillId="0" borderId="5" xfId="160" applyFont="1" applyBorder="1" applyAlignment="1">
      <alignment horizontal="center" vertical="center"/>
    </xf>
    <xf numFmtId="0" fontId="28" fillId="0" borderId="142" xfId="160" applyFont="1" applyBorder="1" applyAlignment="1">
      <alignment horizontal="center" vertical="center"/>
    </xf>
    <xf numFmtId="0" fontId="28" fillId="0" borderId="144" xfId="160" applyFont="1" applyBorder="1" applyAlignment="1">
      <alignment horizontal="center" vertical="center"/>
    </xf>
    <xf numFmtId="0" fontId="28" fillId="0" borderId="143" xfId="160" applyFont="1" applyBorder="1" applyAlignment="1">
      <alignment horizontal="center" vertical="center"/>
    </xf>
    <xf numFmtId="0" fontId="28" fillId="29" borderId="5" xfId="0" applyFont="1" applyFill="1" applyBorder="1" applyAlignment="1">
      <alignment horizontal="center" vertical="center"/>
    </xf>
    <xf numFmtId="187" fontId="113" fillId="0" borderId="60" xfId="160" applyNumberFormat="1" applyFont="1" applyBorder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189" fontId="3" fillId="0" borderId="142" xfId="160" applyNumberFormat="1" applyFont="1" applyBorder="1" applyAlignment="1">
      <alignment horizontal="center" vertical="center"/>
    </xf>
    <xf numFmtId="189" fontId="3" fillId="0" borderId="144" xfId="160" applyNumberFormat="1" applyFont="1" applyBorder="1" applyAlignment="1">
      <alignment horizontal="center" vertical="center"/>
    </xf>
    <xf numFmtId="189" fontId="3" fillId="0" borderId="143" xfId="160" applyNumberFormat="1" applyFont="1" applyBorder="1" applyAlignment="1">
      <alignment horizontal="center" vertical="center"/>
    </xf>
    <xf numFmtId="0" fontId="53" fillId="29" borderId="5" xfId="0" applyFont="1" applyFill="1" applyBorder="1" applyAlignment="1">
      <alignment horizontal="center" vertical="center"/>
    </xf>
    <xf numFmtId="0" fontId="114" fillId="0" borderId="59" xfId="160" applyFont="1" applyBorder="1" applyAlignment="1">
      <alignment horizontal="right" vertical="center"/>
    </xf>
    <xf numFmtId="0" fontId="48" fillId="0" borderId="0" xfId="160" applyFont="1" applyAlignment="1">
      <alignment horizontal="left" vertical="center"/>
    </xf>
    <xf numFmtId="0" fontId="3" fillId="0" borderId="63" xfId="160" applyFont="1" applyBorder="1" applyAlignment="1">
      <alignment horizontal="left" vertical="center"/>
    </xf>
    <xf numFmtId="0" fontId="3" fillId="0" borderId="0" xfId="160" applyFont="1" applyAlignment="1">
      <alignment horizontal="left" vertical="center"/>
    </xf>
    <xf numFmtId="8" fontId="85" fillId="0" borderId="148" xfId="0" applyNumberFormat="1" applyFont="1" applyBorder="1" applyAlignment="1">
      <alignment horizontal="left" vertical="center"/>
    </xf>
    <xf numFmtId="8" fontId="85" fillId="0" borderId="147" xfId="0" applyNumberFormat="1" applyFont="1" applyBorder="1" applyAlignment="1">
      <alignment horizontal="left" vertical="center"/>
    </xf>
    <xf numFmtId="8" fontId="85" fillId="0" borderId="54" xfId="0" applyNumberFormat="1" applyFont="1" applyBorder="1" applyAlignment="1">
      <alignment horizontal="left" vertical="center"/>
    </xf>
    <xf numFmtId="8" fontId="85" fillId="0" borderId="55" xfId="0" applyNumberFormat="1" applyFont="1" applyBorder="1" applyAlignment="1">
      <alignment horizontal="left" vertical="center"/>
    </xf>
    <xf numFmtId="212" fontId="85" fillId="0" borderId="148" xfId="0" applyNumberFormat="1" applyFont="1" applyBorder="1" applyAlignment="1">
      <alignment horizontal="left" vertical="center"/>
    </xf>
    <xf numFmtId="212" fontId="85" fillId="0" borderId="147" xfId="0" applyNumberFormat="1" applyFont="1" applyBorder="1" applyAlignment="1">
      <alignment horizontal="left" vertical="center"/>
    </xf>
    <xf numFmtId="49" fontId="85" fillId="0" borderId="54" xfId="0" applyNumberFormat="1" applyFont="1" applyBorder="1" applyAlignment="1">
      <alignment horizontal="left" vertical="center"/>
    </xf>
    <xf numFmtId="49" fontId="85" fillId="0" borderId="55" xfId="0" applyNumberFormat="1" applyFont="1" applyBorder="1" applyAlignment="1">
      <alignment horizontal="left" vertical="center"/>
    </xf>
    <xf numFmtId="0" fontId="85" fillId="0" borderId="54" xfId="0" applyFont="1" applyBorder="1" applyAlignment="1">
      <alignment horizontal="left" vertical="center" wrapText="1"/>
    </xf>
    <xf numFmtId="0" fontId="85" fillId="0" borderId="55" xfId="0" applyFont="1" applyBorder="1" applyAlignment="1">
      <alignment horizontal="left" vertical="center" wrapText="1"/>
    </xf>
    <xf numFmtId="0" fontId="85" fillId="0" borderId="54" xfId="0" applyFont="1" applyBorder="1" applyAlignment="1">
      <alignment horizontal="left" vertical="center"/>
    </xf>
    <xf numFmtId="0" fontId="85" fillId="0" borderId="55" xfId="0" applyFont="1" applyBorder="1" applyAlignment="1">
      <alignment horizontal="left" vertical="center"/>
    </xf>
    <xf numFmtId="0" fontId="53" fillId="25" borderId="146" xfId="0" applyFont="1" applyFill="1" applyBorder="1" applyAlignment="1">
      <alignment horizontal="center" vertical="center"/>
    </xf>
    <xf numFmtId="0" fontId="53" fillId="25" borderId="148" xfId="0" applyFont="1" applyFill="1" applyBorder="1" applyAlignment="1">
      <alignment horizontal="center" vertical="center"/>
    </xf>
    <xf numFmtId="0" fontId="53" fillId="25" borderId="147" xfId="0" applyFont="1" applyFill="1" applyBorder="1" applyAlignment="1">
      <alignment horizontal="center" vertical="center"/>
    </xf>
    <xf numFmtId="0" fontId="53" fillId="25" borderId="56" xfId="0" applyFont="1" applyFill="1" applyBorder="1" applyAlignment="1">
      <alignment horizontal="center" vertical="center"/>
    </xf>
    <xf numFmtId="0" fontId="53" fillId="25" borderId="54" xfId="0" applyFont="1" applyFill="1" applyBorder="1" applyAlignment="1">
      <alignment horizontal="center" vertical="center"/>
    </xf>
    <xf numFmtId="0" fontId="53" fillId="25" borderId="55" xfId="0" applyFont="1" applyFill="1" applyBorder="1" applyAlignment="1">
      <alignment horizontal="center" vertical="center"/>
    </xf>
    <xf numFmtId="0" fontId="55" fillId="25" borderId="5" xfId="0" applyFont="1" applyFill="1" applyBorder="1" applyAlignment="1">
      <alignment horizontal="center" vertical="center"/>
    </xf>
    <xf numFmtId="0" fontId="52" fillId="0" borderId="143" xfId="0" applyFont="1" applyBorder="1" applyAlignment="1">
      <alignment horizontal="left" vertical="top" wrapText="1"/>
    </xf>
    <xf numFmtId="0" fontId="52" fillId="0" borderId="5" xfId="0" applyFont="1" applyBorder="1" applyAlignment="1">
      <alignment horizontal="left" vertical="top"/>
    </xf>
    <xf numFmtId="0" fontId="52" fillId="0" borderId="142" xfId="0" applyFont="1" applyBorder="1" applyAlignment="1">
      <alignment horizontal="left" vertical="top"/>
    </xf>
    <xf numFmtId="0" fontId="52" fillId="0" borderId="143" xfId="0" applyFont="1" applyBorder="1" applyAlignment="1">
      <alignment horizontal="left" vertical="top"/>
    </xf>
    <xf numFmtId="0" fontId="62" fillId="25" borderId="142" xfId="0" applyFont="1" applyFill="1" applyBorder="1" applyAlignment="1">
      <alignment horizontal="center" vertical="center"/>
    </xf>
    <xf numFmtId="0" fontId="62" fillId="25" borderId="144" xfId="0" applyFont="1" applyFill="1" applyBorder="1" applyAlignment="1">
      <alignment horizontal="center" vertical="center"/>
    </xf>
    <xf numFmtId="0" fontId="62" fillId="25" borderId="143" xfId="0" applyFont="1" applyFill="1" applyBorder="1" applyAlignment="1">
      <alignment horizontal="center" vertical="center"/>
    </xf>
    <xf numFmtId="0" fontId="53" fillId="25" borderId="142" xfId="0" applyFont="1" applyFill="1" applyBorder="1" applyAlignment="1">
      <alignment horizontal="center" vertical="center"/>
    </xf>
    <xf numFmtId="0" fontId="53" fillId="25" borderId="144" xfId="0" applyFont="1" applyFill="1" applyBorder="1" applyAlignment="1">
      <alignment horizontal="center" vertical="center"/>
    </xf>
    <xf numFmtId="0" fontId="53" fillId="25" borderId="143" xfId="0" applyFont="1" applyFill="1" applyBorder="1" applyAlignment="1">
      <alignment horizontal="center" vertical="center"/>
    </xf>
    <xf numFmtId="2" fontId="72" fillId="28" borderId="5" xfId="0" applyNumberFormat="1" applyFont="1" applyFill="1" applyBorder="1" applyAlignment="1">
      <alignment horizontal="center" vertical="center"/>
    </xf>
    <xf numFmtId="2" fontId="85" fillId="0" borderId="5" xfId="1" applyNumberFormat="1" applyFont="1" applyBorder="1" applyAlignment="1">
      <alignment horizontal="center" vertical="center"/>
    </xf>
    <xf numFmtId="0" fontId="112" fillId="0" borderId="61" xfId="0" applyFont="1" applyBorder="1" applyAlignment="1">
      <alignment horizontal="right" vertical="center"/>
    </xf>
    <xf numFmtId="0" fontId="53" fillId="25" borderId="5" xfId="0" applyFont="1" applyFill="1" applyBorder="1" applyAlignment="1">
      <alignment horizontal="center" vertical="center"/>
    </xf>
    <xf numFmtId="0" fontId="85" fillId="0" borderId="5" xfId="0" applyFont="1" applyBorder="1" applyAlignment="1">
      <alignment horizontal="left" vertical="center"/>
    </xf>
    <xf numFmtId="0" fontId="85" fillId="0" borderId="142" xfId="0" applyFont="1" applyBorder="1" applyAlignment="1">
      <alignment horizontal="center" vertical="center"/>
    </xf>
    <xf numFmtId="0" fontId="85" fillId="0" borderId="144" xfId="0" applyFont="1" applyBorder="1" applyAlignment="1">
      <alignment horizontal="center" vertical="center"/>
    </xf>
    <xf numFmtId="0" fontId="85" fillId="0" borderId="143" xfId="0" applyFont="1" applyBorder="1" applyAlignment="1">
      <alignment horizontal="center" vertical="center"/>
    </xf>
    <xf numFmtId="2" fontId="73" fillId="0" borderId="142" xfId="0" applyNumberFormat="1" applyFont="1" applyBorder="1" applyAlignment="1">
      <alignment horizontal="center" vertical="center"/>
    </xf>
    <xf numFmtId="2" fontId="73" fillId="0" borderId="144" xfId="0" applyNumberFormat="1" applyFont="1" applyBorder="1" applyAlignment="1">
      <alignment horizontal="center" vertical="center"/>
    </xf>
    <xf numFmtId="2" fontId="73" fillId="0" borderId="143" xfId="0" applyNumberFormat="1" applyFont="1" applyBorder="1" applyAlignment="1">
      <alignment horizontal="center" vertical="center"/>
    </xf>
    <xf numFmtId="0" fontId="100" fillId="25" borderId="142" xfId="0" applyFont="1" applyFill="1" applyBorder="1" applyAlignment="1">
      <alignment horizontal="center" vertical="center"/>
    </xf>
    <xf numFmtId="0" fontId="100" fillId="25" borderId="144" xfId="0" applyFont="1" applyFill="1" applyBorder="1" applyAlignment="1">
      <alignment horizontal="center" vertical="center"/>
    </xf>
    <xf numFmtId="0" fontId="100" fillId="25" borderId="143" xfId="0" applyFont="1" applyFill="1" applyBorder="1" applyAlignment="1">
      <alignment horizontal="center" vertical="center"/>
    </xf>
    <xf numFmtId="0" fontId="118" fillId="25" borderId="142" xfId="0" applyFont="1" applyFill="1" applyBorder="1" applyAlignment="1">
      <alignment horizontal="center" vertical="center"/>
    </xf>
    <xf numFmtId="0" fontId="118" fillId="25" borderId="144" xfId="0" applyFont="1" applyFill="1" applyBorder="1" applyAlignment="1">
      <alignment horizontal="center" vertical="center"/>
    </xf>
    <xf numFmtId="0" fontId="118" fillId="25" borderId="143" xfId="0" applyFont="1" applyFill="1" applyBorder="1" applyAlignment="1">
      <alignment horizontal="center" vertical="center"/>
    </xf>
    <xf numFmtId="165" fontId="85" fillId="0" borderId="144" xfId="0" applyNumberFormat="1" applyFont="1" applyBorder="1" applyAlignment="1">
      <alignment horizontal="center" vertical="center"/>
    </xf>
    <xf numFmtId="0" fontId="85" fillId="28" borderId="5" xfId="0" applyFont="1" applyFill="1" applyBorder="1" applyAlignment="1">
      <alignment horizontal="left" vertical="center"/>
    </xf>
    <xf numFmtId="0" fontId="85" fillId="28" borderId="142" xfId="0" applyFont="1" applyFill="1" applyBorder="1" applyAlignment="1">
      <alignment horizontal="left" vertical="center"/>
    </xf>
    <xf numFmtId="0" fontId="85" fillId="28" borderId="144" xfId="0" applyFont="1" applyFill="1" applyBorder="1" applyAlignment="1">
      <alignment horizontal="left" vertical="center"/>
    </xf>
    <xf numFmtId="0" fontId="85" fillId="28" borderId="143" xfId="0" applyFont="1" applyFill="1" applyBorder="1" applyAlignment="1">
      <alignment horizontal="left" vertical="center"/>
    </xf>
    <xf numFmtId="2" fontId="72" fillId="0" borderId="5" xfId="1" applyNumberFormat="1" applyFont="1" applyBorder="1" applyAlignment="1">
      <alignment horizontal="center" vertical="center"/>
    </xf>
    <xf numFmtId="165" fontId="73" fillId="0" borderId="5" xfId="0" applyNumberFormat="1" applyFont="1" applyBorder="1" applyAlignment="1">
      <alignment horizontal="center" vertical="center"/>
    </xf>
    <xf numFmtId="0" fontId="54" fillId="25" borderId="5" xfId="0" applyFont="1" applyFill="1" applyBorder="1" applyAlignment="1">
      <alignment horizontal="center" vertical="center"/>
    </xf>
    <xf numFmtId="0" fontId="81" fillId="25" borderId="5" xfId="0" applyFont="1" applyFill="1" applyBorder="1" applyAlignment="1">
      <alignment horizontal="center" vertical="center"/>
    </xf>
    <xf numFmtId="0" fontId="59" fillId="25" borderId="5" xfId="0" applyFont="1" applyFill="1" applyBorder="1" applyAlignment="1">
      <alignment horizontal="center" vertical="center"/>
    </xf>
    <xf numFmtId="14" fontId="85" fillId="0" borderId="142" xfId="0" applyNumberFormat="1" applyFont="1" applyBorder="1" applyAlignment="1">
      <alignment horizontal="left" vertical="center"/>
    </xf>
    <xf numFmtId="14" fontId="85" fillId="0" borderId="144" xfId="0" applyNumberFormat="1" applyFont="1" applyBorder="1" applyAlignment="1">
      <alignment horizontal="left" vertical="center"/>
    </xf>
    <xf numFmtId="14" fontId="85" fillId="0" borderId="143" xfId="0" applyNumberFormat="1" applyFont="1" applyBorder="1" applyAlignment="1">
      <alignment horizontal="left" vertical="center"/>
    </xf>
    <xf numFmtId="0" fontId="53" fillId="0" borderId="142" xfId="0" applyFont="1" applyBorder="1" applyAlignment="1">
      <alignment horizontal="left" vertical="center"/>
    </xf>
    <xf numFmtId="0" fontId="53" fillId="0" borderId="144" xfId="0" applyFont="1" applyBorder="1" applyAlignment="1">
      <alignment horizontal="left" vertical="center"/>
    </xf>
    <xf numFmtId="0" fontId="53" fillId="0" borderId="143" xfId="0" applyFont="1" applyBorder="1" applyAlignment="1">
      <alignment horizontal="left" vertical="center"/>
    </xf>
    <xf numFmtId="199" fontId="28" fillId="0" borderId="142" xfId="0" applyNumberFormat="1" applyFont="1" applyBorder="1" applyAlignment="1">
      <alignment vertical="center"/>
    </xf>
    <xf numFmtId="199" fontId="28" fillId="0" borderId="144" xfId="0" applyNumberFormat="1" applyFont="1" applyBorder="1" applyAlignment="1">
      <alignment vertical="center"/>
    </xf>
    <xf numFmtId="199" fontId="28" fillId="0" borderId="143" xfId="0" applyNumberFormat="1" applyFont="1" applyBorder="1" applyAlignment="1">
      <alignment vertical="center"/>
    </xf>
    <xf numFmtId="200" fontId="28" fillId="0" borderId="142" xfId="0" applyNumberFormat="1" applyFont="1" applyBorder="1" applyAlignment="1">
      <alignment vertical="center"/>
    </xf>
    <xf numFmtId="200" fontId="28" fillId="0" borderId="144" xfId="0" applyNumberFormat="1" applyFont="1" applyBorder="1" applyAlignment="1">
      <alignment vertical="center"/>
    </xf>
    <xf numFmtId="200" fontId="28" fillId="0" borderId="143" xfId="0" applyNumberFormat="1" applyFont="1" applyBorder="1" applyAlignment="1">
      <alignment vertical="center"/>
    </xf>
    <xf numFmtId="14" fontId="3" fillId="0" borderId="142" xfId="0" applyNumberFormat="1" applyFont="1" applyBorder="1" applyAlignment="1">
      <alignment horizontal="left" vertical="center"/>
    </xf>
    <xf numFmtId="14" fontId="3" fillId="0" borderId="144" xfId="0" applyNumberFormat="1" applyFont="1" applyBorder="1" applyAlignment="1">
      <alignment horizontal="left" vertical="center"/>
    </xf>
    <xf numFmtId="14" fontId="3" fillId="0" borderId="143" xfId="0" applyNumberFormat="1" applyFont="1" applyBorder="1" applyAlignment="1">
      <alignment horizontal="left" vertical="center"/>
    </xf>
    <xf numFmtId="188" fontId="3" fillId="0" borderId="142" xfId="0" applyNumberFormat="1" applyFont="1" applyBorder="1" applyAlignment="1">
      <alignment horizontal="left" vertical="center"/>
    </xf>
    <xf numFmtId="188" fontId="3" fillId="0" borderId="144" xfId="0" applyNumberFormat="1" applyFont="1" applyBorder="1" applyAlignment="1">
      <alignment horizontal="left" vertical="center"/>
    </xf>
    <xf numFmtId="188" fontId="3" fillId="0" borderId="143" xfId="0" applyNumberFormat="1" applyFont="1" applyBorder="1" applyAlignment="1">
      <alignment horizontal="left" vertical="center"/>
    </xf>
    <xf numFmtId="0" fontId="85" fillId="0" borderId="142" xfId="0" applyFont="1" applyBorder="1" applyAlignment="1">
      <alignment horizontal="left" vertical="center"/>
    </xf>
    <xf numFmtId="0" fontId="85" fillId="0" borderId="144" xfId="0" applyFont="1" applyBorder="1" applyAlignment="1">
      <alignment horizontal="left" vertical="center"/>
    </xf>
    <xf numFmtId="0" fontId="85" fillId="0" borderId="143" xfId="0" applyFont="1" applyBorder="1" applyAlignment="1">
      <alignment horizontal="left" vertical="center"/>
    </xf>
    <xf numFmtId="14" fontId="3" fillId="48" borderId="142" xfId="0" applyNumberFormat="1" applyFont="1" applyFill="1" applyBorder="1" applyAlignment="1">
      <alignment horizontal="left" vertical="center"/>
    </xf>
    <xf numFmtId="14" fontId="3" fillId="48" borderId="144" xfId="0" applyNumberFormat="1" applyFont="1" applyFill="1" applyBorder="1" applyAlignment="1">
      <alignment horizontal="left" vertical="center"/>
    </xf>
    <xf numFmtId="14" fontId="3" fillId="48" borderId="143" xfId="0" applyNumberFormat="1" applyFont="1" applyFill="1" applyBorder="1" applyAlignment="1">
      <alignment horizontal="left" vertical="center"/>
    </xf>
    <xf numFmtId="49" fontId="168" fillId="0" borderId="60" xfId="160" quotePrefix="1" applyNumberFormat="1" applyFont="1" applyBorder="1" applyAlignment="1">
      <alignment horizontal="right" vertical="center"/>
    </xf>
    <xf numFmtId="1" fontId="3" fillId="0" borderId="142" xfId="0" applyNumberFormat="1" applyFont="1" applyBorder="1" applyAlignment="1">
      <alignment horizontal="left" vertical="center"/>
    </xf>
    <xf numFmtId="1" fontId="3" fillId="0" borderId="144" xfId="0" applyNumberFormat="1" applyFont="1" applyBorder="1" applyAlignment="1">
      <alignment horizontal="left" vertical="center"/>
    </xf>
    <xf numFmtId="0" fontId="53" fillId="0" borderId="147" xfId="0" applyFont="1" applyBorder="1" applyAlignment="1">
      <alignment horizontal="left" vertical="center"/>
    </xf>
    <xf numFmtId="0" fontId="53" fillId="0" borderId="55" xfId="0" applyFont="1" applyBorder="1" applyAlignment="1">
      <alignment horizontal="left" vertical="center"/>
    </xf>
    <xf numFmtId="202" fontId="3" fillId="28" borderId="146" xfId="0" applyNumberFormat="1" applyFont="1" applyFill="1" applyBorder="1" applyAlignment="1">
      <alignment horizontal="left" vertical="center"/>
    </xf>
    <xf numFmtId="202" fontId="3" fillId="28" borderId="148" xfId="0" applyNumberFormat="1" applyFont="1" applyFill="1" applyBorder="1" applyAlignment="1">
      <alignment horizontal="left" vertical="center"/>
    </xf>
    <xf numFmtId="202" fontId="3" fillId="28" borderId="147" xfId="0" applyNumberFormat="1" applyFont="1" applyFill="1" applyBorder="1" applyAlignment="1">
      <alignment horizontal="left" vertical="center"/>
    </xf>
    <xf numFmtId="202" fontId="3" fillId="28" borderId="56" xfId="0" applyNumberFormat="1" applyFont="1" applyFill="1" applyBorder="1" applyAlignment="1">
      <alignment horizontal="left" vertical="center"/>
    </xf>
    <xf numFmtId="202" fontId="3" fillId="28" borderId="54" xfId="0" applyNumberFormat="1" applyFont="1" applyFill="1" applyBorder="1" applyAlignment="1">
      <alignment horizontal="left" vertical="center"/>
    </xf>
    <xf numFmtId="202" fontId="3" fillId="28" borderId="55" xfId="0" applyNumberFormat="1" applyFont="1" applyFill="1" applyBorder="1" applyAlignment="1">
      <alignment horizontal="left" vertical="center"/>
    </xf>
    <xf numFmtId="8" fontId="85" fillId="28" borderId="146" xfId="0" applyNumberFormat="1" applyFont="1" applyFill="1" applyBorder="1" applyAlignment="1">
      <alignment horizontal="justify" vertical="center" wrapText="1"/>
    </xf>
    <xf numFmtId="8" fontId="85" fillId="28" borderId="148" xfId="0" applyNumberFormat="1" applyFont="1" applyFill="1" applyBorder="1" applyAlignment="1">
      <alignment horizontal="justify" vertical="center" wrapText="1"/>
    </xf>
    <xf numFmtId="8" fontId="85" fillId="28" borderId="147" xfId="0" applyNumberFormat="1" applyFont="1" applyFill="1" applyBorder="1" applyAlignment="1">
      <alignment horizontal="justify" vertical="center" wrapText="1"/>
    </xf>
    <xf numFmtId="8" fontId="85" fillId="28" borderId="63" xfId="0" applyNumberFormat="1" applyFont="1" applyFill="1" applyBorder="1" applyAlignment="1">
      <alignment horizontal="justify" vertical="center" wrapText="1"/>
    </xf>
    <xf numFmtId="8" fontId="85" fillId="28" borderId="0" xfId="0" applyNumberFormat="1" applyFont="1" applyFill="1" applyAlignment="1">
      <alignment horizontal="justify" vertical="center" wrapText="1"/>
    </xf>
    <xf numFmtId="8" fontId="85" fillId="28" borderId="93" xfId="0" applyNumberFormat="1" applyFont="1" applyFill="1" applyBorder="1" applyAlignment="1">
      <alignment horizontal="justify" vertical="center" wrapText="1"/>
    </xf>
    <xf numFmtId="8" fontId="85" fillId="28" borderId="56" xfId="0" applyNumberFormat="1" applyFont="1" applyFill="1" applyBorder="1" applyAlignment="1">
      <alignment horizontal="justify" vertical="center" wrapText="1"/>
    </xf>
    <xf numFmtId="8" fontId="85" fillId="28" borderId="54" xfId="0" applyNumberFormat="1" applyFont="1" applyFill="1" applyBorder="1" applyAlignment="1">
      <alignment horizontal="justify" vertical="center" wrapText="1"/>
    </xf>
    <xf numFmtId="8" fontId="85" fillId="28" borderId="55" xfId="0" applyNumberFormat="1" applyFont="1" applyFill="1" applyBorder="1" applyAlignment="1">
      <alignment horizontal="justify" vertical="center" wrapText="1"/>
    </xf>
    <xf numFmtId="0" fontId="115" fillId="25" borderId="146" xfId="0" applyFont="1" applyFill="1" applyBorder="1" applyAlignment="1">
      <alignment horizontal="center" vertical="center"/>
    </xf>
    <xf numFmtId="0" fontId="115" fillId="25" borderId="148" xfId="0" applyFont="1" applyFill="1" applyBorder="1" applyAlignment="1">
      <alignment horizontal="center" vertical="center"/>
    </xf>
    <xf numFmtId="0" fontId="115" fillId="25" borderId="147" xfId="0" applyFont="1" applyFill="1" applyBorder="1" applyAlignment="1">
      <alignment horizontal="center" vertical="center"/>
    </xf>
    <xf numFmtId="0" fontId="115" fillId="25" borderId="56" xfId="0" applyFont="1" applyFill="1" applyBorder="1" applyAlignment="1">
      <alignment horizontal="center" vertical="center"/>
    </xf>
    <xf numFmtId="0" fontId="115" fillId="25" borderId="54" xfId="0" applyFont="1" applyFill="1" applyBorder="1" applyAlignment="1">
      <alignment horizontal="center" vertical="center"/>
    </xf>
    <xf numFmtId="0" fontId="115" fillId="25" borderId="55" xfId="0" applyFont="1" applyFill="1" applyBorder="1" applyAlignment="1">
      <alignment horizontal="center" vertical="center"/>
    </xf>
    <xf numFmtId="0" fontId="53" fillId="0" borderId="142" xfId="0" applyFont="1" applyBorder="1" applyAlignment="1">
      <alignment vertical="center"/>
    </xf>
    <xf numFmtId="0" fontId="53" fillId="0" borderId="144" xfId="0" applyFont="1" applyBorder="1" applyAlignment="1">
      <alignment vertical="center"/>
    </xf>
    <xf numFmtId="0" fontId="53" fillId="0" borderId="143" xfId="0" applyFont="1" applyBorder="1" applyAlignment="1">
      <alignment vertical="center"/>
    </xf>
    <xf numFmtId="49" fontId="85" fillId="0" borderId="142" xfId="0" applyNumberFormat="1" applyFont="1" applyBorder="1" applyAlignment="1">
      <alignment horizontal="left" vertical="center"/>
    </xf>
    <xf numFmtId="49" fontId="85" fillId="0" borderId="144" xfId="0" applyNumberFormat="1" applyFont="1" applyBorder="1" applyAlignment="1">
      <alignment horizontal="left" vertical="center"/>
    </xf>
    <xf numFmtId="49" fontId="85" fillId="0" borderId="143" xfId="0" applyNumberFormat="1" applyFont="1" applyBorder="1" applyAlignment="1">
      <alignment horizontal="left" vertical="center"/>
    </xf>
    <xf numFmtId="0" fontId="53" fillId="28" borderId="142" xfId="0" applyFont="1" applyFill="1" applyBorder="1" applyAlignment="1">
      <alignment vertical="center"/>
    </xf>
    <xf numFmtId="0" fontId="53" fillId="28" borderId="144" xfId="0" applyFont="1" applyFill="1" applyBorder="1" applyAlignment="1">
      <alignment vertical="center"/>
    </xf>
    <xf numFmtId="0" fontId="53" fillId="28" borderId="143" xfId="0" applyFont="1" applyFill="1" applyBorder="1" applyAlignment="1">
      <alignment vertical="center"/>
    </xf>
    <xf numFmtId="49" fontId="85" fillId="28" borderId="142" xfId="0" applyNumberFormat="1" applyFont="1" applyFill="1" applyBorder="1" applyAlignment="1">
      <alignment horizontal="left" vertical="center"/>
    </xf>
    <xf numFmtId="49" fontId="85" fillId="28" borderId="144" xfId="0" applyNumberFormat="1" applyFont="1" applyFill="1" applyBorder="1" applyAlignment="1">
      <alignment horizontal="left" vertical="center"/>
    </xf>
    <xf numFmtId="49" fontId="85" fillId="28" borderId="143" xfId="0" applyNumberFormat="1" applyFont="1" applyFill="1" applyBorder="1" applyAlignment="1">
      <alignment horizontal="left" vertical="center"/>
    </xf>
    <xf numFmtId="14" fontId="85" fillId="28" borderId="142" xfId="0" applyNumberFormat="1" applyFont="1" applyFill="1" applyBorder="1" applyAlignment="1">
      <alignment horizontal="left" vertical="center"/>
    </xf>
    <xf numFmtId="14" fontId="85" fillId="28" borderId="144" xfId="0" applyNumberFormat="1" applyFont="1" applyFill="1" applyBorder="1" applyAlignment="1">
      <alignment horizontal="left" vertical="center"/>
    </xf>
    <xf numFmtId="14" fontId="85" fillId="28" borderId="143" xfId="0" applyNumberFormat="1" applyFont="1" applyFill="1" applyBorder="1" applyAlignment="1">
      <alignment horizontal="left" vertical="center"/>
    </xf>
    <xf numFmtId="8" fontId="85" fillId="0" borderId="146" xfId="0" applyNumberFormat="1" applyFont="1" applyBorder="1" applyAlignment="1">
      <alignment horizontal="justify" vertical="center" wrapText="1"/>
    </xf>
    <xf numFmtId="8" fontId="85" fillId="0" borderId="148" xfId="0" applyNumberFormat="1" applyFont="1" applyBorder="1" applyAlignment="1">
      <alignment horizontal="justify" vertical="center" wrapText="1"/>
    </xf>
    <xf numFmtId="8" fontId="85" fillId="0" borderId="147" xfId="0" applyNumberFormat="1" applyFont="1" applyBorder="1" applyAlignment="1">
      <alignment horizontal="justify" vertical="center" wrapText="1"/>
    </xf>
    <xf numFmtId="8" fontId="85" fillId="0" borderId="56" xfId="0" applyNumberFormat="1" applyFont="1" applyBorder="1" applyAlignment="1">
      <alignment horizontal="justify" vertical="center" wrapText="1"/>
    </xf>
    <xf numFmtId="8" fontId="85" fillId="0" borderId="54" xfId="0" applyNumberFormat="1" applyFont="1" applyBorder="1" applyAlignment="1">
      <alignment horizontal="justify" vertical="center" wrapText="1"/>
    </xf>
    <xf numFmtId="8" fontId="85" fillId="0" borderId="55" xfId="0" applyNumberFormat="1" applyFont="1" applyBorder="1" applyAlignment="1">
      <alignment horizontal="justify" vertical="center" wrapText="1"/>
    </xf>
    <xf numFmtId="49" fontId="53" fillId="0" borderId="142" xfId="0" applyNumberFormat="1" applyFont="1" applyBorder="1" applyAlignment="1">
      <alignment horizontal="left" vertical="center"/>
    </xf>
    <xf numFmtId="49" fontId="53" fillId="0" borderId="144" xfId="0" applyNumberFormat="1" applyFont="1" applyBorder="1" applyAlignment="1">
      <alignment horizontal="left" vertical="center"/>
    </xf>
    <xf numFmtId="49" fontId="53" fillId="0" borderId="143" xfId="0" applyNumberFormat="1" applyFont="1" applyBorder="1" applyAlignment="1">
      <alignment horizontal="left" vertical="center"/>
    </xf>
    <xf numFmtId="8" fontId="85" fillId="0" borderId="63" xfId="0" applyNumberFormat="1" applyFont="1" applyBorder="1" applyAlignment="1">
      <alignment horizontal="justify" vertical="center" wrapText="1"/>
    </xf>
    <xf numFmtId="8" fontId="85" fillId="0" borderId="0" xfId="0" applyNumberFormat="1" applyFont="1" applyAlignment="1">
      <alignment horizontal="justify" vertical="center" wrapText="1"/>
    </xf>
    <xf numFmtId="8" fontId="85" fillId="0" borderId="93" xfId="0" applyNumberFormat="1" applyFont="1" applyBorder="1" applyAlignment="1">
      <alignment horizontal="justify" vertical="center" wrapText="1"/>
    </xf>
    <xf numFmtId="8" fontId="85" fillId="0" borderId="142" xfId="0" applyNumberFormat="1" applyFont="1" applyBorder="1" applyAlignment="1">
      <alignment horizontal="left" vertical="center"/>
    </xf>
    <xf numFmtId="8" fontId="85" fillId="0" borderId="144" xfId="0" applyNumberFormat="1" applyFont="1" applyBorder="1" applyAlignment="1">
      <alignment horizontal="left" vertical="center"/>
    </xf>
    <xf numFmtId="8" fontId="85" fillId="0" borderId="143" xfId="0" applyNumberFormat="1" applyFont="1" applyBorder="1" applyAlignment="1">
      <alignment horizontal="left" vertical="center"/>
    </xf>
    <xf numFmtId="8" fontId="53" fillId="0" borderId="142" xfId="0" applyNumberFormat="1" applyFont="1" applyBorder="1" applyAlignment="1">
      <alignment horizontal="left" vertical="center"/>
    </xf>
    <xf numFmtId="8" fontId="53" fillId="0" borderId="144" xfId="0" applyNumberFormat="1" applyFont="1" applyBorder="1" applyAlignment="1">
      <alignment horizontal="left" vertical="center"/>
    </xf>
    <xf numFmtId="8" fontId="53" fillId="0" borderId="143" xfId="0" applyNumberFormat="1" applyFont="1" applyBorder="1" applyAlignment="1">
      <alignment horizontal="left" vertical="center"/>
    </xf>
    <xf numFmtId="8" fontId="53" fillId="0" borderId="142" xfId="0" applyNumberFormat="1" applyFont="1" applyBorder="1" applyAlignment="1">
      <alignment horizontal="left" vertical="center" wrapText="1"/>
    </xf>
    <xf numFmtId="8" fontId="53" fillId="0" borderId="144" xfId="0" applyNumberFormat="1" applyFont="1" applyBorder="1" applyAlignment="1">
      <alignment horizontal="left" vertical="center" wrapText="1"/>
    </xf>
    <xf numFmtId="8" fontId="53" fillId="0" borderId="143" xfId="0" applyNumberFormat="1" applyFont="1" applyBorder="1" applyAlignment="1">
      <alignment horizontal="left" vertical="center" wrapText="1"/>
    </xf>
    <xf numFmtId="8" fontId="85" fillId="0" borderId="142" xfId="0" applyNumberFormat="1" applyFont="1" applyBorder="1" applyAlignment="1">
      <alignment horizontal="left" vertical="center" wrapText="1"/>
    </xf>
    <xf numFmtId="8" fontId="85" fillId="0" borderId="144" xfId="0" applyNumberFormat="1" applyFont="1" applyBorder="1" applyAlignment="1">
      <alignment horizontal="left" vertical="center" wrapText="1"/>
    </xf>
    <xf numFmtId="8" fontId="85" fillId="0" borderId="143" xfId="0" applyNumberFormat="1" applyFont="1" applyBorder="1" applyAlignment="1">
      <alignment horizontal="left" vertical="center" wrapText="1"/>
    </xf>
    <xf numFmtId="2" fontId="72" fillId="28" borderId="142" xfId="0" applyNumberFormat="1" applyFont="1" applyFill="1" applyBorder="1" applyAlignment="1">
      <alignment horizontal="center" vertical="center"/>
    </xf>
    <xf numFmtId="2" fontId="72" fillId="28" borderId="144" xfId="0" applyNumberFormat="1" applyFont="1" applyFill="1" applyBorder="1" applyAlignment="1">
      <alignment horizontal="center" vertical="center"/>
    </xf>
    <xf numFmtId="2" fontId="72" fillId="28" borderId="143" xfId="0" applyNumberFormat="1" applyFont="1" applyFill="1" applyBorder="1" applyAlignment="1">
      <alignment horizontal="center" vertical="center"/>
    </xf>
    <xf numFmtId="0" fontId="112" fillId="0" borderId="59" xfId="0" applyFont="1" applyBorder="1" applyAlignment="1">
      <alignment horizontal="right" vertical="center"/>
    </xf>
    <xf numFmtId="1" fontId="3" fillId="0" borderId="143" xfId="0" applyNumberFormat="1" applyFont="1" applyBorder="1" applyAlignment="1">
      <alignment horizontal="left" vertical="center"/>
    </xf>
    <xf numFmtId="198" fontId="28" fillId="0" borderId="142" xfId="0" applyNumberFormat="1" applyFont="1" applyBorder="1" applyAlignment="1">
      <alignment vertical="center"/>
    </xf>
    <xf numFmtId="198" fontId="28" fillId="0" borderId="144" xfId="0" applyNumberFormat="1" applyFont="1" applyBorder="1" applyAlignment="1">
      <alignment vertical="center"/>
    </xf>
    <xf numFmtId="198" fontId="28" fillId="0" borderId="143" xfId="0" applyNumberFormat="1" applyFont="1" applyBorder="1" applyAlignment="1">
      <alignment vertical="center"/>
    </xf>
    <xf numFmtId="49" fontId="3" fillId="0" borderId="142" xfId="0" applyNumberFormat="1" applyFont="1" applyBorder="1" applyAlignment="1">
      <alignment horizontal="left" vertical="center"/>
    </xf>
    <xf numFmtId="49" fontId="3" fillId="0" borderId="144" xfId="0" applyNumberFormat="1" applyFont="1" applyBorder="1" applyAlignment="1">
      <alignment horizontal="left" vertical="center"/>
    </xf>
    <xf numFmtId="49" fontId="3" fillId="0" borderId="143" xfId="0" applyNumberFormat="1" applyFont="1" applyBorder="1" applyAlignment="1">
      <alignment horizontal="left" vertical="center"/>
    </xf>
    <xf numFmtId="49" fontId="3" fillId="0" borderId="142" xfId="0" applyNumberFormat="1" applyFont="1" applyBorder="1" applyAlignment="1">
      <alignment horizontal="center" vertical="center"/>
    </xf>
    <xf numFmtId="49" fontId="3" fillId="0" borderId="144" xfId="0" applyNumberFormat="1" applyFont="1" applyBorder="1" applyAlignment="1">
      <alignment horizontal="center" vertical="center"/>
    </xf>
    <xf numFmtId="49" fontId="3" fillId="0" borderId="143" xfId="0" applyNumberFormat="1" applyFont="1" applyBorder="1" applyAlignment="1">
      <alignment horizontal="center" vertical="center"/>
    </xf>
    <xf numFmtId="8" fontId="3" fillId="28" borderId="146" xfId="0" applyNumberFormat="1" applyFont="1" applyFill="1" applyBorder="1" applyAlignment="1">
      <alignment horizontal="left" vertical="center"/>
    </xf>
    <xf numFmtId="8" fontId="3" fillId="28" borderId="148" xfId="0" applyNumberFormat="1" applyFont="1" applyFill="1" applyBorder="1" applyAlignment="1">
      <alignment horizontal="left" vertical="center"/>
    </xf>
    <xf numFmtId="8" fontId="3" fillId="28" borderId="147" xfId="0" applyNumberFormat="1" applyFont="1" applyFill="1" applyBorder="1" applyAlignment="1">
      <alignment horizontal="left" vertical="center"/>
    </xf>
    <xf numFmtId="8" fontId="3" fillId="28" borderId="56" xfId="0" applyNumberFormat="1" applyFont="1" applyFill="1" applyBorder="1" applyAlignment="1">
      <alignment horizontal="left" vertical="center"/>
    </xf>
    <xf numFmtId="8" fontId="3" fillId="28" borderId="54" xfId="0" applyNumberFormat="1" applyFont="1" applyFill="1" applyBorder="1" applyAlignment="1">
      <alignment horizontal="left" vertical="center"/>
    </xf>
    <xf numFmtId="8" fontId="3" fillId="28" borderId="55" xfId="0" applyNumberFormat="1" applyFont="1" applyFill="1" applyBorder="1" applyAlignment="1">
      <alignment horizontal="left" vertical="center"/>
    </xf>
    <xf numFmtId="0" fontId="53" fillId="28" borderId="146" xfId="0" applyFont="1" applyFill="1" applyBorder="1" applyAlignment="1">
      <alignment vertical="center"/>
    </xf>
    <xf numFmtId="0" fontId="53" fillId="28" borderId="148" xfId="0" applyFont="1" applyFill="1" applyBorder="1" applyAlignment="1">
      <alignment vertical="center"/>
    </xf>
    <xf numFmtId="0" fontId="53" fillId="28" borderId="147" xfId="0" applyFont="1" applyFill="1" applyBorder="1" applyAlignment="1">
      <alignment vertical="center"/>
    </xf>
    <xf numFmtId="0" fontId="53" fillId="28" borderId="56" xfId="0" applyFont="1" applyFill="1" applyBorder="1" applyAlignment="1">
      <alignment vertical="center"/>
    </xf>
    <xf numFmtId="0" fontId="53" fillId="28" borderId="54" xfId="0" applyFont="1" applyFill="1" applyBorder="1" applyAlignment="1">
      <alignment vertical="center"/>
    </xf>
    <xf numFmtId="0" fontId="53" fillId="28" borderId="55" xfId="0" applyFont="1" applyFill="1" applyBorder="1" applyAlignment="1">
      <alignment vertical="center"/>
    </xf>
    <xf numFmtId="8" fontId="85" fillId="28" borderId="142" xfId="0" applyNumberFormat="1" applyFont="1" applyFill="1" applyBorder="1" applyAlignment="1">
      <alignment horizontal="left" vertical="center"/>
    </xf>
    <xf numFmtId="8" fontId="85" fillId="28" borderId="144" xfId="0" applyNumberFormat="1" applyFont="1" applyFill="1" applyBorder="1" applyAlignment="1">
      <alignment horizontal="left" vertical="center"/>
    </xf>
    <xf numFmtId="8" fontId="85" fillId="28" borderId="143" xfId="0" applyNumberFormat="1" applyFont="1" applyFill="1" applyBorder="1" applyAlignment="1">
      <alignment horizontal="left" vertical="center"/>
    </xf>
    <xf numFmtId="165" fontId="110" fillId="0" borderId="60" xfId="160" quotePrefix="1" applyNumberFormat="1" applyFont="1" applyBorder="1" applyAlignment="1">
      <alignment horizontal="right" vertical="center"/>
    </xf>
    <xf numFmtId="0" fontId="110" fillId="0" borderId="60" xfId="160" quotePrefix="1" applyFont="1" applyBorder="1" applyAlignment="1">
      <alignment horizontal="right" vertical="center"/>
    </xf>
    <xf numFmtId="0" fontId="87" fillId="25" borderId="146" xfId="0" applyFont="1" applyFill="1" applyBorder="1" applyAlignment="1">
      <alignment horizontal="center" vertical="center"/>
    </xf>
    <xf numFmtId="0" fontId="87" fillId="25" borderId="148" xfId="0" applyFont="1" applyFill="1" applyBorder="1" applyAlignment="1">
      <alignment horizontal="center" vertical="center"/>
    </xf>
    <xf numFmtId="0" fontId="87" fillId="25" borderId="147" xfId="0" applyFont="1" applyFill="1" applyBorder="1" applyAlignment="1">
      <alignment horizontal="center" vertical="center"/>
    </xf>
    <xf numFmtId="0" fontId="87" fillId="25" borderId="56" xfId="0" applyFont="1" applyFill="1" applyBorder="1" applyAlignment="1">
      <alignment horizontal="center" vertical="center"/>
    </xf>
    <xf numFmtId="0" fontId="87" fillId="25" borderId="54" xfId="0" applyFont="1" applyFill="1" applyBorder="1" applyAlignment="1">
      <alignment horizontal="center" vertical="center"/>
    </xf>
    <xf numFmtId="0" fontId="87" fillId="25" borderId="55" xfId="0" applyFont="1" applyFill="1" applyBorder="1" applyAlignment="1">
      <alignment horizontal="center" vertical="center"/>
    </xf>
    <xf numFmtId="2" fontId="85" fillId="0" borderId="54" xfId="0" applyNumberFormat="1" applyFont="1" applyBorder="1" applyAlignment="1">
      <alignment horizontal="left" vertical="center"/>
    </xf>
    <xf numFmtId="2" fontId="85" fillId="0" borderId="55" xfId="0" applyNumberFormat="1" applyFont="1" applyBorder="1" applyAlignment="1">
      <alignment horizontal="left" vertical="center"/>
    </xf>
    <xf numFmtId="8" fontId="85" fillId="0" borderId="54" xfId="0" applyNumberFormat="1" applyFont="1" applyBorder="1" applyAlignment="1">
      <alignment horizontal="left" vertical="center" wrapText="1"/>
    </xf>
    <xf numFmtId="0" fontId="53" fillId="0" borderId="63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93" xfId="0" applyFont="1" applyBorder="1" applyAlignment="1">
      <alignment horizontal="left" vertical="center"/>
    </xf>
    <xf numFmtId="0" fontId="53" fillId="28" borderId="142" xfId="0" applyFont="1" applyFill="1" applyBorder="1" applyAlignment="1">
      <alignment horizontal="left" vertical="center"/>
    </xf>
    <xf numFmtId="0" fontId="53" fillId="28" borderId="144" xfId="0" applyFont="1" applyFill="1" applyBorder="1" applyAlignment="1">
      <alignment horizontal="left" vertical="center"/>
    </xf>
    <xf numFmtId="0" fontId="53" fillId="28" borderId="143" xfId="0" applyFont="1" applyFill="1" applyBorder="1" applyAlignment="1">
      <alignment horizontal="left" vertical="center"/>
    </xf>
    <xf numFmtId="8" fontId="85" fillId="28" borderId="146" xfId="0" applyNumberFormat="1" applyFont="1" applyFill="1" applyBorder="1" applyAlignment="1">
      <alignment horizontal="left" vertical="center"/>
    </xf>
    <xf numFmtId="8" fontId="85" fillId="28" borderId="148" xfId="0" applyNumberFormat="1" applyFont="1" applyFill="1" applyBorder="1" applyAlignment="1">
      <alignment horizontal="left" vertical="center"/>
    </xf>
    <xf numFmtId="8" fontId="85" fillId="28" borderId="147" xfId="0" applyNumberFormat="1" applyFont="1" applyFill="1" applyBorder="1" applyAlignment="1">
      <alignment horizontal="left" vertical="center"/>
    </xf>
    <xf numFmtId="8" fontId="85" fillId="28" borderId="56" xfId="0" applyNumberFormat="1" applyFont="1" applyFill="1" applyBorder="1" applyAlignment="1">
      <alignment horizontal="left" vertical="center"/>
    </xf>
    <xf numFmtId="8" fontId="85" fillId="28" borderId="54" xfId="0" applyNumberFormat="1" applyFont="1" applyFill="1" applyBorder="1" applyAlignment="1">
      <alignment horizontal="left" vertical="center"/>
    </xf>
    <xf numFmtId="8" fontId="85" fillId="28" borderId="55" xfId="0" applyNumberFormat="1" applyFont="1" applyFill="1" applyBorder="1" applyAlignment="1">
      <alignment horizontal="left" vertical="center"/>
    </xf>
    <xf numFmtId="14" fontId="85" fillId="28" borderId="146" xfId="0" applyNumberFormat="1" applyFont="1" applyFill="1" applyBorder="1" applyAlignment="1">
      <alignment horizontal="left" vertical="center"/>
    </xf>
    <xf numFmtId="14" fontId="85" fillId="28" borderId="148" xfId="0" applyNumberFormat="1" applyFont="1" applyFill="1" applyBorder="1" applyAlignment="1">
      <alignment horizontal="left" vertical="center"/>
    </xf>
    <xf numFmtId="14" fontId="85" fillId="28" borderId="147" xfId="0" applyNumberFormat="1" applyFont="1" applyFill="1" applyBorder="1" applyAlignment="1">
      <alignment horizontal="left" vertical="center"/>
    </xf>
    <xf numFmtId="14" fontId="85" fillId="28" borderId="56" xfId="0" applyNumberFormat="1" applyFont="1" applyFill="1" applyBorder="1" applyAlignment="1">
      <alignment horizontal="left" vertical="center"/>
    </xf>
    <xf numFmtId="14" fontId="85" fillId="28" borderId="54" xfId="0" applyNumberFormat="1" applyFont="1" applyFill="1" applyBorder="1" applyAlignment="1">
      <alignment horizontal="left" vertical="center"/>
    </xf>
    <xf numFmtId="14" fontId="85" fillId="28" borderId="55" xfId="0" applyNumberFormat="1" applyFont="1" applyFill="1" applyBorder="1" applyAlignment="1">
      <alignment horizontal="left" vertical="center"/>
    </xf>
    <xf numFmtId="49" fontId="3" fillId="28" borderId="142" xfId="0" applyNumberFormat="1" applyFont="1" applyFill="1" applyBorder="1" applyAlignment="1">
      <alignment horizontal="left" vertical="center"/>
    </xf>
    <xf numFmtId="49" fontId="3" fillId="28" borderId="144" xfId="0" applyNumberFormat="1" applyFont="1" applyFill="1" applyBorder="1" applyAlignment="1">
      <alignment horizontal="left" vertical="center"/>
    </xf>
    <xf numFmtId="49" fontId="3" fillId="28" borderId="143" xfId="0" applyNumberFormat="1" applyFont="1" applyFill="1" applyBorder="1" applyAlignment="1">
      <alignment horizontal="left" vertical="center"/>
    </xf>
    <xf numFmtId="201" fontId="28" fillId="0" borderId="142" xfId="0" applyNumberFormat="1" applyFont="1" applyBorder="1" applyAlignment="1">
      <alignment vertical="center"/>
    </xf>
    <xf numFmtId="201" fontId="28" fillId="0" borderId="144" xfId="0" applyNumberFormat="1" applyFont="1" applyBorder="1" applyAlignment="1">
      <alignment vertical="center"/>
    </xf>
    <xf numFmtId="201" fontId="28" fillId="0" borderId="143" xfId="0" applyNumberFormat="1" applyFont="1" applyBorder="1" applyAlignment="1">
      <alignment vertical="center"/>
    </xf>
    <xf numFmtId="0" fontId="111" fillId="0" borderId="59" xfId="160" applyFont="1" applyBorder="1" applyAlignment="1">
      <alignment horizontal="left" vertical="center"/>
    </xf>
    <xf numFmtId="0" fontId="30" fillId="0" borderId="148" xfId="160" applyFont="1" applyBorder="1" applyAlignment="1" applyProtection="1">
      <alignment horizontal="center" vertical="center"/>
      <protection locked="0"/>
    </xf>
    <xf numFmtId="0" fontId="30" fillId="0" borderId="147" xfId="160" applyFont="1" applyBorder="1" applyAlignment="1" applyProtection="1">
      <alignment horizontal="center" vertical="center"/>
      <protection locked="0"/>
    </xf>
    <xf numFmtId="0" fontId="30" fillId="0" borderId="56" xfId="160" applyFont="1" applyBorder="1" applyAlignment="1" applyProtection="1">
      <alignment horizontal="center" vertical="center"/>
      <protection locked="0"/>
    </xf>
    <xf numFmtId="0" fontId="30" fillId="0" borderId="54" xfId="160" applyFont="1" applyBorder="1" applyAlignment="1" applyProtection="1">
      <alignment horizontal="center" vertical="center"/>
      <protection locked="0"/>
    </xf>
    <xf numFmtId="0" fontId="30" fillId="0" borderId="55" xfId="160" applyFont="1" applyBorder="1" applyAlignment="1" applyProtection="1">
      <alignment horizontal="center" vertical="center"/>
      <protection locked="0"/>
    </xf>
    <xf numFmtId="2" fontId="72" fillId="0" borderId="142" xfId="1" applyNumberFormat="1" applyFont="1" applyBorder="1" applyAlignment="1">
      <alignment horizontal="center" vertical="center"/>
    </xf>
    <xf numFmtId="2" fontId="72" fillId="0" borderId="144" xfId="1" applyNumberFormat="1" applyFont="1" applyBorder="1" applyAlignment="1">
      <alignment horizontal="center" vertical="center"/>
    </xf>
    <xf numFmtId="2" fontId="72" fillId="0" borderId="143" xfId="1" applyNumberFormat="1" applyFont="1" applyBorder="1" applyAlignment="1">
      <alignment horizontal="center" vertical="center"/>
    </xf>
    <xf numFmtId="0" fontId="72" fillId="28" borderId="142" xfId="0" applyFont="1" applyFill="1" applyBorder="1" applyAlignment="1">
      <alignment horizontal="left" vertical="center"/>
    </xf>
    <xf numFmtId="0" fontId="72" fillId="28" borderId="144" xfId="0" applyFont="1" applyFill="1" applyBorder="1" applyAlignment="1">
      <alignment horizontal="left" vertical="center"/>
    </xf>
    <xf numFmtId="0" fontId="72" fillId="28" borderId="143" xfId="0" applyFont="1" applyFill="1" applyBorder="1" applyAlignment="1">
      <alignment horizontal="left" vertical="center"/>
    </xf>
    <xf numFmtId="165" fontId="73" fillId="0" borderId="142" xfId="0" applyNumberFormat="1" applyFont="1" applyBorder="1" applyAlignment="1">
      <alignment horizontal="center" vertical="center"/>
    </xf>
    <xf numFmtId="165" fontId="73" fillId="0" borderId="144" xfId="0" applyNumberFormat="1" applyFont="1" applyBorder="1" applyAlignment="1">
      <alignment horizontal="center" vertical="center"/>
    </xf>
    <xf numFmtId="165" fontId="73" fillId="0" borderId="143" xfId="0" applyNumberFormat="1" applyFont="1" applyBorder="1" applyAlignment="1">
      <alignment horizontal="center" vertical="center"/>
    </xf>
    <xf numFmtId="0" fontId="115" fillId="25" borderId="5" xfId="0" applyFont="1" applyFill="1" applyBorder="1" applyAlignment="1">
      <alignment horizontal="center" vertical="center"/>
    </xf>
    <xf numFmtId="8" fontId="53" fillId="28" borderId="142" xfId="0" applyNumberFormat="1" applyFont="1" applyFill="1" applyBorder="1" applyAlignment="1">
      <alignment horizontal="left" vertical="center"/>
    </xf>
    <xf numFmtId="8" fontId="53" fillId="28" borderId="144" xfId="0" applyNumberFormat="1" applyFont="1" applyFill="1" applyBorder="1" applyAlignment="1">
      <alignment horizontal="left" vertical="center"/>
    </xf>
    <xf numFmtId="8" fontId="53" fillId="28" borderId="143" xfId="0" applyNumberFormat="1" applyFont="1" applyFill="1" applyBorder="1" applyAlignment="1">
      <alignment horizontal="left" vertical="center"/>
    </xf>
    <xf numFmtId="0" fontId="47" fillId="0" borderId="54" xfId="0" applyFont="1" applyBorder="1" applyAlignment="1">
      <alignment horizontal="center" vertical="center"/>
    </xf>
    <xf numFmtId="14" fontId="6" fillId="25" borderId="124" xfId="0" applyNumberFormat="1" applyFont="1" applyFill="1" applyBorder="1" applyAlignment="1">
      <alignment horizontal="center" vertical="center"/>
    </xf>
    <xf numFmtId="14" fontId="6" fillId="25" borderId="25" xfId="0" applyNumberFormat="1" applyFont="1" applyFill="1" applyBorder="1" applyAlignment="1">
      <alignment horizontal="center" vertical="center"/>
    </xf>
    <xf numFmtId="14" fontId="6" fillId="25" borderId="41" xfId="0" applyNumberFormat="1" applyFont="1" applyFill="1" applyBorder="1" applyAlignment="1">
      <alignment horizontal="center" vertical="center"/>
    </xf>
    <xf numFmtId="0" fontId="4" fillId="0" borderId="21" xfId="3032" applyBorder="1" applyAlignment="1">
      <alignment horizontal="left" vertical="center"/>
    </xf>
    <xf numFmtId="0" fontId="4" fillId="0" borderId="29" xfId="3032" applyBorder="1" applyAlignment="1">
      <alignment horizontal="left" vertical="center"/>
    </xf>
    <xf numFmtId="4" fontId="6" fillId="28" borderId="148" xfId="3032" applyNumberFormat="1" applyFont="1" applyFill="1" applyBorder="1" applyAlignment="1">
      <alignment horizontal="center"/>
    </xf>
    <xf numFmtId="4" fontId="6" fillId="28" borderId="147" xfId="3032" applyNumberFormat="1" applyFont="1" applyFill="1" applyBorder="1" applyAlignment="1">
      <alignment horizontal="center"/>
    </xf>
    <xf numFmtId="0" fontId="79" fillId="0" borderId="56" xfId="3032" applyFont="1" applyBorder="1" applyAlignment="1">
      <alignment horizontal="center" vertical="center"/>
    </xf>
    <xf numFmtId="0" fontId="79" fillId="0" borderId="54" xfId="3032" applyFont="1" applyBorder="1" applyAlignment="1">
      <alignment horizontal="center" vertical="center"/>
    </xf>
    <xf numFmtId="0" fontId="79" fillId="0" borderId="55" xfId="3032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25" borderId="39" xfId="0" applyFont="1" applyFill="1" applyBorder="1" applyAlignment="1">
      <alignment horizontal="center" vertical="center"/>
    </xf>
    <xf numFmtId="0" fontId="78" fillId="28" borderId="142" xfId="3032" applyFont="1" applyFill="1" applyBorder="1" applyAlignment="1">
      <alignment horizontal="right" vertical="center"/>
    </xf>
    <xf numFmtId="0" fontId="78" fillId="28" borderId="144" xfId="3032" applyFont="1" applyFill="1" applyBorder="1" applyAlignment="1">
      <alignment horizontal="right" vertical="center"/>
    </xf>
    <xf numFmtId="0" fontId="78" fillId="28" borderId="142" xfId="3032" applyFont="1" applyFill="1" applyBorder="1" applyAlignment="1">
      <alignment horizontal="center" vertical="center"/>
    </xf>
    <xf numFmtId="0" fontId="78" fillId="28" borderId="143" xfId="3032" applyFont="1" applyFill="1" applyBorder="1" applyAlignment="1">
      <alignment horizontal="center" vertical="center"/>
    </xf>
    <xf numFmtId="0" fontId="77" fillId="0" borderId="39" xfId="0" applyFont="1" applyBorder="1" applyAlignment="1">
      <alignment horizontal="center" vertical="center"/>
    </xf>
    <xf numFmtId="4" fontId="4" fillId="0" borderId="0" xfId="3032" applyNumberFormat="1" applyAlignment="1">
      <alignment horizontal="center"/>
    </xf>
    <xf numFmtId="0" fontId="4" fillId="0" borderId="24" xfId="3032" applyBorder="1" applyAlignment="1">
      <alignment horizontal="left" vertical="center"/>
    </xf>
    <xf numFmtId="0" fontId="4" fillId="0" borderId="25" xfId="3032" applyBorder="1" applyAlignment="1">
      <alignment horizontal="left" vertical="center"/>
    </xf>
    <xf numFmtId="0" fontId="4" fillId="0" borderId="41" xfId="3032" applyBorder="1" applyAlignment="1">
      <alignment horizontal="left" vertical="center"/>
    </xf>
    <xf numFmtId="4" fontId="6" fillId="28" borderId="0" xfId="3032" applyNumberFormat="1" applyFont="1" applyFill="1" applyAlignment="1">
      <alignment horizontal="center"/>
    </xf>
    <xf numFmtId="4" fontId="6" fillId="28" borderId="93" xfId="3032" applyNumberFormat="1" applyFont="1" applyFill="1" applyBorder="1" applyAlignment="1">
      <alignment horizontal="center"/>
    </xf>
    <xf numFmtId="0" fontId="4" fillId="0" borderId="56" xfId="3032" applyBorder="1" applyAlignment="1">
      <alignment horizontal="left" vertical="center"/>
    </xf>
    <xf numFmtId="0" fontId="4" fillId="0" borderId="54" xfId="3032" applyBorder="1" applyAlignment="1">
      <alignment horizontal="left" vertical="center"/>
    </xf>
    <xf numFmtId="0" fontId="4" fillId="0" borderId="142" xfId="3032" applyBorder="1" applyAlignment="1">
      <alignment horizontal="center"/>
    </xf>
    <xf numFmtId="0" fontId="4" fillId="0" borderId="144" xfId="3032" applyBorder="1" applyAlignment="1">
      <alignment horizontal="center"/>
    </xf>
    <xf numFmtId="0" fontId="4" fillId="0" borderId="143" xfId="3032" applyBorder="1" applyAlignment="1">
      <alignment horizontal="center"/>
    </xf>
    <xf numFmtId="0" fontId="46" fillId="0" borderId="21" xfId="3032" applyFont="1" applyBorder="1" applyAlignment="1">
      <alignment horizontal="left" vertical="center"/>
    </xf>
    <xf numFmtId="0" fontId="46" fillId="0" borderId="29" xfId="3032" applyFont="1" applyBorder="1" applyAlignment="1">
      <alignment horizontal="left" vertical="center"/>
    </xf>
    <xf numFmtId="0" fontId="46" fillId="0" borderId="24" xfId="3032" applyFont="1" applyBorder="1" applyAlignment="1">
      <alignment horizontal="left" vertical="center"/>
    </xf>
    <xf numFmtId="0" fontId="46" fillId="0" borderId="25" xfId="3032" applyFont="1" applyBorder="1" applyAlignment="1">
      <alignment horizontal="left" vertical="center"/>
    </xf>
    <xf numFmtId="0" fontId="46" fillId="0" borderId="41" xfId="3032" applyFont="1" applyBorder="1" applyAlignment="1">
      <alignment horizontal="left" vertical="center"/>
    </xf>
    <xf numFmtId="0" fontId="46" fillId="0" borderId="56" xfId="3032" applyFont="1" applyBorder="1" applyAlignment="1">
      <alignment horizontal="left" vertical="center"/>
    </xf>
    <xf numFmtId="0" fontId="46" fillId="0" borderId="54" xfId="3032" applyFont="1" applyBorder="1" applyAlignment="1">
      <alignment horizontal="left" vertical="center"/>
    </xf>
    <xf numFmtId="168" fontId="6" fillId="0" borderId="21" xfId="3032" applyNumberFormat="1" applyFont="1" applyBorder="1" applyAlignment="1">
      <alignment horizontal="center" vertical="center"/>
    </xf>
    <xf numFmtId="168" fontId="6" fillId="0" borderId="29" xfId="3032" applyNumberFormat="1" applyFont="1" applyBorder="1" applyAlignment="1">
      <alignment horizontal="center" vertical="center"/>
    </xf>
    <xf numFmtId="168" fontId="6" fillId="0" borderId="19" xfId="3032" applyNumberFormat="1" applyFont="1" applyBorder="1" applyAlignment="1">
      <alignment horizontal="center" vertical="center"/>
    </xf>
    <xf numFmtId="0" fontId="6" fillId="0" borderId="28" xfId="3032" applyFont="1" applyBorder="1" applyAlignment="1">
      <alignment horizontal="center" vertical="center"/>
    </xf>
    <xf numFmtId="0" fontId="6" fillId="0" borderId="30" xfId="3032" applyFont="1" applyBorder="1" applyAlignment="1">
      <alignment horizontal="center" vertical="center"/>
    </xf>
    <xf numFmtId="0" fontId="6" fillId="0" borderId="26" xfId="3032" applyFont="1" applyBorder="1" applyAlignment="1">
      <alignment horizontal="center" vertical="center"/>
    </xf>
    <xf numFmtId="0" fontId="75" fillId="0" borderId="142" xfId="3032" applyFont="1" applyBorder="1" applyAlignment="1">
      <alignment horizontal="left" vertical="center"/>
    </xf>
    <xf numFmtId="0" fontId="75" fillId="0" borderId="144" xfId="3032" applyFont="1" applyBorder="1" applyAlignment="1">
      <alignment horizontal="left" vertical="center"/>
    </xf>
    <xf numFmtId="0" fontId="75" fillId="0" borderId="144" xfId="3032" applyFont="1" applyBorder="1" applyAlignment="1">
      <alignment horizontal="center" vertical="center"/>
    </xf>
    <xf numFmtId="0" fontId="75" fillId="0" borderId="143" xfId="3032" applyFont="1" applyBorder="1" applyAlignment="1">
      <alignment horizontal="center" vertical="center"/>
    </xf>
    <xf numFmtId="0" fontId="6" fillId="0" borderId="142" xfId="3032" applyFont="1" applyBorder="1" applyAlignment="1">
      <alignment horizontal="left" vertical="center"/>
    </xf>
    <xf numFmtId="0" fontId="6" fillId="0" borderId="144" xfId="3032" applyFont="1" applyBorder="1" applyAlignment="1">
      <alignment horizontal="left" vertical="center"/>
    </xf>
    <xf numFmtId="0" fontId="6" fillId="0" borderId="143" xfId="3032" applyFont="1" applyBorder="1" applyAlignment="1">
      <alignment horizontal="left" vertical="center"/>
    </xf>
    <xf numFmtId="0" fontId="70" fillId="25" borderId="5" xfId="3032" applyFont="1" applyFill="1" applyBorder="1" applyAlignment="1">
      <alignment horizontal="center" vertical="center"/>
    </xf>
    <xf numFmtId="0" fontId="71" fillId="0" borderId="5" xfId="3032" applyFont="1" applyBorder="1" applyAlignment="1">
      <alignment horizontal="center" vertical="center"/>
    </xf>
    <xf numFmtId="0" fontId="75" fillId="25" borderId="145" xfId="3032" applyFont="1" applyFill="1" applyBorder="1" applyAlignment="1">
      <alignment horizontal="center" vertical="center"/>
    </xf>
    <xf numFmtId="0" fontId="75" fillId="25" borderId="53" xfId="3032" applyFont="1" applyFill="1" applyBorder="1" applyAlignment="1">
      <alignment horizontal="center" vertical="center"/>
    </xf>
    <xf numFmtId="0" fontId="75" fillId="25" borderId="146" xfId="3032" applyFont="1" applyFill="1" applyBorder="1" applyAlignment="1">
      <alignment horizontal="center" vertical="center"/>
    </xf>
    <xf numFmtId="0" fontId="75" fillId="25" borderId="148" xfId="3032" applyFont="1" applyFill="1" applyBorder="1" applyAlignment="1">
      <alignment horizontal="center" vertical="center"/>
    </xf>
    <xf numFmtId="0" fontId="75" fillId="25" borderId="147" xfId="3032" applyFont="1" applyFill="1" applyBorder="1" applyAlignment="1">
      <alignment horizontal="center" vertical="center"/>
    </xf>
    <xf numFmtId="0" fontId="75" fillId="25" borderId="56" xfId="3032" applyFont="1" applyFill="1" applyBorder="1" applyAlignment="1">
      <alignment horizontal="center" vertical="center"/>
    </xf>
    <xf numFmtId="0" fontId="75" fillId="25" borderId="54" xfId="3032" applyFont="1" applyFill="1" applyBorder="1" applyAlignment="1">
      <alignment horizontal="center" vertical="center"/>
    </xf>
    <xf numFmtId="0" fontId="75" fillId="25" borderId="55" xfId="3032" applyFont="1" applyFill="1" applyBorder="1" applyAlignment="1">
      <alignment horizontal="center" vertical="center"/>
    </xf>
    <xf numFmtId="0" fontId="75" fillId="25" borderId="145" xfId="3032" applyFont="1" applyFill="1" applyBorder="1" applyAlignment="1">
      <alignment horizontal="center" vertical="center" wrapText="1"/>
    </xf>
    <xf numFmtId="0" fontId="75" fillId="25" borderId="53" xfId="3032" applyFont="1" applyFill="1" applyBorder="1" applyAlignment="1">
      <alignment horizontal="center" vertical="center" wrapText="1"/>
    </xf>
    <xf numFmtId="0" fontId="75" fillId="25" borderId="5" xfId="3032" applyFont="1" applyFill="1" applyBorder="1" applyAlignment="1">
      <alignment horizontal="center" vertical="center"/>
    </xf>
    <xf numFmtId="0" fontId="75" fillId="25" borderId="146" xfId="3032" applyFont="1" applyFill="1" applyBorder="1" applyAlignment="1">
      <alignment horizontal="center" vertical="center" wrapText="1"/>
    </xf>
    <xf numFmtId="0" fontId="75" fillId="25" borderId="147" xfId="3032" applyFont="1" applyFill="1" applyBorder="1" applyAlignment="1">
      <alignment horizontal="center" vertical="center" wrapText="1"/>
    </xf>
    <xf numFmtId="0" fontId="75" fillId="25" borderId="56" xfId="3032" applyFont="1" applyFill="1" applyBorder="1" applyAlignment="1">
      <alignment horizontal="center" vertical="center" wrapText="1"/>
    </xf>
    <xf numFmtId="0" fontId="75" fillId="25" borderId="55" xfId="3032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28" fillId="0" borderId="146" xfId="0" applyFont="1" applyBorder="1" applyAlignment="1">
      <alignment horizontal="center" vertical="center" wrapText="1"/>
    </xf>
    <xf numFmtId="0" fontId="28" fillId="0" borderId="148" xfId="0" applyFont="1" applyBorder="1" applyAlignment="1">
      <alignment horizontal="center" vertical="center" wrapText="1"/>
    </xf>
    <xf numFmtId="0" fontId="28" fillId="0" borderId="148" xfId="0" applyFont="1" applyBorder="1" applyAlignment="1">
      <alignment horizontal="center" vertical="center"/>
    </xf>
    <xf numFmtId="0" fontId="28" fillId="0" borderId="147" xfId="0" applyFont="1" applyBorder="1" applyAlignment="1">
      <alignment horizontal="center" vertical="center"/>
    </xf>
    <xf numFmtId="0" fontId="75" fillId="25" borderId="142" xfId="3032" applyFont="1" applyFill="1" applyBorder="1" applyAlignment="1">
      <alignment horizontal="center" vertical="center"/>
    </xf>
    <xf numFmtId="0" fontId="75" fillId="25" borderId="144" xfId="3032" applyFont="1" applyFill="1" applyBorder="1" applyAlignment="1">
      <alignment horizontal="center" vertical="center"/>
    </xf>
    <xf numFmtId="0" fontId="75" fillId="25" borderId="143" xfId="3032" applyFont="1" applyFill="1" applyBorder="1" applyAlignment="1">
      <alignment horizontal="center" vertical="center"/>
    </xf>
    <xf numFmtId="165" fontId="67" fillId="0" borderId="145" xfId="439" applyNumberFormat="1" applyFont="1" applyBorder="1" applyAlignment="1" applyProtection="1">
      <alignment horizontal="center" vertical="center"/>
      <protection hidden="1"/>
    </xf>
    <xf numFmtId="165" fontId="67" fillId="0" borderId="90" xfId="439" applyNumberFormat="1" applyFont="1" applyBorder="1" applyAlignment="1" applyProtection="1">
      <alignment horizontal="center" vertical="center"/>
      <protection hidden="1"/>
    </xf>
    <xf numFmtId="165" fontId="67" fillId="0" borderId="53" xfId="439" applyNumberFormat="1" applyFont="1" applyBorder="1" applyAlignment="1" applyProtection="1">
      <alignment horizontal="center" vertical="center"/>
      <protection hidden="1"/>
    </xf>
    <xf numFmtId="2" fontId="67" fillId="0" borderId="145" xfId="439" applyNumberFormat="1" applyFont="1" applyBorder="1" applyAlignment="1" applyProtection="1">
      <alignment horizontal="center" vertical="center" wrapText="1"/>
      <protection hidden="1"/>
    </xf>
    <xf numFmtId="2" fontId="67" fillId="0" borderId="53" xfId="439" applyNumberFormat="1" applyFont="1" applyBorder="1" applyAlignment="1" applyProtection="1">
      <alignment horizontal="center" vertical="center" wrapText="1"/>
      <protection hidden="1"/>
    </xf>
    <xf numFmtId="0" fontId="66" fillId="29" borderId="54" xfId="3032" applyFont="1" applyFill="1" applyBorder="1" applyAlignment="1">
      <alignment horizontal="left" vertical="center"/>
    </xf>
    <xf numFmtId="0" fontId="87" fillId="25" borderId="5" xfId="439" applyFont="1" applyFill="1" applyBorder="1" applyAlignment="1">
      <alignment horizontal="center" vertical="center"/>
    </xf>
    <xf numFmtId="2" fontId="66" fillId="25" borderId="142" xfId="439" applyNumberFormat="1" applyFont="1" applyFill="1" applyBorder="1" applyAlignment="1" applyProtection="1">
      <alignment horizontal="left" vertical="center" wrapText="1"/>
      <protection hidden="1"/>
    </xf>
    <xf numFmtId="2" fontId="66" fillId="25" borderId="144" xfId="439" applyNumberFormat="1" applyFont="1" applyFill="1" applyBorder="1" applyAlignment="1" applyProtection="1">
      <alignment horizontal="left" vertical="center" wrapText="1"/>
      <protection hidden="1"/>
    </xf>
    <xf numFmtId="2" fontId="66" fillId="25" borderId="143" xfId="439" applyNumberFormat="1" applyFont="1" applyFill="1" applyBorder="1" applyAlignment="1" applyProtection="1">
      <alignment horizontal="left" vertical="center" wrapText="1"/>
      <protection hidden="1"/>
    </xf>
    <xf numFmtId="0" fontId="65" fillId="28" borderId="0" xfId="439" applyFont="1" applyFill="1" applyAlignment="1">
      <alignment horizontal="center" vertical="center"/>
    </xf>
    <xf numFmtId="0" fontId="47" fillId="28" borderId="0" xfId="439" applyFont="1" applyFill="1" applyAlignment="1">
      <alignment horizontal="center"/>
    </xf>
    <xf numFmtId="165" fontId="67" fillId="0" borderId="145" xfId="439" applyNumberFormat="1" applyFont="1" applyBorder="1" applyAlignment="1" applyProtection="1">
      <alignment horizontal="center" vertical="center" textRotation="90"/>
      <protection hidden="1"/>
    </xf>
    <xf numFmtId="165" fontId="67" fillId="0" borderId="90" xfId="439" applyNumberFormat="1" applyFont="1" applyBorder="1" applyAlignment="1" applyProtection="1">
      <alignment horizontal="center" vertical="center" textRotation="90"/>
      <protection hidden="1"/>
    </xf>
    <xf numFmtId="165" fontId="67" fillId="0" borderId="53" xfId="439" applyNumberFormat="1" applyFont="1" applyBorder="1" applyAlignment="1" applyProtection="1">
      <alignment horizontal="center" vertical="center" textRotation="90"/>
      <protection hidden="1"/>
    </xf>
    <xf numFmtId="2" fontId="67" fillId="0" borderId="145" xfId="439" applyNumberFormat="1" applyFont="1" applyBorder="1" applyAlignment="1" applyProtection="1">
      <alignment horizontal="center" vertical="center" wrapText="1" shrinkToFit="1"/>
      <protection hidden="1"/>
    </xf>
    <xf numFmtId="2" fontId="67" fillId="0" borderId="53" xfId="439" applyNumberFormat="1" applyFont="1" applyBorder="1" applyAlignment="1" applyProtection="1">
      <alignment horizontal="center" vertical="center" wrapText="1" shrinkToFit="1"/>
      <protection hidden="1"/>
    </xf>
    <xf numFmtId="2" fontId="66" fillId="25" borderId="142" xfId="439" applyNumberFormat="1" applyFont="1" applyFill="1" applyBorder="1" applyAlignment="1" applyProtection="1">
      <alignment horizontal="left" vertical="center"/>
      <protection hidden="1"/>
    </xf>
    <xf numFmtId="2" fontId="66" fillId="25" borderId="144" xfId="439" applyNumberFormat="1" applyFont="1" applyFill="1" applyBorder="1" applyAlignment="1" applyProtection="1">
      <alignment horizontal="left" vertical="center"/>
      <protection hidden="1"/>
    </xf>
    <xf numFmtId="2" fontId="66" fillId="25" borderId="143" xfId="439" applyNumberFormat="1" applyFont="1" applyFill="1" applyBorder="1" applyAlignment="1" applyProtection="1">
      <alignment horizontal="left" vertical="center"/>
      <protection hidden="1"/>
    </xf>
    <xf numFmtId="0" fontId="4" fillId="28" borderId="0" xfId="439" applyFill="1" applyAlignment="1">
      <alignment horizontal="center" vertical="center"/>
    </xf>
    <xf numFmtId="0" fontId="93" fillId="29" borderId="63" xfId="439" applyFont="1" applyFill="1" applyBorder="1" applyAlignment="1">
      <alignment horizontal="center" vertical="center"/>
    </xf>
    <xf numFmtId="0" fontId="93" fillId="29" borderId="0" xfId="439" applyFont="1" applyFill="1" applyAlignment="1">
      <alignment horizontal="center" vertical="center"/>
    </xf>
    <xf numFmtId="0" fontId="93" fillId="29" borderId="93" xfId="439" applyFont="1" applyFill="1" applyBorder="1" applyAlignment="1">
      <alignment horizontal="center" vertical="center"/>
    </xf>
    <xf numFmtId="0" fontId="29" fillId="29" borderId="0" xfId="430" applyFont="1" applyFill="1" applyAlignment="1">
      <alignment horizontal="left" vertical="center"/>
    </xf>
    <xf numFmtId="17" fontId="94" fillId="29" borderId="0" xfId="439" applyNumberFormat="1" applyFont="1" applyFill="1" applyAlignment="1">
      <alignment horizontal="left" vertical="center"/>
    </xf>
    <xf numFmtId="0" fontId="94" fillId="29" borderId="0" xfId="439" applyFont="1" applyFill="1" applyAlignment="1">
      <alignment horizontal="left" vertical="center"/>
    </xf>
    <xf numFmtId="14" fontId="94" fillId="29" borderId="0" xfId="439" applyNumberFormat="1" applyFont="1" applyFill="1" applyAlignment="1">
      <alignment horizontal="left" vertical="center" wrapText="1"/>
    </xf>
    <xf numFmtId="0" fontId="67" fillId="29" borderId="0" xfId="439" applyFont="1" applyFill="1" applyAlignment="1">
      <alignment horizontal="left" vertical="center"/>
    </xf>
    <xf numFmtId="0" fontId="95" fillId="29" borderId="54" xfId="439" applyFont="1" applyFill="1" applyBorder="1" applyAlignment="1">
      <alignment horizontal="left"/>
    </xf>
    <xf numFmtId="165" fontId="57" fillId="0" borderId="5" xfId="439" applyNumberFormat="1" applyFont="1" applyBorder="1" applyAlignment="1" applyProtection="1">
      <alignment horizontal="center" vertical="center" textRotation="90"/>
      <protection hidden="1"/>
    </xf>
    <xf numFmtId="0" fontId="66" fillId="29" borderId="0" xfId="430" applyFont="1" applyFill="1" applyAlignment="1">
      <alignment horizontal="left" vertical="center"/>
    </xf>
    <xf numFmtId="2" fontId="5" fillId="25" borderId="144" xfId="3052" applyNumberFormat="1" applyFont="1" applyFill="1" applyBorder="1" applyAlignment="1">
      <alignment horizontal="center" vertical="center" wrapText="1"/>
    </xf>
    <xf numFmtId="0" fontId="5" fillId="25" borderId="144" xfId="3052" applyFont="1" applyFill="1" applyBorder="1" applyAlignment="1">
      <alignment horizontal="left" vertical="center" wrapText="1"/>
    </xf>
    <xf numFmtId="2" fontId="5" fillId="25" borderId="142" xfId="3052" applyNumberFormat="1" applyFont="1" applyFill="1" applyBorder="1" applyAlignment="1">
      <alignment horizontal="center" vertical="center" wrapText="1"/>
    </xf>
    <xf numFmtId="0" fontId="5" fillId="25" borderId="143" xfId="3052" applyFont="1" applyFill="1" applyBorder="1" applyAlignment="1">
      <alignment horizontal="left" vertical="center" wrapText="1"/>
    </xf>
    <xf numFmtId="0" fontId="48" fillId="28" borderId="0" xfId="3032" applyFont="1" applyFill="1" applyAlignment="1">
      <alignment horizontal="center" vertical="center" wrapText="1"/>
    </xf>
    <xf numFmtId="0" fontId="64" fillId="28" borderId="0" xfId="3032" applyFont="1" applyFill="1" applyAlignment="1">
      <alignment horizontal="center" vertical="center" wrapText="1"/>
    </xf>
    <xf numFmtId="195" fontId="28" fillId="25" borderId="144" xfId="430" applyNumberFormat="1" applyFont="1" applyFill="1" applyBorder="1" applyAlignment="1">
      <alignment horizontal="center" vertical="center" wrapText="1"/>
    </xf>
    <xf numFmtId="0" fontId="5" fillId="25" borderId="144" xfId="3052" applyFont="1" applyFill="1" applyBorder="1" applyAlignment="1">
      <alignment horizontal="center" vertical="center" wrapText="1"/>
    </xf>
    <xf numFmtId="43" fontId="73" fillId="28" borderId="32" xfId="1" applyFont="1" applyFill="1" applyBorder="1" applyAlignment="1">
      <alignment horizontal="center" vertical="distributed" wrapText="1"/>
    </xf>
    <xf numFmtId="43" fontId="73" fillId="28" borderId="53" xfId="1" applyFont="1" applyFill="1" applyBorder="1" applyAlignment="1">
      <alignment horizontal="center" vertical="distributed" wrapText="1"/>
    </xf>
    <xf numFmtId="0" fontId="28" fillId="28" borderId="145" xfId="3032" applyFont="1" applyFill="1" applyBorder="1" applyAlignment="1">
      <alignment horizontal="center" vertical="center" wrapText="1"/>
    </xf>
    <xf numFmtId="0" fontId="28" fillId="28" borderId="53" xfId="3032" applyFont="1" applyFill="1" applyBorder="1" applyAlignment="1">
      <alignment horizontal="center" vertical="center" wrapText="1"/>
    </xf>
    <xf numFmtId="169" fontId="28" fillId="28" borderId="145" xfId="3032" applyNumberFormat="1" applyFont="1" applyFill="1" applyBorder="1" applyAlignment="1">
      <alignment horizontal="center" vertical="center" wrapText="1"/>
    </xf>
    <xf numFmtId="169" fontId="28" fillId="28" borderId="53" xfId="3032" applyNumberFormat="1" applyFont="1" applyFill="1" applyBorder="1" applyAlignment="1">
      <alignment horizontal="center" vertical="center" wrapText="1"/>
    </xf>
    <xf numFmtId="0" fontId="28" fillId="28" borderId="145" xfId="3032" applyFont="1" applyFill="1" applyBorder="1" applyAlignment="1">
      <alignment horizontal="center" vertical="distributed" wrapText="1"/>
    </xf>
    <xf numFmtId="0" fontId="28" fillId="28" borderId="53" xfId="3032" applyFont="1" applyFill="1" applyBorder="1" applyAlignment="1">
      <alignment horizontal="center" vertical="distributed" wrapText="1"/>
    </xf>
    <xf numFmtId="0" fontId="28" fillId="28" borderId="142" xfId="3032" applyFont="1" applyFill="1" applyBorder="1" applyAlignment="1">
      <alignment horizontal="center" vertical="center" wrapText="1"/>
    </xf>
    <xf numFmtId="0" fontId="28" fillId="28" borderId="144" xfId="3032" applyFont="1" applyFill="1" applyBorder="1" applyAlignment="1">
      <alignment horizontal="center" vertical="center" wrapText="1"/>
    </xf>
    <xf numFmtId="0" fontId="28" fillId="28" borderId="143" xfId="3032" applyFont="1" applyFill="1" applyBorder="1" applyAlignment="1">
      <alignment horizontal="center" vertical="center" wrapText="1"/>
    </xf>
    <xf numFmtId="0" fontId="28" fillId="28" borderId="142" xfId="3032" applyFont="1" applyFill="1" applyBorder="1" applyAlignment="1">
      <alignment horizontal="center" vertical="distributed" wrapText="1"/>
    </xf>
    <xf numFmtId="0" fontId="28" fillId="28" borderId="144" xfId="3032" applyFont="1" applyFill="1" applyBorder="1" applyAlignment="1">
      <alignment horizontal="center" vertical="distributed" wrapText="1"/>
    </xf>
    <xf numFmtId="0" fontId="28" fillId="28" borderId="143" xfId="3032" applyFont="1" applyFill="1" applyBorder="1" applyAlignment="1">
      <alignment horizontal="center" vertical="distributed" wrapText="1"/>
    </xf>
    <xf numFmtId="14" fontId="73" fillId="0" borderId="21" xfId="3032" applyNumberFormat="1" applyFont="1" applyBorder="1" applyAlignment="1">
      <alignment horizontal="center" vertical="center" wrapText="1"/>
    </xf>
    <xf numFmtId="14" fontId="73" fillId="0" borderId="29" xfId="3032" applyNumberFormat="1" applyFont="1" applyBorder="1" applyAlignment="1">
      <alignment horizontal="center" vertical="center" wrapText="1"/>
    </xf>
    <xf numFmtId="14" fontId="73" fillId="0" borderId="19" xfId="3032" applyNumberFormat="1" applyFont="1" applyBorder="1" applyAlignment="1">
      <alignment horizontal="center" vertical="center" wrapText="1"/>
    </xf>
    <xf numFmtId="0" fontId="157" fillId="29" borderId="142" xfId="0" applyFont="1" applyFill="1" applyBorder="1" applyAlignment="1">
      <alignment horizontal="right" vertical="center" wrapText="1"/>
    </xf>
    <xf numFmtId="0" fontId="157" fillId="29" borderId="144" xfId="0" applyFont="1" applyFill="1" applyBorder="1" applyAlignment="1">
      <alignment horizontal="right" vertical="center" wrapText="1"/>
    </xf>
    <xf numFmtId="0" fontId="157" fillId="29" borderId="143" xfId="0" applyFont="1" applyFill="1" applyBorder="1" applyAlignment="1">
      <alignment horizontal="right" vertical="center" wrapText="1"/>
    </xf>
    <xf numFmtId="4" fontId="157" fillId="29" borderId="142" xfId="3032" applyNumberFormat="1" applyFont="1" applyFill="1" applyBorder="1" applyAlignment="1">
      <alignment horizontal="right" vertical="center" wrapText="1"/>
    </xf>
    <xf numFmtId="4" fontId="157" fillId="29" borderId="143" xfId="3032" applyNumberFormat="1" applyFont="1" applyFill="1" applyBorder="1" applyAlignment="1">
      <alignment horizontal="right" vertical="center" wrapText="1"/>
    </xf>
    <xf numFmtId="0" fontId="157" fillId="29" borderId="142" xfId="3032" applyFont="1" applyFill="1" applyBorder="1" applyAlignment="1">
      <alignment horizontal="right" vertical="center" wrapText="1"/>
    </xf>
    <xf numFmtId="0" fontId="157" fillId="29" borderId="144" xfId="3032" applyFont="1" applyFill="1" applyBorder="1" applyAlignment="1">
      <alignment horizontal="right" vertical="center" wrapText="1"/>
    </xf>
    <xf numFmtId="0" fontId="157" fillId="29" borderId="143" xfId="3032" applyFont="1" applyFill="1" applyBorder="1" applyAlignment="1">
      <alignment horizontal="right" vertical="center" wrapText="1"/>
    </xf>
    <xf numFmtId="0" fontId="157" fillId="29" borderId="146" xfId="0" applyFont="1" applyFill="1" applyBorder="1" applyAlignment="1">
      <alignment horizontal="right" vertical="center" wrapText="1"/>
    </xf>
    <xf numFmtId="0" fontId="157" fillId="29" borderId="148" xfId="0" applyFont="1" applyFill="1" applyBorder="1" applyAlignment="1">
      <alignment horizontal="right" vertical="center" wrapText="1"/>
    </xf>
    <xf numFmtId="0" fontId="157" fillId="29" borderId="147" xfId="0" applyFont="1" applyFill="1" applyBorder="1" applyAlignment="1">
      <alignment horizontal="right" vertical="center" wrapText="1"/>
    </xf>
    <xf numFmtId="0" fontId="157" fillId="29" borderId="56" xfId="0" applyFont="1" applyFill="1" applyBorder="1" applyAlignment="1">
      <alignment horizontal="right" vertical="center" wrapText="1"/>
    </xf>
    <xf numFmtId="0" fontId="157" fillId="29" borderId="54" xfId="0" applyFont="1" applyFill="1" applyBorder="1" applyAlignment="1">
      <alignment horizontal="right" vertical="center" wrapText="1"/>
    </xf>
    <xf numFmtId="0" fontId="157" fillId="29" borderId="55" xfId="0" applyFont="1" applyFill="1" applyBorder="1" applyAlignment="1">
      <alignment horizontal="right" vertical="center" wrapText="1"/>
    </xf>
    <xf numFmtId="10" fontId="157" fillId="29" borderId="146" xfId="3032" applyNumberFormat="1" applyFont="1" applyFill="1" applyBorder="1" applyAlignment="1">
      <alignment horizontal="right" vertical="center" wrapText="1"/>
    </xf>
    <xf numFmtId="10" fontId="157" fillId="29" borderId="147" xfId="3032" applyNumberFormat="1" applyFont="1" applyFill="1" applyBorder="1" applyAlignment="1">
      <alignment horizontal="right" vertical="center" wrapText="1"/>
    </xf>
    <xf numFmtId="10" fontId="157" fillId="29" borderId="56" xfId="3032" applyNumberFormat="1" applyFont="1" applyFill="1" applyBorder="1" applyAlignment="1">
      <alignment horizontal="right" vertical="center" wrapText="1"/>
    </xf>
    <xf numFmtId="10" fontId="157" fillId="29" borderId="55" xfId="3032" applyNumberFormat="1" applyFont="1" applyFill="1" applyBorder="1" applyAlignment="1">
      <alignment horizontal="right" vertical="center" wrapText="1"/>
    </xf>
    <xf numFmtId="171" fontId="157" fillId="29" borderId="145" xfId="3032" applyNumberFormat="1" applyFont="1" applyFill="1" applyBorder="1" applyAlignment="1">
      <alignment horizontal="center" vertical="center" wrapText="1"/>
    </xf>
    <xf numFmtId="171" fontId="157" fillId="29" borderId="53" xfId="3032" applyNumberFormat="1" applyFont="1" applyFill="1" applyBorder="1" applyAlignment="1">
      <alignment horizontal="center" vertical="center" wrapText="1"/>
    </xf>
    <xf numFmtId="14" fontId="3" fillId="28" borderId="24" xfId="3032" applyNumberFormat="1" applyFont="1" applyFill="1" applyBorder="1" applyAlignment="1">
      <alignment horizontal="center" vertical="center" wrapText="1"/>
    </xf>
    <xf numFmtId="14" fontId="3" fillId="28" borderId="25" xfId="3032" applyNumberFormat="1" applyFont="1" applyFill="1" applyBorder="1" applyAlignment="1">
      <alignment horizontal="center" vertical="center" wrapText="1"/>
    </xf>
    <xf numFmtId="14" fontId="3" fillId="28" borderId="22" xfId="3032" applyNumberFormat="1" applyFont="1" applyFill="1" applyBorder="1" applyAlignment="1">
      <alignment horizontal="center" vertical="center" wrapText="1"/>
    </xf>
    <xf numFmtId="14" fontId="73" fillId="28" borderId="24" xfId="3032" applyNumberFormat="1" applyFont="1" applyFill="1" applyBorder="1" applyAlignment="1">
      <alignment horizontal="center" vertical="center" wrapText="1"/>
    </xf>
    <xf numFmtId="14" fontId="73" fillId="28" borderId="25" xfId="3032" applyNumberFormat="1" applyFont="1" applyFill="1" applyBorder="1" applyAlignment="1">
      <alignment horizontal="center" vertical="center" wrapText="1"/>
    </xf>
    <xf numFmtId="14" fontId="73" fillId="28" borderId="22" xfId="3032" applyNumberFormat="1" applyFont="1" applyFill="1" applyBorder="1" applyAlignment="1">
      <alignment horizontal="center" vertical="center" wrapText="1"/>
    </xf>
    <xf numFmtId="4" fontId="157" fillId="29" borderId="56" xfId="3032" applyNumberFormat="1" applyFont="1" applyFill="1" applyBorder="1" applyAlignment="1">
      <alignment horizontal="right" vertical="center" wrapText="1"/>
    </xf>
    <xf numFmtId="4" fontId="157" fillId="29" borderId="55" xfId="3032" applyNumberFormat="1" applyFont="1" applyFill="1" applyBorder="1" applyAlignment="1">
      <alignment horizontal="right" vertical="center" wrapText="1"/>
    </xf>
    <xf numFmtId="0" fontId="157" fillId="29" borderId="56" xfId="3032" applyFont="1" applyFill="1" applyBorder="1" applyAlignment="1">
      <alignment horizontal="right" vertical="center" wrapText="1"/>
    </xf>
    <xf numFmtId="0" fontId="157" fillId="29" borderId="54" xfId="3032" applyFont="1" applyFill="1" applyBorder="1" applyAlignment="1">
      <alignment horizontal="right" vertical="center" wrapText="1"/>
    </xf>
    <xf numFmtId="0" fontId="157" fillId="29" borderId="55" xfId="3032" applyFont="1" applyFill="1" applyBorder="1" applyAlignment="1">
      <alignment horizontal="right" vertical="center" wrapText="1"/>
    </xf>
    <xf numFmtId="14" fontId="3" fillId="28" borderId="23" xfId="3032" applyNumberFormat="1" applyFont="1" applyFill="1" applyBorder="1" applyAlignment="1">
      <alignment horizontal="center" vertical="center" wrapText="1"/>
    </xf>
    <xf numFmtId="14" fontId="85" fillId="28" borderId="27" xfId="3032" applyNumberFormat="1" applyFont="1" applyFill="1" applyBorder="1" applyAlignment="1">
      <alignment horizontal="center" vertical="center" wrapText="1"/>
    </xf>
    <xf numFmtId="171" fontId="157" fillId="29" borderId="90" xfId="3032" applyNumberFormat="1" applyFont="1" applyFill="1" applyBorder="1" applyAlignment="1">
      <alignment horizontal="center" vertical="center" wrapText="1"/>
    </xf>
    <xf numFmtId="1" fontId="28" fillId="28" borderId="145" xfId="3032" applyNumberFormat="1" applyFont="1" applyFill="1" applyBorder="1" applyAlignment="1">
      <alignment horizontal="center" vertical="center" wrapText="1"/>
    </xf>
    <xf numFmtId="1" fontId="28" fillId="28" borderId="53" xfId="3032" applyNumberFormat="1" applyFont="1" applyFill="1" applyBorder="1" applyAlignment="1">
      <alignment horizontal="center" vertical="center" wrapText="1"/>
    </xf>
    <xf numFmtId="1" fontId="28" fillId="28" borderId="145" xfId="3032" applyNumberFormat="1" applyFont="1" applyFill="1" applyBorder="1" applyAlignment="1">
      <alignment horizontal="left" vertical="center" wrapText="1"/>
    </xf>
    <xf numFmtId="1" fontId="28" fillId="28" borderId="53" xfId="3032" applyNumberFormat="1" applyFont="1" applyFill="1" applyBorder="1" applyAlignment="1">
      <alignment horizontal="left" vertical="center" wrapText="1"/>
    </xf>
    <xf numFmtId="0" fontId="28" fillId="28" borderId="142" xfId="430" applyFont="1" applyFill="1" applyBorder="1" applyAlignment="1">
      <alignment horizontal="center" vertical="center" wrapText="1"/>
    </xf>
    <xf numFmtId="0" fontId="28" fillId="28" borderId="144" xfId="430" applyFont="1" applyFill="1" applyBorder="1" applyAlignment="1">
      <alignment horizontal="center" vertical="center" wrapText="1"/>
    </xf>
    <xf numFmtId="0" fontId="28" fillId="28" borderId="143" xfId="430" applyFont="1" applyFill="1" applyBorder="1" applyAlignment="1">
      <alignment horizontal="center" vertical="center" wrapText="1"/>
    </xf>
    <xf numFmtId="0" fontId="73" fillId="0" borderId="32" xfId="283" applyFont="1" applyBorder="1" applyAlignment="1">
      <alignment horizontal="center" vertical="center" wrapText="1"/>
    </xf>
    <xf numFmtId="0" fontId="73" fillId="0" borderId="90" xfId="283" applyFont="1" applyBorder="1" applyAlignment="1">
      <alignment horizontal="center" vertical="center" wrapText="1"/>
    </xf>
    <xf numFmtId="0" fontId="73" fillId="28" borderId="120" xfId="283" applyFont="1" applyFill="1" applyBorder="1" applyAlignment="1">
      <alignment horizontal="center" vertical="center" wrapText="1"/>
    </xf>
    <xf numFmtId="0" fontId="73" fillId="28" borderId="121" xfId="283" applyFont="1" applyFill="1" applyBorder="1" applyAlignment="1">
      <alignment horizontal="center" vertical="center" wrapText="1"/>
    </xf>
    <xf numFmtId="0" fontId="73" fillId="28" borderId="122" xfId="283" applyFont="1" applyFill="1" applyBorder="1" applyAlignment="1">
      <alignment horizontal="center" vertical="center" wrapText="1"/>
    </xf>
    <xf numFmtId="0" fontId="73" fillId="28" borderId="63" xfId="283" applyFont="1" applyFill="1" applyBorder="1" applyAlignment="1">
      <alignment horizontal="center" vertical="center" wrapText="1"/>
    </xf>
    <xf numFmtId="0" fontId="73" fillId="28" borderId="0" xfId="283" applyFont="1" applyFill="1" applyAlignment="1">
      <alignment horizontal="center" vertical="center" wrapText="1"/>
    </xf>
    <xf numFmtId="0" fontId="73" fillId="28" borderId="93" xfId="283" applyFont="1" applyFill="1" applyBorder="1" applyAlignment="1">
      <alignment horizontal="center" vertical="center" wrapText="1"/>
    </xf>
    <xf numFmtId="43" fontId="73" fillId="28" borderId="90" xfId="1" applyFont="1" applyFill="1" applyBorder="1" applyAlignment="1">
      <alignment horizontal="center" vertical="distributed" wrapText="1"/>
    </xf>
    <xf numFmtId="43" fontId="73" fillId="28" borderId="31" xfId="1" applyFont="1" applyFill="1" applyBorder="1" applyAlignment="1">
      <alignment horizontal="center" vertical="distributed" wrapText="1"/>
    </xf>
    <xf numFmtId="191" fontId="73" fillId="28" borderId="32" xfId="3032" applyNumberFormat="1" applyFont="1" applyFill="1" applyBorder="1" applyAlignment="1">
      <alignment horizontal="center" vertical="center" wrapText="1"/>
    </xf>
    <xf numFmtId="191" fontId="73" fillId="28" borderId="90" xfId="3032" applyNumberFormat="1" applyFont="1" applyFill="1" applyBorder="1" applyAlignment="1">
      <alignment horizontal="center" vertical="center" wrapText="1"/>
    </xf>
    <xf numFmtId="191" fontId="73" fillId="28" borderId="31" xfId="3032" applyNumberFormat="1" applyFont="1" applyFill="1" applyBorder="1" applyAlignment="1">
      <alignment horizontal="center" vertical="center" wrapText="1"/>
    </xf>
    <xf numFmtId="0" fontId="73" fillId="28" borderId="32" xfId="3032" applyFont="1" applyFill="1" applyBorder="1" applyAlignment="1">
      <alignment horizontal="center" vertical="distributed" wrapText="1"/>
    </xf>
    <xf numFmtId="0" fontId="73" fillId="28" borderId="90" xfId="3032" applyFont="1" applyFill="1" applyBorder="1" applyAlignment="1">
      <alignment horizontal="center" vertical="distributed" wrapText="1"/>
    </xf>
    <xf numFmtId="0" fontId="73" fillId="28" borderId="31" xfId="3032" applyFont="1" applyFill="1" applyBorder="1" applyAlignment="1">
      <alignment horizontal="center" vertical="distributed" wrapText="1"/>
    </xf>
    <xf numFmtId="0" fontId="73" fillId="28" borderId="24" xfId="283" applyFont="1" applyFill="1" applyBorder="1" applyAlignment="1">
      <alignment horizontal="center" vertical="center" wrapText="1"/>
    </xf>
    <xf numFmtId="0" fontId="73" fillId="28" borderId="25" xfId="283" applyFont="1" applyFill="1" applyBorder="1" applyAlignment="1">
      <alignment horizontal="center" vertical="center" wrapText="1"/>
    </xf>
    <xf numFmtId="0" fontId="73" fillId="28" borderId="22" xfId="283" applyFont="1" applyFill="1" applyBorder="1" applyAlignment="1">
      <alignment horizontal="center" vertical="center" wrapText="1"/>
    </xf>
    <xf numFmtId="0" fontId="3" fillId="28" borderId="120" xfId="283" applyFont="1" applyFill="1" applyBorder="1" applyAlignment="1">
      <alignment horizontal="center" vertical="center" wrapText="1"/>
    </xf>
    <xf numFmtId="0" fontId="3" fillId="28" borderId="121" xfId="283" applyFont="1" applyFill="1" applyBorder="1" applyAlignment="1">
      <alignment horizontal="center" vertical="center" wrapText="1"/>
    </xf>
    <xf numFmtId="0" fontId="3" fillId="28" borderId="122" xfId="283" applyFont="1" applyFill="1" applyBorder="1" applyAlignment="1">
      <alignment horizontal="center" vertical="center" wrapText="1"/>
    </xf>
    <xf numFmtId="0" fontId="3" fillId="28" borderId="63" xfId="283" applyFont="1" applyFill="1" applyBorder="1" applyAlignment="1">
      <alignment horizontal="center" vertical="center" wrapText="1"/>
    </xf>
    <xf numFmtId="0" fontId="3" fillId="28" borderId="0" xfId="283" applyFont="1" applyFill="1" applyAlignment="1">
      <alignment horizontal="center" vertical="center" wrapText="1"/>
    </xf>
    <xf numFmtId="0" fontId="3" fillId="28" borderId="93" xfId="283" applyFont="1" applyFill="1" applyBorder="1" applyAlignment="1">
      <alignment horizontal="center" vertical="center" wrapText="1"/>
    </xf>
    <xf numFmtId="0" fontId="3" fillId="28" borderId="119" xfId="283" applyFont="1" applyFill="1" applyBorder="1" applyAlignment="1">
      <alignment horizontal="center" vertical="center" wrapText="1"/>
    </xf>
    <xf numFmtId="0" fontId="3" fillId="28" borderId="18" xfId="283" applyFont="1" applyFill="1" applyBorder="1" applyAlignment="1">
      <alignment horizontal="center" vertical="center" wrapText="1"/>
    </xf>
    <xf numFmtId="0" fontId="3" fillId="28" borderId="118" xfId="283" applyFont="1" applyFill="1" applyBorder="1" applyAlignment="1">
      <alignment horizontal="center" vertical="center" wrapText="1"/>
    </xf>
    <xf numFmtId="0" fontId="3" fillId="28" borderId="24" xfId="283" applyFont="1" applyFill="1" applyBorder="1" applyAlignment="1">
      <alignment horizontal="center" vertical="center" wrapText="1"/>
    </xf>
    <xf numFmtId="0" fontId="3" fillId="28" borderId="25" xfId="283" applyFont="1" applyFill="1" applyBorder="1" applyAlignment="1">
      <alignment horizontal="center" vertical="center" wrapText="1"/>
    </xf>
    <xf numFmtId="0" fontId="3" fillId="28" borderId="22" xfId="283" applyFont="1" applyFill="1" applyBorder="1" applyAlignment="1">
      <alignment horizontal="center" vertical="center" wrapText="1"/>
    </xf>
    <xf numFmtId="0" fontId="3" fillId="28" borderId="32" xfId="283" applyFont="1" applyFill="1" applyBorder="1" applyAlignment="1">
      <alignment horizontal="center" vertical="center" wrapText="1"/>
    </xf>
    <xf numFmtId="0" fontId="3" fillId="28" borderId="90" xfId="283" applyFont="1" applyFill="1" applyBorder="1" applyAlignment="1">
      <alignment horizontal="center" vertical="center" wrapText="1"/>
    </xf>
    <xf numFmtId="0" fontId="3" fillId="28" borderId="31" xfId="283" applyFont="1" applyFill="1" applyBorder="1" applyAlignment="1">
      <alignment horizontal="center" vertical="center" wrapText="1"/>
    </xf>
    <xf numFmtId="14" fontId="3" fillId="28" borderId="120" xfId="3032" applyNumberFormat="1" applyFont="1" applyFill="1" applyBorder="1" applyAlignment="1">
      <alignment horizontal="center" vertical="center" wrapText="1"/>
    </xf>
    <xf numFmtId="14" fontId="3" fillId="28" borderId="121" xfId="3032" applyNumberFormat="1" applyFont="1" applyFill="1" applyBorder="1" applyAlignment="1">
      <alignment horizontal="center" vertical="center" wrapText="1"/>
    </xf>
    <xf numFmtId="14" fontId="3" fillId="28" borderId="122" xfId="3032" applyNumberFormat="1" applyFont="1" applyFill="1" applyBorder="1" applyAlignment="1">
      <alignment horizontal="center" vertical="center" wrapText="1"/>
    </xf>
    <xf numFmtId="0" fontId="157" fillId="29" borderId="146" xfId="3032" applyFont="1" applyFill="1" applyBorder="1" applyAlignment="1">
      <alignment horizontal="right" vertical="center" wrapText="1"/>
    </xf>
    <xf numFmtId="0" fontId="157" fillId="29" borderId="148" xfId="3032" applyFont="1" applyFill="1" applyBorder="1" applyAlignment="1">
      <alignment horizontal="right" vertical="center" wrapText="1"/>
    </xf>
    <xf numFmtId="0" fontId="157" fillId="29" borderId="147" xfId="3032" applyFont="1" applyFill="1" applyBorder="1" applyAlignment="1">
      <alignment horizontal="right" vertical="center" wrapText="1"/>
    </xf>
    <xf numFmtId="0" fontId="3" fillId="0" borderId="32" xfId="283" applyFont="1" applyBorder="1" applyAlignment="1">
      <alignment horizontal="left" vertical="center" wrapText="1"/>
    </xf>
    <xf numFmtId="0" fontId="3" fillId="0" borderId="90" xfId="283" applyFont="1" applyBorder="1" applyAlignment="1">
      <alignment horizontal="left" vertical="center" wrapText="1"/>
    </xf>
    <xf numFmtId="0" fontId="3" fillId="0" borderId="31" xfId="283" applyFont="1" applyBorder="1" applyAlignment="1">
      <alignment horizontal="left" vertical="center" wrapText="1"/>
    </xf>
    <xf numFmtId="0" fontId="157" fillId="29" borderId="63" xfId="0" applyFont="1" applyFill="1" applyBorder="1" applyAlignment="1">
      <alignment horizontal="right" vertical="center" wrapText="1"/>
    </xf>
    <xf numFmtId="0" fontId="157" fillId="29" borderId="0" xfId="0" applyFont="1" applyFill="1" applyAlignment="1">
      <alignment horizontal="right" vertical="center" wrapText="1"/>
    </xf>
    <xf numFmtId="0" fontId="157" fillId="29" borderId="93" xfId="0" applyFont="1" applyFill="1" applyBorder="1" applyAlignment="1">
      <alignment horizontal="right" vertical="center" wrapText="1"/>
    </xf>
    <xf numFmtId="10" fontId="157" fillId="29" borderId="63" xfId="3032" applyNumberFormat="1" applyFont="1" applyFill="1" applyBorder="1" applyAlignment="1">
      <alignment horizontal="right" vertical="center" wrapText="1"/>
    </xf>
    <xf numFmtId="10" fontId="157" fillId="29" borderId="93" xfId="3032" applyNumberFormat="1" applyFont="1" applyFill="1" applyBorder="1" applyAlignment="1">
      <alignment horizontal="right" vertical="center" wrapText="1"/>
    </xf>
    <xf numFmtId="0" fontId="73" fillId="28" borderId="32" xfId="283" applyFont="1" applyFill="1" applyBorder="1" applyAlignment="1">
      <alignment horizontal="center" vertical="center" wrapText="1"/>
    </xf>
    <xf numFmtId="0" fontId="73" fillId="28" borderId="53" xfId="283" applyFont="1" applyFill="1" applyBorder="1" applyAlignment="1">
      <alignment horizontal="center" vertical="center" wrapText="1"/>
    </xf>
    <xf numFmtId="0" fontId="73" fillId="28" borderId="56" xfId="283" applyFont="1" applyFill="1" applyBorder="1" applyAlignment="1">
      <alignment horizontal="center" vertical="center" wrapText="1"/>
    </xf>
    <xf numFmtId="0" fontId="73" fillId="28" borderId="54" xfId="283" applyFont="1" applyFill="1" applyBorder="1" applyAlignment="1">
      <alignment horizontal="center" vertical="center" wrapText="1"/>
    </xf>
    <xf numFmtId="0" fontId="73" fillId="28" borderId="55" xfId="283" applyFont="1" applyFill="1" applyBorder="1" applyAlignment="1">
      <alignment horizontal="center" vertical="center" wrapText="1"/>
    </xf>
    <xf numFmtId="191" fontId="73" fillId="28" borderId="53" xfId="3032" applyNumberFormat="1" applyFont="1" applyFill="1" applyBorder="1" applyAlignment="1">
      <alignment horizontal="center" vertical="center" wrapText="1"/>
    </xf>
    <xf numFmtId="0" fontId="3" fillId="28" borderId="32" xfId="283" applyFont="1" applyFill="1" applyBorder="1" applyAlignment="1">
      <alignment horizontal="left" vertical="center" wrapText="1"/>
    </xf>
    <xf numFmtId="0" fontId="3" fillId="28" borderId="31" xfId="283" applyFont="1" applyFill="1" applyBorder="1" applyAlignment="1">
      <alignment horizontal="left" vertical="center" wrapText="1"/>
    </xf>
    <xf numFmtId="4" fontId="3" fillId="28" borderId="32" xfId="3032" applyNumberFormat="1" applyFont="1" applyFill="1" applyBorder="1" applyAlignment="1">
      <alignment horizontal="center" vertical="distributed" wrapText="1"/>
    </xf>
    <xf numFmtId="4" fontId="3" fillId="28" borderId="90" xfId="3032" applyNumberFormat="1" applyFont="1" applyFill="1" applyBorder="1" applyAlignment="1">
      <alignment horizontal="center" vertical="distributed" wrapText="1"/>
    </xf>
    <xf numFmtId="4" fontId="3" fillId="28" borderId="31" xfId="3032" applyNumberFormat="1" applyFont="1" applyFill="1" applyBorder="1" applyAlignment="1">
      <alignment horizontal="center" vertical="distributed" wrapText="1"/>
    </xf>
    <xf numFmtId="0" fontId="73" fillId="28" borderId="53" xfId="3032" applyFont="1" applyFill="1" applyBorder="1" applyAlignment="1">
      <alignment horizontal="center" vertical="distributed" wrapText="1"/>
    </xf>
    <xf numFmtId="0" fontId="66" fillId="28" borderId="142" xfId="5874" applyFont="1" applyFill="1" applyBorder="1" applyAlignment="1">
      <alignment horizontal="center" vertical="center"/>
    </xf>
    <xf numFmtId="0" fontId="66" fillId="28" borderId="144" xfId="5874" applyFont="1" applyFill="1" applyBorder="1" applyAlignment="1">
      <alignment horizontal="center" vertical="center"/>
    </xf>
    <xf numFmtId="0" fontId="66" fillId="28" borderId="143" xfId="5874" applyFont="1" applyFill="1" applyBorder="1" applyAlignment="1">
      <alignment horizontal="center" vertical="center"/>
    </xf>
    <xf numFmtId="0" fontId="178" fillId="28" borderId="87" xfId="5874" applyFont="1" applyFill="1" applyBorder="1" applyAlignment="1">
      <alignment horizontal="center" vertical="center"/>
    </xf>
    <xf numFmtId="0" fontId="178" fillId="28" borderId="129" xfId="5874" applyFont="1" applyFill="1" applyBorder="1" applyAlignment="1">
      <alignment horizontal="center" vertical="center"/>
    </xf>
    <xf numFmtId="0" fontId="179" fillId="28" borderId="128" xfId="5874" applyFont="1" applyFill="1" applyBorder="1" applyAlignment="1">
      <alignment horizontal="center" vertical="center"/>
    </xf>
    <xf numFmtId="0" fontId="179" fillId="28" borderId="149" xfId="5874" applyFont="1" applyFill="1" applyBorder="1" applyAlignment="1">
      <alignment horizontal="center" vertical="center"/>
    </xf>
    <xf numFmtId="0" fontId="3" fillId="28" borderId="32" xfId="3032" applyFont="1" applyFill="1" applyBorder="1" applyAlignment="1">
      <alignment horizontal="center" vertical="center" wrapText="1"/>
    </xf>
    <xf numFmtId="0" fontId="3" fillId="28" borderId="90" xfId="3032" applyFont="1" applyFill="1" applyBorder="1" applyAlignment="1">
      <alignment horizontal="center" vertical="center" wrapText="1"/>
    </xf>
    <xf numFmtId="0" fontId="3" fillId="28" borderId="31" xfId="3032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center" vertical="distributed" wrapText="1"/>
    </xf>
    <xf numFmtId="0" fontId="3" fillId="28" borderId="90" xfId="3032" applyFont="1" applyFill="1" applyBorder="1" applyAlignment="1">
      <alignment horizontal="center" vertical="distributed" wrapText="1"/>
    </xf>
    <xf numFmtId="0" fontId="3" fillId="28" borderId="31" xfId="3032" applyFont="1" applyFill="1" applyBorder="1" applyAlignment="1">
      <alignment horizontal="center" vertical="distributed" wrapText="1"/>
    </xf>
    <xf numFmtId="43" fontId="3" fillId="28" borderId="32" xfId="1" applyFont="1" applyFill="1" applyBorder="1" applyAlignment="1">
      <alignment horizontal="center" vertical="distributed" wrapText="1"/>
    </xf>
    <xf numFmtId="43" fontId="3" fillId="28" borderId="31" xfId="1" applyFont="1" applyFill="1" applyBorder="1" applyAlignment="1">
      <alignment horizontal="center" vertical="distributed" wrapText="1"/>
    </xf>
    <xf numFmtId="43" fontId="3" fillId="0" borderId="32" xfId="1" applyFont="1" applyFill="1" applyBorder="1" applyAlignment="1">
      <alignment horizontal="center" vertical="distributed" wrapText="1"/>
    </xf>
    <xf numFmtId="43" fontId="3" fillId="0" borderId="31" xfId="1" applyFont="1" applyFill="1" applyBorder="1" applyAlignment="1">
      <alignment horizontal="center" vertical="distributed" wrapText="1"/>
    </xf>
    <xf numFmtId="191" fontId="3" fillId="28" borderId="32" xfId="3032" applyNumberFormat="1" applyFont="1" applyFill="1" applyBorder="1" applyAlignment="1">
      <alignment horizontal="center" vertical="center" wrapText="1"/>
    </xf>
    <xf numFmtId="191" fontId="3" fillId="28" borderId="90" xfId="3032" applyNumberFormat="1" applyFont="1" applyFill="1" applyBorder="1" applyAlignment="1">
      <alignment horizontal="center" vertical="center" wrapText="1"/>
    </xf>
    <xf numFmtId="191" fontId="3" fillId="28" borderId="31" xfId="3032" applyNumberFormat="1" applyFont="1" applyFill="1" applyBorder="1" applyAlignment="1">
      <alignment horizontal="center" vertical="center" wrapText="1"/>
    </xf>
    <xf numFmtId="43" fontId="3" fillId="0" borderId="90" xfId="1" applyFont="1" applyFill="1" applyBorder="1" applyAlignment="1">
      <alignment horizontal="center" vertical="distributed" wrapText="1"/>
    </xf>
    <xf numFmtId="174" fontId="3" fillId="0" borderId="32" xfId="1" applyNumberFormat="1" applyFont="1" applyFill="1" applyBorder="1" applyAlignment="1">
      <alignment horizontal="center" vertical="distributed" wrapText="1"/>
    </xf>
    <xf numFmtId="174" fontId="3" fillId="0" borderId="90" xfId="1" applyNumberFormat="1" applyFont="1" applyFill="1" applyBorder="1" applyAlignment="1">
      <alignment horizontal="center" vertical="distributed" wrapText="1"/>
    </xf>
    <xf numFmtId="174" fontId="3" fillId="0" borderId="31" xfId="1" applyNumberFormat="1" applyFont="1" applyFill="1" applyBorder="1" applyAlignment="1">
      <alignment horizontal="center" vertical="distributed" wrapText="1"/>
    </xf>
    <xf numFmtId="14" fontId="3" fillId="28" borderId="28" xfId="3032" applyNumberFormat="1" applyFont="1" applyFill="1" applyBorder="1" applyAlignment="1">
      <alignment horizontal="center" vertical="center" wrapText="1"/>
    </xf>
    <xf numFmtId="14" fontId="3" fillId="28" borderId="30" xfId="3032" applyNumberFormat="1" applyFont="1" applyFill="1" applyBorder="1" applyAlignment="1">
      <alignment horizontal="center" vertical="center" wrapText="1"/>
    </xf>
    <xf numFmtId="14" fontId="3" fillId="28" borderId="26" xfId="3032" applyNumberFormat="1" applyFont="1" applyFill="1" applyBorder="1" applyAlignment="1">
      <alignment horizontal="center" vertical="center" wrapText="1"/>
    </xf>
    <xf numFmtId="0" fontId="3" fillId="28" borderId="90" xfId="283" applyFont="1" applyFill="1" applyBorder="1" applyAlignment="1">
      <alignment horizontal="left" vertical="center" wrapText="1"/>
    </xf>
    <xf numFmtId="0" fontId="3" fillId="0" borderId="32" xfId="283" applyFont="1" applyBorder="1" applyAlignment="1">
      <alignment horizontal="center" vertical="center" wrapText="1"/>
    </xf>
    <xf numFmtId="0" fontId="3" fillId="0" borderId="90" xfId="283" applyFont="1" applyBorder="1" applyAlignment="1">
      <alignment horizontal="center" vertical="center" wrapText="1"/>
    </xf>
    <xf numFmtId="0" fontId="3" fillId="0" borderId="31" xfId="283" applyFont="1" applyBorder="1" applyAlignment="1">
      <alignment horizontal="center" vertical="center" wrapText="1"/>
    </xf>
    <xf numFmtId="49" fontId="3" fillId="28" borderId="145" xfId="283" applyNumberFormat="1" applyFont="1" applyFill="1" applyBorder="1" applyAlignment="1">
      <alignment horizontal="center" vertical="center" wrapText="1"/>
    </xf>
    <xf numFmtId="49" fontId="3" fillId="28" borderId="90" xfId="283" applyNumberFormat="1" applyFont="1" applyFill="1" applyBorder="1" applyAlignment="1">
      <alignment horizontal="center" vertical="center" wrapText="1"/>
    </xf>
    <xf numFmtId="49" fontId="3" fillId="28" borderId="31" xfId="283" applyNumberFormat="1" applyFont="1" applyFill="1" applyBorder="1" applyAlignment="1">
      <alignment horizontal="center" vertical="center" wrapText="1"/>
    </xf>
    <xf numFmtId="0" fontId="3" fillId="28" borderId="145" xfId="283" applyFont="1" applyFill="1" applyBorder="1" applyAlignment="1">
      <alignment horizontal="left" vertical="center" wrapText="1"/>
    </xf>
    <xf numFmtId="14" fontId="3" fillId="28" borderId="63" xfId="3032" applyNumberFormat="1" applyFont="1" applyFill="1" applyBorder="1" applyAlignment="1">
      <alignment horizontal="center" vertical="center" wrapText="1"/>
    </xf>
    <xf numFmtId="14" fontId="3" fillId="28" borderId="0" xfId="3032" applyNumberFormat="1" applyFont="1" applyFill="1" applyAlignment="1">
      <alignment horizontal="center" vertical="center" wrapText="1"/>
    </xf>
    <xf numFmtId="14" fontId="3" fillId="28" borderId="93" xfId="3032" applyNumberFormat="1" applyFont="1" applyFill="1" applyBorder="1" applyAlignment="1">
      <alignment horizontal="center" vertical="center" wrapText="1"/>
    </xf>
    <xf numFmtId="14" fontId="3" fillId="28" borderId="21" xfId="3032" applyNumberFormat="1" applyFont="1" applyFill="1" applyBorder="1" applyAlignment="1">
      <alignment horizontal="center" vertical="center" wrapText="1"/>
    </xf>
    <xf numFmtId="14" fontId="3" fillId="28" borderId="29" xfId="3032" applyNumberFormat="1" applyFont="1" applyFill="1" applyBorder="1" applyAlignment="1">
      <alignment horizontal="center" vertical="center" wrapText="1"/>
    </xf>
    <xf numFmtId="14" fontId="3" fillId="28" borderId="19" xfId="3032" applyNumberFormat="1" applyFont="1" applyFill="1" applyBorder="1" applyAlignment="1">
      <alignment horizontal="center" vertical="center" wrapText="1"/>
    </xf>
    <xf numFmtId="1" fontId="3" fillId="26" borderId="144" xfId="0" applyNumberFormat="1" applyFont="1" applyFill="1" applyBorder="1" applyAlignment="1">
      <alignment vertical="center"/>
    </xf>
    <xf numFmtId="0" fontId="3" fillId="26" borderId="144" xfId="0" applyFont="1" applyFill="1" applyBorder="1" applyAlignment="1">
      <alignment vertical="center"/>
    </xf>
    <xf numFmtId="14" fontId="73" fillId="28" borderId="28" xfId="3032" applyNumberFormat="1" applyFont="1" applyFill="1" applyBorder="1" applyAlignment="1">
      <alignment horizontal="center" vertical="center" wrapText="1"/>
    </xf>
    <xf numFmtId="14" fontId="73" fillId="28" borderId="30" xfId="3032" applyNumberFormat="1" applyFont="1" applyFill="1" applyBorder="1" applyAlignment="1">
      <alignment horizontal="center" vertical="center" wrapText="1"/>
    </xf>
    <xf numFmtId="14" fontId="73" fillId="28" borderId="26" xfId="3032" applyNumberFormat="1" applyFont="1" applyFill="1" applyBorder="1" applyAlignment="1">
      <alignment horizontal="center" vertical="center" wrapText="1"/>
    </xf>
    <xf numFmtId="0" fontId="29" fillId="25" borderId="56" xfId="430" applyFont="1" applyFill="1" applyBorder="1" applyAlignment="1">
      <alignment horizontal="center" vertical="center"/>
    </xf>
    <xf numFmtId="0" fontId="29" fillId="25" borderId="54" xfId="430" applyFont="1" applyFill="1" applyBorder="1" applyAlignment="1">
      <alignment horizontal="center" vertical="center"/>
    </xf>
    <xf numFmtId="0" fontId="29" fillId="25" borderId="143" xfId="430" applyFont="1" applyFill="1" applyBorder="1" applyAlignment="1">
      <alignment horizontal="center" vertical="center"/>
    </xf>
    <xf numFmtId="0" fontId="28" fillId="26" borderId="142" xfId="0" applyFont="1" applyFill="1" applyBorder="1" applyAlignment="1">
      <alignment horizontal="left" vertical="center"/>
    </xf>
    <xf numFmtId="0" fontId="28" fillId="26" borderId="144" xfId="0" applyFont="1" applyFill="1" applyBorder="1" applyAlignment="1">
      <alignment horizontal="left" vertical="center"/>
    </xf>
    <xf numFmtId="0" fontId="28" fillId="26" borderId="143" xfId="0" applyFont="1" applyFill="1" applyBorder="1" applyAlignment="1">
      <alignment horizontal="left" vertical="center"/>
    </xf>
    <xf numFmtId="0" fontId="3" fillId="26" borderId="143" xfId="0" applyFont="1" applyFill="1" applyBorder="1" applyAlignment="1">
      <alignment vertical="center"/>
    </xf>
    <xf numFmtId="0" fontId="53" fillId="28" borderId="145" xfId="3032" applyFont="1" applyFill="1" applyBorder="1" applyAlignment="1">
      <alignment horizontal="center" vertical="center" wrapText="1"/>
    </xf>
    <xf numFmtId="0" fontId="53" fillId="28" borderId="53" xfId="3032" applyFont="1" applyFill="1" applyBorder="1" applyAlignment="1">
      <alignment horizontal="center" vertical="center" wrapText="1"/>
    </xf>
    <xf numFmtId="0" fontId="53" fillId="28" borderId="145" xfId="3032" applyFont="1" applyFill="1" applyBorder="1" applyAlignment="1">
      <alignment horizontal="center" vertical="distributed" wrapText="1"/>
    </xf>
    <xf numFmtId="0" fontId="53" fillId="28" borderId="53" xfId="3032" applyFont="1" applyFill="1" applyBorder="1" applyAlignment="1">
      <alignment horizontal="center" vertical="distributed" wrapText="1"/>
    </xf>
    <xf numFmtId="169" fontId="53" fillId="28" borderId="145" xfId="3032" applyNumberFormat="1" applyFont="1" applyFill="1" applyBorder="1" applyAlignment="1">
      <alignment horizontal="center" vertical="center" wrapText="1"/>
    </xf>
    <xf numFmtId="169" fontId="53" fillId="28" borderId="53" xfId="3032" applyNumberFormat="1" applyFont="1" applyFill="1" applyBorder="1" applyAlignment="1">
      <alignment horizontal="center" vertical="center" wrapText="1"/>
    </xf>
    <xf numFmtId="4" fontId="3" fillId="28" borderId="32" xfId="3032" applyNumberFormat="1" applyFont="1" applyFill="1" applyBorder="1" applyAlignment="1">
      <alignment horizontal="center" vertical="center" wrapText="1"/>
    </xf>
    <xf numFmtId="4" fontId="3" fillId="28" borderId="90" xfId="3032" applyNumberFormat="1" applyFont="1" applyFill="1" applyBorder="1" applyAlignment="1">
      <alignment horizontal="center" vertical="center" wrapText="1"/>
    </xf>
    <xf numFmtId="4" fontId="3" fillId="28" borderId="31" xfId="3032" applyNumberFormat="1" applyFont="1" applyFill="1" applyBorder="1" applyAlignment="1">
      <alignment horizontal="center" vertical="center" wrapText="1"/>
    </xf>
    <xf numFmtId="191" fontId="3" fillId="28" borderId="145" xfId="3032" applyNumberFormat="1" applyFont="1" applyFill="1" applyBorder="1" applyAlignment="1">
      <alignment horizontal="center" vertical="center" wrapText="1"/>
    </xf>
    <xf numFmtId="0" fontId="3" fillId="0" borderId="145" xfId="3032" applyFont="1" applyBorder="1" applyAlignment="1">
      <alignment horizontal="left" vertical="distributed" wrapText="1"/>
    </xf>
    <xf numFmtId="0" fontId="3" fillId="0" borderId="31" xfId="3032" applyFont="1" applyBorder="1" applyAlignment="1">
      <alignment horizontal="left" vertical="distributed" wrapText="1"/>
    </xf>
    <xf numFmtId="43" fontId="3" fillId="28" borderId="145" xfId="1" applyFont="1" applyFill="1" applyBorder="1" applyAlignment="1">
      <alignment horizontal="center" vertical="distributed" wrapText="1"/>
    </xf>
    <xf numFmtId="43" fontId="3" fillId="28" borderId="145" xfId="1" applyFont="1" applyFill="1" applyBorder="1" applyAlignment="1">
      <alignment horizontal="center" vertical="center" wrapText="1"/>
    </xf>
    <xf numFmtId="43" fontId="3" fillId="28" borderId="31" xfId="1" applyFont="1" applyFill="1" applyBorder="1" applyAlignment="1">
      <alignment horizontal="center" vertical="center" wrapText="1"/>
    </xf>
    <xf numFmtId="49" fontId="3" fillId="28" borderId="32" xfId="283" applyNumberFormat="1" applyFont="1" applyFill="1" applyBorder="1" applyAlignment="1">
      <alignment horizontal="center" vertical="center" wrapText="1"/>
    </xf>
    <xf numFmtId="43" fontId="3" fillId="28" borderId="90" xfId="1" applyFont="1" applyFill="1" applyBorder="1" applyAlignment="1">
      <alignment horizontal="center" vertical="distributed" wrapText="1"/>
    </xf>
    <xf numFmtId="0" fontId="73" fillId="28" borderId="90" xfId="283" applyFont="1" applyFill="1" applyBorder="1" applyAlignment="1">
      <alignment horizontal="center" vertical="center" wrapText="1"/>
    </xf>
    <xf numFmtId="0" fontId="73" fillId="28" borderId="31" xfId="283" applyFont="1" applyFill="1" applyBorder="1" applyAlignment="1">
      <alignment horizontal="center" vertical="center" wrapText="1"/>
    </xf>
    <xf numFmtId="174" fontId="3" fillId="28" borderId="32" xfId="1" applyNumberFormat="1" applyFont="1" applyFill="1" applyBorder="1" applyAlignment="1">
      <alignment horizontal="center" vertical="distributed" wrapText="1"/>
    </xf>
    <xf numFmtId="174" fontId="3" fillId="28" borderId="90" xfId="1" applyNumberFormat="1" applyFont="1" applyFill="1" applyBorder="1" applyAlignment="1">
      <alignment horizontal="center" vertical="distributed" wrapText="1"/>
    </xf>
    <xf numFmtId="174" fontId="3" fillId="28" borderId="31" xfId="1" applyNumberFormat="1" applyFont="1" applyFill="1" applyBorder="1" applyAlignment="1">
      <alignment horizontal="center" vertical="distributed" wrapText="1"/>
    </xf>
    <xf numFmtId="174" fontId="3" fillId="28" borderId="145" xfId="1" applyNumberFormat="1" applyFont="1" applyFill="1" applyBorder="1" applyAlignment="1">
      <alignment horizontal="center" vertical="distributed" wrapText="1"/>
    </xf>
    <xf numFmtId="1" fontId="3" fillId="28" borderId="146" xfId="3032" applyNumberFormat="1" applyFont="1" applyFill="1" applyBorder="1" applyAlignment="1">
      <alignment horizontal="center" vertical="center" wrapText="1"/>
    </xf>
    <xf numFmtId="1" fontId="3" fillId="28" borderId="148" xfId="3032" applyNumberFormat="1" applyFont="1" applyFill="1" applyBorder="1" applyAlignment="1">
      <alignment horizontal="center" vertical="center" wrapText="1"/>
    </xf>
    <xf numFmtId="1" fontId="3" fillId="28" borderId="147" xfId="3032" applyNumberFormat="1" applyFont="1" applyFill="1" applyBorder="1" applyAlignment="1">
      <alignment horizontal="center" vertical="center" wrapText="1"/>
    </xf>
    <xf numFmtId="1" fontId="3" fillId="28" borderId="119" xfId="3032" applyNumberFormat="1" applyFont="1" applyFill="1" applyBorder="1" applyAlignment="1">
      <alignment horizontal="center" vertical="center" wrapText="1"/>
    </xf>
    <xf numFmtId="1" fontId="3" fillId="28" borderId="18" xfId="3032" applyNumberFormat="1" applyFont="1" applyFill="1" applyBorder="1" applyAlignment="1">
      <alignment horizontal="center" vertical="center" wrapText="1"/>
    </xf>
    <xf numFmtId="1" fontId="3" fillId="28" borderId="118" xfId="3032" applyNumberFormat="1" applyFont="1" applyFill="1" applyBorder="1" applyAlignment="1">
      <alignment horizontal="center" vertical="center" wrapText="1"/>
    </xf>
    <xf numFmtId="0" fontId="28" fillId="0" borderId="145" xfId="3032" applyFont="1" applyBorder="1" applyAlignment="1">
      <alignment horizontal="center" vertical="center" wrapText="1"/>
    </xf>
    <xf numFmtId="0" fontId="28" fillId="0" borderId="53" xfId="3032" applyFont="1" applyBorder="1" applyAlignment="1">
      <alignment horizontal="center" vertical="center" wrapText="1"/>
    </xf>
    <xf numFmtId="14" fontId="73" fillId="28" borderId="23" xfId="3032" applyNumberFormat="1" applyFont="1" applyFill="1" applyBorder="1" applyAlignment="1">
      <alignment horizontal="center" vertical="center" wrapText="1"/>
    </xf>
    <xf numFmtId="14" fontId="73" fillId="28" borderId="27" xfId="3032" applyNumberFormat="1" applyFont="1" applyFill="1" applyBorder="1" applyAlignment="1">
      <alignment horizontal="center" vertical="center" wrapText="1"/>
    </xf>
    <xf numFmtId="14" fontId="73" fillId="28" borderId="20" xfId="3032" applyNumberFormat="1" applyFont="1" applyFill="1" applyBorder="1" applyAlignment="1">
      <alignment horizontal="center" vertical="center" wrapText="1"/>
    </xf>
    <xf numFmtId="14" fontId="3" fillId="28" borderId="20" xfId="3032" applyNumberFormat="1" applyFont="1" applyFill="1" applyBorder="1" applyAlignment="1">
      <alignment horizontal="center" vertical="center" wrapText="1"/>
    </xf>
    <xf numFmtId="14" fontId="73" fillId="0" borderId="28" xfId="3032" applyNumberFormat="1" applyFont="1" applyBorder="1" applyAlignment="1">
      <alignment horizontal="center" vertical="center" wrapText="1"/>
    </xf>
    <xf numFmtId="14" fontId="73" fillId="0" borderId="30" xfId="3032" applyNumberFormat="1" applyFont="1" applyBorder="1" applyAlignment="1">
      <alignment horizontal="center" vertical="center" wrapText="1"/>
    </xf>
    <xf numFmtId="14" fontId="73" fillId="0" borderId="26" xfId="3032" applyNumberFormat="1" applyFont="1" applyBorder="1" applyAlignment="1">
      <alignment horizontal="center" vertical="center" wrapText="1"/>
    </xf>
    <xf numFmtId="0" fontId="30" fillId="29" borderId="0" xfId="0" applyFont="1" applyFill="1" applyAlignment="1">
      <alignment horizontal="right" vertical="center" wrapText="1"/>
    </xf>
    <xf numFmtId="174" fontId="4" fillId="29" borderId="0" xfId="3037" applyNumberFormat="1" applyFont="1" applyFill="1" applyBorder="1" applyAlignment="1">
      <alignment horizontal="center" vertical="center"/>
    </xf>
    <xf numFmtId="43" fontId="4" fillId="29" borderId="0" xfId="3037" applyFont="1" applyFill="1" applyBorder="1" applyAlignment="1">
      <alignment horizontal="center" vertical="center"/>
    </xf>
    <xf numFmtId="0" fontId="3" fillId="28" borderId="145" xfId="3032" applyFont="1" applyFill="1" applyBorder="1" applyAlignment="1">
      <alignment horizontal="center" vertical="distributed" wrapText="1"/>
    </xf>
    <xf numFmtId="14" fontId="3" fillId="0" borderId="21" xfId="3032" applyNumberFormat="1" applyFont="1" applyBorder="1" applyAlignment="1">
      <alignment horizontal="center" vertical="center" wrapText="1"/>
    </xf>
    <xf numFmtId="14" fontId="3" fillId="0" borderId="29" xfId="3032" applyNumberFormat="1" applyFont="1" applyBorder="1" applyAlignment="1">
      <alignment horizontal="center" vertical="center" wrapText="1"/>
    </xf>
    <xf numFmtId="14" fontId="3" fillId="0" borderId="19" xfId="3032" applyNumberFormat="1" applyFont="1" applyBorder="1" applyAlignment="1">
      <alignment horizontal="center" vertical="center" wrapText="1"/>
    </xf>
    <xf numFmtId="0" fontId="181" fillId="29" borderId="107" xfId="5875" applyFont="1" applyFill="1" applyBorder="1" applyAlignment="1">
      <alignment horizontal="center" vertical="center"/>
    </xf>
    <xf numFmtId="0" fontId="181" fillId="29" borderId="140" xfId="5875" applyFont="1" applyFill="1" applyBorder="1" applyAlignment="1">
      <alignment horizontal="center" vertical="center"/>
    </xf>
    <xf numFmtId="0" fontId="181" fillId="29" borderId="106" xfId="5875" applyFont="1" applyFill="1" applyBorder="1" applyAlignment="1">
      <alignment horizontal="center" vertical="center"/>
    </xf>
    <xf numFmtId="0" fontId="182" fillId="26" borderId="117" xfId="5875" applyFont="1" applyFill="1" applyBorder="1" applyAlignment="1">
      <alignment horizontal="center" vertical="center"/>
    </xf>
    <xf numFmtId="0" fontId="182" fillId="26" borderId="133" xfId="5875" applyFont="1" applyFill="1" applyBorder="1" applyAlignment="1">
      <alignment horizontal="center" vertical="center"/>
    </xf>
    <xf numFmtId="0" fontId="53" fillId="25" borderId="142" xfId="0" applyFont="1" applyFill="1" applyBorder="1" applyAlignment="1">
      <alignment horizontal="center" vertical="center" wrapText="1"/>
    </xf>
    <xf numFmtId="0" fontId="53" fillId="25" borderId="144" xfId="0" applyFont="1" applyFill="1" applyBorder="1" applyAlignment="1">
      <alignment horizontal="center" vertical="center" wrapText="1"/>
    </xf>
    <xf numFmtId="0" fontId="53" fillId="25" borderId="143" xfId="0" applyFont="1" applyFill="1" applyBorder="1" applyAlignment="1">
      <alignment horizontal="center" vertical="center" wrapText="1"/>
    </xf>
    <xf numFmtId="0" fontId="54" fillId="28" borderId="144" xfId="0" applyFont="1" applyFill="1" applyBorder="1" applyAlignment="1">
      <alignment horizontal="center" vertical="center" wrapText="1"/>
    </xf>
    <xf numFmtId="0" fontId="54" fillId="25" borderId="142" xfId="0" applyFont="1" applyFill="1" applyBorder="1" applyAlignment="1">
      <alignment horizontal="center" vertical="center" wrapText="1"/>
    </xf>
    <xf numFmtId="0" fontId="54" fillId="25" borderId="144" xfId="0" applyFont="1" applyFill="1" applyBorder="1" applyAlignment="1">
      <alignment horizontal="center" vertical="center" wrapText="1"/>
    </xf>
    <xf numFmtId="0" fontId="54" fillId="25" borderId="143" xfId="0" applyFont="1" applyFill="1" applyBorder="1" applyAlignment="1">
      <alignment horizontal="center" vertical="center" wrapText="1"/>
    </xf>
    <xf numFmtId="0" fontId="61" fillId="0" borderId="142" xfId="0" applyFont="1" applyBorder="1" applyAlignment="1">
      <alignment horizontal="left" vertical="center" wrapText="1"/>
    </xf>
    <xf numFmtId="0" fontId="61" fillId="0" borderId="144" xfId="0" applyFont="1" applyBorder="1" applyAlignment="1">
      <alignment horizontal="left" vertical="center" wrapText="1"/>
    </xf>
    <xf numFmtId="0" fontId="61" fillId="0" borderId="143" xfId="0" applyFont="1" applyBorder="1" applyAlignment="1">
      <alignment horizontal="left" vertical="center" wrapText="1"/>
    </xf>
    <xf numFmtId="0" fontId="105" fillId="28" borderId="144" xfId="0" applyFont="1" applyFill="1" applyBorder="1" applyAlignment="1">
      <alignment horizontal="center" vertical="center" wrapText="1"/>
    </xf>
    <xf numFmtId="0" fontId="85" fillId="0" borderId="146" xfId="0" applyFont="1" applyBorder="1" applyAlignment="1">
      <alignment horizontal="left" vertical="top"/>
    </xf>
    <xf numFmtId="0" fontId="85" fillId="0" borderId="148" xfId="0" applyFont="1" applyBorder="1" applyAlignment="1">
      <alignment horizontal="left" vertical="top"/>
    </xf>
    <xf numFmtId="0" fontId="85" fillId="0" borderId="147" xfId="0" applyFont="1" applyBorder="1" applyAlignment="1">
      <alignment horizontal="left" vertical="top"/>
    </xf>
    <xf numFmtId="0" fontId="85" fillId="0" borderId="56" xfId="0" applyFont="1" applyBorder="1" applyAlignment="1">
      <alignment horizontal="left" vertical="top"/>
    </xf>
    <xf numFmtId="0" fontId="85" fillId="0" borderId="54" xfId="0" applyFont="1" applyBorder="1" applyAlignment="1">
      <alignment horizontal="left" vertical="top"/>
    </xf>
    <xf numFmtId="0" fontId="85" fillId="0" borderId="55" xfId="0" applyFont="1" applyBorder="1" applyAlignment="1">
      <alignment horizontal="left" vertical="top"/>
    </xf>
    <xf numFmtId="0" fontId="53" fillId="28" borderId="142" xfId="0" applyFont="1" applyFill="1" applyBorder="1" applyAlignment="1">
      <alignment horizontal="center" vertical="center" wrapText="1"/>
    </xf>
    <xf numFmtId="0" fontId="53" fillId="28" borderId="144" xfId="0" applyFont="1" applyFill="1" applyBorder="1" applyAlignment="1">
      <alignment horizontal="center" vertical="center" wrapText="1"/>
    </xf>
    <xf numFmtId="0" fontId="53" fillId="28" borderId="143" xfId="0" applyFont="1" applyFill="1" applyBorder="1" applyAlignment="1">
      <alignment horizontal="center" vertical="center" wrapText="1"/>
    </xf>
    <xf numFmtId="0" fontId="109" fillId="28" borderId="56" xfId="0" applyFont="1" applyFill="1" applyBorder="1" applyAlignment="1">
      <alignment horizontal="left" vertical="center"/>
    </xf>
    <xf numFmtId="0" fontId="109" fillId="28" borderId="54" xfId="0" applyFont="1" applyFill="1" applyBorder="1" applyAlignment="1">
      <alignment horizontal="left" vertical="center"/>
    </xf>
    <xf numFmtId="0" fontId="109" fillId="28" borderId="54" xfId="0" applyFont="1" applyFill="1" applyBorder="1" applyAlignment="1">
      <alignment horizontal="right" vertical="center"/>
    </xf>
    <xf numFmtId="0" fontId="109" fillId="28" borderId="55" xfId="0" applyFont="1" applyFill="1" applyBorder="1" applyAlignment="1">
      <alignment horizontal="right" vertical="center"/>
    </xf>
    <xf numFmtId="0" fontId="85" fillId="0" borderId="0" xfId="0" applyFont="1" applyAlignment="1">
      <alignment horizontal="left"/>
    </xf>
    <xf numFmtId="0" fontId="85" fillId="0" borderId="58" xfId="0" applyFont="1" applyBorder="1" applyAlignment="1">
      <alignment horizontal="left"/>
    </xf>
    <xf numFmtId="0" fontId="53" fillId="28" borderId="148" xfId="0" applyFont="1" applyFill="1" applyBorder="1" applyAlignment="1">
      <alignment horizontal="center" vertical="center"/>
    </xf>
    <xf numFmtId="0" fontId="53" fillId="28" borderId="0" xfId="0" applyFont="1" applyFill="1" applyAlignment="1">
      <alignment horizontal="center" vertical="center"/>
    </xf>
    <xf numFmtId="0" fontId="85" fillId="28" borderId="0" xfId="0" applyFont="1" applyFill="1" applyAlignment="1">
      <alignment horizontal="left" vertical="center" wrapText="1"/>
    </xf>
    <xf numFmtId="0" fontId="53" fillId="28" borderId="148" xfId="0" applyFont="1" applyFill="1" applyBorder="1" applyAlignment="1">
      <alignment horizontal="left" vertical="center"/>
    </xf>
    <xf numFmtId="0" fontId="53" fillId="28" borderId="0" xfId="0" applyFont="1" applyFill="1" applyAlignment="1">
      <alignment horizontal="left" vertical="center"/>
    </xf>
    <xf numFmtId="0" fontId="99" fillId="0" borderId="146" xfId="0" applyFont="1" applyBorder="1" applyAlignment="1">
      <alignment horizontal="center"/>
    </xf>
    <xf numFmtId="0" fontId="99" fillId="0" borderId="148" xfId="0" applyFont="1" applyBorder="1" applyAlignment="1">
      <alignment horizontal="center"/>
    </xf>
    <xf numFmtId="0" fontId="99" fillId="0" borderId="147" xfId="0" applyFont="1" applyBorder="1" applyAlignment="1">
      <alignment horizontal="center"/>
    </xf>
    <xf numFmtId="17" fontId="28" fillId="36" borderId="142" xfId="0" applyNumberFormat="1" applyFont="1" applyFill="1" applyBorder="1" applyAlignment="1">
      <alignment horizontal="center" vertical="center"/>
    </xf>
    <xf numFmtId="17" fontId="28" fillId="36" borderId="144" xfId="0" applyNumberFormat="1" applyFont="1" applyFill="1" applyBorder="1" applyAlignment="1">
      <alignment horizontal="center" vertical="center"/>
    </xf>
    <xf numFmtId="17" fontId="28" fillId="36" borderId="143" xfId="0" applyNumberFormat="1" applyFont="1" applyFill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28" fillId="0" borderId="55" xfId="0" applyFont="1" applyBorder="1" applyAlignment="1">
      <alignment horizontal="center" vertical="center"/>
    </xf>
    <xf numFmtId="0" fontId="28" fillId="0" borderId="145" xfId="0" applyFont="1" applyBorder="1" applyAlignment="1">
      <alignment horizontal="center" vertical="center" textRotation="90"/>
    </xf>
    <xf numFmtId="0" fontId="28" fillId="0" borderId="90" xfId="0" applyFont="1" applyBorder="1" applyAlignment="1">
      <alignment horizontal="center" vertical="center" textRotation="90"/>
    </xf>
    <xf numFmtId="0" fontId="28" fillId="0" borderId="53" xfId="0" applyFont="1" applyBorder="1" applyAlignment="1">
      <alignment horizontal="center" vertical="center" textRotation="90"/>
    </xf>
    <xf numFmtId="0" fontId="28" fillId="36" borderId="144" xfId="0" applyFont="1" applyFill="1" applyBorder="1" applyAlignment="1">
      <alignment horizontal="center" vertical="center"/>
    </xf>
    <xf numFmtId="0" fontId="28" fillId="36" borderId="143" xfId="0" applyFont="1" applyFill="1" applyBorder="1" applyAlignment="1">
      <alignment horizontal="center" vertical="center"/>
    </xf>
    <xf numFmtId="0" fontId="53" fillId="0" borderId="145" xfId="0" applyFont="1" applyBorder="1" applyAlignment="1">
      <alignment horizontal="left" vertical="center" wrapText="1"/>
    </xf>
    <xf numFmtId="0" fontId="53" fillId="0" borderId="53" xfId="0" applyFont="1" applyBorder="1" applyAlignment="1">
      <alignment horizontal="left" vertical="center" wrapText="1"/>
    </xf>
    <xf numFmtId="0" fontId="100" fillId="0" borderId="145" xfId="0" applyFont="1" applyBorder="1" applyAlignment="1">
      <alignment horizontal="center" vertical="center"/>
    </xf>
    <xf numFmtId="0" fontId="100" fillId="0" borderId="53" xfId="0" applyFont="1" applyBorder="1" applyAlignment="1">
      <alignment horizontal="center" vertical="center"/>
    </xf>
    <xf numFmtId="0" fontId="53" fillId="29" borderId="142" xfId="0" applyFont="1" applyFill="1" applyBorder="1" applyAlignment="1">
      <alignment horizontal="center" vertical="center"/>
    </xf>
    <xf numFmtId="0" fontId="53" fillId="29" borderId="144" xfId="0" applyFont="1" applyFill="1" applyBorder="1" applyAlignment="1">
      <alignment horizontal="center" vertical="center"/>
    </xf>
    <xf numFmtId="0" fontId="53" fillId="29" borderId="143" xfId="0" applyFont="1" applyFill="1" applyBorder="1" applyAlignment="1">
      <alignment horizontal="center" vertical="center"/>
    </xf>
    <xf numFmtId="0" fontId="54" fillId="0" borderId="148" xfId="0" applyFont="1" applyBorder="1" applyAlignment="1">
      <alignment horizontal="center" vertical="center"/>
    </xf>
    <xf numFmtId="0" fontId="64" fillId="0" borderId="148" xfId="0" applyFont="1" applyBorder="1" applyAlignment="1">
      <alignment horizontal="left" vertical="center"/>
    </xf>
    <xf numFmtId="0" fontId="148" fillId="36" borderId="65" xfId="0" applyFont="1" applyFill="1" applyBorder="1" applyAlignment="1">
      <alignment horizontal="center" vertical="center"/>
    </xf>
    <xf numFmtId="0" fontId="148" fillId="36" borderId="115" xfId="0" applyFont="1" applyFill="1" applyBorder="1" applyAlignment="1">
      <alignment horizontal="center" vertical="center"/>
    </xf>
    <xf numFmtId="0" fontId="148" fillId="36" borderId="72" xfId="0" applyFont="1" applyFill="1" applyBorder="1" applyAlignment="1">
      <alignment horizontal="center" vertical="center"/>
    </xf>
    <xf numFmtId="0" fontId="148" fillId="36" borderId="116" xfId="0" applyFont="1" applyFill="1" applyBorder="1" applyAlignment="1">
      <alignment horizontal="center" vertical="center"/>
    </xf>
    <xf numFmtId="0" fontId="100" fillId="25" borderId="146" xfId="0" applyFont="1" applyFill="1" applyBorder="1" applyAlignment="1">
      <alignment horizontal="center" vertical="center"/>
    </xf>
    <xf numFmtId="0" fontId="100" fillId="25" borderId="148" xfId="0" applyFont="1" applyFill="1" applyBorder="1" applyAlignment="1">
      <alignment horizontal="center" vertical="center"/>
    </xf>
    <xf numFmtId="0" fontId="100" fillId="25" borderId="147" xfId="0" applyFont="1" applyFill="1" applyBorder="1" applyAlignment="1">
      <alignment horizontal="center" vertical="center"/>
    </xf>
    <xf numFmtId="0" fontId="100" fillId="36" borderId="65" xfId="0" applyFont="1" applyFill="1" applyBorder="1" applyAlignment="1">
      <alignment horizontal="center" vertical="center"/>
    </xf>
    <xf numFmtId="0" fontId="100" fillId="36" borderId="106" xfId="0" applyFont="1" applyFill="1" applyBorder="1" applyAlignment="1">
      <alignment horizontal="center" vertical="center"/>
    </xf>
    <xf numFmtId="0" fontId="100" fillId="36" borderId="108" xfId="0" applyFont="1" applyFill="1" applyBorder="1" applyAlignment="1">
      <alignment horizontal="center" vertical="center"/>
    </xf>
    <xf numFmtId="0" fontId="100" fillId="36" borderId="107" xfId="0" applyFont="1" applyFill="1" applyBorder="1" applyAlignment="1">
      <alignment horizontal="center" vertical="center" wrapText="1"/>
    </xf>
    <xf numFmtId="0" fontId="100" fillId="36" borderId="109" xfId="0" applyFont="1" applyFill="1" applyBorder="1" applyAlignment="1">
      <alignment horizontal="center" vertical="center" wrapText="1"/>
    </xf>
    <xf numFmtId="0" fontId="100" fillId="36" borderId="71" xfId="0" applyFont="1" applyFill="1" applyBorder="1" applyAlignment="1">
      <alignment horizontal="center" vertical="center"/>
    </xf>
    <xf numFmtId="0" fontId="100" fillId="36" borderId="88" xfId="0" applyFont="1" applyFill="1" applyBorder="1" applyAlignment="1">
      <alignment horizontal="center" vertical="center"/>
    </xf>
  </cellXfs>
  <cellStyles count="5913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20% - Ênfase1 2" xfId="176" xr:uid="{00000000-0005-0000-0000-000006000000}"/>
    <cellStyle name="20% - Ênfase2 2" xfId="177" xr:uid="{00000000-0005-0000-0000-000007000000}"/>
    <cellStyle name="20% - Ênfase3 2" xfId="178" xr:uid="{00000000-0005-0000-0000-000008000000}"/>
    <cellStyle name="20% - Ênfase4 2" xfId="179" xr:uid="{00000000-0005-0000-0000-000009000000}"/>
    <cellStyle name="20% - Ênfase5 2" xfId="180" xr:uid="{00000000-0005-0000-0000-00000A000000}"/>
    <cellStyle name="20% - Ênfase6 2" xfId="181" xr:uid="{00000000-0005-0000-0000-00000B000000}"/>
    <cellStyle name="40% - Accent1" xfId="12" xr:uid="{00000000-0005-0000-0000-00000C000000}"/>
    <cellStyle name="40% - Accent2" xfId="13" xr:uid="{00000000-0005-0000-0000-00000D000000}"/>
    <cellStyle name="40% - Accent3" xfId="14" xr:uid="{00000000-0005-0000-0000-00000E000000}"/>
    <cellStyle name="40% - Accent4" xfId="15" xr:uid="{00000000-0005-0000-0000-00000F000000}"/>
    <cellStyle name="40% - Accent5" xfId="16" xr:uid="{00000000-0005-0000-0000-000010000000}"/>
    <cellStyle name="40% - Accent6" xfId="17" xr:uid="{00000000-0005-0000-0000-000011000000}"/>
    <cellStyle name="40% - Ênfase1 2" xfId="182" xr:uid="{00000000-0005-0000-0000-000012000000}"/>
    <cellStyle name="40% - Ênfase2 2" xfId="183" xr:uid="{00000000-0005-0000-0000-000013000000}"/>
    <cellStyle name="40% - Ênfase3 2" xfId="184" xr:uid="{00000000-0005-0000-0000-000014000000}"/>
    <cellStyle name="40% - Ênfase4 2" xfId="185" xr:uid="{00000000-0005-0000-0000-000015000000}"/>
    <cellStyle name="40% - Ênfase5 2" xfId="186" xr:uid="{00000000-0005-0000-0000-000016000000}"/>
    <cellStyle name="40% - Ênfase6 2" xfId="187" xr:uid="{00000000-0005-0000-0000-000017000000}"/>
    <cellStyle name="60% - Accent1" xfId="18" xr:uid="{00000000-0005-0000-0000-000018000000}"/>
    <cellStyle name="60% - Accent2" xfId="19" xr:uid="{00000000-0005-0000-0000-000019000000}"/>
    <cellStyle name="60% - Accent3" xfId="20" xr:uid="{00000000-0005-0000-0000-00001A000000}"/>
    <cellStyle name="60% - Accent4" xfId="21" xr:uid="{00000000-0005-0000-0000-00001B000000}"/>
    <cellStyle name="60% - Accent5" xfId="22" xr:uid="{00000000-0005-0000-0000-00001C000000}"/>
    <cellStyle name="60% - Accent6" xfId="23" xr:uid="{00000000-0005-0000-0000-00001D000000}"/>
    <cellStyle name="60% - Ênfase1 2" xfId="188" xr:uid="{00000000-0005-0000-0000-00001E000000}"/>
    <cellStyle name="60% - Ênfase2 2" xfId="189" xr:uid="{00000000-0005-0000-0000-00001F000000}"/>
    <cellStyle name="60% - Ênfase3 2" xfId="190" xr:uid="{00000000-0005-0000-0000-000020000000}"/>
    <cellStyle name="60% - Ênfase4 2" xfId="191" xr:uid="{00000000-0005-0000-0000-000021000000}"/>
    <cellStyle name="60% - Ênfase5 2" xfId="192" xr:uid="{00000000-0005-0000-0000-000022000000}"/>
    <cellStyle name="60% - Ênfase6 2" xfId="193" xr:uid="{00000000-0005-0000-0000-000023000000}"/>
    <cellStyle name="Accent 1 5" xfId="5742" xr:uid="{00000000-0005-0000-0000-000024000000}"/>
    <cellStyle name="Accent 1 6" xfId="5743" xr:uid="{00000000-0005-0000-0000-000025000000}"/>
    <cellStyle name="Accent 2 6" xfId="5744" xr:uid="{00000000-0005-0000-0000-000026000000}"/>
    <cellStyle name="Accent 2 7" xfId="5745" xr:uid="{00000000-0005-0000-0000-000027000000}"/>
    <cellStyle name="Accent 3 7" xfId="5746" xr:uid="{00000000-0005-0000-0000-000028000000}"/>
    <cellStyle name="Accent 3 8" xfId="5747" xr:uid="{00000000-0005-0000-0000-000029000000}"/>
    <cellStyle name="Accent 4" xfId="5748" xr:uid="{00000000-0005-0000-0000-00002A000000}"/>
    <cellStyle name="Accent 5" xfId="5749" xr:uid="{00000000-0005-0000-0000-00002B000000}"/>
    <cellStyle name="Accent1" xfId="24" xr:uid="{00000000-0005-0000-0000-00002C000000}"/>
    <cellStyle name="Accent2" xfId="25" xr:uid="{00000000-0005-0000-0000-00002D000000}"/>
    <cellStyle name="Accent3" xfId="26" xr:uid="{00000000-0005-0000-0000-00002E000000}"/>
    <cellStyle name="Accent4" xfId="27" xr:uid="{00000000-0005-0000-0000-00002F000000}"/>
    <cellStyle name="Accent5" xfId="28" xr:uid="{00000000-0005-0000-0000-000030000000}"/>
    <cellStyle name="Accent6" xfId="29" xr:uid="{00000000-0005-0000-0000-000031000000}"/>
    <cellStyle name="asd" xfId="30" xr:uid="{00000000-0005-0000-0000-000032000000}"/>
    <cellStyle name="asd 11 3 3 2 17" xfId="5873" xr:uid="{00000000-0005-0000-0000-000033000000}"/>
    <cellStyle name="asd 2" xfId="194" xr:uid="{00000000-0005-0000-0000-000034000000}"/>
    <cellStyle name="asd 2 2" xfId="3091" xr:uid="{00000000-0005-0000-0000-000035000000}"/>
    <cellStyle name="asd 3" xfId="3056" xr:uid="{00000000-0005-0000-0000-000036000000}"/>
    <cellStyle name="Bad" xfId="31" xr:uid="{00000000-0005-0000-0000-000037000000}"/>
    <cellStyle name="Bad 8" xfId="5750" xr:uid="{00000000-0005-0000-0000-000038000000}"/>
    <cellStyle name="Bad 9" xfId="5751" xr:uid="{00000000-0005-0000-0000-000039000000}"/>
    <cellStyle name="Bom 2" xfId="195" xr:uid="{00000000-0005-0000-0000-00003A000000}"/>
    <cellStyle name="CABEÇALHO" xfId="118" xr:uid="{00000000-0005-0000-0000-00003B000000}"/>
    <cellStyle name="Cabeçalho 1" xfId="196" xr:uid="{00000000-0005-0000-0000-00003C000000}"/>
    <cellStyle name="CABEÇALHO 10" xfId="742" xr:uid="{00000000-0005-0000-0000-00003D000000}"/>
    <cellStyle name="CABEÇALHO 10 2" xfId="1079" xr:uid="{00000000-0005-0000-0000-00003E000000}"/>
    <cellStyle name="CABEÇALHO 10 2 2" xfId="1846" xr:uid="{00000000-0005-0000-0000-00003F000000}"/>
    <cellStyle name="CABEÇALHO 10 2 2 2" xfId="4542" xr:uid="{00000000-0005-0000-0000-000040000000}"/>
    <cellStyle name="CABEÇALHO 10 2 3" xfId="3776" xr:uid="{00000000-0005-0000-0000-000041000000}"/>
    <cellStyle name="CABEÇALHO 10 3" xfId="1164" xr:uid="{00000000-0005-0000-0000-000042000000}"/>
    <cellStyle name="CABEÇALHO 10 3 2" xfId="1931" xr:uid="{00000000-0005-0000-0000-000043000000}"/>
    <cellStyle name="CABEÇALHO 10 3 2 2" xfId="4627" xr:uid="{00000000-0005-0000-0000-000044000000}"/>
    <cellStyle name="CABEÇALHO 10 3 3" xfId="3861" xr:uid="{00000000-0005-0000-0000-000045000000}"/>
    <cellStyle name="CABEÇALHO 10 4" xfId="1509" xr:uid="{00000000-0005-0000-0000-000046000000}"/>
    <cellStyle name="CABEÇALHO 10 4 2" xfId="4205" xr:uid="{00000000-0005-0000-0000-000047000000}"/>
    <cellStyle name="CABEÇALHO 10 5" xfId="3439" xr:uid="{00000000-0005-0000-0000-000048000000}"/>
    <cellStyle name="CABEÇALHO 11" xfId="603" xr:uid="{00000000-0005-0000-0000-000049000000}"/>
    <cellStyle name="CABEÇALHO 11 2" xfId="940" xr:uid="{00000000-0005-0000-0000-00004A000000}"/>
    <cellStyle name="CABEÇALHO 11 2 2" xfId="1707" xr:uid="{00000000-0005-0000-0000-00004B000000}"/>
    <cellStyle name="CABEÇALHO 11 2 2 2" xfId="4403" xr:uid="{00000000-0005-0000-0000-00004C000000}"/>
    <cellStyle name="CABEÇALHO 11 2 3" xfId="3637" xr:uid="{00000000-0005-0000-0000-00004D000000}"/>
    <cellStyle name="CABEÇALHO 11 3" xfId="1145" xr:uid="{00000000-0005-0000-0000-00004E000000}"/>
    <cellStyle name="CABEÇALHO 11 3 2" xfId="1912" xr:uid="{00000000-0005-0000-0000-00004F000000}"/>
    <cellStyle name="CABEÇALHO 11 3 2 2" xfId="4608" xr:uid="{00000000-0005-0000-0000-000050000000}"/>
    <cellStyle name="CABEÇALHO 11 3 3" xfId="3842" xr:uid="{00000000-0005-0000-0000-000051000000}"/>
    <cellStyle name="CABEÇALHO 11 4" xfId="1370" xr:uid="{00000000-0005-0000-0000-000052000000}"/>
    <cellStyle name="CABEÇALHO 11 4 2" xfId="4066" xr:uid="{00000000-0005-0000-0000-000053000000}"/>
    <cellStyle name="CABEÇALHO 11 5" xfId="3300" xr:uid="{00000000-0005-0000-0000-000054000000}"/>
    <cellStyle name="CABEÇALHO 12" xfId="589" xr:uid="{00000000-0005-0000-0000-000055000000}"/>
    <cellStyle name="CABEÇALHO 12 2" xfId="926" xr:uid="{00000000-0005-0000-0000-000056000000}"/>
    <cellStyle name="CABEÇALHO 12 2 2" xfId="1693" xr:uid="{00000000-0005-0000-0000-000057000000}"/>
    <cellStyle name="CABEÇALHO 12 2 2 2" xfId="4389" xr:uid="{00000000-0005-0000-0000-000058000000}"/>
    <cellStyle name="CABEÇALHO 12 2 3" xfId="3623" xr:uid="{00000000-0005-0000-0000-000059000000}"/>
    <cellStyle name="CABEÇALHO 12 3" xfId="1132" xr:uid="{00000000-0005-0000-0000-00005A000000}"/>
    <cellStyle name="CABEÇALHO 12 3 2" xfId="1899" xr:uid="{00000000-0005-0000-0000-00005B000000}"/>
    <cellStyle name="CABEÇALHO 12 3 2 2" xfId="4595" xr:uid="{00000000-0005-0000-0000-00005C000000}"/>
    <cellStyle name="CABEÇALHO 12 3 3" xfId="3829" xr:uid="{00000000-0005-0000-0000-00005D000000}"/>
    <cellStyle name="CABEÇALHO 12 4" xfId="1356" xr:uid="{00000000-0005-0000-0000-00005E000000}"/>
    <cellStyle name="CABEÇALHO 12 4 2" xfId="4052" xr:uid="{00000000-0005-0000-0000-00005F000000}"/>
    <cellStyle name="CABEÇALHO 12 5" xfId="3286" xr:uid="{00000000-0005-0000-0000-000060000000}"/>
    <cellStyle name="CABEÇALHO 13" xfId="601" xr:uid="{00000000-0005-0000-0000-000061000000}"/>
    <cellStyle name="CABEÇALHO 13 2" xfId="938" xr:uid="{00000000-0005-0000-0000-000062000000}"/>
    <cellStyle name="CABEÇALHO 13 2 2" xfId="1705" xr:uid="{00000000-0005-0000-0000-000063000000}"/>
    <cellStyle name="CABEÇALHO 13 2 2 2" xfId="4401" xr:uid="{00000000-0005-0000-0000-000064000000}"/>
    <cellStyle name="CABEÇALHO 13 2 3" xfId="3635" xr:uid="{00000000-0005-0000-0000-000065000000}"/>
    <cellStyle name="CABEÇALHO 13 3" xfId="1143" xr:uid="{00000000-0005-0000-0000-000066000000}"/>
    <cellStyle name="CABEÇALHO 13 3 2" xfId="1910" xr:uid="{00000000-0005-0000-0000-000067000000}"/>
    <cellStyle name="CABEÇALHO 13 3 2 2" xfId="4606" xr:uid="{00000000-0005-0000-0000-000068000000}"/>
    <cellStyle name="CABEÇALHO 13 3 3" xfId="3840" xr:uid="{00000000-0005-0000-0000-000069000000}"/>
    <cellStyle name="CABEÇALHO 13 4" xfId="1368" xr:uid="{00000000-0005-0000-0000-00006A000000}"/>
    <cellStyle name="CABEÇALHO 13 4 2" xfId="4064" xr:uid="{00000000-0005-0000-0000-00006B000000}"/>
    <cellStyle name="CABEÇALHO 13 5" xfId="3298" xr:uid="{00000000-0005-0000-0000-00006C000000}"/>
    <cellStyle name="CABEÇALHO 14" xfId="753" xr:uid="{00000000-0005-0000-0000-00006D000000}"/>
    <cellStyle name="CABEÇALHO 14 2" xfId="1090" xr:uid="{00000000-0005-0000-0000-00006E000000}"/>
    <cellStyle name="CABEÇALHO 14 2 2" xfId="1857" xr:uid="{00000000-0005-0000-0000-00006F000000}"/>
    <cellStyle name="CABEÇALHO 14 2 2 2" xfId="4553" xr:uid="{00000000-0005-0000-0000-000070000000}"/>
    <cellStyle name="CABEÇALHO 14 2 3" xfId="3787" xr:uid="{00000000-0005-0000-0000-000071000000}"/>
    <cellStyle name="CABEÇALHO 14 3" xfId="1175" xr:uid="{00000000-0005-0000-0000-000072000000}"/>
    <cellStyle name="CABEÇALHO 14 3 2" xfId="1942" xr:uid="{00000000-0005-0000-0000-000073000000}"/>
    <cellStyle name="CABEÇALHO 14 3 2 2" xfId="4638" xr:uid="{00000000-0005-0000-0000-000074000000}"/>
    <cellStyle name="CABEÇALHO 14 3 3" xfId="3872" xr:uid="{00000000-0005-0000-0000-000075000000}"/>
    <cellStyle name="CABEÇALHO 14 4" xfId="1520" xr:uid="{00000000-0005-0000-0000-000076000000}"/>
    <cellStyle name="CABEÇALHO 14 4 2" xfId="4216" xr:uid="{00000000-0005-0000-0000-000077000000}"/>
    <cellStyle name="CABEÇALHO 14 5" xfId="3450" xr:uid="{00000000-0005-0000-0000-000078000000}"/>
    <cellStyle name="CABEÇALHO 15" xfId="751" xr:uid="{00000000-0005-0000-0000-000079000000}"/>
    <cellStyle name="CABEÇALHO 15 2" xfId="1088" xr:uid="{00000000-0005-0000-0000-00007A000000}"/>
    <cellStyle name="CABEÇALHO 15 2 2" xfId="1855" xr:uid="{00000000-0005-0000-0000-00007B000000}"/>
    <cellStyle name="CABEÇALHO 15 2 2 2" xfId="4551" xr:uid="{00000000-0005-0000-0000-00007C000000}"/>
    <cellStyle name="CABEÇALHO 15 2 3" xfId="3785" xr:uid="{00000000-0005-0000-0000-00007D000000}"/>
    <cellStyle name="CABEÇALHO 15 3" xfId="1173" xr:uid="{00000000-0005-0000-0000-00007E000000}"/>
    <cellStyle name="CABEÇALHO 15 3 2" xfId="1940" xr:uid="{00000000-0005-0000-0000-00007F000000}"/>
    <cellStyle name="CABEÇALHO 15 3 2 2" xfId="4636" xr:uid="{00000000-0005-0000-0000-000080000000}"/>
    <cellStyle name="CABEÇALHO 15 3 3" xfId="3870" xr:uid="{00000000-0005-0000-0000-000081000000}"/>
    <cellStyle name="CABEÇALHO 15 4" xfId="1518" xr:uid="{00000000-0005-0000-0000-000082000000}"/>
    <cellStyle name="CABEÇALHO 15 4 2" xfId="4214" xr:uid="{00000000-0005-0000-0000-000083000000}"/>
    <cellStyle name="CABEÇALHO 15 5" xfId="3448" xr:uid="{00000000-0005-0000-0000-000084000000}"/>
    <cellStyle name="CABEÇALHO 16" xfId="574" xr:uid="{00000000-0005-0000-0000-000085000000}"/>
    <cellStyle name="CABEÇALHO 16 2" xfId="911" xr:uid="{00000000-0005-0000-0000-000086000000}"/>
    <cellStyle name="CABEÇALHO 16 2 2" xfId="1678" xr:uid="{00000000-0005-0000-0000-000087000000}"/>
    <cellStyle name="CABEÇALHO 16 2 2 2" xfId="4374" xr:uid="{00000000-0005-0000-0000-000088000000}"/>
    <cellStyle name="CABEÇALHO 16 2 3" xfId="3608" xr:uid="{00000000-0005-0000-0000-000089000000}"/>
    <cellStyle name="CABEÇALHO 16 3" xfId="1119" xr:uid="{00000000-0005-0000-0000-00008A000000}"/>
    <cellStyle name="CABEÇALHO 16 3 2" xfId="1886" xr:uid="{00000000-0005-0000-0000-00008B000000}"/>
    <cellStyle name="CABEÇALHO 16 3 2 2" xfId="4582" xr:uid="{00000000-0005-0000-0000-00008C000000}"/>
    <cellStyle name="CABEÇALHO 16 3 3" xfId="3816" xr:uid="{00000000-0005-0000-0000-00008D000000}"/>
    <cellStyle name="CABEÇALHO 16 4" xfId="1341" xr:uid="{00000000-0005-0000-0000-00008E000000}"/>
    <cellStyle name="CABEÇALHO 16 4 2" xfId="4037" xr:uid="{00000000-0005-0000-0000-00008F000000}"/>
    <cellStyle name="CABEÇALHO 16 5" xfId="3271" xr:uid="{00000000-0005-0000-0000-000090000000}"/>
    <cellStyle name="CABEÇALHO 17" xfId="758" xr:uid="{00000000-0005-0000-0000-000091000000}"/>
    <cellStyle name="CABEÇALHO 17 2" xfId="1095" xr:uid="{00000000-0005-0000-0000-000092000000}"/>
    <cellStyle name="CABEÇALHO 17 2 2" xfId="1862" xr:uid="{00000000-0005-0000-0000-000093000000}"/>
    <cellStyle name="CABEÇALHO 17 2 2 2" xfId="4558" xr:uid="{00000000-0005-0000-0000-000094000000}"/>
    <cellStyle name="CABEÇALHO 17 2 3" xfId="3792" xr:uid="{00000000-0005-0000-0000-000095000000}"/>
    <cellStyle name="CABEÇALHO 17 3" xfId="1180" xr:uid="{00000000-0005-0000-0000-000096000000}"/>
    <cellStyle name="CABEÇALHO 17 3 2" xfId="1947" xr:uid="{00000000-0005-0000-0000-000097000000}"/>
    <cellStyle name="CABEÇALHO 17 3 2 2" xfId="4643" xr:uid="{00000000-0005-0000-0000-000098000000}"/>
    <cellStyle name="CABEÇALHO 17 3 3" xfId="3877" xr:uid="{00000000-0005-0000-0000-000099000000}"/>
    <cellStyle name="CABEÇALHO 17 4" xfId="1525" xr:uid="{00000000-0005-0000-0000-00009A000000}"/>
    <cellStyle name="CABEÇALHO 17 4 2" xfId="4221" xr:uid="{00000000-0005-0000-0000-00009B000000}"/>
    <cellStyle name="CABEÇALHO 17 5" xfId="3455" xr:uid="{00000000-0005-0000-0000-00009C000000}"/>
    <cellStyle name="CABEÇALHO 18" xfId="762" xr:uid="{00000000-0005-0000-0000-00009D000000}"/>
    <cellStyle name="CABEÇALHO 18 2" xfId="1099" xr:uid="{00000000-0005-0000-0000-00009E000000}"/>
    <cellStyle name="CABEÇALHO 18 2 2" xfId="1866" xr:uid="{00000000-0005-0000-0000-00009F000000}"/>
    <cellStyle name="CABEÇALHO 18 2 2 2" xfId="4562" xr:uid="{00000000-0005-0000-0000-0000A0000000}"/>
    <cellStyle name="CABEÇALHO 18 2 3" xfId="3796" xr:uid="{00000000-0005-0000-0000-0000A1000000}"/>
    <cellStyle name="CABEÇALHO 18 3" xfId="1184" xr:uid="{00000000-0005-0000-0000-0000A2000000}"/>
    <cellStyle name="CABEÇALHO 18 3 2" xfId="1951" xr:uid="{00000000-0005-0000-0000-0000A3000000}"/>
    <cellStyle name="CABEÇALHO 18 3 2 2" xfId="4647" xr:uid="{00000000-0005-0000-0000-0000A4000000}"/>
    <cellStyle name="CABEÇALHO 18 3 3" xfId="3881" xr:uid="{00000000-0005-0000-0000-0000A5000000}"/>
    <cellStyle name="CABEÇALHO 18 4" xfId="1529" xr:uid="{00000000-0005-0000-0000-0000A6000000}"/>
    <cellStyle name="CABEÇALHO 18 4 2" xfId="4225" xr:uid="{00000000-0005-0000-0000-0000A7000000}"/>
    <cellStyle name="CABEÇALHO 18 5" xfId="3459" xr:uid="{00000000-0005-0000-0000-0000A8000000}"/>
    <cellStyle name="CABEÇALHO 19" xfId="744" xr:uid="{00000000-0005-0000-0000-0000A9000000}"/>
    <cellStyle name="CABEÇALHO 19 2" xfId="1081" xr:uid="{00000000-0005-0000-0000-0000AA000000}"/>
    <cellStyle name="CABEÇALHO 19 2 2" xfId="1848" xr:uid="{00000000-0005-0000-0000-0000AB000000}"/>
    <cellStyle name="CABEÇALHO 19 2 2 2" xfId="4544" xr:uid="{00000000-0005-0000-0000-0000AC000000}"/>
    <cellStyle name="CABEÇALHO 19 2 3" xfId="3778" xr:uid="{00000000-0005-0000-0000-0000AD000000}"/>
    <cellStyle name="CABEÇALHO 19 3" xfId="1166" xr:uid="{00000000-0005-0000-0000-0000AE000000}"/>
    <cellStyle name="CABEÇALHO 19 3 2" xfId="1933" xr:uid="{00000000-0005-0000-0000-0000AF000000}"/>
    <cellStyle name="CABEÇALHO 19 3 2 2" xfId="4629" xr:uid="{00000000-0005-0000-0000-0000B0000000}"/>
    <cellStyle name="CABEÇALHO 19 3 3" xfId="3863" xr:uid="{00000000-0005-0000-0000-0000B1000000}"/>
    <cellStyle name="CABEÇALHO 19 4" xfId="1511" xr:uid="{00000000-0005-0000-0000-0000B2000000}"/>
    <cellStyle name="CABEÇALHO 19 4 2" xfId="4207" xr:uid="{00000000-0005-0000-0000-0000B3000000}"/>
    <cellStyle name="CABEÇALHO 19 5" xfId="3441" xr:uid="{00000000-0005-0000-0000-0000B4000000}"/>
    <cellStyle name="Cabeçalho 2" xfId="197" xr:uid="{00000000-0005-0000-0000-0000B5000000}"/>
    <cellStyle name="CABEÇALHO 20" xfId="764" xr:uid="{00000000-0005-0000-0000-0000B6000000}"/>
    <cellStyle name="CABEÇALHO 20 2" xfId="1101" xr:uid="{00000000-0005-0000-0000-0000B7000000}"/>
    <cellStyle name="CABEÇALHO 20 2 2" xfId="1868" xr:uid="{00000000-0005-0000-0000-0000B8000000}"/>
    <cellStyle name="CABEÇALHO 20 2 2 2" xfId="4564" xr:uid="{00000000-0005-0000-0000-0000B9000000}"/>
    <cellStyle name="CABEÇALHO 20 2 3" xfId="3798" xr:uid="{00000000-0005-0000-0000-0000BA000000}"/>
    <cellStyle name="CABEÇALHO 20 3" xfId="1186" xr:uid="{00000000-0005-0000-0000-0000BB000000}"/>
    <cellStyle name="CABEÇALHO 20 3 2" xfId="1953" xr:uid="{00000000-0005-0000-0000-0000BC000000}"/>
    <cellStyle name="CABEÇALHO 20 3 2 2" xfId="4649" xr:uid="{00000000-0005-0000-0000-0000BD000000}"/>
    <cellStyle name="CABEÇALHO 20 3 3" xfId="3883" xr:uid="{00000000-0005-0000-0000-0000BE000000}"/>
    <cellStyle name="CABEÇALHO 20 4" xfId="1531" xr:uid="{00000000-0005-0000-0000-0000BF000000}"/>
    <cellStyle name="CABEÇALHO 20 4 2" xfId="4227" xr:uid="{00000000-0005-0000-0000-0000C0000000}"/>
    <cellStyle name="CABEÇALHO 20 5" xfId="3461" xr:uid="{00000000-0005-0000-0000-0000C1000000}"/>
    <cellStyle name="CABEÇALHO 21" xfId="756" xr:uid="{00000000-0005-0000-0000-0000C2000000}"/>
    <cellStyle name="CABEÇALHO 21 2" xfId="1093" xr:uid="{00000000-0005-0000-0000-0000C3000000}"/>
    <cellStyle name="CABEÇALHO 21 2 2" xfId="1860" xr:uid="{00000000-0005-0000-0000-0000C4000000}"/>
    <cellStyle name="CABEÇALHO 21 2 2 2" xfId="4556" xr:uid="{00000000-0005-0000-0000-0000C5000000}"/>
    <cellStyle name="CABEÇALHO 21 2 3" xfId="3790" xr:uid="{00000000-0005-0000-0000-0000C6000000}"/>
    <cellStyle name="CABEÇALHO 21 3" xfId="1178" xr:uid="{00000000-0005-0000-0000-0000C7000000}"/>
    <cellStyle name="CABEÇALHO 21 3 2" xfId="1945" xr:uid="{00000000-0005-0000-0000-0000C8000000}"/>
    <cellStyle name="CABEÇALHO 21 3 2 2" xfId="4641" xr:uid="{00000000-0005-0000-0000-0000C9000000}"/>
    <cellStyle name="CABEÇALHO 21 3 3" xfId="3875" xr:uid="{00000000-0005-0000-0000-0000CA000000}"/>
    <cellStyle name="CABEÇALHO 21 4" xfId="1523" xr:uid="{00000000-0005-0000-0000-0000CB000000}"/>
    <cellStyle name="CABEÇALHO 21 4 2" xfId="4219" xr:uid="{00000000-0005-0000-0000-0000CC000000}"/>
    <cellStyle name="CABEÇALHO 21 5" xfId="3453" xr:uid="{00000000-0005-0000-0000-0000CD000000}"/>
    <cellStyle name="CABEÇALHO 22" xfId="765" xr:uid="{00000000-0005-0000-0000-0000CE000000}"/>
    <cellStyle name="CABEÇALHO 22 2" xfId="1102" xr:uid="{00000000-0005-0000-0000-0000CF000000}"/>
    <cellStyle name="CABEÇALHO 22 2 2" xfId="1869" xr:uid="{00000000-0005-0000-0000-0000D0000000}"/>
    <cellStyle name="CABEÇALHO 22 2 2 2" xfId="4565" xr:uid="{00000000-0005-0000-0000-0000D1000000}"/>
    <cellStyle name="CABEÇALHO 22 2 3" xfId="3799" xr:uid="{00000000-0005-0000-0000-0000D2000000}"/>
    <cellStyle name="CABEÇALHO 22 3" xfId="1187" xr:uid="{00000000-0005-0000-0000-0000D3000000}"/>
    <cellStyle name="CABEÇALHO 22 3 2" xfId="1954" xr:uid="{00000000-0005-0000-0000-0000D4000000}"/>
    <cellStyle name="CABEÇALHO 22 3 2 2" xfId="4650" xr:uid="{00000000-0005-0000-0000-0000D5000000}"/>
    <cellStyle name="CABEÇALHO 22 3 3" xfId="3884" xr:uid="{00000000-0005-0000-0000-0000D6000000}"/>
    <cellStyle name="CABEÇALHO 22 4" xfId="1532" xr:uid="{00000000-0005-0000-0000-0000D7000000}"/>
    <cellStyle name="CABEÇALHO 22 4 2" xfId="4228" xr:uid="{00000000-0005-0000-0000-0000D8000000}"/>
    <cellStyle name="CABEÇALHO 22 5" xfId="3462" xr:uid="{00000000-0005-0000-0000-0000D9000000}"/>
    <cellStyle name="CABEÇALHO 23" xfId="739" xr:uid="{00000000-0005-0000-0000-0000DA000000}"/>
    <cellStyle name="CABEÇALHO 23 2" xfId="1076" xr:uid="{00000000-0005-0000-0000-0000DB000000}"/>
    <cellStyle name="CABEÇALHO 23 2 2" xfId="1843" xr:uid="{00000000-0005-0000-0000-0000DC000000}"/>
    <cellStyle name="CABEÇALHO 23 2 2 2" xfId="4539" xr:uid="{00000000-0005-0000-0000-0000DD000000}"/>
    <cellStyle name="CABEÇALHO 23 2 3" xfId="3773" xr:uid="{00000000-0005-0000-0000-0000DE000000}"/>
    <cellStyle name="CABEÇALHO 23 3" xfId="1161" xr:uid="{00000000-0005-0000-0000-0000DF000000}"/>
    <cellStyle name="CABEÇALHO 23 3 2" xfId="1928" xr:uid="{00000000-0005-0000-0000-0000E0000000}"/>
    <cellStyle name="CABEÇALHO 23 3 2 2" xfId="4624" xr:uid="{00000000-0005-0000-0000-0000E1000000}"/>
    <cellStyle name="CABEÇALHO 23 3 3" xfId="3858" xr:uid="{00000000-0005-0000-0000-0000E2000000}"/>
    <cellStyle name="CABEÇALHO 23 4" xfId="1506" xr:uid="{00000000-0005-0000-0000-0000E3000000}"/>
    <cellStyle name="CABEÇALHO 23 4 2" xfId="4202" xr:uid="{00000000-0005-0000-0000-0000E4000000}"/>
    <cellStyle name="CABEÇALHO 23 5" xfId="3436" xr:uid="{00000000-0005-0000-0000-0000E5000000}"/>
    <cellStyle name="CABEÇALHO 24" xfId="611" xr:uid="{00000000-0005-0000-0000-0000E6000000}"/>
    <cellStyle name="CABEÇALHO 24 2" xfId="948" xr:uid="{00000000-0005-0000-0000-0000E7000000}"/>
    <cellStyle name="CABEÇALHO 24 2 2" xfId="1715" xr:uid="{00000000-0005-0000-0000-0000E8000000}"/>
    <cellStyle name="CABEÇALHO 24 2 2 2" xfId="4411" xr:uid="{00000000-0005-0000-0000-0000E9000000}"/>
    <cellStyle name="CABEÇALHO 24 2 3" xfId="3645" xr:uid="{00000000-0005-0000-0000-0000EA000000}"/>
    <cellStyle name="CABEÇALHO 24 3" xfId="1152" xr:uid="{00000000-0005-0000-0000-0000EB000000}"/>
    <cellStyle name="CABEÇALHO 24 3 2" xfId="1919" xr:uid="{00000000-0005-0000-0000-0000EC000000}"/>
    <cellStyle name="CABEÇALHO 24 3 2 2" xfId="4615" xr:uid="{00000000-0005-0000-0000-0000ED000000}"/>
    <cellStyle name="CABEÇALHO 24 3 3" xfId="3849" xr:uid="{00000000-0005-0000-0000-0000EE000000}"/>
    <cellStyle name="CABEÇALHO 24 4" xfId="1378" xr:uid="{00000000-0005-0000-0000-0000EF000000}"/>
    <cellStyle name="CABEÇALHO 24 4 2" xfId="4074" xr:uid="{00000000-0005-0000-0000-0000F0000000}"/>
    <cellStyle name="CABEÇALHO 24 5" xfId="3308" xr:uid="{00000000-0005-0000-0000-0000F1000000}"/>
    <cellStyle name="CABEÇALHO 25" xfId="586" xr:uid="{00000000-0005-0000-0000-0000F2000000}"/>
    <cellStyle name="CABEÇALHO 25 2" xfId="923" xr:uid="{00000000-0005-0000-0000-0000F3000000}"/>
    <cellStyle name="CABEÇALHO 25 2 2" xfId="1690" xr:uid="{00000000-0005-0000-0000-0000F4000000}"/>
    <cellStyle name="CABEÇALHO 25 2 2 2" xfId="4386" xr:uid="{00000000-0005-0000-0000-0000F5000000}"/>
    <cellStyle name="CABEÇALHO 25 2 3" xfId="3620" xr:uid="{00000000-0005-0000-0000-0000F6000000}"/>
    <cellStyle name="CABEÇALHO 25 3" xfId="1129" xr:uid="{00000000-0005-0000-0000-0000F7000000}"/>
    <cellStyle name="CABEÇALHO 25 3 2" xfId="1896" xr:uid="{00000000-0005-0000-0000-0000F8000000}"/>
    <cellStyle name="CABEÇALHO 25 3 2 2" xfId="4592" xr:uid="{00000000-0005-0000-0000-0000F9000000}"/>
    <cellStyle name="CABEÇALHO 25 3 3" xfId="3826" xr:uid="{00000000-0005-0000-0000-0000FA000000}"/>
    <cellStyle name="CABEÇALHO 25 4" xfId="1353" xr:uid="{00000000-0005-0000-0000-0000FB000000}"/>
    <cellStyle name="CABEÇALHO 25 4 2" xfId="4049" xr:uid="{00000000-0005-0000-0000-0000FC000000}"/>
    <cellStyle name="CABEÇALHO 25 5" xfId="3283" xr:uid="{00000000-0005-0000-0000-0000FD000000}"/>
    <cellStyle name="CABEÇALHO 26" xfId="745" xr:uid="{00000000-0005-0000-0000-0000FE000000}"/>
    <cellStyle name="CABEÇALHO 26 2" xfId="1082" xr:uid="{00000000-0005-0000-0000-0000FF000000}"/>
    <cellStyle name="CABEÇALHO 26 2 2" xfId="1849" xr:uid="{00000000-0005-0000-0000-000000010000}"/>
    <cellStyle name="CABEÇALHO 26 2 2 2" xfId="4545" xr:uid="{00000000-0005-0000-0000-000001010000}"/>
    <cellStyle name="CABEÇALHO 26 2 3" xfId="3779" xr:uid="{00000000-0005-0000-0000-000002010000}"/>
    <cellStyle name="CABEÇALHO 26 3" xfId="1167" xr:uid="{00000000-0005-0000-0000-000003010000}"/>
    <cellStyle name="CABEÇALHO 26 3 2" xfId="1934" xr:uid="{00000000-0005-0000-0000-000004010000}"/>
    <cellStyle name="CABEÇALHO 26 3 2 2" xfId="4630" xr:uid="{00000000-0005-0000-0000-000005010000}"/>
    <cellStyle name="CABEÇALHO 26 3 3" xfId="3864" xr:uid="{00000000-0005-0000-0000-000006010000}"/>
    <cellStyle name="CABEÇALHO 26 4" xfId="1512" xr:uid="{00000000-0005-0000-0000-000007010000}"/>
    <cellStyle name="CABEÇALHO 26 4 2" xfId="4208" xr:uid="{00000000-0005-0000-0000-000008010000}"/>
    <cellStyle name="CABEÇALHO 26 5" xfId="3442" xr:uid="{00000000-0005-0000-0000-000009010000}"/>
    <cellStyle name="CABEÇALHO 27" xfId="608" xr:uid="{00000000-0005-0000-0000-00000A010000}"/>
    <cellStyle name="CABEÇALHO 27 2" xfId="945" xr:uid="{00000000-0005-0000-0000-00000B010000}"/>
    <cellStyle name="CABEÇALHO 27 2 2" xfId="1712" xr:uid="{00000000-0005-0000-0000-00000C010000}"/>
    <cellStyle name="CABEÇALHO 27 2 2 2" xfId="4408" xr:uid="{00000000-0005-0000-0000-00000D010000}"/>
    <cellStyle name="CABEÇALHO 27 2 3" xfId="3642" xr:uid="{00000000-0005-0000-0000-00000E010000}"/>
    <cellStyle name="CABEÇALHO 27 3" xfId="1149" xr:uid="{00000000-0005-0000-0000-00000F010000}"/>
    <cellStyle name="CABEÇALHO 27 3 2" xfId="1916" xr:uid="{00000000-0005-0000-0000-000010010000}"/>
    <cellStyle name="CABEÇALHO 27 3 2 2" xfId="4612" xr:uid="{00000000-0005-0000-0000-000011010000}"/>
    <cellStyle name="CABEÇALHO 27 3 3" xfId="3846" xr:uid="{00000000-0005-0000-0000-000012010000}"/>
    <cellStyle name="CABEÇALHO 27 4" xfId="1375" xr:uid="{00000000-0005-0000-0000-000013010000}"/>
    <cellStyle name="CABEÇALHO 27 4 2" xfId="4071" xr:uid="{00000000-0005-0000-0000-000014010000}"/>
    <cellStyle name="CABEÇALHO 27 5" xfId="3305" xr:uid="{00000000-0005-0000-0000-000015010000}"/>
    <cellStyle name="CABEÇALHO 28" xfId="592" xr:uid="{00000000-0005-0000-0000-000016010000}"/>
    <cellStyle name="CABEÇALHO 28 2" xfId="929" xr:uid="{00000000-0005-0000-0000-000017010000}"/>
    <cellStyle name="CABEÇALHO 28 2 2" xfId="1696" xr:uid="{00000000-0005-0000-0000-000018010000}"/>
    <cellStyle name="CABEÇALHO 28 2 2 2" xfId="4392" xr:uid="{00000000-0005-0000-0000-000019010000}"/>
    <cellStyle name="CABEÇALHO 28 2 3" xfId="3626" xr:uid="{00000000-0005-0000-0000-00001A010000}"/>
    <cellStyle name="CABEÇALHO 28 3" xfId="1135" xr:uid="{00000000-0005-0000-0000-00001B010000}"/>
    <cellStyle name="CABEÇALHO 28 3 2" xfId="1902" xr:uid="{00000000-0005-0000-0000-00001C010000}"/>
    <cellStyle name="CABEÇALHO 28 3 2 2" xfId="4598" xr:uid="{00000000-0005-0000-0000-00001D010000}"/>
    <cellStyle name="CABEÇALHO 28 3 3" xfId="3832" xr:uid="{00000000-0005-0000-0000-00001E010000}"/>
    <cellStyle name="CABEÇALHO 28 4" xfId="1359" xr:uid="{00000000-0005-0000-0000-00001F010000}"/>
    <cellStyle name="CABEÇALHO 28 4 2" xfId="4055" xr:uid="{00000000-0005-0000-0000-000020010000}"/>
    <cellStyle name="CABEÇALHO 28 5" xfId="3289" xr:uid="{00000000-0005-0000-0000-000021010000}"/>
    <cellStyle name="CABEÇALHO 29" xfId="593" xr:uid="{00000000-0005-0000-0000-000022010000}"/>
    <cellStyle name="CABEÇALHO 29 2" xfId="930" xr:uid="{00000000-0005-0000-0000-000023010000}"/>
    <cellStyle name="CABEÇALHO 29 2 2" xfId="1697" xr:uid="{00000000-0005-0000-0000-000024010000}"/>
    <cellStyle name="CABEÇALHO 29 2 2 2" xfId="4393" xr:uid="{00000000-0005-0000-0000-000025010000}"/>
    <cellStyle name="CABEÇALHO 29 2 3" xfId="3627" xr:uid="{00000000-0005-0000-0000-000026010000}"/>
    <cellStyle name="CABEÇALHO 29 3" xfId="1136" xr:uid="{00000000-0005-0000-0000-000027010000}"/>
    <cellStyle name="CABEÇALHO 29 3 2" xfId="1903" xr:uid="{00000000-0005-0000-0000-000028010000}"/>
    <cellStyle name="CABEÇALHO 29 3 2 2" xfId="4599" xr:uid="{00000000-0005-0000-0000-000029010000}"/>
    <cellStyle name="CABEÇALHO 29 3 3" xfId="3833" xr:uid="{00000000-0005-0000-0000-00002A010000}"/>
    <cellStyle name="CABEÇALHO 29 4" xfId="1360" xr:uid="{00000000-0005-0000-0000-00002B010000}"/>
    <cellStyle name="CABEÇALHO 29 4 2" xfId="4056" xr:uid="{00000000-0005-0000-0000-00002C010000}"/>
    <cellStyle name="CABEÇALHO 29 5" xfId="3290" xr:uid="{00000000-0005-0000-0000-00002D010000}"/>
    <cellStyle name="CABEÇALHO 3" xfId="441" xr:uid="{00000000-0005-0000-0000-00002E010000}"/>
    <cellStyle name="CABEÇALHO 3 10" xfId="602" xr:uid="{00000000-0005-0000-0000-00002F010000}"/>
    <cellStyle name="CABEÇALHO 3 10 2" xfId="939" xr:uid="{00000000-0005-0000-0000-000030010000}"/>
    <cellStyle name="CABEÇALHO 3 10 2 2" xfId="1706" xr:uid="{00000000-0005-0000-0000-000031010000}"/>
    <cellStyle name="CABEÇALHO 3 10 2 2 2" xfId="4402" xr:uid="{00000000-0005-0000-0000-000032010000}"/>
    <cellStyle name="CABEÇALHO 3 10 2 3" xfId="3636" xr:uid="{00000000-0005-0000-0000-000033010000}"/>
    <cellStyle name="CABEÇALHO 3 10 3" xfId="1144" xr:uid="{00000000-0005-0000-0000-000034010000}"/>
    <cellStyle name="CABEÇALHO 3 10 3 2" xfId="1911" xr:uid="{00000000-0005-0000-0000-000035010000}"/>
    <cellStyle name="CABEÇALHO 3 10 3 2 2" xfId="4607" xr:uid="{00000000-0005-0000-0000-000036010000}"/>
    <cellStyle name="CABEÇALHO 3 10 3 3" xfId="3841" xr:uid="{00000000-0005-0000-0000-000037010000}"/>
    <cellStyle name="CABEÇALHO 3 10 4" xfId="1369" xr:uid="{00000000-0005-0000-0000-000038010000}"/>
    <cellStyle name="CABEÇALHO 3 10 4 2" xfId="4065" xr:uid="{00000000-0005-0000-0000-000039010000}"/>
    <cellStyle name="CABEÇALHO 3 10 5" xfId="3299" xr:uid="{00000000-0005-0000-0000-00003A010000}"/>
    <cellStyle name="CABEÇALHO 3 11" xfId="587" xr:uid="{00000000-0005-0000-0000-00003B010000}"/>
    <cellStyle name="CABEÇALHO 3 11 2" xfId="924" xr:uid="{00000000-0005-0000-0000-00003C010000}"/>
    <cellStyle name="CABEÇALHO 3 11 2 2" xfId="1691" xr:uid="{00000000-0005-0000-0000-00003D010000}"/>
    <cellStyle name="CABEÇALHO 3 11 2 2 2" xfId="4387" xr:uid="{00000000-0005-0000-0000-00003E010000}"/>
    <cellStyle name="CABEÇALHO 3 11 2 3" xfId="3621" xr:uid="{00000000-0005-0000-0000-00003F010000}"/>
    <cellStyle name="CABEÇALHO 3 11 3" xfId="1130" xr:uid="{00000000-0005-0000-0000-000040010000}"/>
    <cellStyle name="CABEÇALHO 3 11 3 2" xfId="1897" xr:uid="{00000000-0005-0000-0000-000041010000}"/>
    <cellStyle name="CABEÇALHO 3 11 3 2 2" xfId="4593" xr:uid="{00000000-0005-0000-0000-000042010000}"/>
    <cellStyle name="CABEÇALHO 3 11 3 3" xfId="3827" xr:uid="{00000000-0005-0000-0000-000043010000}"/>
    <cellStyle name="CABEÇALHO 3 11 4" xfId="1354" xr:uid="{00000000-0005-0000-0000-000044010000}"/>
    <cellStyle name="CABEÇALHO 3 11 4 2" xfId="4050" xr:uid="{00000000-0005-0000-0000-000045010000}"/>
    <cellStyle name="CABEÇALHO 3 11 5" xfId="3284" xr:uid="{00000000-0005-0000-0000-000046010000}"/>
    <cellStyle name="CABEÇALHO 3 12" xfId="607" xr:uid="{00000000-0005-0000-0000-000047010000}"/>
    <cellStyle name="CABEÇALHO 3 12 2" xfId="944" xr:uid="{00000000-0005-0000-0000-000048010000}"/>
    <cellStyle name="CABEÇALHO 3 12 2 2" xfId="1711" xr:uid="{00000000-0005-0000-0000-000049010000}"/>
    <cellStyle name="CABEÇALHO 3 12 2 2 2" xfId="4407" xr:uid="{00000000-0005-0000-0000-00004A010000}"/>
    <cellStyle name="CABEÇALHO 3 12 2 3" xfId="3641" xr:uid="{00000000-0005-0000-0000-00004B010000}"/>
    <cellStyle name="CABEÇALHO 3 12 3" xfId="1148" xr:uid="{00000000-0005-0000-0000-00004C010000}"/>
    <cellStyle name="CABEÇALHO 3 12 3 2" xfId="1915" xr:uid="{00000000-0005-0000-0000-00004D010000}"/>
    <cellStyle name="CABEÇALHO 3 12 3 2 2" xfId="4611" xr:uid="{00000000-0005-0000-0000-00004E010000}"/>
    <cellStyle name="CABEÇALHO 3 12 3 3" xfId="3845" xr:uid="{00000000-0005-0000-0000-00004F010000}"/>
    <cellStyle name="CABEÇALHO 3 12 4" xfId="1374" xr:uid="{00000000-0005-0000-0000-000050010000}"/>
    <cellStyle name="CABEÇALHO 3 12 4 2" xfId="4070" xr:uid="{00000000-0005-0000-0000-000051010000}"/>
    <cellStyle name="CABEÇALHO 3 12 5" xfId="3304" xr:uid="{00000000-0005-0000-0000-000052010000}"/>
    <cellStyle name="CABEÇALHO 3 13" xfId="738" xr:uid="{00000000-0005-0000-0000-000053010000}"/>
    <cellStyle name="CABEÇALHO 3 13 2" xfId="1075" xr:uid="{00000000-0005-0000-0000-000054010000}"/>
    <cellStyle name="CABEÇALHO 3 13 2 2" xfId="1842" xr:uid="{00000000-0005-0000-0000-000055010000}"/>
    <cellStyle name="CABEÇALHO 3 13 2 2 2" xfId="4538" xr:uid="{00000000-0005-0000-0000-000056010000}"/>
    <cellStyle name="CABEÇALHO 3 13 2 3" xfId="3772" xr:uid="{00000000-0005-0000-0000-000057010000}"/>
    <cellStyle name="CABEÇALHO 3 13 3" xfId="1160" xr:uid="{00000000-0005-0000-0000-000058010000}"/>
    <cellStyle name="CABEÇALHO 3 13 3 2" xfId="1927" xr:uid="{00000000-0005-0000-0000-000059010000}"/>
    <cellStyle name="CABEÇALHO 3 13 3 2 2" xfId="4623" xr:uid="{00000000-0005-0000-0000-00005A010000}"/>
    <cellStyle name="CABEÇALHO 3 13 3 3" xfId="3857" xr:uid="{00000000-0005-0000-0000-00005B010000}"/>
    <cellStyle name="CABEÇALHO 3 13 4" xfId="1505" xr:uid="{00000000-0005-0000-0000-00005C010000}"/>
    <cellStyle name="CABEÇALHO 3 13 4 2" xfId="4201" xr:uid="{00000000-0005-0000-0000-00005D010000}"/>
    <cellStyle name="CABEÇALHO 3 13 5" xfId="3435" xr:uid="{00000000-0005-0000-0000-00005E010000}"/>
    <cellStyle name="CABEÇALHO 3 14" xfId="600" xr:uid="{00000000-0005-0000-0000-00005F010000}"/>
    <cellStyle name="CABEÇALHO 3 14 2" xfId="937" xr:uid="{00000000-0005-0000-0000-000060010000}"/>
    <cellStyle name="CABEÇALHO 3 14 2 2" xfId="1704" xr:uid="{00000000-0005-0000-0000-000061010000}"/>
    <cellStyle name="CABEÇALHO 3 14 2 2 2" xfId="4400" xr:uid="{00000000-0005-0000-0000-000062010000}"/>
    <cellStyle name="CABEÇALHO 3 14 2 3" xfId="3634" xr:uid="{00000000-0005-0000-0000-000063010000}"/>
    <cellStyle name="CABEÇALHO 3 14 3" xfId="1142" xr:uid="{00000000-0005-0000-0000-000064010000}"/>
    <cellStyle name="CABEÇALHO 3 14 3 2" xfId="1909" xr:uid="{00000000-0005-0000-0000-000065010000}"/>
    <cellStyle name="CABEÇALHO 3 14 3 2 2" xfId="4605" xr:uid="{00000000-0005-0000-0000-000066010000}"/>
    <cellStyle name="CABEÇALHO 3 14 3 3" xfId="3839" xr:uid="{00000000-0005-0000-0000-000067010000}"/>
    <cellStyle name="CABEÇALHO 3 14 4" xfId="1367" xr:uid="{00000000-0005-0000-0000-000068010000}"/>
    <cellStyle name="CABEÇALHO 3 14 4 2" xfId="4063" xr:uid="{00000000-0005-0000-0000-000069010000}"/>
    <cellStyle name="CABEÇALHO 3 14 5" xfId="3297" xr:uid="{00000000-0005-0000-0000-00006A010000}"/>
    <cellStyle name="CABEÇALHO 3 15" xfId="746" xr:uid="{00000000-0005-0000-0000-00006B010000}"/>
    <cellStyle name="CABEÇALHO 3 15 2" xfId="1083" xr:uid="{00000000-0005-0000-0000-00006C010000}"/>
    <cellStyle name="CABEÇALHO 3 15 2 2" xfId="1850" xr:uid="{00000000-0005-0000-0000-00006D010000}"/>
    <cellStyle name="CABEÇALHO 3 15 2 2 2" xfId="4546" xr:uid="{00000000-0005-0000-0000-00006E010000}"/>
    <cellStyle name="CABEÇALHO 3 15 2 3" xfId="3780" xr:uid="{00000000-0005-0000-0000-00006F010000}"/>
    <cellStyle name="CABEÇALHO 3 15 3" xfId="1168" xr:uid="{00000000-0005-0000-0000-000070010000}"/>
    <cellStyle name="CABEÇALHO 3 15 3 2" xfId="1935" xr:uid="{00000000-0005-0000-0000-000071010000}"/>
    <cellStyle name="CABEÇALHO 3 15 3 2 2" xfId="4631" xr:uid="{00000000-0005-0000-0000-000072010000}"/>
    <cellStyle name="CABEÇALHO 3 15 3 3" xfId="3865" xr:uid="{00000000-0005-0000-0000-000073010000}"/>
    <cellStyle name="CABEÇALHO 3 15 4" xfId="1513" xr:uid="{00000000-0005-0000-0000-000074010000}"/>
    <cellStyle name="CABEÇALHO 3 15 4 2" xfId="4209" xr:uid="{00000000-0005-0000-0000-000075010000}"/>
    <cellStyle name="CABEÇALHO 3 15 5" xfId="3443" xr:uid="{00000000-0005-0000-0000-000076010000}"/>
    <cellStyle name="CABEÇALHO 3 16" xfId="566" xr:uid="{00000000-0005-0000-0000-000077010000}"/>
    <cellStyle name="CABEÇALHO 3 16 2" xfId="903" xr:uid="{00000000-0005-0000-0000-000078010000}"/>
    <cellStyle name="CABEÇALHO 3 16 2 2" xfId="1670" xr:uid="{00000000-0005-0000-0000-000079010000}"/>
    <cellStyle name="CABEÇALHO 3 16 2 2 2" xfId="4366" xr:uid="{00000000-0005-0000-0000-00007A010000}"/>
    <cellStyle name="CABEÇALHO 3 16 2 3" xfId="3600" xr:uid="{00000000-0005-0000-0000-00007B010000}"/>
    <cellStyle name="CABEÇALHO 3 16 3" xfId="1112" xr:uid="{00000000-0005-0000-0000-00007C010000}"/>
    <cellStyle name="CABEÇALHO 3 16 3 2" xfId="1879" xr:uid="{00000000-0005-0000-0000-00007D010000}"/>
    <cellStyle name="CABEÇALHO 3 16 3 2 2" xfId="4575" xr:uid="{00000000-0005-0000-0000-00007E010000}"/>
    <cellStyle name="CABEÇALHO 3 16 3 3" xfId="3809" xr:uid="{00000000-0005-0000-0000-00007F010000}"/>
    <cellStyle name="CABEÇALHO 3 16 4" xfId="1333" xr:uid="{00000000-0005-0000-0000-000080010000}"/>
    <cellStyle name="CABEÇALHO 3 16 4 2" xfId="4029" xr:uid="{00000000-0005-0000-0000-000081010000}"/>
    <cellStyle name="CABEÇALHO 3 16 5" xfId="3263" xr:uid="{00000000-0005-0000-0000-000082010000}"/>
    <cellStyle name="CABEÇALHO 3 17" xfId="578" xr:uid="{00000000-0005-0000-0000-000083010000}"/>
    <cellStyle name="CABEÇALHO 3 17 2" xfId="915" xr:uid="{00000000-0005-0000-0000-000084010000}"/>
    <cellStyle name="CABEÇALHO 3 17 2 2" xfId="1682" xr:uid="{00000000-0005-0000-0000-000085010000}"/>
    <cellStyle name="CABEÇALHO 3 17 2 2 2" xfId="4378" xr:uid="{00000000-0005-0000-0000-000086010000}"/>
    <cellStyle name="CABEÇALHO 3 17 2 3" xfId="3612" xr:uid="{00000000-0005-0000-0000-000087010000}"/>
    <cellStyle name="CABEÇALHO 3 17 3" xfId="1122" xr:uid="{00000000-0005-0000-0000-000088010000}"/>
    <cellStyle name="CABEÇALHO 3 17 3 2" xfId="1889" xr:uid="{00000000-0005-0000-0000-000089010000}"/>
    <cellStyle name="CABEÇALHO 3 17 3 2 2" xfId="4585" xr:uid="{00000000-0005-0000-0000-00008A010000}"/>
    <cellStyle name="CABEÇALHO 3 17 3 3" xfId="3819" xr:uid="{00000000-0005-0000-0000-00008B010000}"/>
    <cellStyle name="CABEÇALHO 3 17 4" xfId="1345" xr:uid="{00000000-0005-0000-0000-00008C010000}"/>
    <cellStyle name="CABEÇALHO 3 17 4 2" xfId="4041" xr:uid="{00000000-0005-0000-0000-00008D010000}"/>
    <cellStyle name="CABEÇALHO 3 17 5" xfId="3275" xr:uid="{00000000-0005-0000-0000-00008E010000}"/>
    <cellStyle name="CABEÇALHO 3 18" xfId="779" xr:uid="{00000000-0005-0000-0000-00008F010000}"/>
    <cellStyle name="CABEÇALHO 3 18 2" xfId="1546" xr:uid="{00000000-0005-0000-0000-000090010000}"/>
    <cellStyle name="CABEÇALHO 3 18 2 2" xfId="4242" xr:uid="{00000000-0005-0000-0000-000091010000}"/>
    <cellStyle name="CABEÇALHO 3 18 3" xfId="3476" xr:uid="{00000000-0005-0000-0000-000092010000}"/>
    <cellStyle name="CABEÇALHO 3 19" xfId="1104" xr:uid="{00000000-0005-0000-0000-000093010000}"/>
    <cellStyle name="CABEÇALHO 3 19 2" xfId="1871" xr:uid="{00000000-0005-0000-0000-000094010000}"/>
    <cellStyle name="CABEÇALHO 3 19 2 2" xfId="4567" xr:uid="{00000000-0005-0000-0000-000095010000}"/>
    <cellStyle name="CABEÇALHO 3 19 3" xfId="3801" xr:uid="{00000000-0005-0000-0000-000096010000}"/>
    <cellStyle name="CABEÇALHO 3 2" xfId="560" xr:uid="{00000000-0005-0000-0000-000097010000}"/>
    <cellStyle name="CABEÇALHO 3 2 10" xfId="1108" xr:uid="{00000000-0005-0000-0000-000098010000}"/>
    <cellStyle name="CABEÇALHO 3 2 10 2" xfId="1875" xr:uid="{00000000-0005-0000-0000-000099010000}"/>
    <cellStyle name="CABEÇALHO 3 2 10 2 2" xfId="4571" xr:uid="{00000000-0005-0000-0000-00009A010000}"/>
    <cellStyle name="CABEÇALHO 3 2 10 3" xfId="3805" xr:uid="{00000000-0005-0000-0000-00009B010000}"/>
    <cellStyle name="CABEÇALHO 3 2 11" xfId="1328" xr:uid="{00000000-0005-0000-0000-00009C010000}"/>
    <cellStyle name="CABEÇALHO 3 2 11 2" xfId="4024" xr:uid="{00000000-0005-0000-0000-00009D010000}"/>
    <cellStyle name="CABEÇALHO 3 2 12" xfId="3258" xr:uid="{00000000-0005-0000-0000-00009E010000}"/>
    <cellStyle name="CABEÇALHO 3 2 2" xfId="749" xr:uid="{00000000-0005-0000-0000-00009F010000}"/>
    <cellStyle name="CABEÇALHO 3 2 2 2" xfId="1086" xr:uid="{00000000-0005-0000-0000-0000A0010000}"/>
    <cellStyle name="CABEÇALHO 3 2 2 2 2" xfId="1853" xr:uid="{00000000-0005-0000-0000-0000A1010000}"/>
    <cellStyle name="CABEÇALHO 3 2 2 2 2 2" xfId="4549" xr:uid="{00000000-0005-0000-0000-0000A2010000}"/>
    <cellStyle name="CABEÇALHO 3 2 2 2 3" xfId="3783" xr:uid="{00000000-0005-0000-0000-0000A3010000}"/>
    <cellStyle name="CABEÇALHO 3 2 2 3" xfId="1171" xr:uid="{00000000-0005-0000-0000-0000A4010000}"/>
    <cellStyle name="CABEÇALHO 3 2 2 3 2" xfId="1938" xr:uid="{00000000-0005-0000-0000-0000A5010000}"/>
    <cellStyle name="CABEÇALHO 3 2 2 3 2 2" xfId="4634" xr:uid="{00000000-0005-0000-0000-0000A6010000}"/>
    <cellStyle name="CABEÇALHO 3 2 2 3 3" xfId="3868" xr:uid="{00000000-0005-0000-0000-0000A7010000}"/>
    <cellStyle name="CABEÇALHO 3 2 2 4" xfId="1516" xr:uid="{00000000-0005-0000-0000-0000A8010000}"/>
    <cellStyle name="CABEÇALHO 3 2 2 4 2" xfId="4212" xr:uid="{00000000-0005-0000-0000-0000A9010000}"/>
    <cellStyle name="CABEÇALHO 3 2 2 5" xfId="3446" xr:uid="{00000000-0005-0000-0000-0000AA010000}"/>
    <cellStyle name="CABEÇALHO 3 2 3" xfId="580" xr:uid="{00000000-0005-0000-0000-0000AB010000}"/>
    <cellStyle name="CABEÇALHO 3 2 3 2" xfId="917" xr:uid="{00000000-0005-0000-0000-0000AC010000}"/>
    <cellStyle name="CABEÇALHO 3 2 3 2 2" xfId="1684" xr:uid="{00000000-0005-0000-0000-0000AD010000}"/>
    <cellStyle name="CABEÇALHO 3 2 3 2 2 2" xfId="4380" xr:uid="{00000000-0005-0000-0000-0000AE010000}"/>
    <cellStyle name="CABEÇALHO 3 2 3 2 3" xfId="3614" xr:uid="{00000000-0005-0000-0000-0000AF010000}"/>
    <cellStyle name="CABEÇALHO 3 2 3 3" xfId="1124" xr:uid="{00000000-0005-0000-0000-0000B0010000}"/>
    <cellStyle name="CABEÇALHO 3 2 3 3 2" xfId="1891" xr:uid="{00000000-0005-0000-0000-0000B1010000}"/>
    <cellStyle name="CABEÇALHO 3 2 3 3 2 2" xfId="4587" xr:uid="{00000000-0005-0000-0000-0000B2010000}"/>
    <cellStyle name="CABEÇALHO 3 2 3 3 3" xfId="3821" xr:uid="{00000000-0005-0000-0000-0000B3010000}"/>
    <cellStyle name="CABEÇALHO 3 2 3 4" xfId="1347" xr:uid="{00000000-0005-0000-0000-0000B4010000}"/>
    <cellStyle name="CABEÇALHO 3 2 3 4 2" xfId="4043" xr:uid="{00000000-0005-0000-0000-0000B5010000}"/>
    <cellStyle name="CABEÇALHO 3 2 3 5" xfId="3277" xr:uid="{00000000-0005-0000-0000-0000B6010000}"/>
    <cellStyle name="CABEÇALHO 3 2 4" xfId="759" xr:uid="{00000000-0005-0000-0000-0000B7010000}"/>
    <cellStyle name="CABEÇALHO 3 2 4 2" xfId="1096" xr:uid="{00000000-0005-0000-0000-0000B8010000}"/>
    <cellStyle name="CABEÇALHO 3 2 4 2 2" xfId="1863" xr:uid="{00000000-0005-0000-0000-0000B9010000}"/>
    <cellStyle name="CABEÇALHO 3 2 4 2 2 2" xfId="4559" xr:uid="{00000000-0005-0000-0000-0000BA010000}"/>
    <cellStyle name="CABEÇALHO 3 2 4 2 3" xfId="3793" xr:uid="{00000000-0005-0000-0000-0000BB010000}"/>
    <cellStyle name="CABEÇALHO 3 2 4 3" xfId="1181" xr:uid="{00000000-0005-0000-0000-0000BC010000}"/>
    <cellStyle name="CABEÇALHO 3 2 4 3 2" xfId="1948" xr:uid="{00000000-0005-0000-0000-0000BD010000}"/>
    <cellStyle name="CABEÇALHO 3 2 4 3 2 2" xfId="4644" xr:uid="{00000000-0005-0000-0000-0000BE010000}"/>
    <cellStyle name="CABEÇALHO 3 2 4 3 3" xfId="3878" xr:uid="{00000000-0005-0000-0000-0000BF010000}"/>
    <cellStyle name="CABEÇALHO 3 2 4 4" xfId="1526" xr:uid="{00000000-0005-0000-0000-0000C0010000}"/>
    <cellStyle name="CABEÇALHO 3 2 4 4 2" xfId="4222" xr:uid="{00000000-0005-0000-0000-0000C1010000}"/>
    <cellStyle name="CABEÇALHO 3 2 4 5" xfId="3456" xr:uid="{00000000-0005-0000-0000-0000C2010000}"/>
    <cellStyle name="CABEÇALHO 3 2 5" xfId="757" xr:uid="{00000000-0005-0000-0000-0000C3010000}"/>
    <cellStyle name="CABEÇALHO 3 2 5 2" xfId="1094" xr:uid="{00000000-0005-0000-0000-0000C4010000}"/>
    <cellStyle name="CABEÇALHO 3 2 5 2 2" xfId="1861" xr:uid="{00000000-0005-0000-0000-0000C5010000}"/>
    <cellStyle name="CABEÇALHO 3 2 5 2 2 2" xfId="4557" xr:uid="{00000000-0005-0000-0000-0000C6010000}"/>
    <cellStyle name="CABEÇALHO 3 2 5 2 3" xfId="3791" xr:uid="{00000000-0005-0000-0000-0000C7010000}"/>
    <cellStyle name="CABEÇALHO 3 2 5 3" xfId="1179" xr:uid="{00000000-0005-0000-0000-0000C8010000}"/>
    <cellStyle name="CABEÇALHO 3 2 5 3 2" xfId="1946" xr:uid="{00000000-0005-0000-0000-0000C9010000}"/>
    <cellStyle name="CABEÇALHO 3 2 5 3 2 2" xfId="4642" xr:uid="{00000000-0005-0000-0000-0000CA010000}"/>
    <cellStyle name="CABEÇALHO 3 2 5 3 3" xfId="3876" xr:uid="{00000000-0005-0000-0000-0000CB010000}"/>
    <cellStyle name="CABEÇALHO 3 2 5 4" xfId="1524" xr:uid="{00000000-0005-0000-0000-0000CC010000}"/>
    <cellStyle name="CABEÇALHO 3 2 5 4 2" xfId="4220" xr:uid="{00000000-0005-0000-0000-0000CD010000}"/>
    <cellStyle name="CABEÇALHO 3 2 5 5" xfId="3454" xr:uid="{00000000-0005-0000-0000-0000CE010000}"/>
    <cellStyle name="CABEÇALHO 3 2 6" xfId="605" xr:uid="{00000000-0005-0000-0000-0000CF010000}"/>
    <cellStyle name="CABEÇALHO 3 2 6 2" xfId="942" xr:uid="{00000000-0005-0000-0000-0000D0010000}"/>
    <cellStyle name="CABEÇALHO 3 2 6 2 2" xfId="1709" xr:uid="{00000000-0005-0000-0000-0000D1010000}"/>
    <cellStyle name="CABEÇALHO 3 2 6 2 2 2" xfId="4405" xr:uid="{00000000-0005-0000-0000-0000D2010000}"/>
    <cellStyle name="CABEÇALHO 3 2 6 2 3" xfId="3639" xr:uid="{00000000-0005-0000-0000-0000D3010000}"/>
    <cellStyle name="CABEÇALHO 3 2 6 3" xfId="1147" xr:uid="{00000000-0005-0000-0000-0000D4010000}"/>
    <cellStyle name="CABEÇALHO 3 2 6 3 2" xfId="1914" xr:uid="{00000000-0005-0000-0000-0000D5010000}"/>
    <cellStyle name="CABEÇALHO 3 2 6 3 2 2" xfId="4610" xr:uid="{00000000-0005-0000-0000-0000D6010000}"/>
    <cellStyle name="CABEÇALHO 3 2 6 3 3" xfId="3844" xr:uid="{00000000-0005-0000-0000-0000D7010000}"/>
    <cellStyle name="CABEÇALHO 3 2 6 4" xfId="1372" xr:uid="{00000000-0005-0000-0000-0000D8010000}"/>
    <cellStyle name="CABEÇALHO 3 2 6 4 2" xfId="4068" xr:uid="{00000000-0005-0000-0000-0000D9010000}"/>
    <cellStyle name="CABEÇALHO 3 2 6 5" xfId="3302" xr:uid="{00000000-0005-0000-0000-0000DA010000}"/>
    <cellStyle name="CABEÇALHO 3 2 7" xfId="747" xr:uid="{00000000-0005-0000-0000-0000DB010000}"/>
    <cellStyle name="CABEÇALHO 3 2 7 2" xfId="1084" xr:uid="{00000000-0005-0000-0000-0000DC010000}"/>
    <cellStyle name="CABEÇALHO 3 2 7 2 2" xfId="1851" xr:uid="{00000000-0005-0000-0000-0000DD010000}"/>
    <cellStyle name="CABEÇALHO 3 2 7 2 2 2" xfId="4547" xr:uid="{00000000-0005-0000-0000-0000DE010000}"/>
    <cellStyle name="CABEÇALHO 3 2 7 2 3" xfId="3781" xr:uid="{00000000-0005-0000-0000-0000DF010000}"/>
    <cellStyle name="CABEÇALHO 3 2 7 3" xfId="1169" xr:uid="{00000000-0005-0000-0000-0000E0010000}"/>
    <cellStyle name="CABEÇALHO 3 2 7 3 2" xfId="1936" xr:uid="{00000000-0005-0000-0000-0000E1010000}"/>
    <cellStyle name="CABEÇALHO 3 2 7 3 2 2" xfId="4632" xr:uid="{00000000-0005-0000-0000-0000E2010000}"/>
    <cellStyle name="CABEÇALHO 3 2 7 3 3" xfId="3866" xr:uid="{00000000-0005-0000-0000-0000E3010000}"/>
    <cellStyle name="CABEÇALHO 3 2 7 4" xfId="1514" xr:uid="{00000000-0005-0000-0000-0000E4010000}"/>
    <cellStyle name="CABEÇALHO 3 2 7 4 2" xfId="4210" xr:uid="{00000000-0005-0000-0000-0000E5010000}"/>
    <cellStyle name="CABEÇALHO 3 2 7 5" xfId="3444" xr:uid="{00000000-0005-0000-0000-0000E6010000}"/>
    <cellStyle name="CABEÇALHO 3 2 8" xfId="595" xr:uid="{00000000-0005-0000-0000-0000E7010000}"/>
    <cellStyle name="CABEÇALHO 3 2 8 2" xfId="932" xr:uid="{00000000-0005-0000-0000-0000E8010000}"/>
    <cellStyle name="CABEÇALHO 3 2 8 2 2" xfId="1699" xr:uid="{00000000-0005-0000-0000-0000E9010000}"/>
    <cellStyle name="CABEÇALHO 3 2 8 2 2 2" xfId="4395" xr:uid="{00000000-0005-0000-0000-0000EA010000}"/>
    <cellStyle name="CABEÇALHO 3 2 8 2 3" xfId="3629" xr:uid="{00000000-0005-0000-0000-0000EB010000}"/>
    <cellStyle name="CABEÇALHO 3 2 8 3" xfId="1138" xr:uid="{00000000-0005-0000-0000-0000EC010000}"/>
    <cellStyle name="CABEÇALHO 3 2 8 3 2" xfId="1905" xr:uid="{00000000-0005-0000-0000-0000ED010000}"/>
    <cellStyle name="CABEÇALHO 3 2 8 3 2 2" xfId="4601" xr:uid="{00000000-0005-0000-0000-0000EE010000}"/>
    <cellStyle name="CABEÇALHO 3 2 8 3 3" xfId="3835" xr:uid="{00000000-0005-0000-0000-0000EF010000}"/>
    <cellStyle name="CABEÇALHO 3 2 8 4" xfId="1362" xr:uid="{00000000-0005-0000-0000-0000F0010000}"/>
    <cellStyle name="CABEÇALHO 3 2 8 4 2" xfId="4058" xr:uid="{00000000-0005-0000-0000-0000F1010000}"/>
    <cellStyle name="CABEÇALHO 3 2 8 5" xfId="3292" xr:uid="{00000000-0005-0000-0000-0000F2010000}"/>
    <cellStyle name="CABEÇALHO 3 2 9" xfId="898" xr:uid="{00000000-0005-0000-0000-0000F3010000}"/>
    <cellStyle name="CABEÇALHO 3 2 9 2" xfId="1665" xr:uid="{00000000-0005-0000-0000-0000F4010000}"/>
    <cellStyle name="CABEÇALHO 3 2 9 2 2" xfId="4361" xr:uid="{00000000-0005-0000-0000-0000F5010000}"/>
    <cellStyle name="CABEÇALHO 3 2 9 3" xfId="3595" xr:uid="{00000000-0005-0000-0000-0000F6010000}"/>
    <cellStyle name="CABEÇALHO 3 20" xfId="1189" xr:uid="{00000000-0005-0000-0000-0000F7010000}"/>
    <cellStyle name="CABEÇALHO 3 20 2" xfId="1956" xr:uid="{00000000-0005-0000-0000-0000F8010000}"/>
    <cellStyle name="CABEÇALHO 3 20 2 2" xfId="4652" xr:uid="{00000000-0005-0000-0000-0000F9010000}"/>
    <cellStyle name="CABEÇALHO 3 20 3" xfId="3886" xr:uid="{00000000-0005-0000-0000-0000FA010000}"/>
    <cellStyle name="CABEÇALHO 3 21" xfId="1190" xr:uid="{00000000-0005-0000-0000-0000FB010000}"/>
    <cellStyle name="CABEÇALHO 3 21 2" xfId="3887" xr:uid="{00000000-0005-0000-0000-0000FC010000}"/>
    <cellStyle name="CABEÇALHO 3 22" xfId="1964" xr:uid="{00000000-0005-0000-0000-0000FD010000}"/>
    <cellStyle name="CABEÇALHO 3 22 2" xfId="4660" xr:uid="{00000000-0005-0000-0000-0000FE010000}"/>
    <cellStyle name="CABEÇALHO 3 23" xfId="3140" xr:uid="{00000000-0005-0000-0000-0000FF010000}"/>
    <cellStyle name="CABEÇALHO 3 3" xfId="505" xr:uid="{00000000-0005-0000-0000-000000020000}"/>
    <cellStyle name="CABEÇALHO 3 3 10" xfId="1107" xr:uid="{00000000-0005-0000-0000-000001020000}"/>
    <cellStyle name="CABEÇALHO 3 3 10 2" xfId="1874" xr:uid="{00000000-0005-0000-0000-000002020000}"/>
    <cellStyle name="CABEÇALHO 3 3 10 2 2" xfId="4570" xr:uid="{00000000-0005-0000-0000-000003020000}"/>
    <cellStyle name="CABEÇALHO 3 3 10 3" xfId="3804" xr:uid="{00000000-0005-0000-0000-000004020000}"/>
    <cellStyle name="CABEÇALHO 3 3 11" xfId="1273" xr:uid="{00000000-0005-0000-0000-000005020000}"/>
    <cellStyle name="CABEÇALHO 3 3 11 2" xfId="3969" xr:uid="{00000000-0005-0000-0000-000006020000}"/>
    <cellStyle name="CABEÇALHO 3 3 12" xfId="3203" xr:uid="{00000000-0005-0000-0000-000007020000}"/>
    <cellStyle name="CABEÇALHO 3 3 2" xfId="741" xr:uid="{00000000-0005-0000-0000-000008020000}"/>
    <cellStyle name="CABEÇALHO 3 3 2 2" xfId="1078" xr:uid="{00000000-0005-0000-0000-000009020000}"/>
    <cellStyle name="CABEÇALHO 3 3 2 2 2" xfId="1845" xr:uid="{00000000-0005-0000-0000-00000A020000}"/>
    <cellStyle name="CABEÇALHO 3 3 2 2 2 2" xfId="4541" xr:uid="{00000000-0005-0000-0000-00000B020000}"/>
    <cellStyle name="CABEÇALHO 3 3 2 2 3" xfId="3775" xr:uid="{00000000-0005-0000-0000-00000C020000}"/>
    <cellStyle name="CABEÇALHO 3 3 2 3" xfId="1163" xr:uid="{00000000-0005-0000-0000-00000D020000}"/>
    <cellStyle name="CABEÇALHO 3 3 2 3 2" xfId="1930" xr:uid="{00000000-0005-0000-0000-00000E020000}"/>
    <cellStyle name="CABEÇALHO 3 3 2 3 2 2" xfId="4626" xr:uid="{00000000-0005-0000-0000-00000F020000}"/>
    <cellStyle name="CABEÇALHO 3 3 2 3 3" xfId="3860" xr:uid="{00000000-0005-0000-0000-000010020000}"/>
    <cellStyle name="CABEÇALHO 3 3 2 4" xfId="1508" xr:uid="{00000000-0005-0000-0000-000011020000}"/>
    <cellStyle name="CABEÇALHO 3 3 2 4 2" xfId="4204" xr:uid="{00000000-0005-0000-0000-000012020000}"/>
    <cellStyle name="CABEÇALHO 3 3 2 5" xfId="3438" xr:uid="{00000000-0005-0000-0000-000013020000}"/>
    <cellStyle name="CABEÇALHO 3 3 3" xfId="752" xr:uid="{00000000-0005-0000-0000-000014020000}"/>
    <cellStyle name="CABEÇALHO 3 3 3 2" xfId="1089" xr:uid="{00000000-0005-0000-0000-000015020000}"/>
    <cellStyle name="CABEÇALHO 3 3 3 2 2" xfId="1856" xr:uid="{00000000-0005-0000-0000-000016020000}"/>
    <cellStyle name="CABEÇALHO 3 3 3 2 2 2" xfId="4552" xr:uid="{00000000-0005-0000-0000-000017020000}"/>
    <cellStyle name="CABEÇALHO 3 3 3 2 3" xfId="3786" xr:uid="{00000000-0005-0000-0000-000018020000}"/>
    <cellStyle name="CABEÇALHO 3 3 3 3" xfId="1174" xr:uid="{00000000-0005-0000-0000-000019020000}"/>
    <cellStyle name="CABEÇALHO 3 3 3 3 2" xfId="1941" xr:uid="{00000000-0005-0000-0000-00001A020000}"/>
    <cellStyle name="CABEÇALHO 3 3 3 3 2 2" xfId="4637" xr:uid="{00000000-0005-0000-0000-00001B020000}"/>
    <cellStyle name="CABEÇALHO 3 3 3 3 3" xfId="3871" xr:uid="{00000000-0005-0000-0000-00001C020000}"/>
    <cellStyle name="CABEÇALHO 3 3 3 4" xfId="1519" xr:uid="{00000000-0005-0000-0000-00001D020000}"/>
    <cellStyle name="CABEÇALHO 3 3 3 4 2" xfId="4215" xr:uid="{00000000-0005-0000-0000-00001E020000}"/>
    <cellStyle name="CABEÇALHO 3 3 3 5" xfId="3449" xr:uid="{00000000-0005-0000-0000-00001F020000}"/>
    <cellStyle name="CABEÇALHO 3 3 4" xfId="736" xr:uid="{00000000-0005-0000-0000-000020020000}"/>
    <cellStyle name="CABEÇALHO 3 3 4 2" xfId="1073" xr:uid="{00000000-0005-0000-0000-000021020000}"/>
    <cellStyle name="CABEÇALHO 3 3 4 2 2" xfId="1840" xr:uid="{00000000-0005-0000-0000-000022020000}"/>
    <cellStyle name="CABEÇALHO 3 3 4 2 2 2" xfId="4536" xr:uid="{00000000-0005-0000-0000-000023020000}"/>
    <cellStyle name="CABEÇALHO 3 3 4 2 3" xfId="3770" xr:uid="{00000000-0005-0000-0000-000024020000}"/>
    <cellStyle name="CABEÇALHO 3 3 4 3" xfId="1158" xr:uid="{00000000-0005-0000-0000-000025020000}"/>
    <cellStyle name="CABEÇALHO 3 3 4 3 2" xfId="1925" xr:uid="{00000000-0005-0000-0000-000026020000}"/>
    <cellStyle name="CABEÇALHO 3 3 4 3 2 2" xfId="4621" xr:uid="{00000000-0005-0000-0000-000027020000}"/>
    <cellStyle name="CABEÇALHO 3 3 4 3 3" xfId="3855" xr:uid="{00000000-0005-0000-0000-000028020000}"/>
    <cellStyle name="CABEÇALHO 3 3 4 4" xfId="1503" xr:uid="{00000000-0005-0000-0000-000029020000}"/>
    <cellStyle name="CABEÇALHO 3 3 4 4 2" xfId="4199" xr:uid="{00000000-0005-0000-0000-00002A020000}"/>
    <cellStyle name="CABEÇALHO 3 3 4 5" xfId="3433" xr:uid="{00000000-0005-0000-0000-00002B020000}"/>
    <cellStyle name="CABEÇALHO 3 3 5" xfId="761" xr:uid="{00000000-0005-0000-0000-00002C020000}"/>
    <cellStyle name="CABEÇALHO 3 3 5 2" xfId="1098" xr:uid="{00000000-0005-0000-0000-00002D020000}"/>
    <cellStyle name="CABEÇALHO 3 3 5 2 2" xfId="1865" xr:uid="{00000000-0005-0000-0000-00002E020000}"/>
    <cellStyle name="CABEÇALHO 3 3 5 2 2 2" xfId="4561" xr:uid="{00000000-0005-0000-0000-00002F020000}"/>
    <cellStyle name="CABEÇALHO 3 3 5 2 3" xfId="3795" xr:uid="{00000000-0005-0000-0000-000030020000}"/>
    <cellStyle name="CABEÇALHO 3 3 5 3" xfId="1183" xr:uid="{00000000-0005-0000-0000-000031020000}"/>
    <cellStyle name="CABEÇALHO 3 3 5 3 2" xfId="1950" xr:uid="{00000000-0005-0000-0000-000032020000}"/>
    <cellStyle name="CABEÇALHO 3 3 5 3 2 2" xfId="4646" xr:uid="{00000000-0005-0000-0000-000033020000}"/>
    <cellStyle name="CABEÇALHO 3 3 5 3 3" xfId="3880" xr:uid="{00000000-0005-0000-0000-000034020000}"/>
    <cellStyle name="CABEÇALHO 3 3 5 4" xfId="1528" xr:uid="{00000000-0005-0000-0000-000035020000}"/>
    <cellStyle name="CABEÇALHO 3 3 5 4 2" xfId="4224" xr:uid="{00000000-0005-0000-0000-000036020000}"/>
    <cellStyle name="CABEÇALHO 3 3 5 5" xfId="3458" xr:uid="{00000000-0005-0000-0000-000037020000}"/>
    <cellStyle name="CABEÇALHO 3 3 6" xfId="583" xr:uid="{00000000-0005-0000-0000-000038020000}"/>
    <cellStyle name="CABEÇALHO 3 3 6 2" xfId="920" xr:uid="{00000000-0005-0000-0000-000039020000}"/>
    <cellStyle name="CABEÇALHO 3 3 6 2 2" xfId="1687" xr:uid="{00000000-0005-0000-0000-00003A020000}"/>
    <cellStyle name="CABEÇALHO 3 3 6 2 2 2" xfId="4383" xr:uid="{00000000-0005-0000-0000-00003B020000}"/>
    <cellStyle name="CABEÇALHO 3 3 6 2 3" xfId="3617" xr:uid="{00000000-0005-0000-0000-00003C020000}"/>
    <cellStyle name="CABEÇALHO 3 3 6 3" xfId="1126" xr:uid="{00000000-0005-0000-0000-00003D020000}"/>
    <cellStyle name="CABEÇALHO 3 3 6 3 2" xfId="1893" xr:uid="{00000000-0005-0000-0000-00003E020000}"/>
    <cellStyle name="CABEÇALHO 3 3 6 3 2 2" xfId="4589" xr:uid="{00000000-0005-0000-0000-00003F020000}"/>
    <cellStyle name="CABEÇALHO 3 3 6 3 3" xfId="3823" xr:uid="{00000000-0005-0000-0000-000040020000}"/>
    <cellStyle name="CABEÇALHO 3 3 6 4" xfId="1350" xr:uid="{00000000-0005-0000-0000-000041020000}"/>
    <cellStyle name="CABEÇALHO 3 3 6 4 2" xfId="4046" xr:uid="{00000000-0005-0000-0000-000042020000}"/>
    <cellStyle name="CABEÇALHO 3 3 6 5" xfId="3280" xr:uid="{00000000-0005-0000-0000-000043020000}"/>
    <cellStyle name="CABEÇALHO 3 3 7" xfId="597" xr:uid="{00000000-0005-0000-0000-000044020000}"/>
    <cellStyle name="CABEÇALHO 3 3 7 2" xfId="934" xr:uid="{00000000-0005-0000-0000-000045020000}"/>
    <cellStyle name="CABEÇALHO 3 3 7 2 2" xfId="1701" xr:uid="{00000000-0005-0000-0000-000046020000}"/>
    <cellStyle name="CABEÇALHO 3 3 7 2 2 2" xfId="4397" xr:uid="{00000000-0005-0000-0000-000047020000}"/>
    <cellStyle name="CABEÇALHO 3 3 7 2 3" xfId="3631" xr:uid="{00000000-0005-0000-0000-000048020000}"/>
    <cellStyle name="CABEÇALHO 3 3 7 3" xfId="1140" xr:uid="{00000000-0005-0000-0000-000049020000}"/>
    <cellStyle name="CABEÇALHO 3 3 7 3 2" xfId="1907" xr:uid="{00000000-0005-0000-0000-00004A020000}"/>
    <cellStyle name="CABEÇALHO 3 3 7 3 2 2" xfId="4603" xr:uid="{00000000-0005-0000-0000-00004B020000}"/>
    <cellStyle name="CABEÇALHO 3 3 7 3 3" xfId="3837" xr:uid="{00000000-0005-0000-0000-00004C020000}"/>
    <cellStyle name="CABEÇALHO 3 3 7 4" xfId="1364" xr:uid="{00000000-0005-0000-0000-00004D020000}"/>
    <cellStyle name="CABEÇALHO 3 3 7 4 2" xfId="4060" xr:uid="{00000000-0005-0000-0000-00004E020000}"/>
    <cellStyle name="CABEÇALHO 3 3 7 5" xfId="3294" xr:uid="{00000000-0005-0000-0000-00004F020000}"/>
    <cellStyle name="CABEÇALHO 3 3 8" xfId="766" xr:uid="{00000000-0005-0000-0000-000050020000}"/>
    <cellStyle name="CABEÇALHO 3 3 8 2" xfId="1103" xr:uid="{00000000-0005-0000-0000-000051020000}"/>
    <cellStyle name="CABEÇALHO 3 3 8 2 2" xfId="1870" xr:uid="{00000000-0005-0000-0000-000052020000}"/>
    <cellStyle name="CABEÇALHO 3 3 8 2 2 2" xfId="4566" xr:uid="{00000000-0005-0000-0000-000053020000}"/>
    <cellStyle name="CABEÇALHO 3 3 8 2 3" xfId="3800" xr:uid="{00000000-0005-0000-0000-000054020000}"/>
    <cellStyle name="CABEÇALHO 3 3 8 3" xfId="1188" xr:uid="{00000000-0005-0000-0000-000055020000}"/>
    <cellStyle name="CABEÇALHO 3 3 8 3 2" xfId="1955" xr:uid="{00000000-0005-0000-0000-000056020000}"/>
    <cellStyle name="CABEÇALHO 3 3 8 3 2 2" xfId="4651" xr:uid="{00000000-0005-0000-0000-000057020000}"/>
    <cellStyle name="CABEÇALHO 3 3 8 3 3" xfId="3885" xr:uid="{00000000-0005-0000-0000-000058020000}"/>
    <cellStyle name="CABEÇALHO 3 3 8 4" xfId="1533" xr:uid="{00000000-0005-0000-0000-000059020000}"/>
    <cellStyle name="CABEÇALHO 3 3 8 4 2" xfId="4229" xr:uid="{00000000-0005-0000-0000-00005A020000}"/>
    <cellStyle name="CABEÇALHO 3 3 8 5" xfId="3463" xr:uid="{00000000-0005-0000-0000-00005B020000}"/>
    <cellStyle name="CABEÇALHO 3 3 9" xfId="843" xr:uid="{00000000-0005-0000-0000-00005C020000}"/>
    <cellStyle name="CABEÇALHO 3 3 9 2" xfId="1610" xr:uid="{00000000-0005-0000-0000-00005D020000}"/>
    <cellStyle name="CABEÇALHO 3 3 9 2 2" xfId="4306" xr:uid="{00000000-0005-0000-0000-00005E020000}"/>
    <cellStyle name="CABEÇALHO 3 3 9 3" xfId="3540" xr:uid="{00000000-0005-0000-0000-00005F020000}"/>
    <cellStyle name="CABEÇALHO 3 4" xfId="735" xr:uid="{00000000-0005-0000-0000-000060020000}"/>
    <cellStyle name="CABEÇALHO 3 4 2" xfId="1072" xr:uid="{00000000-0005-0000-0000-000061020000}"/>
    <cellStyle name="CABEÇALHO 3 4 2 2" xfId="1839" xr:uid="{00000000-0005-0000-0000-000062020000}"/>
    <cellStyle name="CABEÇALHO 3 4 2 2 2" xfId="4535" xr:uid="{00000000-0005-0000-0000-000063020000}"/>
    <cellStyle name="CABEÇALHO 3 4 2 3" xfId="3769" xr:uid="{00000000-0005-0000-0000-000064020000}"/>
    <cellStyle name="CABEÇALHO 3 4 3" xfId="1157" xr:uid="{00000000-0005-0000-0000-000065020000}"/>
    <cellStyle name="CABEÇALHO 3 4 3 2" xfId="1924" xr:uid="{00000000-0005-0000-0000-000066020000}"/>
    <cellStyle name="CABEÇALHO 3 4 3 2 2" xfId="4620" xr:uid="{00000000-0005-0000-0000-000067020000}"/>
    <cellStyle name="CABEÇALHO 3 4 3 3" xfId="3854" xr:uid="{00000000-0005-0000-0000-000068020000}"/>
    <cellStyle name="CABEÇALHO 3 4 4" xfId="1502" xr:uid="{00000000-0005-0000-0000-000069020000}"/>
    <cellStyle name="CABEÇALHO 3 4 4 2" xfId="4198" xr:uid="{00000000-0005-0000-0000-00006A020000}"/>
    <cellStyle name="CABEÇALHO 3 4 5" xfId="3432" xr:uid="{00000000-0005-0000-0000-00006B020000}"/>
    <cellStyle name="CABEÇALHO 3 5" xfId="584" xr:uid="{00000000-0005-0000-0000-00006C020000}"/>
    <cellStyle name="CABEÇALHO 3 5 2" xfId="921" xr:uid="{00000000-0005-0000-0000-00006D020000}"/>
    <cellStyle name="CABEÇALHO 3 5 2 2" xfId="1688" xr:uid="{00000000-0005-0000-0000-00006E020000}"/>
    <cellStyle name="CABEÇALHO 3 5 2 2 2" xfId="4384" xr:uid="{00000000-0005-0000-0000-00006F020000}"/>
    <cellStyle name="CABEÇALHO 3 5 2 3" xfId="3618" xr:uid="{00000000-0005-0000-0000-000070020000}"/>
    <cellStyle name="CABEÇALHO 3 5 3" xfId="1127" xr:uid="{00000000-0005-0000-0000-000071020000}"/>
    <cellStyle name="CABEÇALHO 3 5 3 2" xfId="1894" xr:uid="{00000000-0005-0000-0000-000072020000}"/>
    <cellStyle name="CABEÇALHO 3 5 3 2 2" xfId="4590" xr:uid="{00000000-0005-0000-0000-000073020000}"/>
    <cellStyle name="CABEÇALHO 3 5 3 3" xfId="3824" xr:uid="{00000000-0005-0000-0000-000074020000}"/>
    <cellStyle name="CABEÇALHO 3 5 4" xfId="1351" xr:uid="{00000000-0005-0000-0000-000075020000}"/>
    <cellStyle name="CABEÇALHO 3 5 4 2" xfId="4047" xr:uid="{00000000-0005-0000-0000-000076020000}"/>
    <cellStyle name="CABEÇALHO 3 5 5" xfId="3281" xr:uid="{00000000-0005-0000-0000-000077020000}"/>
    <cellStyle name="CABEÇALHO 3 6" xfId="612" xr:uid="{00000000-0005-0000-0000-000078020000}"/>
    <cellStyle name="CABEÇALHO 3 6 2" xfId="949" xr:uid="{00000000-0005-0000-0000-000079020000}"/>
    <cellStyle name="CABEÇALHO 3 6 2 2" xfId="1716" xr:uid="{00000000-0005-0000-0000-00007A020000}"/>
    <cellStyle name="CABEÇALHO 3 6 2 2 2" xfId="4412" xr:uid="{00000000-0005-0000-0000-00007B020000}"/>
    <cellStyle name="CABEÇALHO 3 6 2 3" xfId="3646" xr:uid="{00000000-0005-0000-0000-00007C020000}"/>
    <cellStyle name="CABEÇALHO 3 6 3" xfId="1153" xr:uid="{00000000-0005-0000-0000-00007D020000}"/>
    <cellStyle name="CABEÇALHO 3 6 3 2" xfId="1920" xr:uid="{00000000-0005-0000-0000-00007E020000}"/>
    <cellStyle name="CABEÇALHO 3 6 3 2 2" xfId="4616" xr:uid="{00000000-0005-0000-0000-00007F020000}"/>
    <cellStyle name="CABEÇALHO 3 6 3 3" xfId="3850" xr:uid="{00000000-0005-0000-0000-000080020000}"/>
    <cellStyle name="CABEÇALHO 3 6 4" xfId="1379" xr:uid="{00000000-0005-0000-0000-000081020000}"/>
    <cellStyle name="CABEÇALHO 3 6 4 2" xfId="4075" xr:uid="{00000000-0005-0000-0000-000082020000}"/>
    <cellStyle name="CABEÇALHO 3 6 5" xfId="3309" xr:uid="{00000000-0005-0000-0000-000083020000}"/>
    <cellStyle name="CABEÇALHO 3 7" xfId="577" xr:uid="{00000000-0005-0000-0000-000084020000}"/>
    <cellStyle name="CABEÇALHO 3 7 2" xfId="914" xr:uid="{00000000-0005-0000-0000-000085020000}"/>
    <cellStyle name="CABEÇALHO 3 7 2 2" xfId="1681" xr:uid="{00000000-0005-0000-0000-000086020000}"/>
    <cellStyle name="CABEÇALHO 3 7 2 2 2" xfId="4377" xr:uid="{00000000-0005-0000-0000-000087020000}"/>
    <cellStyle name="CABEÇALHO 3 7 2 3" xfId="3611" xr:uid="{00000000-0005-0000-0000-000088020000}"/>
    <cellStyle name="CABEÇALHO 3 7 3" xfId="1121" xr:uid="{00000000-0005-0000-0000-000089020000}"/>
    <cellStyle name="CABEÇALHO 3 7 3 2" xfId="1888" xr:uid="{00000000-0005-0000-0000-00008A020000}"/>
    <cellStyle name="CABEÇALHO 3 7 3 2 2" xfId="4584" xr:uid="{00000000-0005-0000-0000-00008B020000}"/>
    <cellStyle name="CABEÇALHO 3 7 3 3" xfId="3818" xr:uid="{00000000-0005-0000-0000-00008C020000}"/>
    <cellStyle name="CABEÇALHO 3 7 4" xfId="1344" xr:uid="{00000000-0005-0000-0000-00008D020000}"/>
    <cellStyle name="CABEÇALHO 3 7 4 2" xfId="4040" xr:uid="{00000000-0005-0000-0000-00008E020000}"/>
    <cellStyle name="CABEÇALHO 3 7 5" xfId="3274" xr:uid="{00000000-0005-0000-0000-00008F020000}"/>
    <cellStyle name="CABEÇALHO 3 8" xfId="591" xr:uid="{00000000-0005-0000-0000-000090020000}"/>
    <cellStyle name="CABEÇALHO 3 8 2" xfId="928" xr:uid="{00000000-0005-0000-0000-000091020000}"/>
    <cellStyle name="CABEÇALHO 3 8 2 2" xfId="1695" xr:uid="{00000000-0005-0000-0000-000092020000}"/>
    <cellStyle name="CABEÇALHO 3 8 2 2 2" xfId="4391" xr:uid="{00000000-0005-0000-0000-000093020000}"/>
    <cellStyle name="CABEÇALHO 3 8 2 3" xfId="3625" xr:uid="{00000000-0005-0000-0000-000094020000}"/>
    <cellStyle name="CABEÇALHO 3 8 3" xfId="1134" xr:uid="{00000000-0005-0000-0000-000095020000}"/>
    <cellStyle name="CABEÇALHO 3 8 3 2" xfId="1901" xr:uid="{00000000-0005-0000-0000-000096020000}"/>
    <cellStyle name="CABEÇALHO 3 8 3 2 2" xfId="4597" xr:uid="{00000000-0005-0000-0000-000097020000}"/>
    <cellStyle name="CABEÇALHO 3 8 3 3" xfId="3831" xr:uid="{00000000-0005-0000-0000-000098020000}"/>
    <cellStyle name="CABEÇALHO 3 8 4" xfId="1358" xr:uid="{00000000-0005-0000-0000-000099020000}"/>
    <cellStyle name="CABEÇALHO 3 8 4 2" xfId="4054" xr:uid="{00000000-0005-0000-0000-00009A020000}"/>
    <cellStyle name="CABEÇALHO 3 8 5" xfId="3288" xr:uid="{00000000-0005-0000-0000-00009B020000}"/>
    <cellStyle name="CABEÇALHO 3 9" xfId="590" xr:uid="{00000000-0005-0000-0000-00009C020000}"/>
    <cellStyle name="CABEÇALHO 3 9 2" xfId="927" xr:uid="{00000000-0005-0000-0000-00009D020000}"/>
    <cellStyle name="CABEÇALHO 3 9 2 2" xfId="1694" xr:uid="{00000000-0005-0000-0000-00009E020000}"/>
    <cellStyle name="CABEÇALHO 3 9 2 2 2" xfId="4390" xr:uid="{00000000-0005-0000-0000-00009F020000}"/>
    <cellStyle name="CABEÇALHO 3 9 2 3" xfId="3624" xr:uid="{00000000-0005-0000-0000-0000A0020000}"/>
    <cellStyle name="CABEÇALHO 3 9 3" xfId="1133" xr:uid="{00000000-0005-0000-0000-0000A1020000}"/>
    <cellStyle name="CABEÇALHO 3 9 3 2" xfId="1900" xr:uid="{00000000-0005-0000-0000-0000A2020000}"/>
    <cellStyle name="CABEÇALHO 3 9 3 2 2" xfId="4596" xr:uid="{00000000-0005-0000-0000-0000A3020000}"/>
    <cellStyle name="CABEÇALHO 3 9 3 3" xfId="3830" xr:uid="{00000000-0005-0000-0000-0000A4020000}"/>
    <cellStyle name="CABEÇALHO 3 9 4" xfId="1357" xr:uid="{00000000-0005-0000-0000-0000A5020000}"/>
    <cellStyle name="CABEÇALHO 3 9 4 2" xfId="4053" xr:uid="{00000000-0005-0000-0000-0000A6020000}"/>
    <cellStyle name="CABEÇALHO 3 9 5" xfId="3287" xr:uid="{00000000-0005-0000-0000-0000A7020000}"/>
    <cellStyle name="CABEÇALHO 30" xfId="570" xr:uid="{00000000-0005-0000-0000-0000A8020000}"/>
    <cellStyle name="CABEÇALHO 30 2" xfId="907" xr:uid="{00000000-0005-0000-0000-0000A9020000}"/>
    <cellStyle name="CABEÇALHO 30 2 2" xfId="1674" xr:uid="{00000000-0005-0000-0000-0000AA020000}"/>
    <cellStyle name="CABEÇALHO 30 2 2 2" xfId="4370" xr:uid="{00000000-0005-0000-0000-0000AB020000}"/>
    <cellStyle name="CABEÇALHO 30 2 3" xfId="3604" xr:uid="{00000000-0005-0000-0000-0000AC020000}"/>
    <cellStyle name="CABEÇALHO 30 3" xfId="1116" xr:uid="{00000000-0005-0000-0000-0000AD020000}"/>
    <cellStyle name="CABEÇALHO 30 3 2" xfId="1883" xr:uid="{00000000-0005-0000-0000-0000AE020000}"/>
    <cellStyle name="CABEÇALHO 30 3 2 2" xfId="4579" xr:uid="{00000000-0005-0000-0000-0000AF020000}"/>
    <cellStyle name="CABEÇALHO 30 3 3" xfId="3813" xr:uid="{00000000-0005-0000-0000-0000B0020000}"/>
    <cellStyle name="CABEÇALHO 30 4" xfId="1337" xr:uid="{00000000-0005-0000-0000-0000B1020000}"/>
    <cellStyle name="CABEÇALHO 30 4 2" xfId="4033" xr:uid="{00000000-0005-0000-0000-0000B2020000}"/>
    <cellStyle name="CABEÇALHO 30 5" xfId="3267" xr:uid="{00000000-0005-0000-0000-0000B3020000}"/>
    <cellStyle name="CABEÇALHO 31" xfId="568" xr:uid="{00000000-0005-0000-0000-0000B4020000}"/>
    <cellStyle name="CABEÇALHO 31 2" xfId="905" xr:uid="{00000000-0005-0000-0000-0000B5020000}"/>
    <cellStyle name="CABEÇALHO 31 2 2" xfId="1672" xr:uid="{00000000-0005-0000-0000-0000B6020000}"/>
    <cellStyle name="CABEÇALHO 31 2 2 2" xfId="4368" xr:uid="{00000000-0005-0000-0000-0000B7020000}"/>
    <cellStyle name="CABEÇALHO 31 2 3" xfId="3602" xr:uid="{00000000-0005-0000-0000-0000B8020000}"/>
    <cellStyle name="CABEÇALHO 31 3" xfId="1114" xr:uid="{00000000-0005-0000-0000-0000B9020000}"/>
    <cellStyle name="CABEÇALHO 31 3 2" xfId="1881" xr:uid="{00000000-0005-0000-0000-0000BA020000}"/>
    <cellStyle name="CABEÇALHO 31 3 2 2" xfId="4577" xr:uid="{00000000-0005-0000-0000-0000BB020000}"/>
    <cellStyle name="CABEÇALHO 31 3 3" xfId="3811" xr:uid="{00000000-0005-0000-0000-0000BC020000}"/>
    <cellStyle name="CABEÇALHO 31 4" xfId="1335" xr:uid="{00000000-0005-0000-0000-0000BD020000}"/>
    <cellStyle name="CABEÇALHO 31 4 2" xfId="4031" xr:uid="{00000000-0005-0000-0000-0000BE020000}"/>
    <cellStyle name="CABEÇALHO 31 5" xfId="3265" xr:uid="{00000000-0005-0000-0000-0000BF020000}"/>
    <cellStyle name="CABEÇALHO 32" xfId="579" xr:uid="{00000000-0005-0000-0000-0000C0020000}"/>
    <cellStyle name="CABEÇALHO 32 2" xfId="916" xr:uid="{00000000-0005-0000-0000-0000C1020000}"/>
    <cellStyle name="CABEÇALHO 32 2 2" xfId="1683" xr:uid="{00000000-0005-0000-0000-0000C2020000}"/>
    <cellStyle name="CABEÇALHO 32 2 2 2" xfId="4379" xr:uid="{00000000-0005-0000-0000-0000C3020000}"/>
    <cellStyle name="CABEÇALHO 32 2 3" xfId="3613" xr:uid="{00000000-0005-0000-0000-0000C4020000}"/>
    <cellStyle name="CABEÇALHO 32 3" xfId="1123" xr:uid="{00000000-0005-0000-0000-0000C5020000}"/>
    <cellStyle name="CABEÇALHO 32 3 2" xfId="1890" xr:uid="{00000000-0005-0000-0000-0000C6020000}"/>
    <cellStyle name="CABEÇALHO 32 3 2 2" xfId="4586" xr:uid="{00000000-0005-0000-0000-0000C7020000}"/>
    <cellStyle name="CABEÇALHO 32 3 3" xfId="3820" xr:uid="{00000000-0005-0000-0000-0000C8020000}"/>
    <cellStyle name="CABEÇALHO 32 4" xfId="1346" xr:uid="{00000000-0005-0000-0000-0000C9020000}"/>
    <cellStyle name="CABEÇALHO 32 4 2" xfId="4042" xr:uid="{00000000-0005-0000-0000-0000CA020000}"/>
    <cellStyle name="CABEÇALHO 32 5" xfId="3276" xr:uid="{00000000-0005-0000-0000-0000CB020000}"/>
    <cellStyle name="CABEÇALHO 33" xfId="571" xr:uid="{00000000-0005-0000-0000-0000CC020000}"/>
    <cellStyle name="CABEÇALHO 33 2" xfId="908" xr:uid="{00000000-0005-0000-0000-0000CD020000}"/>
    <cellStyle name="CABEÇALHO 33 2 2" xfId="1675" xr:uid="{00000000-0005-0000-0000-0000CE020000}"/>
    <cellStyle name="CABEÇALHO 33 2 2 2" xfId="4371" xr:uid="{00000000-0005-0000-0000-0000CF020000}"/>
    <cellStyle name="CABEÇALHO 33 2 3" xfId="3605" xr:uid="{00000000-0005-0000-0000-0000D0020000}"/>
    <cellStyle name="CABEÇALHO 33 3" xfId="1117" xr:uid="{00000000-0005-0000-0000-0000D1020000}"/>
    <cellStyle name="CABEÇALHO 33 3 2" xfId="1884" xr:uid="{00000000-0005-0000-0000-0000D2020000}"/>
    <cellStyle name="CABEÇALHO 33 3 2 2" xfId="4580" xr:uid="{00000000-0005-0000-0000-0000D3020000}"/>
    <cellStyle name="CABEÇALHO 33 3 3" xfId="3814" xr:uid="{00000000-0005-0000-0000-0000D4020000}"/>
    <cellStyle name="CABEÇALHO 33 4" xfId="1338" xr:uid="{00000000-0005-0000-0000-0000D5020000}"/>
    <cellStyle name="CABEÇALHO 33 4 2" xfId="4034" xr:uid="{00000000-0005-0000-0000-0000D6020000}"/>
    <cellStyle name="CABEÇALHO 33 5" xfId="3268" xr:uid="{00000000-0005-0000-0000-0000D7020000}"/>
    <cellStyle name="CABEÇALHO 34" xfId="767" xr:uid="{00000000-0005-0000-0000-0000D8020000}"/>
    <cellStyle name="CABEÇALHO 34 2" xfId="1534" xr:uid="{00000000-0005-0000-0000-0000D9020000}"/>
    <cellStyle name="CABEÇALHO 34 2 2" xfId="4230" xr:uid="{00000000-0005-0000-0000-0000DA020000}"/>
    <cellStyle name="CABEÇALHO 34 3" xfId="3464" xr:uid="{00000000-0005-0000-0000-0000DB020000}"/>
    <cellStyle name="CABEÇALHO 35" xfId="770" xr:uid="{00000000-0005-0000-0000-0000DC020000}"/>
    <cellStyle name="CABEÇALHO 35 2" xfId="1537" xr:uid="{00000000-0005-0000-0000-0000DD020000}"/>
    <cellStyle name="CABEÇALHO 35 2 2" xfId="4233" xr:uid="{00000000-0005-0000-0000-0000DE020000}"/>
    <cellStyle name="CABEÇALHO 35 3" xfId="3467" xr:uid="{00000000-0005-0000-0000-0000DF020000}"/>
    <cellStyle name="CABEÇALHO 36" xfId="1155" xr:uid="{00000000-0005-0000-0000-0000E0020000}"/>
    <cellStyle name="CABEÇALHO 36 2" xfId="1922" xr:uid="{00000000-0005-0000-0000-0000E1020000}"/>
    <cellStyle name="CABEÇALHO 36 2 2" xfId="4618" xr:uid="{00000000-0005-0000-0000-0000E2020000}"/>
    <cellStyle name="CABEÇALHO 36 3" xfId="3852" xr:uid="{00000000-0005-0000-0000-0000E3020000}"/>
    <cellStyle name="CABEÇALHO 37" xfId="772" xr:uid="{00000000-0005-0000-0000-0000E4020000}"/>
    <cellStyle name="CABEÇALHO 37 2" xfId="1539" xr:uid="{00000000-0005-0000-0000-0000E5020000}"/>
    <cellStyle name="CABEÇALHO 37 2 2" xfId="4235" xr:uid="{00000000-0005-0000-0000-0000E6020000}"/>
    <cellStyle name="CABEÇALHO 37 3" xfId="3469" xr:uid="{00000000-0005-0000-0000-0000E7020000}"/>
    <cellStyle name="CABEÇALHO 38" xfId="1191" xr:uid="{00000000-0005-0000-0000-0000E8020000}"/>
    <cellStyle name="CABEÇALHO 38 2" xfId="1957" xr:uid="{00000000-0005-0000-0000-0000E9020000}"/>
    <cellStyle name="CABEÇALHO 38 2 2" xfId="4653" xr:uid="{00000000-0005-0000-0000-0000EA020000}"/>
    <cellStyle name="CABEÇALHO 38 3" xfId="3888" xr:uid="{00000000-0005-0000-0000-0000EB020000}"/>
    <cellStyle name="CABEÇALHO 39" xfId="1196" xr:uid="{00000000-0005-0000-0000-0000EC020000}"/>
    <cellStyle name="CABEÇALHO 39 2" xfId="1962" xr:uid="{00000000-0005-0000-0000-0000ED020000}"/>
    <cellStyle name="CABEÇALHO 39 2 2" xfId="4658" xr:uid="{00000000-0005-0000-0000-0000EE020000}"/>
    <cellStyle name="CABEÇALHO 39 3" xfId="3893" xr:uid="{00000000-0005-0000-0000-0000EF020000}"/>
    <cellStyle name="CABEÇALHO 4" xfId="561" xr:uid="{00000000-0005-0000-0000-0000F0020000}"/>
    <cellStyle name="CABEÇALHO 4 10" xfId="1109" xr:uid="{00000000-0005-0000-0000-0000F1020000}"/>
    <cellStyle name="CABEÇALHO 4 10 2" xfId="1876" xr:uid="{00000000-0005-0000-0000-0000F2020000}"/>
    <cellStyle name="CABEÇALHO 4 10 2 2" xfId="4572" xr:uid="{00000000-0005-0000-0000-0000F3020000}"/>
    <cellStyle name="CABEÇALHO 4 10 3" xfId="3806" xr:uid="{00000000-0005-0000-0000-0000F4020000}"/>
    <cellStyle name="CABEÇALHO 4 11" xfId="1329" xr:uid="{00000000-0005-0000-0000-0000F5020000}"/>
    <cellStyle name="CABEÇALHO 4 11 2" xfId="4025" xr:uid="{00000000-0005-0000-0000-0000F6020000}"/>
    <cellStyle name="CABEÇALHO 4 12" xfId="3259" xr:uid="{00000000-0005-0000-0000-0000F7020000}"/>
    <cellStyle name="CABEÇALHO 4 2" xfId="750" xr:uid="{00000000-0005-0000-0000-0000F8020000}"/>
    <cellStyle name="CABEÇALHO 4 2 2" xfId="1087" xr:uid="{00000000-0005-0000-0000-0000F9020000}"/>
    <cellStyle name="CABEÇALHO 4 2 2 2" xfId="1854" xr:uid="{00000000-0005-0000-0000-0000FA020000}"/>
    <cellStyle name="CABEÇALHO 4 2 2 2 2" xfId="4550" xr:uid="{00000000-0005-0000-0000-0000FB020000}"/>
    <cellStyle name="CABEÇALHO 4 2 2 3" xfId="3784" xr:uid="{00000000-0005-0000-0000-0000FC020000}"/>
    <cellStyle name="CABEÇALHO 4 2 3" xfId="1172" xr:uid="{00000000-0005-0000-0000-0000FD020000}"/>
    <cellStyle name="CABEÇALHO 4 2 3 2" xfId="1939" xr:uid="{00000000-0005-0000-0000-0000FE020000}"/>
    <cellStyle name="CABEÇALHO 4 2 3 2 2" xfId="4635" xr:uid="{00000000-0005-0000-0000-0000FF020000}"/>
    <cellStyle name="CABEÇALHO 4 2 3 3" xfId="3869" xr:uid="{00000000-0005-0000-0000-000000030000}"/>
    <cellStyle name="CABEÇALHO 4 2 4" xfId="1517" xr:uid="{00000000-0005-0000-0000-000001030000}"/>
    <cellStyle name="CABEÇALHO 4 2 4 2" xfId="4213" xr:uid="{00000000-0005-0000-0000-000002030000}"/>
    <cellStyle name="CABEÇALHO 4 2 5" xfId="3447" xr:uid="{00000000-0005-0000-0000-000003030000}"/>
    <cellStyle name="CABEÇALHO 4 3" xfId="613" xr:uid="{00000000-0005-0000-0000-000004030000}"/>
    <cellStyle name="CABEÇALHO 4 3 2" xfId="950" xr:uid="{00000000-0005-0000-0000-000005030000}"/>
    <cellStyle name="CABEÇALHO 4 3 2 2" xfId="1717" xr:uid="{00000000-0005-0000-0000-000006030000}"/>
    <cellStyle name="CABEÇALHO 4 3 2 2 2" xfId="4413" xr:uid="{00000000-0005-0000-0000-000007030000}"/>
    <cellStyle name="CABEÇALHO 4 3 2 3" xfId="3647" xr:uid="{00000000-0005-0000-0000-000008030000}"/>
    <cellStyle name="CABEÇALHO 4 3 3" xfId="1154" xr:uid="{00000000-0005-0000-0000-000009030000}"/>
    <cellStyle name="CABEÇALHO 4 3 3 2" xfId="1921" xr:uid="{00000000-0005-0000-0000-00000A030000}"/>
    <cellStyle name="CABEÇALHO 4 3 3 2 2" xfId="4617" xr:uid="{00000000-0005-0000-0000-00000B030000}"/>
    <cellStyle name="CABEÇALHO 4 3 3 3" xfId="3851" xr:uid="{00000000-0005-0000-0000-00000C030000}"/>
    <cellStyle name="CABEÇALHO 4 3 4" xfId="1380" xr:uid="{00000000-0005-0000-0000-00000D030000}"/>
    <cellStyle name="CABEÇALHO 4 3 4 2" xfId="4076" xr:uid="{00000000-0005-0000-0000-00000E030000}"/>
    <cellStyle name="CABEÇALHO 4 3 5" xfId="3310" xr:uid="{00000000-0005-0000-0000-00000F030000}"/>
    <cellStyle name="CABEÇALHO 4 4" xfId="760" xr:uid="{00000000-0005-0000-0000-000010030000}"/>
    <cellStyle name="CABEÇALHO 4 4 2" xfId="1097" xr:uid="{00000000-0005-0000-0000-000011030000}"/>
    <cellStyle name="CABEÇALHO 4 4 2 2" xfId="1864" xr:uid="{00000000-0005-0000-0000-000012030000}"/>
    <cellStyle name="CABEÇALHO 4 4 2 2 2" xfId="4560" xr:uid="{00000000-0005-0000-0000-000013030000}"/>
    <cellStyle name="CABEÇALHO 4 4 2 3" xfId="3794" xr:uid="{00000000-0005-0000-0000-000014030000}"/>
    <cellStyle name="CABEÇALHO 4 4 3" xfId="1182" xr:uid="{00000000-0005-0000-0000-000015030000}"/>
    <cellStyle name="CABEÇALHO 4 4 3 2" xfId="1949" xr:uid="{00000000-0005-0000-0000-000016030000}"/>
    <cellStyle name="CABEÇALHO 4 4 3 2 2" xfId="4645" xr:uid="{00000000-0005-0000-0000-000017030000}"/>
    <cellStyle name="CABEÇALHO 4 4 3 3" xfId="3879" xr:uid="{00000000-0005-0000-0000-000018030000}"/>
    <cellStyle name="CABEÇALHO 4 4 4" xfId="1527" xr:uid="{00000000-0005-0000-0000-000019030000}"/>
    <cellStyle name="CABEÇALHO 4 4 4 2" xfId="4223" xr:uid="{00000000-0005-0000-0000-00001A030000}"/>
    <cellStyle name="CABEÇALHO 4 4 5" xfId="3457" xr:uid="{00000000-0005-0000-0000-00001B030000}"/>
    <cellStyle name="CABEÇALHO 4 5" xfId="763" xr:uid="{00000000-0005-0000-0000-00001C030000}"/>
    <cellStyle name="CABEÇALHO 4 5 2" xfId="1100" xr:uid="{00000000-0005-0000-0000-00001D030000}"/>
    <cellStyle name="CABEÇALHO 4 5 2 2" xfId="1867" xr:uid="{00000000-0005-0000-0000-00001E030000}"/>
    <cellStyle name="CABEÇALHO 4 5 2 2 2" xfId="4563" xr:uid="{00000000-0005-0000-0000-00001F030000}"/>
    <cellStyle name="CABEÇALHO 4 5 2 3" xfId="3797" xr:uid="{00000000-0005-0000-0000-000020030000}"/>
    <cellStyle name="CABEÇALHO 4 5 3" xfId="1185" xr:uid="{00000000-0005-0000-0000-000021030000}"/>
    <cellStyle name="CABEÇALHO 4 5 3 2" xfId="1952" xr:uid="{00000000-0005-0000-0000-000022030000}"/>
    <cellStyle name="CABEÇALHO 4 5 3 2 2" xfId="4648" xr:uid="{00000000-0005-0000-0000-000023030000}"/>
    <cellStyle name="CABEÇALHO 4 5 3 3" xfId="3882" xr:uid="{00000000-0005-0000-0000-000024030000}"/>
    <cellStyle name="CABEÇALHO 4 5 4" xfId="1530" xr:uid="{00000000-0005-0000-0000-000025030000}"/>
    <cellStyle name="CABEÇALHO 4 5 4 2" xfId="4226" xr:uid="{00000000-0005-0000-0000-000026030000}"/>
    <cellStyle name="CABEÇALHO 4 5 5" xfId="3460" xr:uid="{00000000-0005-0000-0000-000027030000}"/>
    <cellStyle name="CABEÇALHO 4 6" xfId="604" xr:uid="{00000000-0005-0000-0000-000028030000}"/>
    <cellStyle name="CABEÇALHO 4 6 2" xfId="941" xr:uid="{00000000-0005-0000-0000-000029030000}"/>
    <cellStyle name="CABEÇALHO 4 6 2 2" xfId="1708" xr:uid="{00000000-0005-0000-0000-00002A030000}"/>
    <cellStyle name="CABEÇALHO 4 6 2 2 2" xfId="4404" xr:uid="{00000000-0005-0000-0000-00002B030000}"/>
    <cellStyle name="CABEÇALHO 4 6 2 3" xfId="3638" xr:uid="{00000000-0005-0000-0000-00002C030000}"/>
    <cellStyle name="CABEÇALHO 4 6 3" xfId="1146" xr:uid="{00000000-0005-0000-0000-00002D030000}"/>
    <cellStyle name="CABEÇALHO 4 6 3 2" xfId="1913" xr:uid="{00000000-0005-0000-0000-00002E030000}"/>
    <cellStyle name="CABEÇALHO 4 6 3 2 2" xfId="4609" xr:uid="{00000000-0005-0000-0000-00002F030000}"/>
    <cellStyle name="CABEÇALHO 4 6 3 3" xfId="3843" xr:uid="{00000000-0005-0000-0000-000030030000}"/>
    <cellStyle name="CABEÇALHO 4 6 4" xfId="1371" xr:uid="{00000000-0005-0000-0000-000031030000}"/>
    <cellStyle name="CABEÇALHO 4 6 4 2" xfId="4067" xr:uid="{00000000-0005-0000-0000-000032030000}"/>
    <cellStyle name="CABEÇALHO 4 6 5" xfId="3301" xr:uid="{00000000-0005-0000-0000-000033030000}"/>
    <cellStyle name="CABEÇALHO 4 7" xfId="737" xr:uid="{00000000-0005-0000-0000-000034030000}"/>
    <cellStyle name="CABEÇALHO 4 7 2" xfId="1074" xr:uid="{00000000-0005-0000-0000-000035030000}"/>
    <cellStyle name="CABEÇALHO 4 7 2 2" xfId="1841" xr:uid="{00000000-0005-0000-0000-000036030000}"/>
    <cellStyle name="CABEÇALHO 4 7 2 2 2" xfId="4537" xr:uid="{00000000-0005-0000-0000-000037030000}"/>
    <cellStyle name="CABEÇALHO 4 7 2 3" xfId="3771" xr:uid="{00000000-0005-0000-0000-000038030000}"/>
    <cellStyle name="CABEÇALHO 4 7 3" xfId="1159" xr:uid="{00000000-0005-0000-0000-000039030000}"/>
    <cellStyle name="CABEÇALHO 4 7 3 2" xfId="1926" xr:uid="{00000000-0005-0000-0000-00003A030000}"/>
    <cellStyle name="CABEÇALHO 4 7 3 2 2" xfId="4622" xr:uid="{00000000-0005-0000-0000-00003B030000}"/>
    <cellStyle name="CABEÇALHO 4 7 3 3" xfId="3856" xr:uid="{00000000-0005-0000-0000-00003C030000}"/>
    <cellStyle name="CABEÇALHO 4 7 4" xfId="1504" xr:uid="{00000000-0005-0000-0000-00003D030000}"/>
    <cellStyle name="CABEÇALHO 4 7 4 2" xfId="4200" xr:uid="{00000000-0005-0000-0000-00003E030000}"/>
    <cellStyle name="CABEÇALHO 4 7 5" xfId="3434" xr:uid="{00000000-0005-0000-0000-00003F030000}"/>
    <cellStyle name="CABEÇALHO 4 8" xfId="582" xr:uid="{00000000-0005-0000-0000-000040030000}"/>
    <cellStyle name="CABEÇALHO 4 8 2" xfId="919" xr:uid="{00000000-0005-0000-0000-000041030000}"/>
    <cellStyle name="CABEÇALHO 4 8 2 2" xfId="1686" xr:uid="{00000000-0005-0000-0000-000042030000}"/>
    <cellStyle name="CABEÇALHO 4 8 2 2 2" xfId="4382" xr:uid="{00000000-0005-0000-0000-000043030000}"/>
    <cellStyle name="CABEÇALHO 4 8 2 3" xfId="3616" xr:uid="{00000000-0005-0000-0000-000044030000}"/>
    <cellStyle name="CABEÇALHO 4 8 3" xfId="1125" xr:uid="{00000000-0005-0000-0000-000045030000}"/>
    <cellStyle name="CABEÇALHO 4 8 3 2" xfId="1892" xr:uid="{00000000-0005-0000-0000-000046030000}"/>
    <cellStyle name="CABEÇALHO 4 8 3 2 2" xfId="4588" xr:uid="{00000000-0005-0000-0000-000047030000}"/>
    <cellStyle name="CABEÇALHO 4 8 3 3" xfId="3822" xr:uid="{00000000-0005-0000-0000-000048030000}"/>
    <cellStyle name="CABEÇALHO 4 8 4" xfId="1349" xr:uid="{00000000-0005-0000-0000-000049030000}"/>
    <cellStyle name="CABEÇALHO 4 8 4 2" xfId="4045" xr:uid="{00000000-0005-0000-0000-00004A030000}"/>
    <cellStyle name="CABEÇALHO 4 8 5" xfId="3279" xr:uid="{00000000-0005-0000-0000-00004B030000}"/>
    <cellStyle name="CABEÇALHO 4 9" xfId="899" xr:uid="{00000000-0005-0000-0000-00004C030000}"/>
    <cellStyle name="CABEÇALHO 4 9 2" xfId="1666" xr:uid="{00000000-0005-0000-0000-00004D030000}"/>
    <cellStyle name="CABEÇALHO 4 9 2 2" xfId="4362" xr:uid="{00000000-0005-0000-0000-00004E030000}"/>
    <cellStyle name="CABEÇALHO 4 9 3" xfId="3596" xr:uid="{00000000-0005-0000-0000-00004F030000}"/>
    <cellStyle name="CABEÇALHO 40" xfId="1195" xr:uid="{00000000-0005-0000-0000-000050030000}"/>
    <cellStyle name="CABEÇALHO 40 2" xfId="1961" xr:uid="{00000000-0005-0000-0000-000051030000}"/>
    <cellStyle name="CABEÇALHO 40 2 2" xfId="4657" xr:uid="{00000000-0005-0000-0000-000052030000}"/>
    <cellStyle name="CABEÇALHO 40 3" xfId="3892" xr:uid="{00000000-0005-0000-0000-000053030000}"/>
    <cellStyle name="CABEÇALHO 41" xfId="1192" xr:uid="{00000000-0005-0000-0000-000054030000}"/>
    <cellStyle name="CABEÇALHO 41 2" xfId="1958" xr:uid="{00000000-0005-0000-0000-000055030000}"/>
    <cellStyle name="CABEÇALHO 41 2 2" xfId="4654" xr:uid="{00000000-0005-0000-0000-000056030000}"/>
    <cellStyle name="CABEÇALHO 41 3" xfId="3889" xr:uid="{00000000-0005-0000-0000-000057030000}"/>
    <cellStyle name="CABEÇALHO 42" xfId="775" xr:uid="{00000000-0005-0000-0000-000058030000}"/>
    <cellStyle name="CABEÇALHO 42 2" xfId="1542" xr:uid="{00000000-0005-0000-0000-000059030000}"/>
    <cellStyle name="CABEÇALHO 42 2 2" xfId="4238" xr:uid="{00000000-0005-0000-0000-00005A030000}"/>
    <cellStyle name="CABEÇALHO 42 3" xfId="3472" xr:uid="{00000000-0005-0000-0000-00005B030000}"/>
    <cellStyle name="CABEÇALHO 43" xfId="1193" xr:uid="{00000000-0005-0000-0000-00005C030000}"/>
    <cellStyle name="CABEÇALHO 43 2" xfId="1959" xr:uid="{00000000-0005-0000-0000-00005D030000}"/>
    <cellStyle name="CABEÇALHO 43 2 2" xfId="4655" xr:uid="{00000000-0005-0000-0000-00005E030000}"/>
    <cellStyle name="CABEÇALHO 43 3" xfId="3890" xr:uid="{00000000-0005-0000-0000-00005F030000}"/>
    <cellStyle name="CABEÇALHO 44" xfId="1198" xr:uid="{00000000-0005-0000-0000-000060030000}"/>
    <cellStyle name="CABEÇALHO 44 2" xfId="1963" xr:uid="{00000000-0005-0000-0000-000061030000}"/>
    <cellStyle name="CABEÇALHO 44 2 2" xfId="4659" xr:uid="{00000000-0005-0000-0000-000062030000}"/>
    <cellStyle name="CABEÇALHO 44 3" xfId="3895" xr:uid="{00000000-0005-0000-0000-000063030000}"/>
    <cellStyle name="CABEÇALHO 45" xfId="1105" xr:uid="{00000000-0005-0000-0000-000064030000}"/>
    <cellStyle name="CABEÇALHO 45 2" xfId="1872" xr:uid="{00000000-0005-0000-0000-000065030000}"/>
    <cellStyle name="CABEÇALHO 45 2 2" xfId="4568" xr:uid="{00000000-0005-0000-0000-000066030000}"/>
    <cellStyle name="CABEÇALHO 45 3" xfId="3802" xr:uid="{00000000-0005-0000-0000-000067030000}"/>
    <cellStyle name="CABEÇALHO 46" xfId="1200" xr:uid="{00000000-0005-0000-0000-000068030000}"/>
    <cellStyle name="CABEÇALHO 46 2" xfId="3896" xr:uid="{00000000-0005-0000-0000-000069030000}"/>
    <cellStyle name="CABEÇALHO 47" xfId="1203" xr:uid="{00000000-0005-0000-0000-00006A030000}"/>
    <cellStyle name="CABEÇALHO 47 2" xfId="3899" xr:uid="{00000000-0005-0000-0000-00006B030000}"/>
    <cellStyle name="CABEÇALHO 48" xfId="1966" xr:uid="{00000000-0005-0000-0000-00006C030000}"/>
    <cellStyle name="CABEÇALHO 48 2" xfId="4662" xr:uid="{00000000-0005-0000-0000-00006D030000}"/>
    <cellStyle name="CABEÇALHO 49" xfId="1204" xr:uid="{00000000-0005-0000-0000-00006E030000}"/>
    <cellStyle name="CABEÇALHO 49 2" xfId="3900" xr:uid="{00000000-0005-0000-0000-00006F030000}"/>
    <cellStyle name="CABEÇALHO 5" xfId="496" xr:uid="{00000000-0005-0000-0000-000070030000}"/>
    <cellStyle name="CABEÇALHO 5 10" xfId="567" xr:uid="{00000000-0005-0000-0000-000071030000}"/>
    <cellStyle name="CABEÇALHO 5 10 2" xfId="904" xr:uid="{00000000-0005-0000-0000-000072030000}"/>
    <cellStyle name="CABEÇALHO 5 10 2 2" xfId="1671" xr:uid="{00000000-0005-0000-0000-000073030000}"/>
    <cellStyle name="CABEÇALHO 5 10 2 2 2" xfId="4367" xr:uid="{00000000-0005-0000-0000-000074030000}"/>
    <cellStyle name="CABEÇALHO 5 10 2 3" xfId="3601" xr:uid="{00000000-0005-0000-0000-000075030000}"/>
    <cellStyle name="CABEÇALHO 5 10 3" xfId="1113" xr:uid="{00000000-0005-0000-0000-000076030000}"/>
    <cellStyle name="CABEÇALHO 5 10 3 2" xfId="1880" xr:uid="{00000000-0005-0000-0000-000077030000}"/>
    <cellStyle name="CABEÇALHO 5 10 3 2 2" xfId="4576" xr:uid="{00000000-0005-0000-0000-000078030000}"/>
    <cellStyle name="CABEÇALHO 5 10 3 3" xfId="3810" xr:uid="{00000000-0005-0000-0000-000079030000}"/>
    <cellStyle name="CABEÇALHO 5 10 4" xfId="1334" xr:uid="{00000000-0005-0000-0000-00007A030000}"/>
    <cellStyle name="CABEÇALHO 5 10 4 2" xfId="4030" xr:uid="{00000000-0005-0000-0000-00007B030000}"/>
    <cellStyle name="CABEÇALHO 5 10 5" xfId="3264" xr:uid="{00000000-0005-0000-0000-00007C030000}"/>
    <cellStyle name="CABEÇALHO 5 11" xfId="594" xr:uid="{00000000-0005-0000-0000-00007D030000}"/>
    <cellStyle name="CABEÇALHO 5 11 2" xfId="931" xr:uid="{00000000-0005-0000-0000-00007E030000}"/>
    <cellStyle name="CABEÇALHO 5 11 2 2" xfId="1698" xr:uid="{00000000-0005-0000-0000-00007F030000}"/>
    <cellStyle name="CABEÇALHO 5 11 2 2 2" xfId="4394" xr:uid="{00000000-0005-0000-0000-000080030000}"/>
    <cellStyle name="CABEÇALHO 5 11 2 3" xfId="3628" xr:uid="{00000000-0005-0000-0000-000081030000}"/>
    <cellStyle name="CABEÇALHO 5 11 3" xfId="1137" xr:uid="{00000000-0005-0000-0000-000082030000}"/>
    <cellStyle name="CABEÇALHO 5 11 3 2" xfId="1904" xr:uid="{00000000-0005-0000-0000-000083030000}"/>
    <cellStyle name="CABEÇALHO 5 11 3 2 2" xfId="4600" xr:uid="{00000000-0005-0000-0000-000084030000}"/>
    <cellStyle name="CABEÇALHO 5 11 3 3" xfId="3834" xr:uid="{00000000-0005-0000-0000-000085030000}"/>
    <cellStyle name="CABEÇALHO 5 11 4" xfId="1361" xr:uid="{00000000-0005-0000-0000-000086030000}"/>
    <cellStyle name="CABEÇALHO 5 11 4 2" xfId="4057" xr:uid="{00000000-0005-0000-0000-000087030000}"/>
    <cellStyle name="CABEÇALHO 5 11 5" xfId="3291" xr:uid="{00000000-0005-0000-0000-000088030000}"/>
    <cellStyle name="CABEÇALHO 5 12" xfId="598" xr:uid="{00000000-0005-0000-0000-000089030000}"/>
    <cellStyle name="CABEÇALHO 5 12 2" xfId="935" xr:uid="{00000000-0005-0000-0000-00008A030000}"/>
    <cellStyle name="CABEÇALHO 5 12 2 2" xfId="1702" xr:uid="{00000000-0005-0000-0000-00008B030000}"/>
    <cellStyle name="CABEÇALHO 5 12 2 2 2" xfId="4398" xr:uid="{00000000-0005-0000-0000-00008C030000}"/>
    <cellStyle name="CABEÇALHO 5 12 2 3" xfId="3632" xr:uid="{00000000-0005-0000-0000-00008D030000}"/>
    <cellStyle name="CABEÇALHO 5 12 3" xfId="1141" xr:uid="{00000000-0005-0000-0000-00008E030000}"/>
    <cellStyle name="CABEÇALHO 5 12 3 2" xfId="1908" xr:uid="{00000000-0005-0000-0000-00008F030000}"/>
    <cellStyle name="CABEÇALHO 5 12 3 2 2" xfId="4604" xr:uid="{00000000-0005-0000-0000-000090030000}"/>
    <cellStyle name="CABEÇALHO 5 12 3 3" xfId="3838" xr:uid="{00000000-0005-0000-0000-000091030000}"/>
    <cellStyle name="CABEÇALHO 5 12 4" xfId="1365" xr:uid="{00000000-0005-0000-0000-000092030000}"/>
    <cellStyle name="CABEÇALHO 5 12 4 2" xfId="4061" xr:uid="{00000000-0005-0000-0000-000093030000}"/>
    <cellStyle name="CABEÇALHO 5 12 5" xfId="3295" xr:uid="{00000000-0005-0000-0000-000094030000}"/>
    <cellStyle name="CABEÇALHO 5 13" xfId="588" xr:uid="{00000000-0005-0000-0000-000095030000}"/>
    <cellStyle name="CABEÇALHO 5 13 2" xfId="925" xr:uid="{00000000-0005-0000-0000-000096030000}"/>
    <cellStyle name="CABEÇALHO 5 13 2 2" xfId="1692" xr:uid="{00000000-0005-0000-0000-000097030000}"/>
    <cellStyle name="CABEÇALHO 5 13 2 2 2" xfId="4388" xr:uid="{00000000-0005-0000-0000-000098030000}"/>
    <cellStyle name="CABEÇALHO 5 13 2 3" xfId="3622" xr:uid="{00000000-0005-0000-0000-000099030000}"/>
    <cellStyle name="CABEÇALHO 5 13 3" xfId="1131" xr:uid="{00000000-0005-0000-0000-00009A030000}"/>
    <cellStyle name="CABEÇALHO 5 13 3 2" xfId="1898" xr:uid="{00000000-0005-0000-0000-00009B030000}"/>
    <cellStyle name="CABEÇALHO 5 13 3 2 2" xfId="4594" xr:uid="{00000000-0005-0000-0000-00009C030000}"/>
    <cellStyle name="CABEÇALHO 5 13 3 3" xfId="3828" xr:uid="{00000000-0005-0000-0000-00009D030000}"/>
    <cellStyle name="CABEÇALHO 5 13 4" xfId="1355" xr:uid="{00000000-0005-0000-0000-00009E030000}"/>
    <cellStyle name="CABEÇALHO 5 13 4 2" xfId="4051" xr:uid="{00000000-0005-0000-0000-00009F030000}"/>
    <cellStyle name="CABEÇALHO 5 13 5" xfId="3285" xr:uid="{00000000-0005-0000-0000-0000A0030000}"/>
    <cellStyle name="CABEÇALHO 5 14" xfId="569" xr:uid="{00000000-0005-0000-0000-0000A1030000}"/>
    <cellStyle name="CABEÇALHO 5 14 2" xfId="906" xr:uid="{00000000-0005-0000-0000-0000A2030000}"/>
    <cellStyle name="CABEÇALHO 5 14 2 2" xfId="1673" xr:uid="{00000000-0005-0000-0000-0000A3030000}"/>
    <cellStyle name="CABEÇALHO 5 14 2 2 2" xfId="4369" xr:uid="{00000000-0005-0000-0000-0000A4030000}"/>
    <cellStyle name="CABEÇALHO 5 14 2 3" xfId="3603" xr:uid="{00000000-0005-0000-0000-0000A5030000}"/>
    <cellStyle name="CABEÇALHO 5 14 3" xfId="1115" xr:uid="{00000000-0005-0000-0000-0000A6030000}"/>
    <cellStyle name="CABEÇALHO 5 14 3 2" xfId="1882" xr:uid="{00000000-0005-0000-0000-0000A7030000}"/>
    <cellStyle name="CABEÇALHO 5 14 3 2 2" xfId="4578" xr:uid="{00000000-0005-0000-0000-0000A8030000}"/>
    <cellStyle name="CABEÇALHO 5 14 3 3" xfId="3812" xr:uid="{00000000-0005-0000-0000-0000A9030000}"/>
    <cellStyle name="CABEÇALHO 5 14 4" xfId="1336" xr:uid="{00000000-0005-0000-0000-0000AA030000}"/>
    <cellStyle name="CABEÇALHO 5 14 4 2" xfId="4032" xr:uid="{00000000-0005-0000-0000-0000AB030000}"/>
    <cellStyle name="CABEÇALHO 5 14 5" xfId="3266" xr:uid="{00000000-0005-0000-0000-0000AC030000}"/>
    <cellStyle name="CABEÇALHO 5 15" xfId="585" xr:uid="{00000000-0005-0000-0000-0000AD030000}"/>
    <cellStyle name="CABEÇALHO 5 15 2" xfId="922" xr:uid="{00000000-0005-0000-0000-0000AE030000}"/>
    <cellStyle name="CABEÇALHO 5 15 2 2" xfId="1689" xr:uid="{00000000-0005-0000-0000-0000AF030000}"/>
    <cellStyle name="CABEÇALHO 5 15 2 2 2" xfId="4385" xr:uid="{00000000-0005-0000-0000-0000B0030000}"/>
    <cellStyle name="CABEÇALHO 5 15 2 3" xfId="3619" xr:uid="{00000000-0005-0000-0000-0000B1030000}"/>
    <cellStyle name="CABEÇALHO 5 15 3" xfId="1128" xr:uid="{00000000-0005-0000-0000-0000B2030000}"/>
    <cellStyle name="CABEÇALHO 5 15 3 2" xfId="1895" xr:uid="{00000000-0005-0000-0000-0000B3030000}"/>
    <cellStyle name="CABEÇALHO 5 15 3 2 2" xfId="4591" xr:uid="{00000000-0005-0000-0000-0000B4030000}"/>
    <cellStyle name="CABEÇALHO 5 15 3 3" xfId="3825" xr:uid="{00000000-0005-0000-0000-0000B5030000}"/>
    <cellStyle name="CABEÇALHO 5 15 4" xfId="1352" xr:uid="{00000000-0005-0000-0000-0000B6030000}"/>
    <cellStyle name="CABEÇALHO 5 15 4 2" xfId="4048" xr:uid="{00000000-0005-0000-0000-0000B7030000}"/>
    <cellStyle name="CABEÇALHO 5 15 5" xfId="3282" xr:uid="{00000000-0005-0000-0000-0000B8030000}"/>
    <cellStyle name="CABEÇALHO 5 16" xfId="564" xr:uid="{00000000-0005-0000-0000-0000B9030000}"/>
    <cellStyle name="CABEÇALHO 5 16 2" xfId="901" xr:uid="{00000000-0005-0000-0000-0000BA030000}"/>
    <cellStyle name="CABEÇALHO 5 16 2 2" xfId="1668" xr:uid="{00000000-0005-0000-0000-0000BB030000}"/>
    <cellStyle name="CABEÇALHO 5 16 2 2 2" xfId="4364" xr:uid="{00000000-0005-0000-0000-0000BC030000}"/>
    <cellStyle name="CABEÇALHO 5 16 2 3" xfId="3598" xr:uid="{00000000-0005-0000-0000-0000BD030000}"/>
    <cellStyle name="CABEÇALHO 5 16 3" xfId="1110" xr:uid="{00000000-0005-0000-0000-0000BE030000}"/>
    <cellStyle name="CABEÇALHO 5 16 3 2" xfId="1877" xr:uid="{00000000-0005-0000-0000-0000BF030000}"/>
    <cellStyle name="CABEÇALHO 5 16 3 2 2" xfId="4573" xr:uid="{00000000-0005-0000-0000-0000C0030000}"/>
    <cellStyle name="CABEÇALHO 5 16 3 3" xfId="3807" xr:uid="{00000000-0005-0000-0000-0000C1030000}"/>
    <cellStyle name="CABEÇALHO 5 16 4" xfId="1331" xr:uid="{00000000-0005-0000-0000-0000C2030000}"/>
    <cellStyle name="CABEÇALHO 5 16 4 2" xfId="4027" xr:uid="{00000000-0005-0000-0000-0000C3030000}"/>
    <cellStyle name="CABEÇALHO 5 16 5" xfId="3261" xr:uid="{00000000-0005-0000-0000-0000C4030000}"/>
    <cellStyle name="CABEÇALHO 5 17" xfId="834" xr:uid="{00000000-0005-0000-0000-0000C5030000}"/>
    <cellStyle name="CABEÇALHO 5 17 2" xfId="1601" xr:uid="{00000000-0005-0000-0000-0000C6030000}"/>
    <cellStyle name="CABEÇALHO 5 17 2 2" xfId="4297" xr:uid="{00000000-0005-0000-0000-0000C7030000}"/>
    <cellStyle name="CABEÇALHO 5 17 3" xfId="3531" xr:uid="{00000000-0005-0000-0000-0000C8030000}"/>
    <cellStyle name="CABEÇALHO 5 18" xfId="1106" xr:uid="{00000000-0005-0000-0000-0000C9030000}"/>
    <cellStyle name="CABEÇALHO 5 18 2" xfId="1873" xr:uid="{00000000-0005-0000-0000-0000CA030000}"/>
    <cellStyle name="CABEÇALHO 5 18 2 2" xfId="4569" xr:uid="{00000000-0005-0000-0000-0000CB030000}"/>
    <cellStyle name="CABEÇALHO 5 18 3" xfId="3803" xr:uid="{00000000-0005-0000-0000-0000CC030000}"/>
    <cellStyle name="CABEÇALHO 5 19" xfId="1194" xr:uid="{00000000-0005-0000-0000-0000CD030000}"/>
    <cellStyle name="CABEÇALHO 5 19 2" xfId="1960" xr:uid="{00000000-0005-0000-0000-0000CE030000}"/>
    <cellStyle name="CABEÇALHO 5 19 2 2" xfId="4656" xr:uid="{00000000-0005-0000-0000-0000CF030000}"/>
    <cellStyle name="CABEÇALHO 5 19 3" xfId="3891" xr:uid="{00000000-0005-0000-0000-0000D0030000}"/>
    <cellStyle name="CABEÇALHO 5 2" xfId="671" xr:uid="{00000000-0005-0000-0000-0000D1030000}"/>
    <cellStyle name="CABEÇALHO 5 2 2" xfId="1008" xr:uid="{00000000-0005-0000-0000-0000D2030000}"/>
    <cellStyle name="CABEÇALHO 5 2 2 2" xfId="1775" xr:uid="{00000000-0005-0000-0000-0000D3030000}"/>
    <cellStyle name="CABEÇALHO 5 2 2 2 2" xfId="4471" xr:uid="{00000000-0005-0000-0000-0000D4030000}"/>
    <cellStyle name="CABEÇALHO 5 2 2 3" xfId="3705" xr:uid="{00000000-0005-0000-0000-0000D5030000}"/>
    <cellStyle name="CABEÇALHO 5 2 3" xfId="1156" xr:uid="{00000000-0005-0000-0000-0000D6030000}"/>
    <cellStyle name="CABEÇALHO 5 2 3 2" xfId="1923" xr:uid="{00000000-0005-0000-0000-0000D7030000}"/>
    <cellStyle name="CABEÇALHO 5 2 3 2 2" xfId="4619" xr:uid="{00000000-0005-0000-0000-0000D8030000}"/>
    <cellStyle name="CABEÇALHO 5 2 3 3" xfId="3853" xr:uid="{00000000-0005-0000-0000-0000D9030000}"/>
    <cellStyle name="CABEÇALHO 5 2 4" xfId="1438" xr:uid="{00000000-0005-0000-0000-0000DA030000}"/>
    <cellStyle name="CABEÇALHO 5 2 4 2" xfId="4134" xr:uid="{00000000-0005-0000-0000-0000DB030000}"/>
    <cellStyle name="CABEÇALHO 5 2 5" xfId="3368" xr:uid="{00000000-0005-0000-0000-0000DC030000}"/>
    <cellStyle name="CABEÇALHO 5 20" xfId="1197" xr:uid="{00000000-0005-0000-0000-0000DD030000}"/>
    <cellStyle name="CABEÇALHO 5 20 2" xfId="3894" xr:uid="{00000000-0005-0000-0000-0000DE030000}"/>
    <cellStyle name="CABEÇALHO 5 21" xfId="1965" xr:uid="{00000000-0005-0000-0000-0000DF030000}"/>
    <cellStyle name="CABEÇALHO 5 21 2" xfId="4661" xr:uid="{00000000-0005-0000-0000-0000E0030000}"/>
    <cellStyle name="CABEÇALHO 5 22" xfId="3194" xr:uid="{00000000-0005-0000-0000-0000E1030000}"/>
    <cellStyle name="CABEÇALHO 5 3" xfId="740" xr:uid="{00000000-0005-0000-0000-0000E2030000}"/>
    <cellStyle name="CABEÇALHO 5 3 2" xfId="1077" xr:uid="{00000000-0005-0000-0000-0000E3030000}"/>
    <cellStyle name="CABEÇALHO 5 3 2 2" xfId="1844" xr:uid="{00000000-0005-0000-0000-0000E4030000}"/>
    <cellStyle name="CABEÇALHO 5 3 2 2 2" xfId="4540" xr:uid="{00000000-0005-0000-0000-0000E5030000}"/>
    <cellStyle name="CABEÇALHO 5 3 2 3" xfId="3774" xr:uid="{00000000-0005-0000-0000-0000E6030000}"/>
    <cellStyle name="CABEÇALHO 5 3 3" xfId="1162" xr:uid="{00000000-0005-0000-0000-0000E7030000}"/>
    <cellStyle name="CABEÇALHO 5 3 3 2" xfId="1929" xr:uid="{00000000-0005-0000-0000-0000E8030000}"/>
    <cellStyle name="CABEÇALHO 5 3 3 2 2" xfId="4625" xr:uid="{00000000-0005-0000-0000-0000E9030000}"/>
    <cellStyle name="CABEÇALHO 5 3 3 3" xfId="3859" xr:uid="{00000000-0005-0000-0000-0000EA030000}"/>
    <cellStyle name="CABEÇALHO 5 3 4" xfId="1507" xr:uid="{00000000-0005-0000-0000-0000EB030000}"/>
    <cellStyle name="CABEÇALHO 5 3 4 2" xfId="4203" xr:uid="{00000000-0005-0000-0000-0000EC030000}"/>
    <cellStyle name="CABEÇALHO 5 3 5" xfId="3437" xr:uid="{00000000-0005-0000-0000-0000ED030000}"/>
    <cellStyle name="CABEÇALHO 5 4" xfId="743" xr:uid="{00000000-0005-0000-0000-0000EE030000}"/>
    <cellStyle name="CABEÇALHO 5 4 2" xfId="1080" xr:uid="{00000000-0005-0000-0000-0000EF030000}"/>
    <cellStyle name="CABEÇALHO 5 4 2 2" xfId="1847" xr:uid="{00000000-0005-0000-0000-0000F0030000}"/>
    <cellStyle name="CABEÇALHO 5 4 2 2 2" xfId="4543" xr:uid="{00000000-0005-0000-0000-0000F1030000}"/>
    <cellStyle name="CABEÇALHO 5 4 2 3" xfId="3777" xr:uid="{00000000-0005-0000-0000-0000F2030000}"/>
    <cellStyle name="CABEÇALHO 5 4 3" xfId="1165" xr:uid="{00000000-0005-0000-0000-0000F3030000}"/>
    <cellStyle name="CABEÇALHO 5 4 3 2" xfId="1932" xr:uid="{00000000-0005-0000-0000-0000F4030000}"/>
    <cellStyle name="CABEÇALHO 5 4 3 2 2" xfId="4628" xr:uid="{00000000-0005-0000-0000-0000F5030000}"/>
    <cellStyle name="CABEÇALHO 5 4 3 3" xfId="3862" xr:uid="{00000000-0005-0000-0000-0000F6030000}"/>
    <cellStyle name="CABEÇALHO 5 4 4" xfId="1510" xr:uid="{00000000-0005-0000-0000-0000F7030000}"/>
    <cellStyle name="CABEÇALHO 5 4 4 2" xfId="4206" xr:uid="{00000000-0005-0000-0000-0000F8030000}"/>
    <cellStyle name="CABEÇALHO 5 4 5" xfId="3440" xr:uid="{00000000-0005-0000-0000-0000F9030000}"/>
    <cellStyle name="CABEÇALHO 5 5" xfId="596" xr:uid="{00000000-0005-0000-0000-0000FA030000}"/>
    <cellStyle name="CABEÇALHO 5 5 2" xfId="933" xr:uid="{00000000-0005-0000-0000-0000FB030000}"/>
    <cellStyle name="CABEÇALHO 5 5 2 2" xfId="1700" xr:uid="{00000000-0005-0000-0000-0000FC030000}"/>
    <cellStyle name="CABEÇALHO 5 5 2 2 2" xfId="4396" xr:uid="{00000000-0005-0000-0000-0000FD030000}"/>
    <cellStyle name="CABEÇALHO 5 5 2 3" xfId="3630" xr:uid="{00000000-0005-0000-0000-0000FE030000}"/>
    <cellStyle name="CABEÇALHO 5 5 3" xfId="1139" xr:uid="{00000000-0005-0000-0000-0000FF030000}"/>
    <cellStyle name="CABEÇALHO 5 5 3 2" xfId="1906" xr:uid="{00000000-0005-0000-0000-000000040000}"/>
    <cellStyle name="CABEÇALHO 5 5 3 2 2" xfId="4602" xr:uid="{00000000-0005-0000-0000-000001040000}"/>
    <cellStyle name="CABEÇALHO 5 5 3 3" xfId="3836" xr:uid="{00000000-0005-0000-0000-000002040000}"/>
    <cellStyle name="CABEÇALHO 5 5 4" xfId="1363" xr:uid="{00000000-0005-0000-0000-000003040000}"/>
    <cellStyle name="CABEÇALHO 5 5 4 2" xfId="4059" xr:uid="{00000000-0005-0000-0000-000004040000}"/>
    <cellStyle name="CABEÇALHO 5 5 5" xfId="3293" xr:uid="{00000000-0005-0000-0000-000005040000}"/>
    <cellStyle name="CABEÇALHO 5 6" xfId="610" xr:uid="{00000000-0005-0000-0000-000006040000}"/>
    <cellStyle name="CABEÇALHO 5 6 2" xfId="947" xr:uid="{00000000-0005-0000-0000-000007040000}"/>
    <cellStyle name="CABEÇALHO 5 6 2 2" xfId="1714" xr:uid="{00000000-0005-0000-0000-000008040000}"/>
    <cellStyle name="CABEÇALHO 5 6 2 2 2" xfId="4410" xr:uid="{00000000-0005-0000-0000-000009040000}"/>
    <cellStyle name="CABEÇALHO 5 6 2 3" xfId="3644" xr:uid="{00000000-0005-0000-0000-00000A040000}"/>
    <cellStyle name="CABEÇALHO 5 6 3" xfId="1151" xr:uid="{00000000-0005-0000-0000-00000B040000}"/>
    <cellStyle name="CABEÇALHO 5 6 3 2" xfId="1918" xr:uid="{00000000-0005-0000-0000-00000C040000}"/>
    <cellStyle name="CABEÇALHO 5 6 3 2 2" xfId="4614" xr:uid="{00000000-0005-0000-0000-00000D040000}"/>
    <cellStyle name="CABEÇALHO 5 6 3 3" xfId="3848" xr:uid="{00000000-0005-0000-0000-00000E040000}"/>
    <cellStyle name="CABEÇALHO 5 6 4" xfId="1377" xr:uid="{00000000-0005-0000-0000-00000F040000}"/>
    <cellStyle name="CABEÇALHO 5 6 4 2" xfId="4073" xr:uid="{00000000-0005-0000-0000-000010040000}"/>
    <cellStyle name="CABEÇALHO 5 6 5" xfId="3307" xr:uid="{00000000-0005-0000-0000-000011040000}"/>
    <cellStyle name="CABEÇALHO 5 7" xfId="609" xr:uid="{00000000-0005-0000-0000-000012040000}"/>
    <cellStyle name="CABEÇALHO 5 7 2" xfId="946" xr:uid="{00000000-0005-0000-0000-000013040000}"/>
    <cellStyle name="CABEÇALHO 5 7 2 2" xfId="1713" xr:uid="{00000000-0005-0000-0000-000014040000}"/>
    <cellStyle name="CABEÇALHO 5 7 2 2 2" xfId="4409" xr:uid="{00000000-0005-0000-0000-000015040000}"/>
    <cellStyle name="CABEÇALHO 5 7 2 3" xfId="3643" xr:uid="{00000000-0005-0000-0000-000016040000}"/>
    <cellStyle name="CABEÇALHO 5 7 3" xfId="1150" xr:uid="{00000000-0005-0000-0000-000017040000}"/>
    <cellStyle name="CABEÇALHO 5 7 3 2" xfId="1917" xr:uid="{00000000-0005-0000-0000-000018040000}"/>
    <cellStyle name="CABEÇALHO 5 7 3 2 2" xfId="4613" xr:uid="{00000000-0005-0000-0000-000019040000}"/>
    <cellStyle name="CABEÇALHO 5 7 3 3" xfId="3847" xr:uid="{00000000-0005-0000-0000-00001A040000}"/>
    <cellStyle name="CABEÇALHO 5 7 4" xfId="1376" xr:uid="{00000000-0005-0000-0000-00001B040000}"/>
    <cellStyle name="CABEÇALHO 5 7 4 2" xfId="4072" xr:uid="{00000000-0005-0000-0000-00001C040000}"/>
    <cellStyle name="CABEÇALHO 5 7 5" xfId="3306" xr:uid="{00000000-0005-0000-0000-00001D040000}"/>
    <cellStyle name="CABEÇALHO 5 8" xfId="755" xr:uid="{00000000-0005-0000-0000-00001E040000}"/>
    <cellStyle name="CABEÇALHO 5 8 2" xfId="1092" xr:uid="{00000000-0005-0000-0000-00001F040000}"/>
    <cellStyle name="CABEÇALHO 5 8 2 2" xfId="1859" xr:uid="{00000000-0005-0000-0000-000020040000}"/>
    <cellStyle name="CABEÇALHO 5 8 2 2 2" xfId="4555" xr:uid="{00000000-0005-0000-0000-000021040000}"/>
    <cellStyle name="CABEÇALHO 5 8 2 3" xfId="3789" xr:uid="{00000000-0005-0000-0000-000022040000}"/>
    <cellStyle name="CABEÇALHO 5 8 3" xfId="1177" xr:uid="{00000000-0005-0000-0000-000023040000}"/>
    <cellStyle name="CABEÇALHO 5 8 3 2" xfId="1944" xr:uid="{00000000-0005-0000-0000-000024040000}"/>
    <cellStyle name="CABEÇALHO 5 8 3 2 2" xfId="4640" xr:uid="{00000000-0005-0000-0000-000025040000}"/>
    <cellStyle name="CABEÇALHO 5 8 3 3" xfId="3874" xr:uid="{00000000-0005-0000-0000-000026040000}"/>
    <cellStyle name="CABEÇALHO 5 8 4" xfId="1522" xr:uid="{00000000-0005-0000-0000-000027040000}"/>
    <cellStyle name="CABEÇALHO 5 8 4 2" xfId="4218" xr:uid="{00000000-0005-0000-0000-000028040000}"/>
    <cellStyle name="CABEÇALHO 5 8 5" xfId="3452" xr:uid="{00000000-0005-0000-0000-000029040000}"/>
    <cellStyle name="CABEÇALHO 5 9" xfId="754" xr:uid="{00000000-0005-0000-0000-00002A040000}"/>
    <cellStyle name="CABEÇALHO 5 9 2" xfId="1091" xr:uid="{00000000-0005-0000-0000-00002B040000}"/>
    <cellStyle name="CABEÇALHO 5 9 2 2" xfId="1858" xr:uid="{00000000-0005-0000-0000-00002C040000}"/>
    <cellStyle name="CABEÇALHO 5 9 2 2 2" xfId="4554" xr:uid="{00000000-0005-0000-0000-00002D040000}"/>
    <cellStyle name="CABEÇALHO 5 9 2 3" xfId="3788" xr:uid="{00000000-0005-0000-0000-00002E040000}"/>
    <cellStyle name="CABEÇALHO 5 9 3" xfId="1176" xr:uid="{00000000-0005-0000-0000-00002F040000}"/>
    <cellStyle name="CABEÇALHO 5 9 3 2" xfId="1943" xr:uid="{00000000-0005-0000-0000-000030040000}"/>
    <cellStyle name="CABEÇALHO 5 9 3 2 2" xfId="4639" xr:uid="{00000000-0005-0000-0000-000031040000}"/>
    <cellStyle name="CABEÇALHO 5 9 3 3" xfId="3873" xr:uid="{00000000-0005-0000-0000-000032040000}"/>
    <cellStyle name="CABEÇALHO 5 9 4" xfId="1521" xr:uid="{00000000-0005-0000-0000-000033040000}"/>
    <cellStyle name="CABEÇALHO 5 9 4 2" xfId="4217" xr:uid="{00000000-0005-0000-0000-000034040000}"/>
    <cellStyle name="CABEÇALHO 5 9 5" xfId="3451" xr:uid="{00000000-0005-0000-0000-000035040000}"/>
    <cellStyle name="CABEÇALHO 50" xfId="3080" xr:uid="{00000000-0005-0000-0000-000036040000}"/>
    <cellStyle name="CABEÇALHO 6" xfId="565" xr:uid="{00000000-0005-0000-0000-000037040000}"/>
    <cellStyle name="CABEÇALHO 6 2" xfId="902" xr:uid="{00000000-0005-0000-0000-000038040000}"/>
    <cellStyle name="CABEÇALHO 6 2 2" xfId="1669" xr:uid="{00000000-0005-0000-0000-000039040000}"/>
    <cellStyle name="CABEÇALHO 6 2 2 2" xfId="4365" xr:uid="{00000000-0005-0000-0000-00003A040000}"/>
    <cellStyle name="CABEÇALHO 6 2 3" xfId="3599" xr:uid="{00000000-0005-0000-0000-00003B040000}"/>
    <cellStyle name="CABEÇALHO 6 3" xfId="1111" xr:uid="{00000000-0005-0000-0000-00003C040000}"/>
    <cellStyle name="CABEÇALHO 6 3 2" xfId="1878" xr:uid="{00000000-0005-0000-0000-00003D040000}"/>
    <cellStyle name="CABEÇALHO 6 3 2 2" xfId="4574" xr:uid="{00000000-0005-0000-0000-00003E040000}"/>
    <cellStyle name="CABEÇALHO 6 3 3" xfId="3808" xr:uid="{00000000-0005-0000-0000-00003F040000}"/>
    <cellStyle name="CABEÇALHO 6 4" xfId="1332" xr:uid="{00000000-0005-0000-0000-000040040000}"/>
    <cellStyle name="CABEÇALHO 6 4 2" xfId="4028" xr:uid="{00000000-0005-0000-0000-000041040000}"/>
    <cellStyle name="CABEÇALHO 6 5" xfId="3262" xr:uid="{00000000-0005-0000-0000-000042040000}"/>
    <cellStyle name="CABEÇALHO 7" xfId="576" xr:uid="{00000000-0005-0000-0000-000043040000}"/>
    <cellStyle name="CABEÇALHO 7 2" xfId="913" xr:uid="{00000000-0005-0000-0000-000044040000}"/>
    <cellStyle name="CABEÇALHO 7 2 2" xfId="1680" xr:uid="{00000000-0005-0000-0000-000045040000}"/>
    <cellStyle name="CABEÇALHO 7 2 2 2" xfId="4376" xr:uid="{00000000-0005-0000-0000-000046040000}"/>
    <cellStyle name="CABEÇALHO 7 2 3" xfId="3610" xr:uid="{00000000-0005-0000-0000-000047040000}"/>
    <cellStyle name="CABEÇALHO 7 3" xfId="1120" xr:uid="{00000000-0005-0000-0000-000048040000}"/>
    <cellStyle name="CABEÇALHO 7 3 2" xfId="1887" xr:uid="{00000000-0005-0000-0000-000049040000}"/>
    <cellStyle name="CABEÇALHO 7 3 2 2" xfId="4583" xr:uid="{00000000-0005-0000-0000-00004A040000}"/>
    <cellStyle name="CABEÇALHO 7 3 3" xfId="3817" xr:uid="{00000000-0005-0000-0000-00004B040000}"/>
    <cellStyle name="CABEÇALHO 7 4" xfId="1343" xr:uid="{00000000-0005-0000-0000-00004C040000}"/>
    <cellStyle name="CABEÇALHO 7 4 2" xfId="4039" xr:uid="{00000000-0005-0000-0000-00004D040000}"/>
    <cellStyle name="CABEÇALHO 7 5" xfId="3273" xr:uid="{00000000-0005-0000-0000-00004E040000}"/>
    <cellStyle name="CABEÇALHO 8" xfId="748" xr:uid="{00000000-0005-0000-0000-00004F040000}"/>
    <cellStyle name="CABEÇALHO 8 2" xfId="1085" xr:uid="{00000000-0005-0000-0000-000050040000}"/>
    <cellStyle name="CABEÇALHO 8 2 2" xfId="1852" xr:uid="{00000000-0005-0000-0000-000051040000}"/>
    <cellStyle name="CABEÇALHO 8 2 2 2" xfId="4548" xr:uid="{00000000-0005-0000-0000-000052040000}"/>
    <cellStyle name="CABEÇALHO 8 2 3" xfId="3782" xr:uid="{00000000-0005-0000-0000-000053040000}"/>
    <cellStyle name="CABEÇALHO 8 3" xfId="1170" xr:uid="{00000000-0005-0000-0000-000054040000}"/>
    <cellStyle name="CABEÇALHO 8 3 2" xfId="1937" xr:uid="{00000000-0005-0000-0000-000055040000}"/>
    <cellStyle name="CABEÇALHO 8 3 2 2" xfId="4633" xr:uid="{00000000-0005-0000-0000-000056040000}"/>
    <cellStyle name="CABEÇALHO 8 3 3" xfId="3867" xr:uid="{00000000-0005-0000-0000-000057040000}"/>
    <cellStyle name="CABEÇALHO 8 4" xfId="1515" xr:uid="{00000000-0005-0000-0000-000058040000}"/>
    <cellStyle name="CABEÇALHO 8 4 2" xfId="4211" xr:uid="{00000000-0005-0000-0000-000059040000}"/>
    <cellStyle name="CABEÇALHO 8 5" xfId="3445" xr:uid="{00000000-0005-0000-0000-00005A040000}"/>
    <cellStyle name="CABEÇALHO 9" xfId="573" xr:uid="{00000000-0005-0000-0000-00005B040000}"/>
    <cellStyle name="CABEÇALHO 9 2" xfId="910" xr:uid="{00000000-0005-0000-0000-00005C040000}"/>
    <cellStyle name="CABEÇALHO 9 2 2" xfId="1677" xr:uid="{00000000-0005-0000-0000-00005D040000}"/>
    <cellStyle name="CABEÇALHO 9 2 2 2" xfId="4373" xr:uid="{00000000-0005-0000-0000-00005E040000}"/>
    <cellStyle name="CABEÇALHO 9 2 3" xfId="3607" xr:uid="{00000000-0005-0000-0000-00005F040000}"/>
    <cellStyle name="CABEÇALHO 9 3" xfId="1118" xr:uid="{00000000-0005-0000-0000-000060040000}"/>
    <cellStyle name="CABEÇALHO 9 3 2" xfId="1885" xr:uid="{00000000-0005-0000-0000-000061040000}"/>
    <cellStyle name="CABEÇALHO 9 3 2 2" xfId="4581" xr:uid="{00000000-0005-0000-0000-000062040000}"/>
    <cellStyle name="CABEÇALHO 9 3 3" xfId="3815" xr:uid="{00000000-0005-0000-0000-000063040000}"/>
    <cellStyle name="CABEÇALHO 9 4" xfId="1340" xr:uid="{00000000-0005-0000-0000-000064040000}"/>
    <cellStyle name="CABEÇALHO 9 4 2" xfId="4036" xr:uid="{00000000-0005-0000-0000-000065040000}"/>
    <cellStyle name="CABEÇALHO 9 5" xfId="3270" xr:uid="{00000000-0005-0000-0000-000066040000}"/>
    <cellStyle name="Calculation" xfId="32" xr:uid="{00000000-0005-0000-0000-000067040000}"/>
    <cellStyle name="Calculation 2" xfId="3057" xr:uid="{00000000-0005-0000-0000-000068040000}"/>
    <cellStyle name="Cálculo 2" xfId="198" xr:uid="{00000000-0005-0000-0000-000069040000}"/>
    <cellStyle name="Cálculo 2 2" xfId="3092" xr:uid="{00000000-0005-0000-0000-00006A040000}"/>
    <cellStyle name="Célula de Verificação 2" xfId="199" xr:uid="{00000000-0005-0000-0000-00006B040000}"/>
    <cellStyle name="Célula Vinculada 2" xfId="200" xr:uid="{00000000-0005-0000-0000-00006C040000}"/>
    <cellStyle name="Check Cell" xfId="33" xr:uid="{00000000-0005-0000-0000-00006D040000}"/>
    <cellStyle name="Comma 2" xfId="34" xr:uid="{00000000-0005-0000-0000-00006E040000}"/>
    <cellStyle name="Comma 2 2" xfId="65" xr:uid="{00000000-0005-0000-0000-00006F040000}"/>
    <cellStyle name="Comma 2 2 2" xfId="5753" xr:uid="{00000000-0005-0000-0000-000070040000}"/>
    <cellStyle name="Comma 2 3" xfId="5754" xr:uid="{00000000-0005-0000-0000-000071040000}"/>
    <cellStyle name="Comma 2 4" xfId="5752" xr:uid="{00000000-0005-0000-0000-000072040000}"/>
    <cellStyle name="Comma 3" xfId="5755" xr:uid="{00000000-0005-0000-0000-000073040000}"/>
    <cellStyle name="Comma 3 2" xfId="5756" xr:uid="{00000000-0005-0000-0000-000074040000}"/>
    <cellStyle name="Comma 4" xfId="5757" xr:uid="{00000000-0005-0000-0000-000075040000}"/>
    <cellStyle name="Comma 5" xfId="5758" xr:uid="{00000000-0005-0000-0000-000076040000}"/>
    <cellStyle name="Comma0" xfId="201" xr:uid="{00000000-0005-0000-0000-000077040000}"/>
    <cellStyle name="Data" xfId="202" xr:uid="{00000000-0005-0000-0000-000078040000}"/>
    <cellStyle name="Ênfase1 2" xfId="203" xr:uid="{00000000-0005-0000-0000-000079040000}"/>
    <cellStyle name="Ênfase2 2" xfId="204" xr:uid="{00000000-0005-0000-0000-00007A040000}"/>
    <cellStyle name="Ênfase3 2" xfId="205" xr:uid="{00000000-0005-0000-0000-00007B040000}"/>
    <cellStyle name="Ênfase4 2" xfId="206" xr:uid="{00000000-0005-0000-0000-00007C040000}"/>
    <cellStyle name="Ênfase5 2" xfId="207" xr:uid="{00000000-0005-0000-0000-00007D040000}"/>
    <cellStyle name="Ênfase6 2" xfId="208" xr:uid="{00000000-0005-0000-0000-00007E040000}"/>
    <cellStyle name="Entrada 2" xfId="209" xr:uid="{00000000-0005-0000-0000-00007F040000}"/>
    <cellStyle name="Entrada 2 2" xfId="3093" xr:uid="{00000000-0005-0000-0000-000080040000}"/>
    <cellStyle name="Error 10" xfId="5759" xr:uid="{00000000-0005-0000-0000-000081040000}"/>
    <cellStyle name="Error 9" xfId="5760" xr:uid="{00000000-0005-0000-0000-000082040000}"/>
    <cellStyle name="Estilo 1" xfId="265" xr:uid="{00000000-0005-0000-0000-000083040000}"/>
    <cellStyle name="Estilo 2" xfId="266" xr:uid="{00000000-0005-0000-0000-000084040000}"/>
    <cellStyle name="Estilo 3" xfId="267" xr:uid="{00000000-0005-0000-0000-000085040000}"/>
    <cellStyle name="Euro" xfId="35" xr:uid="{00000000-0005-0000-0000-000086040000}"/>
    <cellStyle name="Euro 2" xfId="66" xr:uid="{00000000-0005-0000-0000-000087040000}"/>
    <cellStyle name="Euro 2 2" xfId="210" xr:uid="{00000000-0005-0000-0000-000088040000}"/>
    <cellStyle name="Euro 3" xfId="119" xr:uid="{00000000-0005-0000-0000-000089040000}"/>
    <cellStyle name="Excel Built-in Comma 11" xfId="5761" xr:uid="{00000000-0005-0000-0000-00008A040000}"/>
    <cellStyle name="Excel Built-in Percent 12" xfId="5762" xr:uid="{00000000-0005-0000-0000-00008B040000}"/>
    <cellStyle name="Explanatory Text" xfId="36" xr:uid="{00000000-0005-0000-0000-00008C040000}"/>
    <cellStyle name="F2" xfId="211" xr:uid="{00000000-0005-0000-0000-00008D040000}"/>
    <cellStyle name="F3" xfId="212" xr:uid="{00000000-0005-0000-0000-00008E040000}"/>
    <cellStyle name="F4" xfId="213" xr:uid="{00000000-0005-0000-0000-00008F040000}"/>
    <cellStyle name="F5" xfId="214" xr:uid="{00000000-0005-0000-0000-000090040000}"/>
    <cellStyle name="F6" xfId="215" xr:uid="{00000000-0005-0000-0000-000091040000}"/>
    <cellStyle name="F7" xfId="216" xr:uid="{00000000-0005-0000-0000-000092040000}"/>
    <cellStyle name="F8" xfId="217" xr:uid="{00000000-0005-0000-0000-000093040000}"/>
    <cellStyle name="Fixo" xfId="218" xr:uid="{00000000-0005-0000-0000-000094040000}"/>
    <cellStyle name="Footnote 10" xfId="5763" xr:uid="{00000000-0005-0000-0000-000095040000}"/>
    <cellStyle name="Footnote 13" xfId="5764" xr:uid="{00000000-0005-0000-0000-000096040000}"/>
    <cellStyle name="Good" xfId="37" xr:uid="{00000000-0005-0000-0000-000097040000}"/>
    <cellStyle name="Good 11" xfId="5765" xr:uid="{00000000-0005-0000-0000-000098040000}"/>
    <cellStyle name="Good 14" xfId="5766" xr:uid="{00000000-0005-0000-0000-000099040000}"/>
    <cellStyle name="Heading 1" xfId="38" xr:uid="{00000000-0005-0000-0000-00009A040000}"/>
    <cellStyle name="Heading 1 13" xfId="5767" xr:uid="{00000000-0005-0000-0000-00009B040000}"/>
    <cellStyle name="Heading 1 15" xfId="5768" xr:uid="{00000000-0005-0000-0000-00009C040000}"/>
    <cellStyle name="Heading 12" xfId="5769" xr:uid="{00000000-0005-0000-0000-00009D040000}"/>
    <cellStyle name="Heading 2" xfId="39" xr:uid="{00000000-0005-0000-0000-00009E040000}"/>
    <cellStyle name="Heading 2 14" xfId="5770" xr:uid="{00000000-0005-0000-0000-00009F040000}"/>
    <cellStyle name="Heading 2 16" xfId="5771" xr:uid="{00000000-0005-0000-0000-0000A0040000}"/>
    <cellStyle name="Heading 3" xfId="40" xr:uid="{00000000-0005-0000-0000-0000A1040000}"/>
    <cellStyle name="Heading 4" xfId="41" xr:uid="{00000000-0005-0000-0000-0000A2040000}"/>
    <cellStyle name="Hiperlink 2" xfId="5772" xr:uid="{00000000-0005-0000-0000-0000A3040000}"/>
    <cellStyle name="Hiperlink 2 2" xfId="5773" xr:uid="{00000000-0005-0000-0000-0000A4040000}"/>
    <cellStyle name="Hiperlink 3" xfId="5774" xr:uid="{00000000-0005-0000-0000-0000A5040000}"/>
    <cellStyle name="Hipervínculo_5a. MEDIÇÃO Maio 2007" xfId="219" xr:uid="{00000000-0005-0000-0000-0000A6040000}"/>
    <cellStyle name="Hyperlink 15" xfId="5775" xr:uid="{00000000-0005-0000-0000-0000A7040000}"/>
    <cellStyle name="Hyperlink 17" xfId="5776" xr:uid="{00000000-0005-0000-0000-0000A8040000}"/>
    <cellStyle name="Hyperlink 2" xfId="5777" xr:uid="{00000000-0005-0000-0000-0000A9040000}"/>
    <cellStyle name="Hyperlink 3" xfId="5778" xr:uid="{00000000-0005-0000-0000-0000AA040000}"/>
    <cellStyle name="Incorreto 2" xfId="220" xr:uid="{00000000-0005-0000-0000-0000AB040000}"/>
    <cellStyle name="Indefinido" xfId="221" xr:uid="{00000000-0005-0000-0000-0000AC040000}"/>
    <cellStyle name="Input" xfId="42" xr:uid="{00000000-0005-0000-0000-0000AD040000}"/>
    <cellStyle name="Input 2" xfId="3058" xr:uid="{00000000-0005-0000-0000-0000AE040000}"/>
    <cellStyle name="Linked Cell" xfId="43" xr:uid="{00000000-0005-0000-0000-0000AF040000}"/>
    <cellStyle name="Moeda 10" xfId="5912" xr:uid="{00000000-0005-0000-0000-0000B0040000}"/>
    <cellStyle name="Moeda 2" xfId="44" xr:uid="{00000000-0005-0000-0000-0000B1040000}"/>
    <cellStyle name="Moeda 2 10" xfId="121" xr:uid="{00000000-0005-0000-0000-0000B2040000}"/>
    <cellStyle name="Moeda 2 11" xfId="122" xr:uid="{00000000-0005-0000-0000-0000B3040000}"/>
    <cellStyle name="Moeda 2 12" xfId="123" xr:uid="{00000000-0005-0000-0000-0000B4040000}"/>
    <cellStyle name="Moeda 2 13" xfId="124" xr:uid="{00000000-0005-0000-0000-0000B5040000}"/>
    <cellStyle name="Moeda 2 14" xfId="125" xr:uid="{00000000-0005-0000-0000-0000B6040000}"/>
    <cellStyle name="Moeda 2 15" xfId="126" xr:uid="{00000000-0005-0000-0000-0000B7040000}"/>
    <cellStyle name="Moeda 2 16" xfId="127" xr:uid="{00000000-0005-0000-0000-0000B8040000}"/>
    <cellStyle name="Moeda 2 17" xfId="128" xr:uid="{00000000-0005-0000-0000-0000B9040000}"/>
    <cellStyle name="Moeda 2 18" xfId="129" xr:uid="{00000000-0005-0000-0000-0000BA040000}"/>
    <cellStyle name="Moeda 2 19" xfId="130" xr:uid="{00000000-0005-0000-0000-0000BB040000}"/>
    <cellStyle name="Moeda 2 2" xfId="109" xr:uid="{00000000-0005-0000-0000-0000BC040000}"/>
    <cellStyle name="Moeda 2 2 2" xfId="131" xr:uid="{00000000-0005-0000-0000-0000BD040000}"/>
    <cellStyle name="Moeda 2 20" xfId="132" xr:uid="{00000000-0005-0000-0000-0000BE040000}"/>
    <cellStyle name="Moeda 2 21" xfId="133" xr:uid="{00000000-0005-0000-0000-0000BF040000}"/>
    <cellStyle name="Moeda 2 22" xfId="436" xr:uid="{00000000-0005-0000-0000-0000C0040000}"/>
    <cellStyle name="Moeda 2 23" xfId="120" xr:uid="{00000000-0005-0000-0000-0000C1040000}"/>
    <cellStyle name="Moeda 2 24" xfId="5779" xr:uid="{00000000-0005-0000-0000-0000C2040000}"/>
    <cellStyle name="Moeda 2 3" xfId="134" xr:uid="{00000000-0005-0000-0000-0000C3040000}"/>
    <cellStyle name="Moeda 2 3 2" xfId="3051" xr:uid="{00000000-0005-0000-0000-0000C4040000}"/>
    <cellStyle name="Moeda 2 3 2 2" xfId="5736" xr:uid="{00000000-0005-0000-0000-0000C5040000}"/>
    <cellStyle name="Moeda 2 3 2 3" xfId="5879" xr:uid="{00000000-0005-0000-0000-0000C6040000}"/>
    <cellStyle name="Moeda 2 3 2 4" xfId="5900" xr:uid="{00000000-0005-0000-0000-0000C7040000}"/>
    <cellStyle name="Moeda 2 4" xfId="135" xr:uid="{00000000-0005-0000-0000-0000C8040000}"/>
    <cellStyle name="Moeda 2 5" xfId="136" xr:uid="{00000000-0005-0000-0000-0000C9040000}"/>
    <cellStyle name="Moeda 2 6" xfId="137" xr:uid="{00000000-0005-0000-0000-0000CA040000}"/>
    <cellStyle name="Moeda 2 7" xfId="138" xr:uid="{00000000-0005-0000-0000-0000CB040000}"/>
    <cellStyle name="Moeda 2 8" xfId="139" xr:uid="{00000000-0005-0000-0000-0000CC040000}"/>
    <cellStyle name="Moeda 2 9" xfId="140" xr:uid="{00000000-0005-0000-0000-0000CD040000}"/>
    <cellStyle name="Moeda 3" xfId="86" xr:uid="{00000000-0005-0000-0000-0000CE040000}"/>
    <cellStyle name="Moeda 3 2" xfId="141" xr:uid="{00000000-0005-0000-0000-0000CF040000}"/>
    <cellStyle name="Moeda 3 3" xfId="1981" xr:uid="{00000000-0005-0000-0000-0000D0040000}"/>
    <cellStyle name="Moeda 3 3 2" xfId="4677" xr:uid="{00000000-0005-0000-0000-0000D1040000}"/>
    <cellStyle name="Moeda 3 4" xfId="3073" xr:uid="{00000000-0005-0000-0000-0000D2040000}"/>
    <cellStyle name="Moeda 3 5" xfId="5780" xr:uid="{00000000-0005-0000-0000-0000D3040000}"/>
    <cellStyle name="Moeda 4" xfId="108" xr:uid="{00000000-0005-0000-0000-0000D4040000}"/>
    <cellStyle name="Moeda 4 2" xfId="159" xr:uid="{00000000-0005-0000-0000-0000D5040000}"/>
    <cellStyle name="Moeda 4 3" xfId="5781" xr:uid="{00000000-0005-0000-0000-0000D6040000}"/>
    <cellStyle name="Moeda 5" xfId="110" xr:uid="{00000000-0005-0000-0000-0000D7040000}"/>
    <cellStyle name="Moeda 5 2" xfId="264" xr:uid="{00000000-0005-0000-0000-0000D8040000}"/>
    <cellStyle name="Moeda 5 2 12" xfId="3033" xr:uid="{00000000-0005-0000-0000-0000D9040000}"/>
    <cellStyle name="Moeda 5 2 12 2" xfId="5728" xr:uid="{00000000-0005-0000-0000-0000DA040000}"/>
    <cellStyle name="Moeda 5 2 2" xfId="2004" xr:uid="{00000000-0005-0000-0000-0000DB040000}"/>
    <cellStyle name="Moeda 5 2 2 2" xfId="4700" xr:uid="{00000000-0005-0000-0000-0000DC040000}"/>
    <cellStyle name="Moeda 5 2 2 3" xfId="5895" xr:uid="{00000000-0005-0000-0000-0000DD040000}"/>
    <cellStyle name="Moeda 5 2 2 4" xfId="5909" xr:uid="{00000000-0005-0000-0000-0000DE040000}"/>
    <cellStyle name="Moeda 5 2 3" xfId="3103" xr:uid="{00000000-0005-0000-0000-0000DF040000}"/>
    <cellStyle name="Moeda 5 2 4" xfId="5885" xr:uid="{00000000-0005-0000-0000-0000E0040000}"/>
    <cellStyle name="Moeda 5 2 5" xfId="5903" xr:uid="{00000000-0005-0000-0000-0000E1040000}"/>
    <cellStyle name="Moeda 6" xfId="432" xr:uid="{00000000-0005-0000-0000-0000E2040000}"/>
    <cellStyle name="Moeda 6 2" xfId="2039" xr:uid="{00000000-0005-0000-0000-0000E3040000}"/>
    <cellStyle name="Moeda 6 2 2" xfId="4735" xr:uid="{00000000-0005-0000-0000-0000E4040000}"/>
    <cellStyle name="Moeda 6 3" xfId="3138" xr:uid="{00000000-0005-0000-0000-0000E5040000}"/>
    <cellStyle name="Moeda 7" xfId="1199" xr:uid="{00000000-0005-0000-0000-0000E6040000}"/>
    <cellStyle name="Moeda 8" xfId="142" xr:uid="{00000000-0005-0000-0000-0000E7040000}"/>
    <cellStyle name="Moeda 9" xfId="5876" xr:uid="{00000000-0005-0000-0000-0000E8040000}"/>
    <cellStyle name="Moeda0" xfId="222" xr:uid="{00000000-0005-0000-0000-0000E9040000}"/>
    <cellStyle name="mpenho" xfId="223" xr:uid="{00000000-0005-0000-0000-0000EA040000}"/>
    <cellStyle name="Neutra 2" xfId="224" xr:uid="{00000000-0005-0000-0000-0000EB040000}"/>
    <cellStyle name="Neutral" xfId="45" xr:uid="{00000000-0005-0000-0000-0000EC040000}"/>
    <cellStyle name="Neutral 16" xfId="5782" xr:uid="{00000000-0005-0000-0000-0000ED040000}"/>
    <cellStyle name="Neutral 18" xfId="5783" xr:uid="{00000000-0005-0000-0000-0000EE040000}"/>
    <cellStyle name="Normal" xfId="0" builtinId="0"/>
    <cellStyle name="Normal 10" xfId="160" xr:uid="{00000000-0005-0000-0000-0000F0040000}"/>
    <cellStyle name="Normal 10 2" xfId="439" xr:uid="{00000000-0005-0000-0000-0000F1040000}"/>
    <cellStyle name="Normal 10 3" xfId="5784" xr:uid="{00000000-0005-0000-0000-0000F2040000}"/>
    <cellStyle name="Normal 10 3 4" xfId="495" xr:uid="{00000000-0005-0000-0000-0000F3040000}"/>
    <cellStyle name="Normal 101" xfId="3052" xr:uid="{00000000-0005-0000-0000-0000F4040000}"/>
    <cellStyle name="Normal 11" xfId="225" xr:uid="{00000000-0005-0000-0000-0000F5040000}"/>
    <cellStyle name="Normal 11 2" xfId="268" xr:uid="{00000000-0005-0000-0000-0000F6040000}"/>
    <cellStyle name="Normal 11 2 2" xfId="269" xr:uid="{00000000-0005-0000-0000-0000F7040000}"/>
    <cellStyle name="Normal 11 2 3" xfId="270" xr:uid="{00000000-0005-0000-0000-0000F8040000}"/>
    <cellStyle name="Normal 11 2 4" xfId="271" xr:uid="{00000000-0005-0000-0000-0000F9040000}"/>
    <cellStyle name="Normal 11 2 5" xfId="272" xr:uid="{00000000-0005-0000-0000-0000FA040000}"/>
    <cellStyle name="Normal 11 3" xfId="273" xr:uid="{00000000-0005-0000-0000-0000FB040000}"/>
    <cellStyle name="Normal 11 3 2" xfId="274" xr:uid="{00000000-0005-0000-0000-0000FC040000}"/>
    <cellStyle name="Normal 11 4" xfId="5785" xr:uid="{00000000-0005-0000-0000-0000FD040000}"/>
    <cellStyle name="Normal 12" xfId="263" xr:uid="{00000000-0005-0000-0000-0000FE040000}"/>
    <cellStyle name="Normal 12 2" xfId="275" xr:uid="{00000000-0005-0000-0000-0000FF040000}"/>
    <cellStyle name="Normal 12 2 2" xfId="5883" xr:uid="{00000000-0005-0000-0000-000000050000}"/>
    <cellStyle name="Normal 12 3" xfId="433" xr:uid="{00000000-0005-0000-0000-000001050000}"/>
    <cellStyle name="Normal 12 4" xfId="5786" xr:uid="{00000000-0005-0000-0000-000002050000}"/>
    <cellStyle name="Normal 13" xfId="276" xr:uid="{00000000-0005-0000-0000-000003050000}"/>
    <cellStyle name="Normal 13 2" xfId="5787" xr:uid="{00000000-0005-0000-0000-000004050000}"/>
    <cellStyle name="Normal 14" xfId="277" xr:uid="{00000000-0005-0000-0000-000005050000}"/>
    <cellStyle name="Normal 14 2" xfId="5788" xr:uid="{00000000-0005-0000-0000-000006050000}"/>
    <cellStyle name="Normal 15" xfId="278" xr:uid="{00000000-0005-0000-0000-000007050000}"/>
    <cellStyle name="Normal 15 2" xfId="5789" xr:uid="{00000000-0005-0000-0000-000008050000}"/>
    <cellStyle name="Normal 16" xfId="279" xr:uid="{00000000-0005-0000-0000-000009050000}"/>
    <cellStyle name="Normal 16 2" xfId="3042" xr:uid="{00000000-0005-0000-0000-00000A050000}"/>
    <cellStyle name="Normal 16 3" xfId="5790" xr:uid="{00000000-0005-0000-0000-00000B050000}"/>
    <cellStyle name="Normal 17" xfId="280" xr:uid="{00000000-0005-0000-0000-00000C050000}"/>
    <cellStyle name="Normal 17 2" xfId="5791" xr:uid="{00000000-0005-0000-0000-00000D050000}"/>
    <cellStyle name="Normal 18" xfId="281" xr:uid="{00000000-0005-0000-0000-00000E050000}"/>
    <cellStyle name="Normal 18 2" xfId="5860" xr:uid="{00000000-0005-0000-0000-00000F050000}"/>
    <cellStyle name="Normal 18 3" xfId="5859" xr:uid="{00000000-0005-0000-0000-000010050000}"/>
    <cellStyle name="Normal 19" xfId="282" xr:uid="{00000000-0005-0000-0000-000011050000}"/>
    <cellStyle name="Normal 2" xfId="46" xr:uid="{00000000-0005-0000-0000-000012050000}"/>
    <cellStyle name="Normal 2 10" xfId="283" xr:uid="{00000000-0005-0000-0000-000013050000}"/>
    <cellStyle name="Normal 2 11" xfId="284" xr:uid="{00000000-0005-0000-0000-000014050000}"/>
    <cellStyle name="Normal 2 12" xfId="285" xr:uid="{00000000-0005-0000-0000-000015050000}"/>
    <cellStyle name="Normal 2 13" xfId="286" xr:uid="{00000000-0005-0000-0000-000016050000}"/>
    <cellStyle name="Normal 2 14" xfId="287" xr:uid="{00000000-0005-0000-0000-000017050000}"/>
    <cellStyle name="Normal 2 14 2" xfId="3044" xr:uid="{00000000-0005-0000-0000-000018050000}"/>
    <cellStyle name="Normal 2 15" xfId="288" xr:uid="{00000000-0005-0000-0000-000019050000}"/>
    <cellStyle name="Normal 2 16" xfId="289" xr:uid="{00000000-0005-0000-0000-00001A050000}"/>
    <cellStyle name="Normal 2 17" xfId="290" xr:uid="{00000000-0005-0000-0000-00001B050000}"/>
    <cellStyle name="Normal 2 18" xfId="291" xr:uid="{00000000-0005-0000-0000-00001C050000}"/>
    <cellStyle name="Normal 2 19" xfId="292" xr:uid="{00000000-0005-0000-0000-00001D050000}"/>
    <cellStyle name="Normal 2 2" xfId="111" xr:uid="{00000000-0005-0000-0000-00001E050000}"/>
    <cellStyle name="Normal 2 2 2" xfId="83" xr:uid="{00000000-0005-0000-0000-00001F050000}"/>
    <cellStyle name="Normal 2 2 2 2" xfId="5792" xr:uid="{00000000-0005-0000-0000-000020050000}"/>
    <cellStyle name="Normal 2 2 3" xfId="226" xr:uid="{00000000-0005-0000-0000-000021050000}"/>
    <cellStyle name="Normal 2 2 3 2" xfId="5793" xr:uid="{00000000-0005-0000-0000-000022050000}"/>
    <cellStyle name="Normal 2 2 4" xfId="143" xr:uid="{00000000-0005-0000-0000-000023050000}"/>
    <cellStyle name="Normal 2 2 4 2" xfId="144" xr:uid="{00000000-0005-0000-0000-000024050000}"/>
    <cellStyle name="Normal 2 2 4 2 2" xfId="161" xr:uid="{00000000-0005-0000-0000-000025050000}"/>
    <cellStyle name="Normal 2 2 4 2 3" xfId="162" xr:uid="{00000000-0005-0000-0000-000026050000}"/>
    <cellStyle name="Normal 2 2 5" xfId="293" xr:uid="{00000000-0005-0000-0000-000027050000}"/>
    <cellStyle name="Normal 2 2 6" xfId="5888" xr:uid="{00000000-0005-0000-0000-000028050000}"/>
    <cellStyle name="Normal 2 20" xfId="294" xr:uid="{00000000-0005-0000-0000-000029050000}"/>
    <cellStyle name="Normal 2 21" xfId="295" xr:uid="{00000000-0005-0000-0000-00002A050000}"/>
    <cellStyle name="Normal 2 22" xfId="296" xr:uid="{00000000-0005-0000-0000-00002B050000}"/>
    <cellStyle name="Normal 2 23" xfId="297" xr:uid="{00000000-0005-0000-0000-00002C050000}"/>
    <cellStyle name="Normal 2 24" xfId="298" xr:uid="{00000000-0005-0000-0000-00002D050000}"/>
    <cellStyle name="Normal 2 25" xfId="299" xr:uid="{00000000-0005-0000-0000-00002E050000}"/>
    <cellStyle name="Normal 2 26" xfId="300" xr:uid="{00000000-0005-0000-0000-00002F050000}"/>
    <cellStyle name="Normal 2 27" xfId="301" xr:uid="{00000000-0005-0000-0000-000030050000}"/>
    <cellStyle name="Normal 2 28" xfId="302" xr:uid="{00000000-0005-0000-0000-000031050000}"/>
    <cellStyle name="Normal 2 29" xfId="303" xr:uid="{00000000-0005-0000-0000-000032050000}"/>
    <cellStyle name="Normal 2 3" xfId="227" xr:uid="{00000000-0005-0000-0000-000033050000}"/>
    <cellStyle name="Normal 2 3 2" xfId="304" xr:uid="{00000000-0005-0000-0000-000034050000}"/>
    <cellStyle name="Normal 2 3 2 2" xfId="5796" xr:uid="{00000000-0005-0000-0000-000035050000}"/>
    <cellStyle name="Normal 2 3 2 3" xfId="5795" xr:uid="{00000000-0005-0000-0000-000036050000}"/>
    <cellStyle name="Normal 2 3 3" xfId="5797" xr:uid="{00000000-0005-0000-0000-000037050000}"/>
    <cellStyle name="Normal 2 3 3 2" xfId="5798" xr:uid="{00000000-0005-0000-0000-000038050000}"/>
    <cellStyle name="Normal 2 3 3 3" xfId="5872" xr:uid="{00000000-0005-0000-0000-000039050000}"/>
    <cellStyle name="Normal 2 3 4" xfId="5799" xr:uid="{00000000-0005-0000-0000-00003A050000}"/>
    <cellStyle name="Normal 2 3 5" xfId="5800" xr:uid="{00000000-0005-0000-0000-00003B050000}"/>
    <cellStyle name="Normal 2 3 5 2" xfId="5801" xr:uid="{00000000-0005-0000-0000-00003C050000}"/>
    <cellStyle name="Normal 2 3 6" xfId="5794" xr:uid="{00000000-0005-0000-0000-00003D050000}"/>
    <cellStyle name="Normal 2 3 7" xfId="5884" xr:uid="{00000000-0005-0000-0000-00003E050000}"/>
    <cellStyle name="Normal 2 30" xfId="305" xr:uid="{00000000-0005-0000-0000-00003F050000}"/>
    <cellStyle name="Normal 2 31" xfId="306" xr:uid="{00000000-0005-0000-0000-000040050000}"/>
    <cellStyle name="Normal 2 32" xfId="307" xr:uid="{00000000-0005-0000-0000-000041050000}"/>
    <cellStyle name="Normal 2 4" xfId="228" xr:uid="{00000000-0005-0000-0000-000042050000}"/>
    <cellStyle name="Normal 2 4 2" xfId="5802" xr:uid="{00000000-0005-0000-0000-000043050000}"/>
    <cellStyle name="Normal 2 5" xfId="229" xr:uid="{00000000-0005-0000-0000-000044050000}"/>
    <cellStyle name="Normal 2 5 2" xfId="5803" xr:uid="{00000000-0005-0000-0000-000045050000}"/>
    <cellStyle name="Normal 2 5 3" xfId="5874" xr:uid="{00000000-0005-0000-0000-000046050000}"/>
    <cellStyle name="Normal 2 6" xfId="308" xr:uid="{00000000-0005-0000-0000-000047050000}"/>
    <cellStyle name="Normal 2 7" xfId="309" xr:uid="{00000000-0005-0000-0000-000048050000}"/>
    <cellStyle name="Normal 2 8" xfId="310" xr:uid="{00000000-0005-0000-0000-000049050000}"/>
    <cellStyle name="Normal 2 9" xfId="311" xr:uid="{00000000-0005-0000-0000-00004A050000}"/>
    <cellStyle name="Normal 2_Dados" xfId="312" xr:uid="{00000000-0005-0000-0000-00004B050000}"/>
    <cellStyle name="Normal 20" xfId="313" xr:uid="{00000000-0005-0000-0000-00004C050000}"/>
    <cellStyle name="Normal 21" xfId="314" xr:uid="{00000000-0005-0000-0000-00004D050000}"/>
    <cellStyle name="Normal 21 2" xfId="5737" xr:uid="{00000000-0005-0000-0000-00004E050000}"/>
    <cellStyle name="Normal 22" xfId="315" xr:uid="{00000000-0005-0000-0000-00004F050000}"/>
    <cellStyle name="Normal 23" xfId="316" xr:uid="{00000000-0005-0000-0000-000050050000}"/>
    <cellStyle name="Normal 24" xfId="317" xr:uid="{00000000-0005-0000-0000-000051050000}"/>
    <cellStyle name="Normal 25" xfId="435" xr:uid="{00000000-0005-0000-0000-000052050000}"/>
    <cellStyle name="Normal 26" xfId="163" xr:uid="{00000000-0005-0000-0000-000053050000}"/>
    <cellStyle name="Normal 27" xfId="318" xr:uid="{00000000-0005-0000-0000-000054050000}"/>
    <cellStyle name="Normal 28" xfId="319" xr:uid="{00000000-0005-0000-0000-000055050000}"/>
    <cellStyle name="Normal 29" xfId="320" xr:uid="{00000000-0005-0000-0000-000056050000}"/>
    <cellStyle name="Normal 3" xfId="5" xr:uid="{00000000-0005-0000-0000-000057050000}"/>
    <cellStyle name="Normal 3 10" xfId="3041" xr:uid="{00000000-0005-0000-0000-000058050000}"/>
    <cellStyle name="Normal 3 2" xfId="64" xr:uid="{00000000-0005-0000-0000-000059050000}"/>
    <cellStyle name="Normal 3 2 2" xfId="321" xr:uid="{00000000-0005-0000-0000-00005A050000}"/>
    <cellStyle name="Normal 3 2 2 2" xfId="5805" xr:uid="{00000000-0005-0000-0000-00005B050000}"/>
    <cellStyle name="Normal 3 2 3" xfId="5806" xr:uid="{00000000-0005-0000-0000-00005C050000}"/>
    <cellStyle name="Normal 3 2 4" xfId="5807" xr:uid="{00000000-0005-0000-0000-00005D050000}"/>
    <cellStyle name="Normal 3 2 5" xfId="5808" xr:uid="{00000000-0005-0000-0000-00005E050000}"/>
    <cellStyle name="Normal 3 2 6" xfId="5804" xr:uid="{00000000-0005-0000-0000-00005F050000}"/>
    <cellStyle name="Normal 3 3" xfId="230" xr:uid="{00000000-0005-0000-0000-000060050000}"/>
    <cellStyle name="Normal 3 3 2" xfId="322" xr:uid="{00000000-0005-0000-0000-000061050000}"/>
    <cellStyle name="Normal 3 3 3" xfId="5809" xr:uid="{00000000-0005-0000-0000-000062050000}"/>
    <cellStyle name="Normal 3 4" xfId="323" xr:uid="{00000000-0005-0000-0000-000063050000}"/>
    <cellStyle name="Normal 3 5" xfId="324" xr:uid="{00000000-0005-0000-0000-000064050000}"/>
    <cellStyle name="Normal 3 6" xfId="325" xr:uid="{00000000-0005-0000-0000-000065050000}"/>
    <cellStyle name="Normal 3 7" xfId="326" xr:uid="{00000000-0005-0000-0000-000066050000}"/>
    <cellStyle name="Normal 3 8" xfId="145" xr:uid="{00000000-0005-0000-0000-000067050000}"/>
    <cellStyle name="Normal 3 9" xfId="5889" xr:uid="{00000000-0005-0000-0000-000068050000}"/>
    <cellStyle name="Normal 3_14ª MED. TY" xfId="327" xr:uid="{00000000-0005-0000-0000-000069050000}"/>
    <cellStyle name="Normal 30" xfId="5738" xr:uid="{00000000-0005-0000-0000-00006A050000}"/>
    <cellStyle name="Normal 31" xfId="328" xr:uid="{00000000-0005-0000-0000-00006B050000}"/>
    <cellStyle name="Normal 32" xfId="5741" xr:uid="{00000000-0005-0000-0000-00006C050000}"/>
    <cellStyle name="Normal 33" xfId="5836" xr:uid="{00000000-0005-0000-0000-00006D050000}"/>
    <cellStyle name="Normal 34" xfId="5870" xr:uid="{00000000-0005-0000-0000-00006E050000}"/>
    <cellStyle name="Normal 35" xfId="5810" xr:uid="{00000000-0005-0000-0000-00006F050000}"/>
    <cellStyle name="Normal 36" xfId="5875" xr:uid="{00000000-0005-0000-0000-000070050000}"/>
    <cellStyle name="Normal 38" xfId="164" xr:uid="{00000000-0005-0000-0000-000071050000}"/>
    <cellStyle name="Normal 4" xfId="58" xr:uid="{00000000-0005-0000-0000-000072050000}"/>
    <cellStyle name="Normal 4 2" xfId="61" xr:uid="{00000000-0005-0000-0000-000073050000}"/>
    <cellStyle name="Normal 4 2 10 2" xfId="3032" xr:uid="{00000000-0005-0000-0000-000074050000}"/>
    <cellStyle name="Normal 4 2 2" xfId="76" xr:uid="{00000000-0005-0000-0000-000075050000}"/>
    <cellStyle name="Normal 4 2 2 2" xfId="87" xr:uid="{00000000-0005-0000-0000-000076050000}"/>
    <cellStyle name="Normal 4 2 2 3" xfId="5812" xr:uid="{00000000-0005-0000-0000-000077050000}"/>
    <cellStyle name="Normal 4 2 3" xfId="165" xr:uid="{00000000-0005-0000-0000-000078050000}"/>
    <cellStyle name="Normal 4 2 4" xfId="5811" xr:uid="{00000000-0005-0000-0000-000079050000}"/>
    <cellStyle name="Normal 4 3" xfId="77" xr:uid="{00000000-0005-0000-0000-00007A050000}"/>
    <cellStyle name="Normal 4 3 2" xfId="78" xr:uid="{00000000-0005-0000-0000-00007B050000}"/>
    <cellStyle name="Normal 4 3 2 2" xfId="5856" xr:uid="{00000000-0005-0000-0000-00007C050000}"/>
    <cellStyle name="Normal 4 3 3" xfId="88" xr:uid="{00000000-0005-0000-0000-00007D050000}"/>
    <cellStyle name="Normal 4 3 3 2 2" xfId="99" xr:uid="{00000000-0005-0000-0000-00007E050000}"/>
    <cellStyle name="Normal 4 3 3 4 3" xfId="101" xr:uid="{00000000-0005-0000-0000-00007F050000}"/>
    <cellStyle name="Normal 4 3 4" xfId="79" xr:uid="{00000000-0005-0000-0000-000080050000}"/>
    <cellStyle name="Normal 4 3 4 2" xfId="89" xr:uid="{00000000-0005-0000-0000-000081050000}"/>
    <cellStyle name="Normal 4 3 4 2 2" xfId="90" xr:uid="{00000000-0005-0000-0000-000082050000}"/>
    <cellStyle name="Normal 4 3 4 2 3" xfId="85" xr:uid="{00000000-0005-0000-0000-000083050000}"/>
    <cellStyle name="Normal 4 3 4 2 3 2 2" xfId="104" xr:uid="{00000000-0005-0000-0000-000084050000}"/>
    <cellStyle name="Normal 4 3 4 3" xfId="91" xr:uid="{00000000-0005-0000-0000-000085050000}"/>
    <cellStyle name="Normal 4 3 4 3 2" xfId="84" xr:uid="{00000000-0005-0000-0000-000086050000}"/>
    <cellStyle name="Normal 4 3 5" xfId="5813" xr:uid="{00000000-0005-0000-0000-000087050000}"/>
    <cellStyle name="Normal 4 4" xfId="80" xr:uid="{00000000-0005-0000-0000-000088050000}"/>
    <cellStyle name="Normal 5" xfId="75" xr:uid="{00000000-0005-0000-0000-000089050000}"/>
    <cellStyle name="Normal 5 2" xfId="92" xr:uid="{00000000-0005-0000-0000-00008A050000}"/>
    <cellStyle name="Normal 5 2 2" xfId="166" xr:uid="{00000000-0005-0000-0000-00008B050000}"/>
    <cellStyle name="Normal 5 2 3" xfId="5815" xr:uid="{00000000-0005-0000-0000-00008C050000}"/>
    <cellStyle name="Normal 5 2 4 3" xfId="102" xr:uid="{00000000-0005-0000-0000-00008D050000}"/>
    <cellStyle name="Normal 5 3" xfId="81" xr:uid="{00000000-0005-0000-0000-00008E050000}"/>
    <cellStyle name="Normal 5 4" xfId="146" xr:uid="{00000000-0005-0000-0000-00008F050000}"/>
    <cellStyle name="Normal 5 5" xfId="5814" xr:uid="{00000000-0005-0000-0000-000090050000}"/>
    <cellStyle name="Normal 57" xfId="3040" xr:uid="{00000000-0005-0000-0000-000091050000}"/>
    <cellStyle name="Normal 58 2" xfId="5816" xr:uid="{00000000-0005-0000-0000-000092050000}"/>
    <cellStyle name="Normal 58 2 2" xfId="5817" xr:uid="{00000000-0005-0000-0000-000093050000}"/>
    <cellStyle name="Normal 6" xfId="93" xr:uid="{00000000-0005-0000-0000-000094050000}"/>
    <cellStyle name="Normal 6 2" xfId="231" xr:uid="{00000000-0005-0000-0000-000095050000}"/>
    <cellStyle name="Normal 6 2 2" xfId="5857" xr:uid="{00000000-0005-0000-0000-000096050000}"/>
    <cellStyle name="Normal 6 3" xfId="329" xr:uid="{00000000-0005-0000-0000-000097050000}"/>
    <cellStyle name="Normal 6 4" xfId="330" xr:uid="{00000000-0005-0000-0000-000098050000}"/>
    <cellStyle name="Normal 6 5" xfId="434" xr:uid="{00000000-0005-0000-0000-000099050000}"/>
    <cellStyle name="Normal 6 6" xfId="562" xr:uid="{00000000-0005-0000-0000-00009A050000}"/>
    <cellStyle name="Normal 6 7" xfId="117" xr:uid="{00000000-0005-0000-0000-00009B050000}"/>
    <cellStyle name="Normal 6 8" xfId="5818" xr:uid="{00000000-0005-0000-0000-00009C050000}"/>
    <cellStyle name="Normal 61" xfId="5819" xr:uid="{00000000-0005-0000-0000-00009D050000}"/>
    <cellStyle name="Normal 68" xfId="3043" xr:uid="{00000000-0005-0000-0000-00009E050000}"/>
    <cellStyle name="Normal 69" xfId="3045" xr:uid="{00000000-0005-0000-0000-00009F050000}"/>
    <cellStyle name="Normal 7" xfId="94" xr:uid="{00000000-0005-0000-0000-0000A0050000}"/>
    <cellStyle name="Normal 7 2" xfId="331" xr:uid="{00000000-0005-0000-0000-0000A1050000}"/>
    <cellStyle name="Normal 7 3" xfId="332" xr:uid="{00000000-0005-0000-0000-0000A2050000}"/>
    <cellStyle name="Normal 7 4" xfId="333" xr:uid="{00000000-0005-0000-0000-0000A3050000}"/>
    <cellStyle name="Normal 7 5" xfId="147" xr:uid="{00000000-0005-0000-0000-0000A4050000}"/>
    <cellStyle name="Normal 7 6" xfId="5820" xr:uid="{00000000-0005-0000-0000-0000A5050000}"/>
    <cellStyle name="Normal 71" xfId="3047" xr:uid="{00000000-0005-0000-0000-0000A6050000}"/>
    <cellStyle name="Normal 75" xfId="3048" xr:uid="{00000000-0005-0000-0000-0000A7050000}"/>
    <cellStyle name="Normal 76" xfId="3049" xr:uid="{00000000-0005-0000-0000-0000A8050000}"/>
    <cellStyle name="Normal 8" xfId="105" xr:uid="{00000000-0005-0000-0000-0000A9050000}"/>
    <cellStyle name="Normal 8 2" xfId="431" xr:uid="{00000000-0005-0000-0000-0000AA050000}"/>
    <cellStyle name="Normal 8 3" xfId="167" xr:uid="{00000000-0005-0000-0000-0000AB050000}"/>
    <cellStyle name="Normal 8 4" xfId="5821" xr:uid="{00000000-0005-0000-0000-0000AC050000}"/>
    <cellStyle name="Normal 8 5" xfId="5882" xr:uid="{00000000-0005-0000-0000-0000AD050000}"/>
    <cellStyle name="Normal 9" xfId="2" xr:uid="{00000000-0005-0000-0000-0000AE050000}"/>
    <cellStyle name="Normal 9 2" xfId="334" xr:uid="{00000000-0005-0000-0000-0000AF050000}"/>
    <cellStyle name="Normal 9 2 2" xfId="5822" xr:uid="{00000000-0005-0000-0000-0000B0050000}"/>
    <cellStyle name="Normal 9 3" xfId="168" xr:uid="{00000000-0005-0000-0000-0000B1050000}"/>
    <cellStyle name="Normal_PLANILHA e RESUMO ORIGINAL (MEDIÇÃO)" xfId="430" xr:uid="{00000000-0005-0000-0000-0000B2050000}"/>
    <cellStyle name="Nota 2" xfId="232" xr:uid="{00000000-0005-0000-0000-0000B3050000}"/>
    <cellStyle name="Nota 2 2" xfId="3094" xr:uid="{00000000-0005-0000-0000-0000B4050000}"/>
    <cellStyle name="Nota 3" xfId="233" xr:uid="{00000000-0005-0000-0000-0000B5050000}"/>
    <cellStyle name="Note" xfId="47" xr:uid="{00000000-0005-0000-0000-0000B6050000}"/>
    <cellStyle name="Note 17" xfId="5823" xr:uid="{00000000-0005-0000-0000-0000B7050000}"/>
    <cellStyle name="Note 19" xfId="5824" xr:uid="{00000000-0005-0000-0000-0000B8050000}"/>
    <cellStyle name="Note 2" xfId="67" xr:uid="{00000000-0005-0000-0000-0000B9050000}"/>
    <cellStyle name="Note 2 2" xfId="3067" xr:uid="{00000000-0005-0000-0000-0000BA050000}"/>
    <cellStyle name="Note 3" xfId="3059" xr:uid="{00000000-0005-0000-0000-0000BB050000}"/>
    <cellStyle name="Output" xfId="48" xr:uid="{00000000-0005-0000-0000-0000BC050000}"/>
    <cellStyle name="Output 2" xfId="3060" xr:uid="{00000000-0005-0000-0000-0000BD050000}"/>
    <cellStyle name="Percent 2" xfId="49" xr:uid="{00000000-0005-0000-0000-0000BE050000}"/>
    <cellStyle name="Percent 2 2" xfId="68" xr:uid="{00000000-0005-0000-0000-0000BF050000}"/>
    <cellStyle name="Percent 2 3" xfId="5825" xr:uid="{00000000-0005-0000-0000-0000C0050000}"/>
    <cellStyle name="Percent 3" xfId="5826" xr:uid="{00000000-0005-0000-0000-0000C1050000}"/>
    <cellStyle name="Percent 4" xfId="5827" xr:uid="{00000000-0005-0000-0000-0000C2050000}"/>
    <cellStyle name="Percentual" xfId="234" xr:uid="{00000000-0005-0000-0000-0000C3050000}"/>
    <cellStyle name="Ponto" xfId="235" xr:uid="{00000000-0005-0000-0000-0000C4050000}"/>
    <cellStyle name="Porcentagem" xfId="5871" builtinId="5"/>
    <cellStyle name="Porcentagem 10 2" xfId="5828" xr:uid="{00000000-0005-0000-0000-0000C6050000}"/>
    <cellStyle name="Porcentagem 16 2 2" xfId="3050" xr:uid="{00000000-0005-0000-0000-0000C7050000}"/>
    <cellStyle name="Porcentagem 2" xfId="50" xr:uid="{00000000-0005-0000-0000-0000C8050000}"/>
    <cellStyle name="Porcentagem 2 10" xfId="100" xr:uid="{00000000-0005-0000-0000-0000C9050000}"/>
    <cellStyle name="Porcentagem 2 2" xfId="51" xr:uid="{00000000-0005-0000-0000-0000CA050000}"/>
    <cellStyle name="Porcentagem 2 2 2" xfId="70" xr:uid="{00000000-0005-0000-0000-0000CB050000}"/>
    <cellStyle name="Porcentagem 2 2 2 2" xfId="5830" xr:uid="{00000000-0005-0000-0000-0000CC050000}"/>
    <cellStyle name="Porcentagem 2 2 3" xfId="5829" xr:uid="{00000000-0005-0000-0000-0000CD050000}"/>
    <cellStyle name="Porcentagem 2 3" xfId="69" xr:uid="{00000000-0005-0000-0000-0000CE050000}"/>
    <cellStyle name="Porcentagem 2 3 2" xfId="5832" xr:uid="{00000000-0005-0000-0000-0000CF050000}"/>
    <cellStyle name="Porcentagem 2 3 3" xfId="5833" xr:uid="{00000000-0005-0000-0000-0000D0050000}"/>
    <cellStyle name="Porcentagem 2 3 4" xfId="5831" xr:uid="{00000000-0005-0000-0000-0000D1050000}"/>
    <cellStyle name="Porcentagem 2 4" xfId="148" xr:uid="{00000000-0005-0000-0000-0000D2050000}"/>
    <cellStyle name="Porcentagem 2 4 2" xfId="5834" xr:uid="{00000000-0005-0000-0000-0000D3050000}"/>
    <cellStyle name="Porcentagem 2 5" xfId="5835" xr:uid="{00000000-0005-0000-0000-0000D4050000}"/>
    <cellStyle name="Porcentagem 3" xfId="107" xr:uid="{00000000-0005-0000-0000-0000D5050000}"/>
    <cellStyle name="Porcentagem 3 2" xfId="149" xr:uid="{00000000-0005-0000-0000-0000D6050000}"/>
    <cellStyle name="Porcentagem 4" xfId="103" xr:uid="{00000000-0005-0000-0000-0000D7050000}"/>
    <cellStyle name="Porcentagem 4 2" xfId="5838" xr:uid="{00000000-0005-0000-0000-0000D8050000}"/>
    <cellStyle name="Porcentagem 4 3" xfId="5839" xr:uid="{00000000-0005-0000-0000-0000D9050000}"/>
    <cellStyle name="Porcentagem 4 4" xfId="5858" xr:uid="{00000000-0005-0000-0000-0000DA050000}"/>
    <cellStyle name="Porcentagem 4 5" xfId="5837" xr:uid="{00000000-0005-0000-0000-0000DB050000}"/>
    <cellStyle name="Porcentagem 5" xfId="236" xr:uid="{00000000-0005-0000-0000-0000DC050000}"/>
    <cellStyle name="Porcentagem 5 2" xfId="5840" xr:uid="{00000000-0005-0000-0000-0000DD050000}"/>
    <cellStyle name="Porcentagem 6" xfId="237" xr:uid="{00000000-0005-0000-0000-0000DE050000}"/>
    <cellStyle name="Porcentagem 6 2" xfId="238" xr:uid="{00000000-0005-0000-0000-0000DF050000}"/>
    <cellStyle name="Porcentagem 6 3" xfId="5841" xr:uid="{00000000-0005-0000-0000-0000E0050000}"/>
    <cellStyle name="Porcentagem 7" xfId="239" xr:uid="{00000000-0005-0000-0000-0000E1050000}"/>
    <cellStyle name="Porcentagem 8 2" xfId="5886" xr:uid="{00000000-0005-0000-0000-0000E2050000}"/>
    <cellStyle name="Preenchimento Texto" xfId="240" xr:uid="{00000000-0005-0000-0000-0000E3050000}"/>
    <cellStyle name="Preenchimento Texto Travada" xfId="241" xr:uid="{00000000-0005-0000-0000-0000E4050000}"/>
    <cellStyle name="Saída 2" xfId="242" xr:uid="{00000000-0005-0000-0000-0000E5050000}"/>
    <cellStyle name="Saída 2 2" xfId="3095" xr:uid="{00000000-0005-0000-0000-0000E6050000}"/>
    <cellStyle name="Separador de m" xfId="243" xr:uid="{00000000-0005-0000-0000-0000E7050000}"/>
    <cellStyle name="Separador de milhares 10" xfId="169" xr:uid="{00000000-0005-0000-0000-0000E8050000}"/>
    <cellStyle name="Separador de milhares 11" xfId="335" xr:uid="{00000000-0005-0000-0000-0000E9050000}"/>
    <cellStyle name="Separador de milhares 11 2" xfId="461" xr:uid="{00000000-0005-0000-0000-0000EA050000}"/>
    <cellStyle name="Separador de milhares 11 2 2" xfId="526" xr:uid="{00000000-0005-0000-0000-0000EB050000}"/>
    <cellStyle name="Separador de milhares 11 2 2 2" xfId="700" xr:uid="{00000000-0005-0000-0000-0000EC050000}"/>
    <cellStyle name="Separador de milhares 11 2 2 2 2" xfId="1037" xr:uid="{00000000-0005-0000-0000-0000ED050000}"/>
    <cellStyle name="Separador de milhares 11 2 2 2 2 2" xfId="1804" xr:uid="{00000000-0005-0000-0000-0000EE050000}"/>
    <cellStyle name="Separador de milhares 11 2 2 2 2 2 2" xfId="2997" xr:uid="{00000000-0005-0000-0000-0000EF050000}"/>
    <cellStyle name="Separador de milhares 11 2 2 2 2 2 2 2" xfId="5693" xr:uid="{00000000-0005-0000-0000-0000F0050000}"/>
    <cellStyle name="Separador de milhares 11 2 2 2 2 2 3" xfId="4500" xr:uid="{00000000-0005-0000-0000-0000F1050000}"/>
    <cellStyle name="Separador de milhares 11 2 2 2 2 3" xfId="2497" xr:uid="{00000000-0005-0000-0000-0000F2050000}"/>
    <cellStyle name="Separador de milhares 11 2 2 2 2 3 2" xfId="5193" xr:uid="{00000000-0005-0000-0000-0000F3050000}"/>
    <cellStyle name="Separador de milhares 11 2 2 2 2 4" xfId="3734" xr:uid="{00000000-0005-0000-0000-0000F4050000}"/>
    <cellStyle name="Separador de milhares 11 2 2 2 3" xfId="1467" xr:uid="{00000000-0005-0000-0000-0000F5050000}"/>
    <cellStyle name="Separador de milhares 11 2 2 2 3 2" xfId="2747" xr:uid="{00000000-0005-0000-0000-0000F6050000}"/>
    <cellStyle name="Separador de milhares 11 2 2 2 3 2 2" xfId="5443" xr:uid="{00000000-0005-0000-0000-0000F7050000}"/>
    <cellStyle name="Separador de milhares 11 2 2 2 3 3" xfId="4163" xr:uid="{00000000-0005-0000-0000-0000F8050000}"/>
    <cellStyle name="Separador de milhares 11 2 2 2 4" xfId="2247" xr:uid="{00000000-0005-0000-0000-0000F9050000}"/>
    <cellStyle name="Separador de milhares 11 2 2 2 4 2" xfId="4943" xr:uid="{00000000-0005-0000-0000-0000FA050000}"/>
    <cellStyle name="Separador de milhares 11 2 2 2 5" xfId="3397" xr:uid="{00000000-0005-0000-0000-0000FB050000}"/>
    <cellStyle name="Separador de milhares 11 2 2 3" xfId="864" xr:uid="{00000000-0005-0000-0000-0000FC050000}"/>
    <cellStyle name="Separador de milhares 11 2 2 3 2" xfId="1631" xr:uid="{00000000-0005-0000-0000-0000FD050000}"/>
    <cellStyle name="Separador de milhares 11 2 2 3 2 2" xfId="2872" xr:uid="{00000000-0005-0000-0000-0000FE050000}"/>
    <cellStyle name="Separador de milhares 11 2 2 3 2 2 2" xfId="5568" xr:uid="{00000000-0005-0000-0000-0000FF050000}"/>
    <cellStyle name="Separador de milhares 11 2 2 3 2 3" xfId="4327" xr:uid="{00000000-0005-0000-0000-000000060000}"/>
    <cellStyle name="Separador de milhares 11 2 2 3 3" xfId="2372" xr:uid="{00000000-0005-0000-0000-000001060000}"/>
    <cellStyle name="Separador de milhares 11 2 2 3 3 2" xfId="5068" xr:uid="{00000000-0005-0000-0000-000002060000}"/>
    <cellStyle name="Separador de milhares 11 2 2 3 4" xfId="3561" xr:uid="{00000000-0005-0000-0000-000003060000}"/>
    <cellStyle name="Separador de milhares 11 2 2 4" xfId="1294" xr:uid="{00000000-0005-0000-0000-000004060000}"/>
    <cellStyle name="Separador de milhares 11 2 2 4 2" xfId="2622" xr:uid="{00000000-0005-0000-0000-000005060000}"/>
    <cellStyle name="Separador de milhares 11 2 2 4 2 2" xfId="5318" xr:uid="{00000000-0005-0000-0000-000006060000}"/>
    <cellStyle name="Separador de milhares 11 2 2 4 3" xfId="3990" xr:uid="{00000000-0005-0000-0000-000007060000}"/>
    <cellStyle name="Separador de milhares 11 2 2 5" xfId="2122" xr:uid="{00000000-0005-0000-0000-000008060000}"/>
    <cellStyle name="Separador de milhares 11 2 2 5 2" xfId="4818" xr:uid="{00000000-0005-0000-0000-000009060000}"/>
    <cellStyle name="Separador de milhares 11 2 2 6" xfId="3224" xr:uid="{00000000-0005-0000-0000-00000A060000}"/>
    <cellStyle name="Separador de milhares 11 2 3" xfId="637" xr:uid="{00000000-0005-0000-0000-00000B060000}"/>
    <cellStyle name="Separador de milhares 11 2 3 2" xfId="974" xr:uid="{00000000-0005-0000-0000-00000C060000}"/>
    <cellStyle name="Separador de milhares 11 2 3 2 2" xfId="1741" xr:uid="{00000000-0005-0000-0000-00000D060000}"/>
    <cellStyle name="Separador de milhares 11 2 3 2 2 2" xfId="2935" xr:uid="{00000000-0005-0000-0000-00000E060000}"/>
    <cellStyle name="Separador de milhares 11 2 3 2 2 2 2" xfId="5631" xr:uid="{00000000-0005-0000-0000-00000F060000}"/>
    <cellStyle name="Separador de milhares 11 2 3 2 2 3" xfId="4437" xr:uid="{00000000-0005-0000-0000-000010060000}"/>
    <cellStyle name="Separador de milhares 11 2 3 2 3" xfId="2435" xr:uid="{00000000-0005-0000-0000-000011060000}"/>
    <cellStyle name="Separador de milhares 11 2 3 2 3 2" xfId="5131" xr:uid="{00000000-0005-0000-0000-000012060000}"/>
    <cellStyle name="Separador de milhares 11 2 3 2 4" xfId="3671" xr:uid="{00000000-0005-0000-0000-000013060000}"/>
    <cellStyle name="Separador de milhares 11 2 3 3" xfId="1404" xr:uid="{00000000-0005-0000-0000-000014060000}"/>
    <cellStyle name="Separador de milhares 11 2 3 3 2" xfId="2685" xr:uid="{00000000-0005-0000-0000-000015060000}"/>
    <cellStyle name="Separador de milhares 11 2 3 3 2 2" xfId="5381" xr:uid="{00000000-0005-0000-0000-000016060000}"/>
    <cellStyle name="Separador de milhares 11 2 3 3 3" xfId="4100" xr:uid="{00000000-0005-0000-0000-000017060000}"/>
    <cellStyle name="Separador de milhares 11 2 3 4" xfId="2185" xr:uid="{00000000-0005-0000-0000-000018060000}"/>
    <cellStyle name="Separador de milhares 11 2 3 4 2" xfId="4881" xr:uid="{00000000-0005-0000-0000-000019060000}"/>
    <cellStyle name="Separador de milhares 11 2 3 5" xfId="3334" xr:uid="{00000000-0005-0000-0000-00001A060000}"/>
    <cellStyle name="Separador de milhares 11 2 4" xfId="800" xr:uid="{00000000-0005-0000-0000-00001B060000}"/>
    <cellStyle name="Separador de milhares 11 2 4 2" xfId="1567" xr:uid="{00000000-0005-0000-0000-00001C060000}"/>
    <cellStyle name="Separador de milhares 11 2 4 2 2" xfId="2810" xr:uid="{00000000-0005-0000-0000-00001D060000}"/>
    <cellStyle name="Separador de milhares 11 2 4 2 2 2" xfId="5506" xr:uid="{00000000-0005-0000-0000-00001E060000}"/>
    <cellStyle name="Separador de milhares 11 2 4 2 3" xfId="4263" xr:uid="{00000000-0005-0000-0000-00001F060000}"/>
    <cellStyle name="Separador de milhares 11 2 4 3" xfId="2310" xr:uid="{00000000-0005-0000-0000-000020060000}"/>
    <cellStyle name="Separador de milhares 11 2 4 3 2" xfId="5006" xr:uid="{00000000-0005-0000-0000-000021060000}"/>
    <cellStyle name="Separador de milhares 11 2 4 4" xfId="3497" xr:uid="{00000000-0005-0000-0000-000022060000}"/>
    <cellStyle name="Separador de milhares 11 2 5" xfId="1231" xr:uid="{00000000-0005-0000-0000-000023060000}"/>
    <cellStyle name="Separador de milhares 11 2 5 2" xfId="2560" xr:uid="{00000000-0005-0000-0000-000024060000}"/>
    <cellStyle name="Separador de milhares 11 2 5 2 2" xfId="5256" xr:uid="{00000000-0005-0000-0000-000025060000}"/>
    <cellStyle name="Separador de milhares 11 2 5 3" xfId="3927" xr:uid="{00000000-0005-0000-0000-000026060000}"/>
    <cellStyle name="Separador de milhares 11 2 6" xfId="2060" xr:uid="{00000000-0005-0000-0000-000027060000}"/>
    <cellStyle name="Separador de milhares 11 2 6 2" xfId="4756" xr:uid="{00000000-0005-0000-0000-000028060000}"/>
    <cellStyle name="Separador de milhares 11 2 7" xfId="3160" xr:uid="{00000000-0005-0000-0000-000029060000}"/>
    <cellStyle name="Separador de milhares 11 3" xfId="2005" xr:uid="{00000000-0005-0000-0000-00002A060000}"/>
    <cellStyle name="Separador de milhares 11 3 2" xfId="4701" xr:uid="{00000000-0005-0000-0000-00002B060000}"/>
    <cellStyle name="Separador de milhares 11 4" xfId="3036" xr:uid="{00000000-0005-0000-0000-00002C060000}"/>
    <cellStyle name="Separador de milhares 11 4 2" xfId="5731" xr:uid="{00000000-0005-0000-0000-00002D060000}"/>
    <cellStyle name="Separador de milhares 11 5" xfId="3104" xr:uid="{00000000-0005-0000-0000-00002E060000}"/>
    <cellStyle name="Separador de milhares 12" xfId="336" xr:uid="{00000000-0005-0000-0000-00002F060000}"/>
    <cellStyle name="Separador de milhares 12 2" xfId="462" xr:uid="{00000000-0005-0000-0000-000030060000}"/>
    <cellStyle name="Separador de milhares 12 2 2" xfId="527" xr:uid="{00000000-0005-0000-0000-000031060000}"/>
    <cellStyle name="Separador de milhares 12 2 2 2" xfId="701" xr:uid="{00000000-0005-0000-0000-000032060000}"/>
    <cellStyle name="Separador de milhares 12 2 2 2 2" xfId="1038" xr:uid="{00000000-0005-0000-0000-000033060000}"/>
    <cellStyle name="Separador de milhares 12 2 2 2 2 2" xfId="1805" xr:uid="{00000000-0005-0000-0000-000034060000}"/>
    <cellStyle name="Separador de milhares 12 2 2 2 2 2 2" xfId="2998" xr:uid="{00000000-0005-0000-0000-000035060000}"/>
    <cellStyle name="Separador de milhares 12 2 2 2 2 2 2 2" xfId="5694" xr:uid="{00000000-0005-0000-0000-000036060000}"/>
    <cellStyle name="Separador de milhares 12 2 2 2 2 2 3" xfId="4501" xr:uid="{00000000-0005-0000-0000-000037060000}"/>
    <cellStyle name="Separador de milhares 12 2 2 2 2 3" xfId="2498" xr:uid="{00000000-0005-0000-0000-000038060000}"/>
    <cellStyle name="Separador de milhares 12 2 2 2 2 3 2" xfId="5194" xr:uid="{00000000-0005-0000-0000-000039060000}"/>
    <cellStyle name="Separador de milhares 12 2 2 2 2 4" xfId="3735" xr:uid="{00000000-0005-0000-0000-00003A060000}"/>
    <cellStyle name="Separador de milhares 12 2 2 2 3" xfId="1468" xr:uid="{00000000-0005-0000-0000-00003B060000}"/>
    <cellStyle name="Separador de milhares 12 2 2 2 3 2" xfId="2748" xr:uid="{00000000-0005-0000-0000-00003C060000}"/>
    <cellStyle name="Separador de milhares 12 2 2 2 3 2 2" xfId="5444" xr:uid="{00000000-0005-0000-0000-00003D060000}"/>
    <cellStyle name="Separador de milhares 12 2 2 2 3 3" xfId="4164" xr:uid="{00000000-0005-0000-0000-00003E060000}"/>
    <cellStyle name="Separador de milhares 12 2 2 2 4" xfId="2248" xr:uid="{00000000-0005-0000-0000-00003F060000}"/>
    <cellStyle name="Separador de milhares 12 2 2 2 4 2" xfId="4944" xr:uid="{00000000-0005-0000-0000-000040060000}"/>
    <cellStyle name="Separador de milhares 12 2 2 2 5" xfId="3398" xr:uid="{00000000-0005-0000-0000-000041060000}"/>
    <cellStyle name="Separador de milhares 12 2 2 3" xfId="865" xr:uid="{00000000-0005-0000-0000-000042060000}"/>
    <cellStyle name="Separador de milhares 12 2 2 3 2" xfId="1632" xr:uid="{00000000-0005-0000-0000-000043060000}"/>
    <cellStyle name="Separador de milhares 12 2 2 3 2 2" xfId="2873" xr:uid="{00000000-0005-0000-0000-000044060000}"/>
    <cellStyle name="Separador de milhares 12 2 2 3 2 2 2" xfId="5569" xr:uid="{00000000-0005-0000-0000-000045060000}"/>
    <cellStyle name="Separador de milhares 12 2 2 3 2 3" xfId="4328" xr:uid="{00000000-0005-0000-0000-000046060000}"/>
    <cellStyle name="Separador de milhares 12 2 2 3 3" xfId="2373" xr:uid="{00000000-0005-0000-0000-000047060000}"/>
    <cellStyle name="Separador de milhares 12 2 2 3 3 2" xfId="5069" xr:uid="{00000000-0005-0000-0000-000048060000}"/>
    <cellStyle name="Separador de milhares 12 2 2 3 4" xfId="3562" xr:uid="{00000000-0005-0000-0000-000049060000}"/>
    <cellStyle name="Separador de milhares 12 2 2 4" xfId="1295" xr:uid="{00000000-0005-0000-0000-00004A060000}"/>
    <cellStyle name="Separador de milhares 12 2 2 4 2" xfId="2623" xr:uid="{00000000-0005-0000-0000-00004B060000}"/>
    <cellStyle name="Separador de milhares 12 2 2 4 2 2" xfId="5319" xr:uid="{00000000-0005-0000-0000-00004C060000}"/>
    <cellStyle name="Separador de milhares 12 2 2 4 3" xfId="3991" xr:uid="{00000000-0005-0000-0000-00004D060000}"/>
    <cellStyle name="Separador de milhares 12 2 2 5" xfId="2123" xr:uid="{00000000-0005-0000-0000-00004E060000}"/>
    <cellStyle name="Separador de milhares 12 2 2 5 2" xfId="4819" xr:uid="{00000000-0005-0000-0000-00004F060000}"/>
    <cellStyle name="Separador de milhares 12 2 2 6" xfId="3225" xr:uid="{00000000-0005-0000-0000-000050060000}"/>
    <cellStyle name="Separador de milhares 12 2 3" xfId="638" xr:uid="{00000000-0005-0000-0000-000051060000}"/>
    <cellStyle name="Separador de milhares 12 2 3 2" xfId="975" xr:uid="{00000000-0005-0000-0000-000052060000}"/>
    <cellStyle name="Separador de milhares 12 2 3 2 2" xfId="1742" xr:uid="{00000000-0005-0000-0000-000053060000}"/>
    <cellStyle name="Separador de milhares 12 2 3 2 2 2" xfId="2936" xr:uid="{00000000-0005-0000-0000-000054060000}"/>
    <cellStyle name="Separador de milhares 12 2 3 2 2 2 2" xfId="5632" xr:uid="{00000000-0005-0000-0000-000055060000}"/>
    <cellStyle name="Separador de milhares 12 2 3 2 2 3" xfId="4438" xr:uid="{00000000-0005-0000-0000-000056060000}"/>
    <cellStyle name="Separador de milhares 12 2 3 2 3" xfId="2436" xr:uid="{00000000-0005-0000-0000-000057060000}"/>
    <cellStyle name="Separador de milhares 12 2 3 2 3 2" xfId="5132" xr:uid="{00000000-0005-0000-0000-000058060000}"/>
    <cellStyle name="Separador de milhares 12 2 3 2 4" xfId="3672" xr:uid="{00000000-0005-0000-0000-000059060000}"/>
    <cellStyle name="Separador de milhares 12 2 3 3" xfId="1405" xr:uid="{00000000-0005-0000-0000-00005A060000}"/>
    <cellStyle name="Separador de milhares 12 2 3 3 2" xfId="2686" xr:uid="{00000000-0005-0000-0000-00005B060000}"/>
    <cellStyle name="Separador de milhares 12 2 3 3 2 2" xfId="5382" xr:uid="{00000000-0005-0000-0000-00005C060000}"/>
    <cellStyle name="Separador de milhares 12 2 3 3 3" xfId="4101" xr:uid="{00000000-0005-0000-0000-00005D060000}"/>
    <cellStyle name="Separador de milhares 12 2 3 4" xfId="2186" xr:uid="{00000000-0005-0000-0000-00005E060000}"/>
    <cellStyle name="Separador de milhares 12 2 3 4 2" xfId="4882" xr:uid="{00000000-0005-0000-0000-00005F060000}"/>
    <cellStyle name="Separador de milhares 12 2 3 5" xfId="3335" xr:uid="{00000000-0005-0000-0000-000060060000}"/>
    <cellStyle name="Separador de milhares 12 2 4" xfId="801" xr:uid="{00000000-0005-0000-0000-000061060000}"/>
    <cellStyle name="Separador de milhares 12 2 4 2" xfId="1568" xr:uid="{00000000-0005-0000-0000-000062060000}"/>
    <cellStyle name="Separador de milhares 12 2 4 2 2" xfId="2811" xr:uid="{00000000-0005-0000-0000-000063060000}"/>
    <cellStyle name="Separador de milhares 12 2 4 2 2 2" xfId="5507" xr:uid="{00000000-0005-0000-0000-000064060000}"/>
    <cellStyle name="Separador de milhares 12 2 4 2 3" xfId="4264" xr:uid="{00000000-0005-0000-0000-000065060000}"/>
    <cellStyle name="Separador de milhares 12 2 4 3" xfId="2311" xr:uid="{00000000-0005-0000-0000-000066060000}"/>
    <cellStyle name="Separador de milhares 12 2 4 3 2" xfId="5007" xr:uid="{00000000-0005-0000-0000-000067060000}"/>
    <cellStyle name="Separador de milhares 12 2 4 4" xfId="3498" xr:uid="{00000000-0005-0000-0000-000068060000}"/>
    <cellStyle name="Separador de milhares 12 2 5" xfId="1232" xr:uid="{00000000-0005-0000-0000-000069060000}"/>
    <cellStyle name="Separador de milhares 12 2 5 2" xfId="2561" xr:uid="{00000000-0005-0000-0000-00006A060000}"/>
    <cellStyle name="Separador de milhares 12 2 5 2 2" xfId="5257" xr:uid="{00000000-0005-0000-0000-00006B060000}"/>
    <cellStyle name="Separador de milhares 12 2 5 3" xfId="3928" xr:uid="{00000000-0005-0000-0000-00006C060000}"/>
    <cellStyle name="Separador de milhares 12 2 6" xfId="2061" xr:uid="{00000000-0005-0000-0000-00006D060000}"/>
    <cellStyle name="Separador de milhares 12 2 6 2" xfId="4757" xr:uid="{00000000-0005-0000-0000-00006E060000}"/>
    <cellStyle name="Separador de milhares 12 2 7" xfId="3161" xr:uid="{00000000-0005-0000-0000-00006F060000}"/>
    <cellStyle name="Separador de milhares 12 3" xfId="500" xr:uid="{00000000-0005-0000-0000-000070060000}"/>
    <cellStyle name="Separador de milhares 12 3 2" xfId="675" xr:uid="{00000000-0005-0000-0000-000071060000}"/>
    <cellStyle name="Separador de milhares 12 3 2 2" xfId="1012" xr:uid="{00000000-0005-0000-0000-000072060000}"/>
    <cellStyle name="Separador de milhares 12 3 2 2 2" xfId="1779" xr:uid="{00000000-0005-0000-0000-000073060000}"/>
    <cellStyle name="Separador de milhares 12 3 2 2 2 2" xfId="2972" xr:uid="{00000000-0005-0000-0000-000074060000}"/>
    <cellStyle name="Separador de milhares 12 3 2 2 2 2 2" xfId="5668" xr:uid="{00000000-0005-0000-0000-000075060000}"/>
    <cellStyle name="Separador de milhares 12 3 2 2 2 3" xfId="4475" xr:uid="{00000000-0005-0000-0000-000076060000}"/>
    <cellStyle name="Separador de milhares 12 3 2 2 3" xfId="2472" xr:uid="{00000000-0005-0000-0000-000077060000}"/>
    <cellStyle name="Separador de milhares 12 3 2 2 3 2" xfId="5168" xr:uid="{00000000-0005-0000-0000-000078060000}"/>
    <cellStyle name="Separador de milhares 12 3 2 2 4" xfId="3709" xr:uid="{00000000-0005-0000-0000-000079060000}"/>
    <cellStyle name="Separador de milhares 12 3 2 3" xfId="1442" xr:uid="{00000000-0005-0000-0000-00007A060000}"/>
    <cellStyle name="Separador de milhares 12 3 2 3 2" xfId="2722" xr:uid="{00000000-0005-0000-0000-00007B060000}"/>
    <cellStyle name="Separador de milhares 12 3 2 3 2 2" xfId="5418" xr:uid="{00000000-0005-0000-0000-00007C060000}"/>
    <cellStyle name="Separador de milhares 12 3 2 3 3" xfId="4138" xr:uid="{00000000-0005-0000-0000-00007D060000}"/>
    <cellStyle name="Separador de milhares 12 3 2 4" xfId="2222" xr:uid="{00000000-0005-0000-0000-00007E060000}"/>
    <cellStyle name="Separador de milhares 12 3 2 4 2" xfId="4918" xr:uid="{00000000-0005-0000-0000-00007F060000}"/>
    <cellStyle name="Separador de milhares 12 3 2 5" xfId="3372" xr:uid="{00000000-0005-0000-0000-000080060000}"/>
    <cellStyle name="Separador de milhares 12 3 3" xfId="838" xr:uid="{00000000-0005-0000-0000-000081060000}"/>
    <cellStyle name="Separador de milhares 12 3 3 2" xfId="1605" xr:uid="{00000000-0005-0000-0000-000082060000}"/>
    <cellStyle name="Separador de milhares 12 3 3 2 2" xfId="2847" xr:uid="{00000000-0005-0000-0000-000083060000}"/>
    <cellStyle name="Separador de milhares 12 3 3 2 2 2" xfId="5543" xr:uid="{00000000-0005-0000-0000-000084060000}"/>
    <cellStyle name="Separador de milhares 12 3 3 2 3" xfId="4301" xr:uid="{00000000-0005-0000-0000-000085060000}"/>
    <cellStyle name="Separador de milhares 12 3 3 3" xfId="2347" xr:uid="{00000000-0005-0000-0000-000086060000}"/>
    <cellStyle name="Separador de milhares 12 3 3 3 2" xfId="5043" xr:uid="{00000000-0005-0000-0000-000087060000}"/>
    <cellStyle name="Separador de milhares 12 3 3 4" xfId="3535" xr:uid="{00000000-0005-0000-0000-000088060000}"/>
    <cellStyle name="Separador de milhares 12 3 4" xfId="1268" xr:uid="{00000000-0005-0000-0000-000089060000}"/>
    <cellStyle name="Separador de milhares 12 3 4 2" xfId="2597" xr:uid="{00000000-0005-0000-0000-00008A060000}"/>
    <cellStyle name="Separador de milhares 12 3 4 2 2" xfId="5293" xr:uid="{00000000-0005-0000-0000-00008B060000}"/>
    <cellStyle name="Separador de milhares 12 3 4 3" xfId="3964" xr:uid="{00000000-0005-0000-0000-00008C060000}"/>
    <cellStyle name="Separador de milhares 12 3 5" xfId="2097" xr:uid="{00000000-0005-0000-0000-00008D060000}"/>
    <cellStyle name="Separador de milhares 12 3 5 2" xfId="4793" xr:uid="{00000000-0005-0000-0000-00008E060000}"/>
    <cellStyle name="Separador de milhares 12 3 6" xfId="3198" xr:uid="{00000000-0005-0000-0000-00008F060000}"/>
    <cellStyle name="Separador de milhares 12 4" xfId="599" xr:uid="{00000000-0005-0000-0000-000090060000}"/>
    <cellStyle name="Separador de milhares 12 4 2" xfId="936" xr:uid="{00000000-0005-0000-0000-000091060000}"/>
    <cellStyle name="Separador de milhares 12 4 2 2" xfId="1703" xr:uid="{00000000-0005-0000-0000-000092060000}"/>
    <cellStyle name="Separador de milhares 12 4 2 2 2" xfId="2910" xr:uid="{00000000-0005-0000-0000-000093060000}"/>
    <cellStyle name="Separador de milhares 12 4 2 2 2 2" xfId="5606" xr:uid="{00000000-0005-0000-0000-000094060000}"/>
    <cellStyle name="Separador de milhares 12 4 2 2 3" xfId="4399" xr:uid="{00000000-0005-0000-0000-000095060000}"/>
    <cellStyle name="Separador de milhares 12 4 2 3" xfId="2410" xr:uid="{00000000-0005-0000-0000-000096060000}"/>
    <cellStyle name="Separador de milhares 12 4 2 3 2" xfId="5106" xr:uid="{00000000-0005-0000-0000-000097060000}"/>
    <cellStyle name="Separador de milhares 12 4 2 4" xfId="3633" xr:uid="{00000000-0005-0000-0000-000098060000}"/>
    <cellStyle name="Separador de milhares 12 4 3" xfId="1366" xr:uid="{00000000-0005-0000-0000-000099060000}"/>
    <cellStyle name="Separador de milhares 12 4 3 2" xfId="2660" xr:uid="{00000000-0005-0000-0000-00009A060000}"/>
    <cellStyle name="Separador de milhares 12 4 3 2 2" xfId="5356" xr:uid="{00000000-0005-0000-0000-00009B060000}"/>
    <cellStyle name="Separador de milhares 12 4 3 3" xfId="4062" xr:uid="{00000000-0005-0000-0000-00009C060000}"/>
    <cellStyle name="Separador de milhares 12 4 4" xfId="2160" xr:uid="{00000000-0005-0000-0000-00009D060000}"/>
    <cellStyle name="Separador de milhares 12 4 4 2" xfId="4856" xr:uid="{00000000-0005-0000-0000-00009E060000}"/>
    <cellStyle name="Separador de milhares 12 4 5" xfId="3296" xr:uid="{00000000-0005-0000-0000-00009F060000}"/>
    <cellStyle name="Separador de milhares 12 5" xfId="773" xr:uid="{00000000-0005-0000-0000-0000A0060000}"/>
    <cellStyle name="Separador de milhares 12 5 2" xfId="1540" xr:uid="{00000000-0005-0000-0000-0000A1060000}"/>
    <cellStyle name="Separador de milhares 12 5 2 2" xfId="2785" xr:uid="{00000000-0005-0000-0000-0000A2060000}"/>
    <cellStyle name="Separador de milhares 12 5 2 2 2" xfId="5481" xr:uid="{00000000-0005-0000-0000-0000A3060000}"/>
    <cellStyle name="Separador de milhares 12 5 2 3" xfId="4236" xr:uid="{00000000-0005-0000-0000-0000A4060000}"/>
    <cellStyle name="Separador de milhares 12 5 3" xfId="2285" xr:uid="{00000000-0005-0000-0000-0000A5060000}"/>
    <cellStyle name="Separador de milhares 12 5 3 2" xfId="4981" xr:uid="{00000000-0005-0000-0000-0000A6060000}"/>
    <cellStyle name="Separador de milhares 12 5 4" xfId="3470" xr:uid="{00000000-0005-0000-0000-0000A7060000}"/>
    <cellStyle name="Separador de milhares 12 6" xfId="1206" xr:uid="{00000000-0005-0000-0000-0000A8060000}"/>
    <cellStyle name="Separador de milhares 12 6 2" xfId="2535" xr:uid="{00000000-0005-0000-0000-0000A9060000}"/>
    <cellStyle name="Separador de milhares 12 6 2 2" xfId="5231" xr:uid="{00000000-0005-0000-0000-0000AA060000}"/>
    <cellStyle name="Separador de milhares 12 6 3" xfId="3902" xr:uid="{00000000-0005-0000-0000-0000AB060000}"/>
    <cellStyle name="Separador de milhares 12 7" xfId="2006" xr:uid="{00000000-0005-0000-0000-0000AC060000}"/>
    <cellStyle name="Separador de milhares 12 7 2" xfId="4702" xr:uid="{00000000-0005-0000-0000-0000AD060000}"/>
    <cellStyle name="Separador de milhares 12 8" xfId="3105" xr:uid="{00000000-0005-0000-0000-0000AE060000}"/>
    <cellStyle name="Separador de milhares 13" xfId="337" xr:uid="{00000000-0005-0000-0000-0000AF060000}"/>
    <cellStyle name="Separador de milhares 13 2" xfId="463" xr:uid="{00000000-0005-0000-0000-0000B0060000}"/>
    <cellStyle name="Separador de milhares 13 2 2" xfId="528" xr:uid="{00000000-0005-0000-0000-0000B1060000}"/>
    <cellStyle name="Separador de milhares 13 2 2 2" xfId="702" xr:uid="{00000000-0005-0000-0000-0000B2060000}"/>
    <cellStyle name="Separador de milhares 13 2 2 2 2" xfId="1039" xr:uid="{00000000-0005-0000-0000-0000B3060000}"/>
    <cellStyle name="Separador de milhares 13 2 2 2 2 2" xfId="1806" xr:uid="{00000000-0005-0000-0000-0000B4060000}"/>
    <cellStyle name="Separador de milhares 13 2 2 2 2 2 2" xfId="2999" xr:uid="{00000000-0005-0000-0000-0000B5060000}"/>
    <cellStyle name="Separador de milhares 13 2 2 2 2 2 2 2" xfId="5695" xr:uid="{00000000-0005-0000-0000-0000B6060000}"/>
    <cellStyle name="Separador de milhares 13 2 2 2 2 2 3" xfId="4502" xr:uid="{00000000-0005-0000-0000-0000B7060000}"/>
    <cellStyle name="Separador de milhares 13 2 2 2 2 3" xfId="2499" xr:uid="{00000000-0005-0000-0000-0000B8060000}"/>
    <cellStyle name="Separador de milhares 13 2 2 2 2 3 2" xfId="5195" xr:uid="{00000000-0005-0000-0000-0000B9060000}"/>
    <cellStyle name="Separador de milhares 13 2 2 2 2 4" xfId="3736" xr:uid="{00000000-0005-0000-0000-0000BA060000}"/>
    <cellStyle name="Separador de milhares 13 2 2 2 3" xfId="1469" xr:uid="{00000000-0005-0000-0000-0000BB060000}"/>
    <cellStyle name="Separador de milhares 13 2 2 2 3 2" xfId="2749" xr:uid="{00000000-0005-0000-0000-0000BC060000}"/>
    <cellStyle name="Separador de milhares 13 2 2 2 3 2 2" xfId="5445" xr:uid="{00000000-0005-0000-0000-0000BD060000}"/>
    <cellStyle name="Separador de milhares 13 2 2 2 3 3" xfId="4165" xr:uid="{00000000-0005-0000-0000-0000BE060000}"/>
    <cellStyle name="Separador de milhares 13 2 2 2 4" xfId="2249" xr:uid="{00000000-0005-0000-0000-0000BF060000}"/>
    <cellStyle name="Separador de milhares 13 2 2 2 4 2" xfId="4945" xr:uid="{00000000-0005-0000-0000-0000C0060000}"/>
    <cellStyle name="Separador de milhares 13 2 2 2 5" xfId="3399" xr:uid="{00000000-0005-0000-0000-0000C1060000}"/>
    <cellStyle name="Separador de milhares 13 2 2 3" xfId="866" xr:uid="{00000000-0005-0000-0000-0000C2060000}"/>
    <cellStyle name="Separador de milhares 13 2 2 3 2" xfId="1633" xr:uid="{00000000-0005-0000-0000-0000C3060000}"/>
    <cellStyle name="Separador de milhares 13 2 2 3 2 2" xfId="2874" xr:uid="{00000000-0005-0000-0000-0000C4060000}"/>
    <cellStyle name="Separador de milhares 13 2 2 3 2 2 2" xfId="5570" xr:uid="{00000000-0005-0000-0000-0000C5060000}"/>
    <cellStyle name="Separador de milhares 13 2 2 3 2 3" xfId="4329" xr:uid="{00000000-0005-0000-0000-0000C6060000}"/>
    <cellStyle name="Separador de milhares 13 2 2 3 3" xfId="2374" xr:uid="{00000000-0005-0000-0000-0000C7060000}"/>
    <cellStyle name="Separador de milhares 13 2 2 3 3 2" xfId="5070" xr:uid="{00000000-0005-0000-0000-0000C8060000}"/>
    <cellStyle name="Separador de milhares 13 2 2 3 4" xfId="3563" xr:uid="{00000000-0005-0000-0000-0000C9060000}"/>
    <cellStyle name="Separador de milhares 13 2 2 4" xfId="1296" xr:uid="{00000000-0005-0000-0000-0000CA060000}"/>
    <cellStyle name="Separador de milhares 13 2 2 4 2" xfId="2624" xr:uid="{00000000-0005-0000-0000-0000CB060000}"/>
    <cellStyle name="Separador de milhares 13 2 2 4 2 2" xfId="5320" xr:uid="{00000000-0005-0000-0000-0000CC060000}"/>
    <cellStyle name="Separador de milhares 13 2 2 4 3" xfId="3992" xr:uid="{00000000-0005-0000-0000-0000CD060000}"/>
    <cellStyle name="Separador de milhares 13 2 2 5" xfId="2124" xr:uid="{00000000-0005-0000-0000-0000CE060000}"/>
    <cellStyle name="Separador de milhares 13 2 2 5 2" xfId="4820" xr:uid="{00000000-0005-0000-0000-0000CF060000}"/>
    <cellStyle name="Separador de milhares 13 2 2 6" xfId="3226" xr:uid="{00000000-0005-0000-0000-0000D0060000}"/>
    <cellStyle name="Separador de milhares 13 2 3" xfId="639" xr:uid="{00000000-0005-0000-0000-0000D1060000}"/>
    <cellStyle name="Separador de milhares 13 2 3 2" xfId="976" xr:uid="{00000000-0005-0000-0000-0000D2060000}"/>
    <cellStyle name="Separador de milhares 13 2 3 2 2" xfId="1743" xr:uid="{00000000-0005-0000-0000-0000D3060000}"/>
    <cellStyle name="Separador de milhares 13 2 3 2 2 2" xfId="2937" xr:uid="{00000000-0005-0000-0000-0000D4060000}"/>
    <cellStyle name="Separador de milhares 13 2 3 2 2 2 2" xfId="5633" xr:uid="{00000000-0005-0000-0000-0000D5060000}"/>
    <cellStyle name="Separador de milhares 13 2 3 2 2 3" xfId="4439" xr:uid="{00000000-0005-0000-0000-0000D6060000}"/>
    <cellStyle name="Separador de milhares 13 2 3 2 3" xfId="2437" xr:uid="{00000000-0005-0000-0000-0000D7060000}"/>
    <cellStyle name="Separador de milhares 13 2 3 2 3 2" xfId="5133" xr:uid="{00000000-0005-0000-0000-0000D8060000}"/>
    <cellStyle name="Separador de milhares 13 2 3 2 4" xfId="3673" xr:uid="{00000000-0005-0000-0000-0000D9060000}"/>
    <cellStyle name="Separador de milhares 13 2 3 3" xfId="1406" xr:uid="{00000000-0005-0000-0000-0000DA060000}"/>
    <cellStyle name="Separador de milhares 13 2 3 3 2" xfId="2687" xr:uid="{00000000-0005-0000-0000-0000DB060000}"/>
    <cellStyle name="Separador de milhares 13 2 3 3 2 2" xfId="5383" xr:uid="{00000000-0005-0000-0000-0000DC060000}"/>
    <cellStyle name="Separador de milhares 13 2 3 3 3" xfId="4102" xr:uid="{00000000-0005-0000-0000-0000DD060000}"/>
    <cellStyle name="Separador de milhares 13 2 3 4" xfId="2187" xr:uid="{00000000-0005-0000-0000-0000DE060000}"/>
    <cellStyle name="Separador de milhares 13 2 3 4 2" xfId="4883" xr:uid="{00000000-0005-0000-0000-0000DF060000}"/>
    <cellStyle name="Separador de milhares 13 2 3 5" xfId="3336" xr:uid="{00000000-0005-0000-0000-0000E0060000}"/>
    <cellStyle name="Separador de milhares 13 2 4" xfId="802" xr:uid="{00000000-0005-0000-0000-0000E1060000}"/>
    <cellStyle name="Separador de milhares 13 2 4 2" xfId="1569" xr:uid="{00000000-0005-0000-0000-0000E2060000}"/>
    <cellStyle name="Separador de milhares 13 2 4 2 2" xfId="2812" xr:uid="{00000000-0005-0000-0000-0000E3060000}"/>
    <cellStyle name="Separador de milhares 13 2 4 2 2 2" xfId="5508" xr:uid="{00000000-0005-0000-0000-0000E4060000}"/>
    <cellStyle name="Separador de milhares 13 2 4 2 3" xfId="4265" xr:uid="{00000000-0005-0000-0000-0000E5060000}"/>
    <cellStyle name="Separador de milhares 13 2 4 3" xfId="2312" xr:uid="{00000000-0005-0000-0000-0000E6060000}"/>
    <cellStyle name="Separador de milhares 13 2 4 3 2" xfId="5008" xr:uid="{00000000-0005-0000-0000-0000E7060000}"/>
    <cellStyle name="Separador de milhares 13 2 4 4" xfId="3499" xr:uid="{00000000-0005-0000-0000-0000E8060000}"/>
    <cellStyle name="Separador de milhares 13 2 5" xfId="1233" xr:uid="{00000000-0005-0000-0000-0000E9060000}"/>
    <cellStyle name="Separador de milhares 13 2 5 2" xfId="2562" xr:uid="{00000000-0005-0000-0000-0000EA060000}"/>
    <cellStyle name="Separador de milhares 13 2 5 2 2" xfId="5258" xr:uid="{00000000-0005-0000-0000-0000EB060000}"/>
    <cellStyle name="Separador de milhares 13 2 5 3" xfId="3929" xr:uid="{00000000-0005-0000-0000-0000EC060000}"/>
    <cellStyle name="Separador de milhares 13 2 6" xfId="2062" xr:uid="{00000000-0005-0000-0000-0000ED060000}"/>
    <cellStyle name="Separador de milhares 13 2 6 2" xfId="4758" xr:uid="{00000000-0005-0000-0000-0000EE060000}"/>
    <cellStyle name="Separador de milhares 13 2 7" xfId="3162" xr:uid="{00000000-0005-0000-0000-0000EF060000}"/>
    <cellStyle name="Separador de milhares 13 3" xfId="2007" xr:uid="{00000000-0005-0000-0000-0000F0060000}"/>
    <cellStyle name="Separador de milhares 13 3 2" xfId="4703" xr:uid="{00000000-0005-0000-0000-0000F1060000}"/>
    <cellStyle name="Separador de milhares 13 4" xfId="3106" xr:uid="{00000000-0005-0000-0000-0000F2060000}"/>
    <cellStyle name="Separador de milhares 14" xfId="150" xr:uid="{00000000-0005-0000-0000-0000F3060000}"/>
    <cellStyle name="Separador de milhares 15" xfId="338" xr:uid="{00000000-0005-0000-0000-0000F4060000}"/>
    <cellStyle name="Separador de milhares 16" xfId="339" xr:uid="{00000000-0005-0000-0000-0000F5060000}"/>
    <cellStyle name="Separador de milhares 17" xfId="340" xr:uid="{00000000-0005-0000-0000-0000F6060000}"/>
    <cellStyle name="Separador de milhares 18" xfId="341" xr:uid="{00000000-0005-0000-0000-0000F7060000}"/>
    <cellStyle name="Separador de milhares 19" xfId="342" xr:uid="{00000000-0005-0000-0000-0000F8060000}"/>
    <cellStyle name="Separador de milhares 2" xfId="4" xr:uid="{00000000-0005-0000-0000-0000F9060000}"/>
    <cellStyle name="Separador de milhares 2 10" xfId="343" xr:uid="{00000000-0005-0000-0000-0000FA060000}"/>
    <cellStyle name="Separador de milhares 2 11" xfId="344" xr:uid="{00000000-0005-0000-0000-0000FB060000}"/>
    <cellStyle name="Separador de milhares 2 12" xfId="345" xr:uid="{00000000-0005-0000-0000-0000FC060000}"/>
    <cellStyle name="Separador de milhares 2 13" xfId="346" xr:uid="{00000000-0005-0000-0000-0000FD060000}"/>
    <cellStyle name="Separador de milhares 2 14" xfId="347" xr:uid="{00000000-0005-0000-0000-0000FE060000}"/>
    <cellStyle name="Separador de milhares 2 15" xfId="348" xr:uid="{00000000-0005-0000-0000-0000FF060000}"/>
    <cellStyle name="Separador de milhares 2 16" xfId="349" xr:uid="{00000000-0005-0000-0000-000000070000}"/>
    <cellStyle name="Separador de milhares 2 17" xfId="350" xr:uid="{00000000-0005-0000-0000-000001070000}"/>
    <cellStyle name="Separador de milhares 2 18" xfId="351" xr:uid="{00000000-0005-0000-0000-000002070000}"/>
    <cellStyle name="Separador de milhares 2 19" xfId="352" xr:uid="{00000000-0005-0000-0000-000003070000}"/>
    <cellStyle name="Separador de milhares 2 2" xfId="63" xr:uid="{00000000-0005-0000-0000-000004070000}"/>
    <cellStyle name="Separador de milhares 2 2 10" xfId="353" xr:uid="{00000000-0005-0000-0000-000005070000}"/>
    <cellStyle name="Separador de milhares 2 2 11" xfId="443" xr:uid="{00000000-0005-0000-0000-000006070000}"/>
    <cellStyle name="Separador de milhares 2 2 11 2" xfId="507" xr:uid="{00000000-0005-0000-0000-000007070000}"/>
    <cellStyle name="Separador de milhares 2 2 11 2 2" xfId="681" xr:uid="{00000000-0005-0000-0000-000008070000}"/>
    <cellStyle name="Separador de milhares 2 2 11 2 2 2" xfId="1018" xr:uid="{00000000-0005-0000-0000-000009070000}"/>
    <cellStyle name="Separador de milhares 2 2 11 2 2 2 2" xfId="1785" xr:uid="{00000000-0005-0000-0000-00000A070000}"/>
    <cellStyle name="Separador de milhares 2 2 11 2 2 2 2 2" xfId="2978" xr:uid="{00000000-0005-0000-0000-00000B070000}"/>
    <cellStyle name="Separador de milhares 2 2 11 2 2 2 2 2 2" xfId="5674" xr:uid="{00000000-0005-0000-0000-00000C070000}"/>
    <cellStyle name="Separador de milhares 2 2 11 2 2 2 2 3" xfId="4481" xr:uid="{00000000-0005-0000-0000-00000D070000}"/>
    <cellStyle name="Separador de milhares 2 2 11 2 2 2 3" xfId="2478" xr:uid="{00000000-0005-0000-0000-00000E070000}"/>
    <cellStyle name="Separador de milhares 2 2 11 2 2 2 3 2" xfId="5174" xr:uid="{00000000-0005-0000-0000-00000F070000}"/>
    <cellStyle name="Separador de milhares 2 2 11 2 2 2 4" xfId="3715" xr:uid="{00000000-0005-0000-0000-000010070000}"/>
    <cellStyle name="Separador de milhares 2 2 11 2 2 3" xfId="1448" xr:uid="{00000000-0005-0000-0000-000011070000}"/>
    <cellStyle name="Separador de milhares 2 2 11 2 2 3 2" xfId="2728" xr:uid="{00000000-0005-0000-0000-000012070000}"/>
    <cellStyle name="Separador de milhares 2 2 11 2 2 3 2 2" xfId="5424" xr:uid="{00000000-0005-0000-0000-000013070000}"/>
    <cellStyle name="Separador de milhares 2 2 11 2 2 3 3" xfId="4144" xr:uid="{00000000-0005-0000-0000-000014070000}"/>
    <cellStyle name="Separador de milhares 2 2 11 2 2 4" xfId="2228" xr:uid="{00000000-0005-0000-0000-000015070000}"/>
    <cellStyle name="Separador de milhares 2 2 11 2 2 4 2" xfId="4924" xr:uid="{00000000-0005-0000-0000-000016070000}"/>
    <cellStyle name="Separador de milhares 2 2 11 2 2 5" xfId="3378" xr:uid="{00000000-0005-0000-0000-000017070000}"/>
    <cellStyle name="Separador de milhares 2 2 11 2 3" xfId="845" xr:uid="{00000000-0005-0000-0000-000018070000}"/>
    <cellStyle name="Separador de milhares 2 2 11 2 3 2" xfId="1612" xr:uid="{00000000-0005-0000-0000-000019070000}"/>
    <cellStyle name="Separador de milhares 2 2 11 2 3 2 2" xfId="2853" xr:uid="{00000000-0005-0000-0000-00001A070000}"/>
    <cellStyle name="Separador de milhares 2 2 11 2 3 2 2 2" xfId="5549" xr:uid="{00000000-0005-0000-0000-00001B070000}"/>
    <cellStyle name="Separador de milhares 2 2 11 2 3 2 3" xfId="4308" xr:uid="{00000000-0005-0000-0000-00001C070000}"/>
    <cellStyle name="Separador de milhares 2 2 11 2 3 3" xfId="2353" xr:uid="{00000000-0005-0000-0000-00001D070000}"/>
    <cellStyle name="Separador de milhares 2 2 11 2 3 3 2" xfId="5049" xr:uid="{00000000-0005-0000-0000-00001E070000}"/>
    <cellStyle name="Separador de milhares 2 2 11 2 3 4" xfId="3542" xr:uid="{00000000-0005-0000-0000-00001F070000}"/>
    <cellStyle name="Separador de milhares 2 2 11 2 4" xfId="1275" xr:uid="{00000000-0005-0000-0000-000020070000}"/>
    <cellStyle name="Separador de milhares 2 2 11 2 4 2" xfId="2603" xr:uid="{00000000-0005-0000-0000-000021070000}"/>
    <cellStyle name="Separador de milhares 2 2 11 2 4 2 2" xfId="5299" xr:uid="{00000000-0005-0000-0000-000022070000}"/>
    <cellStyle name="Separador de milhares 2 2 11 2 4 3" xfId="3971" xr:uid="{00000000-0005-0000-0000-000023070000}"/>
    <cellStyle name="Separador de milhares 2 2 11 2 5" xfId="2103" xr:uid="{00000000-0005-0000-0000-000024070000}"/>
    <cellStyle name="Separador de milhares 2 2 11 2 5 2" xfId="4799" xr:uid="{00000000-0005-0000-0000-000025070000}"/>
    <cellStyle name="Separador de milhares 2 2 11 2 6" xfId="3205" xr:uid="{00000000-0005-0000-0000-000026070000}"/>
    <cellStyle name="Separador de milhares 2 2 11 3" xfId="618" xr:uid="{00000000-0005-0000-0000-000027070000}"/>
    <cellStyle name="Separador de milhares 2 2 11 3 2" xfId="955" xr:uid="{00000000-0005-0000-0000-000028070000}"/>
    <cellStyle name="Separador de milhares 2 2 11 3 2 2" xfId="1722" xr:uid="{00000000-0005-0000-0000-000029070000}"/>
    <cellStyle name="Separador de milhares 2 2 11 3 2 2 2" xfId="2916" xr:uid="{00000000-0005-0000-0000-00002A070000}"/>
    <cellStyle name="Separador de milhares 2 2 11 3 2 2 2 2" xfId="5612" xr:uid="{00000000-0005-0000-0000-00002B070000}"/>
    <cellStyle name="Separador de milhares 2 2 11 3 2 2 3" xfId="4418" xr:uid="{00000000-0005-0000-0000-00002C070000}"/>
    <cellStyle name="Separador de milhares 2 2 11 3 2 3" xfId="2416" xr:uid="{00000000-0005-0000-0000-00002D070000}"/>
    <cellStyle name="Separador de milhares 2 2 11 3 2 3 2" xfId="5112" xr:uid="{00000000-0005-0000-0000-00002E070000}"/>
    <cellStyle name="Separador de milhares 2 2 11 3 2 4" xfId="3652" xr:uid="{00000000-0005-0000-0000-00002F070000}"/>
    <cellStyle name="Separador de milhares 2 2 11 3 3" xfId="1385" xr:uid="{00000000-0005-0000-0000-000030070000}"/>
    <cellStyle name="Separador de milhares 2 2 11 3 3 2" xfId="2666" xr:uid="{00000000-0005-0000-0000-000031070000}"/>
    <cellStyle name="Separador de milhares 2 2 11 3 3 2 2" xfId="5362" xr:uid="{00000000-0005-0000-0000-000032070000}"/>
    <cellStyle name="Separador de milhares 2 2 11 3 3 3" xfId="4081" xr:uid="{00000000-0005-0000-0000-000033070000}"/>
    <cellStyle name="Separador de milhares 2 2 11 3 4" xfId="2166" xr:uid="{00000000-0005-0000-0000-000034070000}"/>
    <cellStyle name="Separador de milhares 2 2 11 3 4 2" xfId="4862" xr:uid="{00000000-0005-0000-0000-000035070000}"/>
    <cellStyle name="Separador de milhares 2 2 11 3 5" xfId="3315" xr:uid="{00000000-0005-0000-0000-000036070000}"/>
    <cellStyle name="Separador de milhares 2 2 11 4" xfId="781" xr:uid="{00000000-0005-0000-0000-000037070000}"/>
    <cellStyle name="Separador de milhares 2 2 11 4 2" xfId="1548" xr:uid="{00000000-0005-0000-0000-000038070000}"/>
    <cellStyle name="Separador de milhares 2 2 11 4 2 2" xfId="2791" xr:uid="{00000000-0005-0000-0000-000039070000}"/>
    <cellStyle name="Separador de milhares 2 2 11 4 2 2 2" xfId="5487" xr:uid="{00000000-0005-0000-0000-00003A070000}"/>
    <cellStyle name="Separador de milhares 2 2 11 4 2 3" xfId="4244" xr:uid="{00000000-0005-0000-0000-00003B070000}"/>
    <cellStyle name="Separador de milhares 2 2 11 4 3" xfId="2291" xr:uid="{00000000-0005-0000-0000-00003C070000}"/>
    <cellStyle name="Separador de milhares 2 2 11 4 3 2" xfId="4987" xr:uid="{00000000-0005-0000-0000-00003D070000}"/>
    <cellStyle name="Separador de milhares 2 2 11 4 4" xfId="3478" xr:uid="{00000000-0005-0000-0000-00003E070000}"/>
    <cellStyle name="Separador de milhares 2 2 11 5" xfId="1212" xr:uid="{00000000-0005-0000-0000-00003F070000}"/>
    <cellStyle name="Separador de milhares 2 2 11 5 2" xfId="2541" xr:uid="{00000000-0005-0000-0000-000040070000}"/>
    <cellStyle name="Separador de milhares 2 2 11 5 2 2" xfId="5237" xr:uid="{00000000-0005-0000-0000-000041070000}"/>
    <cellStyle name="Separador de milhares 2 2 11 5 3" xfId="3908" xr:uid="{00000000-0005-0000-0000-000042070000}"/>
    <cellStyle name="Separador de milhares 2 2 11 6" xfId="2042" xr:uid="{00000000-0005-0000-0000-000043070000}"/>
    <cellStyle name="Separador de milhares 2 2 11 6 2" xfId="4738" xr:uid="{00000000-0005-0000-0000-000044070000}"/>
    <cellStyle name="Separador de milhares 2 2 11 7" xfId="3142" xr:uid="{00000000-0005-0000-0000-000045070000}"/>
    <cellStyle name="Separador de milhares 2 2 12" xfId="151" xr:uid="{00000000-0005-0000-0000-000046070000}"/>
    <cellStyle name="Separador de milhares 2 2 12 2" xfId="1988" xr:uid="{00000000-0005-0000-0000-000047070000}"/>
    <cellStyle name="Separador de milhares 2 2 12 2 2" xfId="4684" xr:uid="{00000000-0005-0000-0000-000048070000}"/>
    <cellStyle name="Separador de milhares 2 2 12 3" xfId="3081" xr:uid="{00000000-0005-0000-0000-000049070000}"/>
    <cellStyle name="Separador de milhares 2 2 13" xfId="1975" xr:uid="{00000000-0005-0000-0000-00004A070000}"/>
    <cellStyle name="Separador de milhares 2 2 13 2" xfId="4671" xr:uid="{00000000-0005-0000-0000-00004B070000}"/>
    <cellStyle name="Separador de milhares 2 2 14" xfId="3066" xr:uid="{00000000-0005-0000-0000-00004C070000}"/>
    <cellStyle name="Separador de milhares 2 2 15" xfId="5894" xr:uid="{00000000-0005-0000-0000-00004D070000}"/>
    <cellStyle name="Separador de milhares 2 2 16" xfId="5908" xr:uid="{00000000-0005-0000-0000-00004E070000}"/>
    <cellStyle name="Separador de milhares 2 2 2" xfId="244" xr:uid="{00000000-0005-0000-0000-00004F070000}"/>
    <cellStyle name="Separador de milhares 2 2 2 2" xfId="455" xr:uid="{00000000-0005-0000-0000-000050070000}"/>
    <cellStyle name="Separador de milhares 2 2 2 2 2" xfId="520" xr:uid="{00000000-0005-0000-0000-000051070000}"/>
    <cellStyle name="Separador de milhares 2 2 2 2 2 2" xfId="694" xr:uid="{00000000-0005-0000-0000-000052070000}"/>
    <cellStyle name="Separador de milhares 2 2 2 2 2 2 2" xfId="1031" xr:uid="{00000000-0005-0000-0000-000053070000}"/>
    <cellStyle name="Separador de milhares 2 2 2 2 2 2 2 2" xfId="1798" xr:uid="{00000000-0005-0000-0000-000054070000}"/>
    <cellStyle name="Separador de milhares 2 2 2 2 2 2 2 2 2" xfId="2991" xr:uid="{00000000-0005-0000-0000-000055070000}"/>
    <cellStyle name="Separador de milhares 2 2 2 2 2 2 2 2 2 2" xfId="5687" xr:uid="{00000000-0005-0000-0000-000056070000}"/>
    <cellStyle name="Separador de milhares 2 2 2 2 2 2 2 2 3" xfId="4494" xr:uid="{00000000-0005-0000-0000-000057070000}"/>
    <cellStyle name="Separador de milhares 2 2 2 2 2 2 2 3" xfId="2491" xr:uid="{00000000-0005-0000-0000-000058070000}"/>
    <cellStyle name="Separador de milhares 2 2 2 2 2 2 2 3 2" xfId="5187" xr:uid="{00000000-0005-0000-0000-000059070000}"/>
    <cellStyle name="Separador de milhares 2 2 2 2 2 2 2 4" xfId="3728" xr:uid="{00000000-0005-0000-0000-00005A070000}"/>
    <cellStyle name="Separador de milhares 2 2 2 2 2 2 3" xfId="1461" xr:uid="{00000000-0005-0000-0000-00005B070000}"/>
    <cellStyle name="Separador de milhares 2 2 2 2 2 2 3 2" xfId="2741" xr:uid="{00000000-0005-0000-0000-00005C070000}"/>
    <cellStyle name="Separador de milhares 2 2 2 2 2 2 3 2 2" xfId="5437" xr:uid="{00000000-0005-0000-0000-00005D070000}"/>
    <cellStyle name="Separador de milhares 2 2 2 2 2 2 3 3" xfId="4157" xr:uid="{00000000-0005-0000-0000-00005E070000}"/>
    <cellStyle name="Separador de milhares 2 2 2 2 2 2 4" xfId="2241" xr:uid="{00000000-0005-0000-0000-00005F070000}"/>
    <cellStyle name="Separador de milhares 2 2 2 2 2 2 4 2" xfId="4937" xr:uid="{00000000-0005-0000-0000-000060070000}"/>
    <cellStyle name="Separador de milhares 2 2 2 2 2 2 5" xfId="3391" xr:uid="{00000000-0005-0000-0000-000061070000}"/>
    <cellStyle name="Separador de milhares 2 2 2 2 2 3" xfId="858" xr:uid="{00000000-0005-0000-0000-000062070000}"/>
    <cellStyle name="Separador de milhares 2 2 2 2 2 3 2" xfId="1625" xr:uid="{00000000-0005-0000-0000-000063070000}"/>
    <cellStyle name="Separador de milhares 2 2 2 2 2 3 2 2" xfId="2866" xr:uid="{00000000-0005-0000-0000-000064070000}"/>
    <cellStyle name="Separador de milhares 2 2 2 2 2 3 2 2 2" xfId="5562" xr:uid="{00000000-0005-0000-0000-000065070000}"/>
    <cellStyle name="Separador de milhares 2 2 2 2 2 3 2 3" xfId="4321" xr:uid="{00000000-0005-0000-0000-000066070000}"/>
    <cellStyle name="Separador de milhares 2 2 2 2 2 3 3" xfId="2366" xr:uid="{00000000-0005-0000-0000-000067070000}"/>
    <cellStyle name="Separador de milhares 2 2 2 2 2 3 3 2" xfId="5062" xr:uid="{00000000-0005-0000-0000-000068070000}"/>
    <cellStyle name="Separador de milhares 2 2 2 2 2 3 4" xfId="3555" xr:uid="{00000000-0005-0000-0000-000069070000}"/>
    <cellStyle name="Separador de milhares 2 2 2 2 2 4" xfId="1288" xr:uid="{00000000-0005-0000-0000-00006A070000}"/>
    <cellStyle name="Separador de milhares 2 2 2 2 2 4 2" xfId="2616" xr:uid="{00000000-0005-0000-0000-00006B070000}"/>
    <cellStyle name="Separador de milhares 2 2 2 2 2 4 2 2" xfId="5312" xr:uid="{00000000-0005-0000-0000-00006C070000}"/>
    <cellStyle name="Separador de milhares 2 2 2 2 2 4 3" xfId="3984" xr:uid="{00000000-0005-0000-0000-00006D070000}"/>
    <cellStyle name="Separador de milhares 2 2 2 2 2 5" xfId="2116" xr:uid="{00000000-0005-0000-0000-00006E070000}"/>
    <cellStyle name="Separador de milhares 2 2 2 2 2 5 2" xfId="4812" xr:uid="{00000000-0005-0000-0000-00006F070000}"/>
    <cellStyle name="Separador de milhares 2 2 2 2 2 6" xfId="3218" xr:uid="{00000000-0005-0000-0000-000070070000}"/>
    <cellStyle name="Separador de milhares 2 2 2 2 3" xfId="631" xr:uid="{00000000-0005-0000-0000-000071070000}"/>
    <cellStyle name="Separador de milhares 2 2 2 2 3 2" xfId="968" xr:uid="{00000000-0005-0000-0000-000072070000}"/>
    <cellStyle name="Separador de milhares 2 2 2 2 3 2 2" xfId="1735" xr:uid="{00000000-0005-0000-0000-000073070000}"/>
    <cellStyle name="Separador de milhares 2 2 2 2 3 2 2 2" xfId="2929" xr:uid="{00000000-0005-0000-0000-000074070000}"/>
    <cellStyle name="Separador de milhares 2 2 2 2 3 2 2 2 2" xfId="5625" xr:uid="{00000000-0005-0000-0000-000075070000}"/>
    <cellStyle name="Separador de milhares 2 2 2 2 3 2 2 3" xfId="4431" xr:uid="{00000000-0005-0000-0000-000076070000}"/>
    <cellStyle name="Separador de milhares 2 2 2 2 3 2 3" xfId="2429" xr:uid="{00000000-0005-0000-0000-000077070000}"/>
    <cellStyle name="Separador de milhares 2 2 2 2 3 2 3 2" xfId="5125" xr:uid="{00000000-0005-0000-0000-000078070000}"/>
    <cellStyle name="Separador de milhares 2 2 2 2 3 2 4" xfId="3665" xr:uid="{00000000-0005-0000-0000-000079070000}"/>
    <cellStyle name="Separador de milhares 2 2 2 2 3 3" xfId="1398" xr:uid="{00000000-0005-0000-0000-00007A070000}"/>
    <cellStyle name="Separador de milhares 2 2 2 2 3 3 2" xfId="2679" xr:uid="{00000000-0005-0000-0000-00007B070000}"/>
    <cellStyle name="Separador de milhares 2 2 2 2 3 3 2 2" xfId="5375" xr:uid="{00000000-0005-0000-0000-00007C070000}"/>
    <cellStyle name="Separador de milhares 2 2 2 2 3 3 3" xfId="4094" xr:uid="{00000000-0005-0000-0000-00007D070000}"/>
    <cellStyle name="Separador de milhares 2 2 2 2 3 4" xfId="2179" xr:uid="{00000000-0005-0000-0000-00007E070000}"/>
    <cellStyle name="Separador de milhares 2 2 2 2 3 4 2" xfId="4875" xr:uid="{00000000-0005-0000-0000-00007F070000}"/>
    <cellStyle name="Separador de milhares 2 2 2 2 3 5" xfId="3328" xr:uid="{00000000-0005-0000-0000-000080070000}"/>
    <cellStyle name="Separador de milhares 2 2 2 2 4" xfId="794" xr:uid="{00000000-0005-0000-0000-000081070000}"/>
    <cellStyle name="Separador de milhares 2 2 2 2 4 2" xfId="1561" xr:uid="{00000000-0005-0000-0000-000082070000}"/>
    <cellStyle name="Separador de milhares 2 2 2 2 4 2 2" xfId="2804" xr:uid="{00000000-0005-0000-0000-000083070000}"/>
    <cellStyle name="Separador de milhares 2 2 2 2 4 2 2 2" xfId="5500" xr:uid="{00000000-0005-0000-0000-000084070000}"/>
    <cellStyle name="Separador de milhares 2 2 2 2 4 2 3" xfId="4257" xr:uid="{00000000-0005-0000-0000-000085070000}"/>
    <cellStyle name="Separador de milhares 2 2 2 2 4 3" xfId="2304" xr:uid="{00000000-0005-0000-0000-000086070000}"/>
    <cellStyle name="Separador de milhares 2 2 2 2 4 3 2" xfId="5000" xr:uid="{00000000-0005-0000-0000-000087070000}"/>
    <cellStyle name="Separador de milhares 2 2 2 2 4 4" xfId="3491" xr:uid="{00000000-0005-0000-0000-000088070000}"/>
    <cellStyle name="Separador de milhares 2 2 2 2 5" xfId="1225" xr:uid="{00000000-0005-0000-0000-000089070000}"/>
    <cellStyle name="Separador de milhares 2 2 2 2 5 2" xfId="2554" xr:uid="{00000000-0005-0000-0000-00008A070000}"/>
    <cellStyle name="Separador de milhares 2 2 2 2 5 2 2" xfId="5250" xr:uid="{00000000-0005-0000-0000-00008B070000}"/>
    <cellStyle name="Separador de milhares 2 2 2 2 5 3" xfId="3921" xr:uid="{00000000-0005-0000-0000-00008C070000}"/>
    <cellStyle name="Separador de milhares 2 2 2 2 6" xfId="2054" xr:uid="{00000000-0005-0000-0000-00008D070000}"/>
    <cellStyle name="Separador de milhares 2 2 2 2 6 2" xfId="4750" xr:uid="{00000000-0005-0000-0000-00008E070000}"/>
    <cellStyle name="Separador de milhares 2 2 2 2 7" xfId="3154" xr:uid="{00000000-0005-0000-0000-00008F070000}"/>
    <cellStyle name="Separador de milhares 2 2 2 3" xfId="1998" xr:uid="{00000000-0005-0000-0000-000090070000}"/>
    <cellStyle name="Separador de milhares 2 2 2 3 2" xfId="4694" xr:uid="{00000000-0005-0000-0000-000091070000}"/>
    <cellStyle name="Separador de milhares 2 2 2 4" xfId="3096" xr:uid="{00000000-0005-0000-0000-000092070000}"/>
    <cellStyle name="Separador de milhares 2 2 3" xfId="354" xr:uid="{00000000-0005-0000-0000-000093070000}"/>
    <cellStyle name="Separador de milhares 2 2 4" xfId="355" xr:uid="{00000000-0005-0000-0000-000094070000}"/>
    <cellStyle name="Separador de milhares 2 2 5" xfId="356" xr:uid="{00000000-0005-0000-0000-000095070000}"/>
    <cellStyle name="Separador de milhares 2 2 6" xfId="357" xr:uid="{00000000-0005-0000-0000-000096070000}"/>
    <cellStyle name="Separador de milhares 2 2 6 2" xfId="358" xr:uid="{00000000-0005-0000-0000-000097070000}"/>
    <cellStyle name="Separador de milhares 2 2 6 3" xfId="464" xr:uid="{00000000-0005-0000-0000-000098070000}"/>
    <cellStyle name="Separador de milhares 2 2 6 3 2" xfId="529" xr:uid="{00000000-0005-0000-0000-000099070000}"/>
    <cellStyle name="Separador de milhares 2 2 6 3 2 2" xfId="703" xr:uid="{00000000-0005-0000-0000-00009A070000}"/>
    <cellStyle name="Separador de milhares 2 2 6 3 2 2 2" xfId="1040" xr:uid="{00000000-0005-0000-0000-00009B070000}"/>
    <cellStyle name="Separador de milhares 2 2 6 3 2 2 2 2" xfId="1807" xr:uid="{00000000-0005-0000-0000-00009C070000}"/>
    <cellStyle name="Separador de milhares 2 2 6 3 2 2 2 2 2" xfId="3000" xr:uid="{00000000-0005-0000-0000-00009D070000}"/>
    <cellStyle name="Separador de milhares 2 2 6 3 2 2 2 2 2 2" xfId="5696" xr:uid="{00000000-0005-0000-0000-00009E070000}"/>
    <cellStyle name="Separador de milhares 2 2 6 3 2 2 2 2 3" xfId="4503" xr:uid="{00000000-0005-0000-0000-00009F070000}"/>
    <cellStyle name="Separador de milhares 2 2 6 3 2 2 2 3" xfId="2500" xr:uid="{00000000-0005-0000-0000-0000A0070000}"/>
    <cellStyle name="Separador de milhares 2 2 6 3 2 2 2 3 2" xfId="5196" xr:uid="{00000000-0005-0000-0000-0000A1070000}"/>
    <cellStyle name="Separador de milhares 2 2 6 3 2 2 2 4" xfId="3737" xr:uid="{00000000-0005-0000-0000-0000A2070000}"/>
    <cellStyle name="Separador de milhares 2 2 6 3 2 2 3" xfId="1470" xr:uid="{00000000-0005-0000-0000-0000A3070000}"/>
    <cellStyle name="Separador de milhares 2 2 6 3 2 2 3 2" xfId="2750" xr:uid="{00000000-0005-0000-0000-0000A4070000}"/>
    <cellStyle name="Separador de milhares 2 2 6 3 2 2 3 2 2" xfId="5446" xr:uid="{00000000-0005-0000-0000-0000A5070000}"/>
    <cellStyle name="Separador de milhares 2 2 6 3 2 2 3 3" xfId="4166" xr:uid="{00000000-0005-0000-0000-0000A6070000}"/>
    <cellStyle name="Separador de milhares 2 2 6 3 2 2 4" xfId="2250" xr:uid="{00000000-0005-0000-0000-0000A7070000}"/>
    <cellStyle name="Separador de milhares 2 2 6 3 2 2 4 2" xfId="4946" xr:uid="{00000000-0005-0000-0000-0000A8070000}"/>
    <cellStyle name="Separador de milhares 2 2 6 3 2 2 5" xfId="3400" xr:uid="{00000000-0005-0000-0000-0000A9070000}"/>
    <cellStyle name="Separador de milhares 2 2 6 3 2 3" xfId="867" xr:uid="{00000000-0005-0000-0000-0000AA070000}"/>
    <cellStyle name="Separador de milhares 2 2 6 3 2 3 2" xfId="1634" xr:uid="{00000000-0005-0000-0000-0000AB070000}"/>
    <cellStyle name="Separador de milhares 2 2 6 3 2 3 2 2" xfId="2875" xr:uid="{00000000-0005-0000-0000-0000AC070000}"/>
    <cellStyle name="Separador de milhares 2 2 6 3 2 3 2 2 2" xfId="5571" xr:uid="{00000000-0005-0000-0000-0000AD070000}"/>
    <cellStyle name="Separador de milhares 2 2 6 3 2 3 2 3" xfId="4330" xr:uid="{00000000-0005-0000-0000-0000AE070000}"/>
    <cellStyle name="Separador de milhares 2 2 6 3 2 3 3" xfId="2375" xr:uid="{00000000-0005-0000-0000-0000AF070000}"/>
    <cellStyle name="Separador de milhares 2 2 6 3 2 3 3 2" xfId="5071" xr:uid="{00000000-0005-0000-0000-0000B0070000}"/>
    <cellStyle name="Separador de milhares 2 2 6 3 2 3 4" xfId="3564" xr:uid="{00000000-0005-0000-0000-0000B1070000}"/>
    <cellStyle name="Separador de milhares 2 2 6 3 2 4" xfId="1297" xr:uid="{00000000-0005-0000-0000-0000B2070000}"/>
    <cellStyle name="Separador de milhares 2 2 6 3 2 4 2" xfId="2625" xr:uid="{00000000-0005-0000-0000-0000B3070000}"/>
    <cellStyle name="Separador de milhares 2 2 6 3 2 4 2 2" xfId="5321" xr:uid="{00000000-0005-0000-0000-0000B4070000}"/>
    <cellStyle name="Separador de milhares 2 2 6 3 2 4 3" xfId="3993" xr:uid="{00000000-0005-0000-0000-0000B5070000}"/>
    <cellStyle name="Separador de milhares 2 2 6 3 2 5" xfId="2125" xr:uid="{00000000-0005-0000-0000-0000B6070000}"/>
    <cellStyle name="Separador de milhares 2 2 6 3 2 5 2" xfId="4821" xr:uid="{00000000-0005-0000-0000-0000B7070000}"/>
    <cellStyle name="Separador de milhares 2 2 6 3 2 6" xfId="3227" xr:uid="{00000000-0005-0000-0000-0000B8070000}"/>
    <cellStyle name="Separador de milhares 2 2 6 3 3" xfId="640" xr:uid="{00000000-0005-0000-0000-0000B9070000}"/>
    <cellStyle name="Separador de milhares 2 2 6 3 3 2" xfId="977" xr:uid="{00000000-0005-0000-0000-0000BA070000}"/>
    <cellStyle name="Separador de milhares 2 2 6 3 3 2 2" xfId="1744" xr:uid="{00000000-0005-0000-0000-0000BB070000}"/>
    <cellStyle name="Separador de milhares 2 2 6 3 3 2 2 2" xfId="2938" xr:uid="{00000000-0005-0000-0000-0000BC070000}"/>
    <cellStyle name="Separador de milhares 2 2 6 3 3 2 2 2 2" xfId="5634" xr:uid="{00000000-0005-0000-0000-0000BD070000}"/>
    <cellStyle name="Separador de milhares 2 2 6 3 3 2 2 3" xfId="4440" xr:uid="{00000000-0005-0000-0000-0000BE070000}"/>
    <cellStyle name="Separador de milhares 2 2 6 3 3 2 3" xfId="2438" xr:uid="{00000000-0005-0000-0000-0000BF070000}"/>
    <cellStyle name="Separador de milhares 2 2 6 3 3 2 3 2" xfId="5134" xr:uid="{00000000-0005-0000-0000-0000C0070000}"/>
    <cellStyle name="Separador de milhares 2 2 6 3 3 2 4" xfId="3674" xr:uid="{00000000-0005-0000-0000-0000C1070000}"/>
    <cellStyle name="Separador de milhares 2 2 6 3 3 3" xfId="1407" xr:uid="{00000000-0005-0000-0000-0000C2070000}"/>
    <cellStyle name="Separador de milhares 2 2 6 3 3 3 2" xfId="2688" xr:uid="{00000000-0005-0000-0000-0000C3070000}"/>
    <cellStyle name="Separador de milhares 2 2 6 3 3 3 2 2" xfId="5384" xr:uid="{00000000-0005-0000-0000-0000C4070000}"/>
    <cellStyle name="Separador de milhares 2 2 6 3 3 3 3" xfId="4103" xr:uid="{00000000-0005-0000-0000-0000C5070000}"/>
    <cellStyle name="Separador de milhares 2 2 6 3 3 4" xfId="2188" xr:uid="{00000000-0005-0000-0000-0000C6070000}"/>
    <cellStyle name="Separador de milhares 2 2 6 3 3 4 2" xfId="4884" xr:uid="{00000000-0005-0000-0000-0000C7070000}"/>
    <cellStyle name="Separador de milhares 2 2 6 3 3 5" xfId="3337" xr:uid="{00000000-0005-0000-0000-0000C8070000}"/>
    <cellStyle name="Separador de milhares 2 2 6 3 4" xfId="803" xr:uid="{00000000-0005-0000-0000-0000C9070000}"/>
    <cellStyle name="Separador de milhares 2 2 6 3 4 2" xfId="1570" xr:uid="{00000000-0005-0000-0000-0000CA070000}"/>
    <cellStyle name="Separador de milhares 2 2 6 3 4 2 2" xfId="2813" xr:uid="{00000000-0005-0000-0000-0000CB070000}"/>
    <cellStyle name="Separador de milhares 2 2 6 3 4 2 2 2" xfId="5509" xr:uid="{00000000-0005-0000-0000-0000CC070000}"/>
    <cellStyle name="Separador de milhares 2 2 6 3 4 2 3" xfId="4266" xr:uid="{00000000-0005-0000-0000-0000CD070000}"/>
    <cellStyle name="Separador de milhares 2 2 6 3 4 3" xfId="2313" xr:uid="{00000000-0005-0000-0000-0000CE070000}"/>
    <cellStyle name="Separador de milhares 2 2 6 3 4 3 2" xfId="5009" xr:uid="{00000000-0005-0000-0000-0000CF070000}"/>
    <cellStyle name="Separador de milhares 2 2 6 3 4 4" xfId="3500" xr:uid="{00000000-0005-0000-0000-0000D0070000}"/>
    <cellStyle name="Separador de milhares 2 2 6 3 5" xfId="1234" xr:uid="{00000000-0005-0000-0000-0000D1070000}"/>
    <cellStyle name="Separador de milhares 2 2 6 3 5 2" xfId="2563" xr:uid="{00000000-0005-0000-0000-0000D2070000}"/>
    <cellStyle name="Separador de milhares 2 2 6 3 5 2 2" xfId="5259" xr:uid="{00000000-0005-0000-0000-0000D3070000}"/>
    <cellStyle name="Separador de milhares 2 2 6 3 5 3" xfId="3930" xr:uid="{00000000-0005-0000-0000-0000D4070000}"/>
    <cellStyle name="Separador de milhares 2 2 6 3 6" xfId="2063" xr:uid="{00000000-0005-0000-0000-0000D5070000}"/>
    <cellStyle name="Separador de milhares 2 2 6 3 6 2" xfId="4759" xr:uid="{00000000-0005-0000-0000-0000D6070000}"/>
    <cellStyle name="Separador de milhares 2 2 6 3 7" xfId="3163" xr:uid="{00000000-0005-0000-0000-0000D7070000}"/>
    <cellStyle name="Separador de milhares 2 2 6 4" xfId="2008" xr:uid="{00000000-0005-0000-0000-0000D8070000}"/>
    <cellStyle name="Separador de milhares 2 2 6 4 2" xfId="4704" xr:uid="{00000000-0005-0000-0000-0000D9070000}"/>
    <cellStyle name="Separador de milhares 2 2 6 5" xfId="3107" xr:uid="{00000000-0005-0000-0000-0000DA070000}"/>
    <cellStyle name="Separador de milhares 2 2 7" xfId="359" xr:uid="{00000000-0005-0000-0000-0000DB070000}"/>
    <cellStyle name="Separador de milhares 2 2 7 2" xfId="360" xr:uid="{00000000-0005-0000-0000-0000DC070000}"/>
    <cellStyle name="Separador de milhares 2 2 8" xfId="361" xr:uid="{00000000-0005-0000-0000-0000DD070000}"/>
    <cellStyle name="Separador de milhares 2 2 8 2" xfId="465" xr:uid="{00000000-0005-0000-0000-0000DE070000}"/>
    <cellStyle name="Separador de milhares 2 2 8 2 2" xfId="530" xr:uid="{00000000-0005-0000-0000-0000DF070000}"/>
    <cellStyle name="Separador de milhares 2 2 8 2 2 2" xfId="704" xr:uid="{00000000-0005-0000-0000-0000E0070000}"/>
    <cellStyle name="Separador de milhares 2 2 8 2 2 2 2" xfId="1041" xr:uid="{00000000-0005-0000-0000-0000E1070000}"/>
    <cellStyle name="Separador de milhares 2 2 8 2 2 2 2 2" xfId="1808" xr:uid="{00000000-0005-0000-0000-0000E2070000}"/>
    <cellStyle name="Separador de milhares 2 2 8 2 2 2 2 2 2" xfId="3001" xr:uid="{00000000-0005-0000-0000-0000E3070000}"/>
    <cellStyle name="Separador de milhares 2 2 8 2 2 2 2 2 2 2" xfId="5697" xr:uid="{00000000-0005-0000-0000-0000E4070000}"/>
    <cellStyle name="Separador de milhares 2 2 8 2 2 2 2 2 3" xfId="4504" xr:uid="{00000000-0005-0000-0000-0000E5070000}"/>
    <cellStyle name="Separador de milhares 2 2 8 2 2 2 2 3" xfId="2501" xr:uid="{00000000-0005-0000-0000-0000E6070000}"/>
    <cellStyle name="Separador de milhares 2 2 8 2 2 2 2 3 2" xfId="5197" xr:uid="{00000000-0005-0000-0000-0000E7070000}"/>
    <cellStyle name="Separador de milhares 2 2 8 2 2 2 2 4" xfId="3738" xr:uid="{00000000-0005-0000-0000-0000E8070000}"/>
    <cellStyle name="Separador de milhares 2 2 8 2 2 2 3" xfId="1471" xr:uid="{00000000-0005-0000-0000-0000E9070000}"/>
    <cellStyle name="Separador de milhares 2 2 8 2 2 2 3 2" xfId="2751" xr:uid="{00000000-0005-0000-0000-0000EA070000}"/>
    <cellStyle name="Separador de milhares 2 2 8 2 2 2 3 2 2" xfId="5447" xr:uid="{00000000-0005-0000-0000-0000EB070000}"/>
    <cellStyle name="Separador de milhares 2 2 8 2 2 2 3 3" xfId="4167" xr:uid="{00000000-0005-0000-0000-0000EC070000}"/>
    <cellStyle name="Separador de milhares 2 2 8 2 2 2 4" xfId="2251" xr:uid="{00000000-0005-0000-0000-0000ED070000}"/>
    <cellStyle name="Separador de milhares 2 2 8 2 2 2 4 2" xfId="4947" xr:uid="{00000000-0005-0000-0000-0000EE070000}"/>
    <cellStyle name="Separador de milhares 2 2 8 2 2 2 5" xfId="3401" xr:uid="{00000000-0005-0000-0000-0000EF070000}"/>
    <cellStyle name="Separador de milhares 2 2 8 2 2 3" xfId="868" xr:uid="{00000000-0005-0000-0000-0000F0070000}"/>
    <cellStyle name="Separador de milhares 2 2 8 2 2 3 2" xfId="1635" xr:uid="{00000000-0005-0000-0000-0000F1070000}"/>
    <cellStyle name="Separador de milhares 2 2 8 2 2 3 2 2" xfId="2876" xr:uid="{00000000-0005-0000-0000-0000F2070000}"/>
    <cellStyle name="Separador de milhares 2 2 8 2 2 3 2 2 2" xfId="5572" xr:uid="{00000000-0005-0000-0000-0000F3070000}"/>
    <cellStyle name="Separador de milhares 2 2 8 2 2 3 2 3" xfId="4331" xr:uid="{00000000-0005-0000-0000-0000F4070000}"/>
    <cellStyle name="Separador de milhares 2 2 8 2 2 3 3" xfId="2376" xr:uid="{00000000-0005-0000-0000-0000F5070000}"/>
    <cellStyle name="Separador de milhares 2 2 8 2 2 3 3 2" xfId="5072" xr:uid="{00000000-0005-0000-0000-0000F6070000}"/>
    <cellStyle name="Separador de milhares 2 2 8 2 2 3 4" xfId="3565" xr:uid="{00000000-0005-0000-0000-0000F7070000}"/>
    <cellStyle name="Separador de milhares 2 2 8 2 2 4" xfId="1298" xr:uid="{00000000-0005-0000-0000-0000F8070000}"/>
    <cellStyle name="Separador de milhares 2 2 8 2 2 4 2" xfId="2626" xr:uid="{00000000-0005-0000-0000-0000F9070000}"/>
    <cellStyle name="Separador de milhares 2 2 8 2 2 4 2 2" xfId="5322" xr:uid="{00000000-0005-0000-0000-0000FA070000}"/>
    <cellStyle name="Separador de milhares 2 2 8 2 2 4 3" xfId="3994" xr:uid="{00000000-0005-0000-0000-0000FB070000}"/>
    <cellStyle name="Separador de milhares 2 2 8 2 2 5" xfId="2126" xr:uid="{00000000-0005-0000-0000-0000FC070000}"/>
    <cellStyle name="Separador de milhares 2 2 8 2 2 5 2" xfId="4822" xr:uid="{00000000-0005-0000-0000-0000FD070000}"/>
    <cellStyle name="Separador de milhares 2 2 8 2 2 6" xfId="3228" xr:uid="{00000000-0005-0000-0000-0000FE070000}"/>
    <cellStyle name="Separador de milhares 2 2 8 2 3" xfId="641" xr:uid="{00000000-0005-0000-0000-0000FF070000}"/>
    <cellStyle name="Separador de milhares 2 2 8 2 3 2" xfId="978" xr:uid="{00000000-0005-0000-0000-000000080000}"/>
    <cellStyle name="Separador de milhares 2 2 8 2 3 2 2" xfId="1745" xr:uid="{00000000-0005-0000-0000-000001080000}"/>
    <cellStyle name="Separador de milhares 2 2 8 2 3 2 2 2" xfId="2939" xr:uid="{00000000-0005-0000-0000-000002080000}"/>
    <cellStyle name="Separador de milhares 2 2 8 2 3 2 2 2 2" xfId="5635" xr:uid="{00000000-0005-0000-0000-000003080000}"/>
    <cellStyle name="Separador de milhares 2 2 8 2 3 2 2 3" xfId="4441" xr:uid="{00000000-0005-0000-0000-000004080000}"/>
    <cellStyle name="Separador de milhares 2 2 8 2 3 2 3" xfId="2439" xr:uid="{00000000-0005-0000-0000-000005080000}"/>
    <cellStyle name="Separador de milhares 2 2 8 2 3 2 3 2" xfId="5135" xr:uid="{00000000-0005-0000-0000-000006080000}"/>
    <cellStyle name="Separador de milhares 2 2 8 2 3 2 4" xfId="3675" xr:uid="{00000000-0005-0000-0000-000007080000}"/>
    <cellStyle name="Separador de milhares 2 2 8 2 3 3" xfId="1408" xr:uid="{00000000-0005-0000-0000-000008080000}"/>
    <cellStyle name="Separador de milhares 2 2 8 2 3 3 2" xfId="2689" xr:uid="{00000000-0005-0000-0000-000009080000}"/>
    <cellStyle name="Separador de milhares 2 2 8 2 3 3 2 2" xfId="5385" xr:uid="{00000000-0005-0000-0000-00000A080000}"/>
    <cellStyle name="Separador de milhares 2 2 8 2 3 3 3" xfId="4104" xr:uid="{00000000-0005-0000-0000-00000B080000}"/>
    <cellStyle name="Separador de milhares 2 2 8 2 3 4" xfId="2189" xr:uid="{00000000-0005-0000-0000-00000C080000}"/>
    <cellStyle name="Separador de milhares 2 2 8 2 3 4 2" xfId="4885" xr:uid="{00000000-0005-0000-0000-00000D080000}"/>
    <cellStyle name="Separador de milhares 2 2 8 2 3 5" xfId="3338" xr:uid="{00000000-0005-0000-0000-00000E080000}"/>
    <cellStyle name="Separador de milhares 2 2 8 2 4" xfId="804" xr:uid="{00000000-0005-0000-0000-00000F080000}"/>
    <cellStyle name="Separador de milhares 2 2 8 2 4 2" xfId="1571" xr:uid="{00000000-0005-0000-0000-000010080000}"/>
    <cellStyle name="Separador de milhares 2 2 8 2 4 2 2" xfId="2814" xr:uid="{00000000-0005-0000-0000-000011080000}"/>
    <cellStyle name="Separador de milhares 2 2 8 2 4 2 2 2" xfId="5510" xr:uid="{00000000-0005-0000-0000-000012080000}"/>
    <cellStyle name="Separador de milhares 2 2 8 2 4 2 3" xfId="4267" xr:uid="{00000000-0005-0000-0000-000013080000}"/>
    <cellStyle name="Separador de milhares 2 2 8 2 4 3" xfId="2314" xr:uid="{00000000-0005-0000-0000-000014080000}"/>
    <cellStyle name="Separador de milhares 2 2 8 2 4 3 2" xfId="5010" xr:uid="{00000000-0005-0000-0000-000015080000}"/>
    <cellStyle name="Separador de milhares 2 2 8 2 4 4" xfId="3501" xr:uid="{00000000-0005-0000-0000-000016080000}"/>
    <cellStyle name="Separador de milhares 2 2 8 2 5" xfId="1235" xr:uid="{00000000-0005-0000-0000-000017080000}"/>
    <cellStyle name="Separador de milhares 2 2 8 2 5 2" xfId="2564" xr:uid="{00000000-0005-0000-0000-000018080000}"/>
    <cellStyle name="Separador de milhares 2 2 8 2 5 2 2" xfId="5260" xr:uid="{00000000-0005-0000-0000-000019080000}"/>
    <cellStyle name="Separador de milhares 2 2 8 2 5 3" xfId="3931" xr:uid="{00000000-0005-0000-0000-00001A080000}"/>
    <cellStyle name="Separador de milhares 2 2 8 2 6" xfId="2064" xr:uid="{00000000-0005-0000-0000-00001B080000}"/>
    <cellStyle name="Separador de milhares 2 2 8 2 6 2" xfId="4760" xr:uid="{00000000-0005-0000-0000-00001C080000}"/>
    <cellStyle name="Separador de milhares 2 2 8 2 7" xfId="3164" xr:uid="{00000000-0005-0000-0000-00001D080000}"/>
    <cellStyle name="Separador de milhares 2 2 8 3" xfId="2009" xr:uid="{00000000-0005-0000-0000-00001E080000}"/>
    <cellStyle name="Separador de milhares 2 2 8 3 2" xfId="4705" xr:uid="{00000000-0005-0000-0000-00001F080000}"/>
    <cellStyle name="Separador de milhares 2 2 8 4" xfId="3108" xr:uid="{00000000-0005-0000-0000-000020080000}"/>
    <cellStyle name="Separador de milhares 2 2 9" xfId="362" xr:uid="{00000000-0005-0000-0000-000021080000}"/>
    <cellStyle name="Separador de milhares 2 2_14ª MED. TY" xfId="363" xr:uid="{00000000-0005-0000-0000-000022080000}"/>
    <cellStyle name="Separador de milhares 2 20" xfId="364" xr:uid="{00000000-0005-0000-0000-000023080000}"/>
    <cellStyle name="Separador de milhares 2 21" xfId="365" xr:uid="{00000000-0005-0000-0000-000024080000}"/>
    <cellStyle name="Separador de milhares 2 22" xfId="366" xr:uid="{00000000-0005-0000-0000-000025080000}"/>
    <cellStyle name="Separador de milhares 2 23" xfId="367" xr:uid="{00000000-0005-0000-0000-000026080000}"/>
    <cellStyle name="Separador de milhares 2 24" xfId="368" xr:uid="{00000000-0005-0000-0000-000027080000}"/>
    <cellStyle name="Separador de milhares 2 25" xfId="369" xr:uid="{00000000-0005-0000-0000-000028080000}"/>
    <cellStyle name="Separador de milhares 2 26" xfId="370" xr:uid="{00000000-0005-0000-0000-000029080000}"/>
    <cellStyle name="Separador de milhares 2 27" xfId="371" xr:uid="{00000000-0005-0000-0000-00002A080000}"/>
    <cellStyle name="Separador de milhares 2 28" xfId="372" xr:uid="{00000000-0005-0000-0000-00002B080000}"/>
    <cellStyle name="Separador de milhares 2 29" xfId="373" xr:uid="{00000000-0005-0000-0000-00002C080000}"/>
    <cellStyle name="Separador de milhares 2 3" xfId="95" xr:uid="{00000000-0005-0000-0000-00002D080000}"/>
    <cellStyle name="Separador de milhares 2 3 10" xfId="3074" xr:uid="{00000000-0005-0000-0000-00002E080000}"/>
    <cellStyle name="Separador de milhares 2 3 2" xfId="374" xr:uid="{00000000-0005-0000-0000-00002F080000}"/>
    <cellStyle name="Separador de milhares 2 3 2 2" xfId="466" xr:uid="{00000000-0005-0000-0000-000030080000}"/>
    <cellStyle name="Separador de milhares 2 3 2 2 2" xfId="531" xr:uid="{00000000-0005-0000-0000-000031080000}"/>
    <cellStyle name="Separador de milhares 2 3 2 2 2 2" xfId="705" xr:uid="{00000000-0005-0000-0000-000032080000}"/>
    <cellStyle name="Separador de milhares 2 3 2 2 2 2 2" xfId="1042" xr:uid="{00000000-0005-0000-0000-000033080000}"/>
    <cellStyle name="Separador de milhares 2 3 2 2 2 2 2 2" xfId="1809" xr:uid="{00000000-0005-0000-0000-000034080000}"/>
    <cellStyle name="Separador de milhares 2 3 2 2 2 2 2 2 2" xfId="3002" xr:uid="{00000000-0005-0000-0000-000035080000}"/>
    <cellStyle name="Separador de milhares 2 3 2 2 2 2 2 2 2 2" xfId="5698" xr:uid="{00000000-0005-0000-0000-000036080000}"/>
    <cellStyle name="Separador de milhares 2 3 2 2 2 2 2 2 3" xfId="4505" xr:uid="{00000000-0005-0000-0000-000037080000}"/>
    <cellStyle name="Separador de milhares 2 3 2 2 2 2 2 3" xfId="2502" xr:uid="{00000000-0005-0000-0000-000038080000}"/>
    <cellStyle name="Separador de milhares 2 3 2 2 2 2 2 3 2" xfId="5198" xr:uid="{00000000-0005-0000-0000-000039080000}"/>
    <cellStyle name="Separador de milhares 2 3 2 2 2 2 2 4" xfId="3739" xr:uid="{00000000-0005-0000-0000-00003A080000}"/>
    <cellStyle name="Separador de milhares 2 3 2 2 2 2 3" xfId="1472" xr:uid="{00000000-0005-0000-0000-00003B080000}"/>
    <cellStyle name="Separador de milhares 2 3 2 2 2 2 3 2" xfId="2752" xr:uid="{00000000-0005-0000-0000-00003C080000}"/>
    <cellStyle name="Separador de milhares 2 3 2 2 2 2 3 2 2" xfId="5448" xr:uid="{00000000-0005-0000-0000-00003D080000}"/>
    <cellStyle name="Separador de milhares 2 3 2 2 2 2 3 3" xfId="4168" xr:uid="{00000000-0005-0000-0000-00003E080000}"/>
    <cellStyle name="Separador de milhares 2 3 2 2 2 2 4" xfId="2252" xr:uid="{00000000-0005-0000-0000-00003F080000}"/>
    <cellStyle name="Separador de milhares 2 3 2 2 2 2 4 2" xfId="4948" xr:uid="{00000000-0005-0000-0000-000040080000}"/>
    <cellStyle name="Separador de milhares 2 3 2 2 2 2 5" xfId="3402" xr:uid="{00000000-0005-0000-0000-000041080000}"/>
    <cellStyle name="Separador de milhares 2 3 2 2 2 3" xfId="869" xr:uid="{00000000-0005-0000-0000-000042080000}"/>
    <cellStyle name="Separador de milhares 2 3 2 2 2 3 2" xfId="1636" xr:uid="{00000000-0005-0000-0000-000043080000}"/>
    <cellStyle name="Separador de milhares 2 3 2 2 2 3 2 2" xfId="2877" xr:uid="{00000000-0005-0000-0000-000044080000}"/>
    <cellStyle name="Separador de milhares 2 3 2 2 2 3 2 2 2" xfId="5573" xr:uid="{00000000-0005-0000-0000-000045080000}"/>
    <cellStyle name="Separador de milhares 2 3 2 2 2 3 2 3" xfId="4332" xr:uid="{00000000-0005-0000-0000-000046080000}"/>
    <cellStyle name="Separador de milhares 2 3 2 2 2 3 3" xfId="2377" xr:uid="{00000000-0005-0000-0000-000047080000}"/>
    <cellStyle name="Separador de milhares 2 3 2 2 2 3 3 2" xfId="5073" xr:uid="{00000000-0005-0000-0000-000048080000}"/>
    <cellStyle name="Separador de milhares 2 3 2 2 2 3 4" xfId="3566" xr:uid="{00000000-0005-0000-0000-000049080000}"/>
    <cellStyle name="Separador de milhares 2 3 2 2 2 4" xfId="1299" xr:uid="{00000000-0005-0000-0000-00004A080000}"/>
    <cellStyle name="Separador de milhares 2 3 2 2 2 4 2" xfId="2627" xr:uid="{00000000-0005-0000-0000-00004B080000}"/>
    <cellStyle name="Separador de milhares 2 3 2 2 2 4 2 2" xfId="5323" xr:uid="{00000000-0005-0000-0000-00004C080000}"/>
    <cellStyle name="Separador de milhares 2 3 2 2 2 4 3" xfId="3995" xr:uid="{00000000-0005-0000-0000-00004D080000}"/>
    <cellStyle name="Separador de milhares 2 3 2 2 2 5" xfId="2127" xr:uid="{00000000-0005-0000-0000-00004E080000}"/>
    <cellStyle name="Separador de milhares 2 3 2 2 2 5 2" xfId="4823" xr:uid="{00000000-0005-0000-0000-00004F080000}"/>
    <cellStyle name="Separador de milhares 2 3 2 2 2 6" xfId="3229" xr:uid="{00000000-0005-0000-0000-000050080000}"/>
    <cellStyle name="Separador de milhares 2 3 2 2 3" xfId="642" xr:uid="{00000000-0005-0000-0000-000051080000}"/>
    <cellStyle name="Separador de milhares 2 3 2 2 3 2" xfId="979" xr:uid="{00000000-0005-0000-0000-000052080000}"/>
    <cellStyle name="Separador de milhares 2 3 2 2 3 2 2" xfId="1746" xr:uid="{00000000-0005-0000-0000-000053080000}"/>
    <cellStyle name="Separador de milhares 2 3 2 2 3 2 2 2" xfId="2940" xr:uid="{00000000-0005-0000-0000-000054080000}"/>
    <cellStyle name="Separador de milhares 2 3 2 2 3 2 2 2 2" xfId="5636" xr:uid="{00000000-0005-0000-0000-000055080000}"/>
    <cellStyle name="Separador de milhares 2 3 2 2 3 2 2 3" xfId="4442" xr:uid="{00000000-0005-0000-0000-000056080000}"/>
    <cellStyle name="Separador de milhares 2 3 2 2 3 2 3" xfId="2440" xr:uid="{00000000-0005-0000-0000-000057080000}"/>
    <cellStyle name="Separador de milhares 2 3 2 2 3 2 3 2" xfId="5136" xr:uid="{00000000-0005-0000-0000-000058080000}"/>
    <cellStyle name="Separador de milhares 2 3 2 2 3 2 4" xfId="3676" xr:uid="{00000000-0005-0000-0000-000059080000}"/>
    <cellStyle name="Separador de milhares 2 3 2 2 3 3" xfId="1409" xr:uid="{00000000-0005-0000-0000-00005A080000}"/>
    <cellStyle name="Separador de milhares 2 3 2 2 3 3 2" xfId="2690" xr:uid="{00000000-0005-0000-0000-00005B080000}"/>
    <cellStyle name="Separador de milhares 2 3 2 2 3 3 2 2" xfId="5386" xr:uid="{00000000-0005-0000-0000-00005C080000}"/>
    <cellStyle name="Separador de milhares 2 3 2 2 3 3 3" xfId="4105" xr:uid="{00000000-0005-0000-0000-00005D080000}"/>
    <cellStyle name="Separador de milhares 2 3 2 2 3 4" xfId="2190" xr:uid="{00000000-0005-0000-0000-00005E080000}"/>
    <cellStyle name="Separador de milhares 2 3 2 2 3 4 2" xfId="4886" xr:uid="{00000000-0005-0000-0000-00005F080000}"/>
    <cellStyle name="Separador de milhares 2 3 2 2 3 5" xfId="3339" xr:uid="{00000000-0005-0000-0000-000060080000}"/>
    <cellStyle name="Separador de milhares 2 3 2 2 4" xfId="805" xr:uid="{00000000-0005-0000-0000-000061080000}"/>
    <cellStyle name="Separador de milhares 2 3 2 2 4 2" xfId="1572" xr:uid="{00000000-0005-0000-0000-000062080000}"/>
    <cellStyle name="Separador de milhares 2 3 2 2 4 2 2" xfId="2815" xr:uid="{00000000-0005-0000-0000-000063080000}"/>
    <cellStyle name="Separador de milhares 2 3 2 2 4 2 2 2" xfId="5511" xr:uid="{00000000-0005-0000-0000-000064080000}"/>
    <cellStyle name="Separador de milhares 2 3 2 2 4 2 3" xfId="4268" xr:uid="{00000000-0005-0000-0000-000065080000}"/>
    <cellStyle name="Separador de milhares 2 3 2 2 4 3" xfId="2315" xr:uid="{00000000-0005-0000-0000-000066080000}"/>
    <cellStyle name="Separador de milhares 2 3 2 2 4 3 2" xfId="5011" xr:uid="{00000000-0005-0000-0000-000067080000}"/>
    <cellStyle name="Separador de milhares 2 3 2 2 4 4" xfId="3502" xr:uid="{00000000-0005-0000-0000-000068080000}"/>
    <cellStyle name="Separador de milhares 2 3 2 2 5" xfId="1236" xr:uid="{00000000-0005-0000-0000-000069080000}"/>
    <cellStyle name="Separador de milhares 2 3 2 2 5 2" xfId="2565" xr:uid="{00000000-0005-0000-0000-00006A080000}"/>
    <cellStyle name="Separador de milhares 2 3 2 2 5 2 2" xfId="5261" xr:uid="{00000000-0005-0000-0000-00006B080000}"/>
    <cellStyle name="Separador de milhares 2 3 2 2 5 3" xfId="3932" xr:uid="{00000000-0005-0000-0000-00006C080000}"/>
    <cellStyle name="Separador de milhares 2 3 2 2 6" xfId="2065" xr:uid="{00000000-0005-0000-0000-00006D080000}"/>
    <cellStyle name="Separador de milhares 2 3 2 2 6 2" xfId="4761" xr:uid="{00000000-0005-0000-0000-00006E080000}"/>
    <cellStyle name="Separador de milhares 2 3 2 2 7" xfId="3165" xr:uid="{00000000-0005-0000-0000-00006F080000}"/>
    <cellStyle name="Separador de milhares 2 3 2 3" xfId="501" xr:uid="{00000000-0005-0000-0000-000070080000}"/>
    <cellStyle name="Separador de milhares 2 3 2 3 2" xfId="676" xr:uid="{00000000-0005-0000-0000-000071080000}"/>
    <cellStyle name="Separador de milhares 2 3 2 3 2 2" xfId="1013" xr:uid="{00000000-0005-0000-0000-000072080000}"/>
    <cellStyle name="Separador de milhares 2 3 2 3 2 2 2" xfId="1780" xr:uid="{00000000-0005-0000-0000-000073080000}"/>
    <cellStyle name="Separador de milhares 2 3 2 3 2 2 2 2" xfId="2973" xr:uid="{00000000-0005-0000-0000-000074080000}"/>
    <cellStyle name="Separador de milhares 2 3 2 3 2 2 2 2 2" xfId="5669" xr:uid="{00000000-0005-0000-0000-000075080000}"/>
    <cellStyle name="Separador de milhares 2 3 2 3 2 2 2 3" xfId="4476" xr:uid="{00000000-0005-0000-0000-000076080000}"/>
    <cellStyle name="Separador de milhares 2 3 2 3 2 2 3" xfId="2473" xr:uid="{00000000-0005-0000-0000-000077080000}"/>
    <cellStyle name="Separador de milhares 2 3 2 3 2 2 3 2" xfId="5169" xr:uid="{00000000-0005-0000-0000-000078080000}"/>
    <cellStyle name="Separador de milhares 2 3 2 3 2 2 4" xfId="3710" xr:uid="{00000000-0005-0000-0000-000079080000}"/>
    <cellStyle name="Separador de milhares 2 3 2 3 2 3" xfId="1443" xr:uid="{00000000-0005-0000-0000-00007A080000}"/>
    <cellStyle name="Separador de milhares 2 3 2 3 2 3 2" xfId="2723" xr:uid="{00000000-0005-0000-0000-00007B080000}"/>
    <cellStyle name="Separador de milhares 2 3 2 3 2 3 2 2" xfId="5419" xr:uid="{00000000-0005-0000-0000-00007C080000}"/>
    <cellStyle name="Separador de milhares 2 3 2 3 2 3 3" xfId="4139" xr:uid="{00000000-0005-0000-0000-00007D080000}"/>
    <cellStyle name="Separador de milhares 2 3 2 3 2 4" xfId="2223" xr:uid="{00000000-0005-0000-0000-00007E080000}"/>
    <cellStyle name="Separador de milhares 2 3 2 3 2 4 2" xfId="4919" xr:uid="{00000000-0005-0000-0000-00007F080000}"/>
    <cellStyle name="Separador de milhares 2 3 2 3 2 5" xfId="3373" xr:uid="{00000000-0005-0000-0000-000080080000}"/>
    <cellStyle name="Separador de milhares 2 3 2 3 3" xfId="839" xr:uid="{00000000-0005-0000-0000-000081080000}"/>
    <cellStyle name="Separador de milhares 2 3 2 3 3 2" xfId="1606" xr:uid="{00000000-0005-0000-0000-000082080000}"/>
    <cellStyle name="Separador de milhares 2 3 2 3 3 2 2" xfId="2848" xr:uid="{00000000-0005-0000-0000-000083080000}"/>
    <cellStyle name="Separador de milhares 2 3 2 3 3 2 2 2" xfId="5544" xr:uid="{00000000-0005-0000-0000-000084080000}"/>
    <cellStyle name="Separador de milhares 2 3 2 3 3 2 3" xfId="4302" xr:uid="{00000000-0005-0000-0000-000085080000}"/>
    <cellStyle name="Separador de milhares 2 3 2 3 3 3" xfId="2348" xr:uid="{00000000-0005-0000-0000-000086080000}"/>
    <cellStyle name="Separador de milhares 2 3 2 3 3 3 2" xfId="5044" xr:uid="{00000000-0005-0000-0000-000087080000}"/>
    <cellStyle name="Separador de milhares 2 3 2 3 3 4" xfId="3536" xr:uid="{00000000-0005-0000-0000-000088080000}"/>
    <cellStyle name="Separador de milhares 2 3 2 3 4" xfId="1269" xr:uid="{00000000-0005-0000-0000-000089080000}"/>
    <cellStyle name="Separador de milhares 2 3 2 3 4 2" xfId="2598" xr:uid="{00000000-0005-0000-0000-00008A080000}"/>
    <cellStyle name="Separador de milhares 2 3 2 3 4 2 2" xfId="5294" xr:uid="{00000000-0005-0000-0000-00008B080000}"/>
    <cellStyle name="Separador de milhares 2 3 2 3 4 3" xfId="3965" xr:uid="{00000000-0005-0000-0000-00008C080000}"/>
    <cellStyle name="Separador de milhares 2 3 2 3 5" xfId="2098" xr:uid="{00000000-0005-0000-0000-00008D080000}"/>
    <cellStyle name="Separador de milhares 2 3 2 3 5 2" xfId="4794" xr:uid="{00000000-0005-0000-0000-00008E080000}"/>
    <cellStyle name="Separador de milhares 2 3 2 3 6" xfId="3199" xr:uid="{00000000-0005-0000-0000-00008F080000}"/>
    <cellStyle name="Separador de milhares 2 3 2 4" xfId="606" xr:uid="{00000000-0005-0000-0000-000090080000}"/>
    <cellStyle name="Separador de milhares 2 3 2 4 2" xfId="943" xr:uid="{00000000-0005-0000-0000-000091080000}"/>
    <cellStyle name="Separador de milhares 2 3 2 4 2 2" xfId="1710" xr:uid="{00000000-0005-0000-0000-000092080000}"/>
    <cellStyle name="Separador de milhares 2 3 2 4 2 2 2" xfId="2911" xr:uid="{00000000-0005-0000-0000-000093080000}"/>
    <cellStyle name="Separador de milhares 2 3 2 4 2 2 2 2" xfId="5607" xr:uid="{00000000-0005-0000-0000-000094080000}"/>
    <cellStyle name="Separador de milhares 2 3 2 4 2 2 3" xfId="4406" xr:uid="{00000000-0005-0000-0000-000095080000}"/>
    <cellStyle name="Separador de milhares 2 3 2 4 2 3" xfId="2411" xr:uid="{00000000-0005-0000-0000-000096080000}"/>
    <cellStyle name="Separador de milhares 2 3 2 4 2 3 2" xfId="5107" xr:uid="{00000000-0005-0000-0000-000097080000}"/>
    <cellStyle name="Separador de milhares 2 3 2 4 2 4" xfId="3640" xr:uid="{00000000-0005-0000-0000-000098080000}"/>
    <cellStyle name="Separador de milhares 2 3 2 4 3" xfId="1373" xr:uid="{00000000-0005-0000-0000-000099080000}"/>
    <cellStyle name="Separador de milhares 2 3 2 4 3 2" xfId="2661" xr:uid="{00000000-0005-0000-0000-00009A080000}"/>
    <cellStyle name="Separador de milhares 2 3 2 4 3 2 2" xfId="5357" xr:uid="{00000000-0005-0000-0000-00009B080000}"/>
    <cellStyle name="Separador de milhares 2 3 2 4 3 3" xfId="4069" xr:uid="{00000000-0005-0000-0000-00009C080000}"/>
    <cellStyle name="Separador de milhares 2 3 2 4 4" xfId="2161" xr:uid="{00000000-0005-0000-0000-00009D080000}"/>
    <cellStyle name="Separador de milhares 2 3 2 4 4 2" xfId="4857" xr:uid="{00000000-0005-0000-0000-00009E080000}"/>
    <cellStyle name="Separador de milhares 2 3 2 4 5" xfId="3303" xr:uid="{00000000-0005-0000-0000-00009F080000}"/>
    <cellStyle name="Separador de milhares 2 3 2 5" xfId="774" xr:uid="{00000000-0005-0000-0000-0000A0080000}"/>
    <cellStyle name="Separador de milhares 2 3 2 5 2" xfId="1541" xr:uid="{00000000-0005-0000-0000-0000A1080000}"/>
    <cellStyle name="Separador de milhares 2 3 2 5 2 2" xfId="2786" xr:uid="{00000000-0005-0000-0000-0000A2080000}"/>
    <cellStyle name="Separador de milhares 2 3 2 5 2 2 2" xfId="5482" xr:uid="{00000000-0005-0000-0000-0000A3080000}"/>
    <cellStyle name="Separador de milhares 2 3 2 5 2 3" xfId="4237" xr:uid="{00000000-0005-0000-0000-0000A4080000}"/>
    <cellStyle name="Separador de milhares 2 3 2 5 3" xfId="2286" xr:uid="{00000000-0005-0000-0000-0000A5080000}"/>
    <cellStyle name="Separador de milhares 2 3 2 5 3 2" xfId="4982" xr:uid="{00000000-0005-0000-0000-0000A6080000}"/>
    <cellStyle name="Separador de milhares 2 3 2 5 4" xfId="3471" xr:uid="{00000000-0005-0000-0000-0000A7080000}"/>
    <cellStyle name="Separador de milhares 2 3 2 6" xfId="1207" xr:uid="{00000000-0005-0000-0000-0000A8080000}"/>
    <cellStyle name="Separador de milhares 2 3 2 6 2" xfId="2536" xr:uid="{00000000-0005-0000-0000-0000A9080000}"/>
    <cellStyle name="Separador de milhares 2 3 2 6 2 2" xfId="5232" xr:uid="{00000000-0005-0000-0000-0000AA080000}"/>
    <cellStyle name="Separador de milhares 2 3 2 6 3" xfId="3903" xr:uid="{00000000-0005-0000-0000-0000AB080000}"/>
    <cellStyle name="Separador de milhares 2 3 2 7" xfId="2010" xr:uid="{00000000-0005-0000-0000-0000AC080000}"/>
    <cellStyle name="Separador de milhares 2 3 2 7 2" xfId="4706" xr:uid="{00000000-0005-0000-0000-0000AD080000}"/>
    <cellStyle name="Separador de milhares 2 3 2 8" xfId="3109" xr:uid="{00000000-0005-0000-0000-0000AE080000}"/>
    <cellStyle name="Separador de milhares 2 3 3" xfId="451" xr:uid="{00000000-0005-0000-0000-0000AF080000}"/>
    <cellStyle name="Separador de milhares 2 3 3 2" xfId="516" xr:uid="{00000000-0005-0000-0000-0000B0080000}"/>
    <cellStyle name="Separador de milhares 2 3 3 2 2" xfId="690" xr:uid="{00000000-0005-0000-0000-0000B1080000}"/>
    <cellStyle name="Separador de milhares 2 3 3 2 2 2" xfId="1027" xr:uid="{00000000-0005-0000-0000-0000B2080000}"/>
    <cellStyle name="Separador de milhares 2 3 3 2 2 2 2" xfId="1794" xr:uid="{00000000-0005-0000-0000-0000B3080000}"/>
    <cellStyle name="Separador de milhares 2 3 3 2 2 2 2 2" xfId="2987" xr:uid="{00000000-0005-0000-0000-0000B4080000}"/>
    <cellStyle name="Separador de milhares 2 3 3 2 2 2 2 2 2" xfId="5683" xr:uid="{00000000-0005-0000-0000-0000B5080000}"/>
    <cellStyle name="Separador de milhares 2 3 3 2 2 2 2 3" xfId="4490" xr:uid="{00000000-0005-0000-0000-0000B6080000}"/>
    <cellStyle name="Separador de milhares 2 3 3 2 2 2 3" xfId="2487" xr:uid="{00000000-0005-0000-0000-0000B7080000}"/>
    <cellStyle name="Separador de milhares 2 3 3 2 2 2 3 2" xfId="5183" xr:uid="{00000000-0005-0000-0000-0000B8080000}"/>
    <cellStyle name="Separador de milhares 2 3 3 2 2 2 4" xfId="3724" xr:uid="{00000000-0005-0000-0000-0000B9080000}"/>
    <cellStyle name="Separador de milhares 2 3 3 2 2 3" xfId="1457" xr:uid="{00000000-0005-0000-0000-0000BA080000}"/>
    <cellStyle name="Separador de milhares 2 3 3 2 2 3 2" xfId="2737" xr:uid="{00000000-0005-0000-0000-0000BB080000}"/>
    <cellStyle name="Separador de milhares 2 3 3 2 2 3 2 2" xfId="5433" xr:uid="{00000000-0005-0000-0000-0000BC080000}"/>
    <cellStyle name="Separador de milhares 2 3 3 2 2 3 3" xfId="4153" xr:uid="{00000000-0005-0000-0000-0000BD080000}"/>
    <cellStyle name="Separador de milhares 2 3 3 2 2 4" xfId="2237" xr:uid="{00000000-0005-0000-0000-0000BE080000}"/>
    <cellStyle name="Separador de milhares 2 3 3 2 2 4 2" xfId="4933" xr:uid="{00000000-0005-0000-0000-0000BF080000}"/>
    <cellStyle name="Separador de milhares 2 3 3 2 2 5" xfId="3387" xr:uid="{00000000-0005-0000-0000-0000C0080000}"/>
    <cellStyle name="Separador de milhares 2 3 3 2 3" xfId="854" xr:uid="{00000000-0005-0000-0000-0000C1080000}"/>
    <cellStyle name="Separador de milhares 2 3 3 2 3 2" xfId="1621" xr:uid="{00000000-0005-0000-0000-0000C2080000}"/>
    <cellStyle name="Separador de milhares 2 3 3 2 3 2 2" xfId="2862" xr:uid="{00000000-0005-0000-0000-0000C3080000}"/>
    <cellStyle name="Separador de milhares 2 3 3 2 3 2 2 2" xfId="5558" xr:uid="{00000000-0005-0000-0000-0000C4080000}"/>
    <cellStyle name="Separador de milhares 2 3 3 2 3 2 3" xfId="4317" xr:uid="{00000000-0005-0000-0000-0000C5080000}"/>
    <cellStyle name="Separador de milhares 2 3 3 2 3 3" xfId="2362" xr:uid="{00000000-0005-0000-0000-0000C6080000}"/>
    <cellStyle name="Separador de milhares 2 3 3 2 3 3 2" xfId="5058" xr:uid="{00000000-0005-0000-0000-0000C7080000}"/>
    <cellStyle name="Separador de milhares 2 3 3 2 3 4" xfId="3551" xr:uid="{00000000-0005-0000-0000-0000C8080000}"/>
    <cellStyle name="Separador de milhares 2 3 3 2 4" xfId="1284" xr:uid="{00000000-0005-0000-0000-0000C9080000}"/>
    <cellStyle name="Separador de milhares 2 3 3 2 4 2" xfId="2612" xr:uid="{00000000-0005-0000-0000-0000CA080000}"/>
    <cellStyle name="Separador de milhares 2 3 3 2 4 2 2" xfId="5308" xr:uid="{00000000-0005-0000-0000-0000CB080000}"/>
    <cellStyle name="Separador de milhares 2 3 3 2 4 3" xfId="3980" xr:uid="{00000000-0005-0000-0000-0000CC080000}"/>
    <cellStyle name="Separador de milhares 2 3 3 2 5" xfId="2112" xr:uid="{00000000-0005-0000-0000-0000CD080000}"/>
    <cellStyle name="Separador de milhares 2 3 3 2 5 2" xfId="4808" xr:uid="{00000000-0005-0000-0000-0000CE080000}"/>
    <cellStyle name="Separador de milhares 2 3 3 2 6" xfId="3214" xr:uid="{00000000-0005-0000-0000-0000CF080000}"/>
    <cellStyle name="Separador de milhares 2 3 3 3" xfId="627" xr:uid="{00000000-0005-0000-0000-0000D0080000}"/>
    <cellStyle name="Separador de milhares 2 3 3 3 2" xfId="964" xr:uid="{00000000-0005-0000-0000-0000D1080000}"/>
    <cellStyle name="Separador de milhares 2 3 3 3 2 2" xfId="1731" xr:uid="{00000000-0005-0000-0000-0000D2080000}"/>
    <cellStyle name="Separador de milhares 2 3 3 3 2 2 2" xfId="2925" xr:uid="{00000000-0005-0000-0000-0000D3080000}"/>
    <cellStyle name="Separador de milhares 2 3 3 3 2 2 2 2" xfId="5621" xr:uid="{00000000-0005-0000-0000-0000D4080000}"/>
    <cellStyle name="Separador de milhares 2 3 3 3 2 2 3" xfId="4427" xr:uid="{00000000-0005-0000-0000-0000D5080000}"/>
    <cellStyle name="Separador de milhares 2 3 3 3 2 3" xfId="2425" xr:uid="{00000000-0005-0000-0000-0000D6080000}"/>
    <cellStyle name="Separador de milhares 2 3 3 3 2 3 2" xfId="5121" xr:uid="{00000000-0005-0000-0000-0000D7080000}"/>
    <cellStyle name="Separador de milhares 2 3 3 3 2 4" xfId="3661" xr:uid="{00000000-0005-0000-0000-0000D8080000}"/>
    <cellStyle name="Separador de milhares 2 3 3 3 3" xfId="1394" xr:uid="{00000000-0005-0000-0000-0000D9080000}"/>
    <cellStyle name="Separador de milhares 2 3 3 3 3 2" xfId="2675" xr:uid="{00000000-0005-0000-0000-0000DA080000}"/>
    <cellStyle name="Separador de milhares 2 3 3 3 3 2 2" xfId="5371" xr:uid="{00000000-0005-0000-0000-0000DB080000}"/>
    <cellStyle name="Separador de milhares 2 3 3 3 3 3" xfId="4090" xr:uid="{00000000-0005-0000-0000-0000DC080000}"/>
    <cellStyle name="Separador de milhares 2 3 3 3 4" xfId="2175" xr:uid="{00000000-0005-0000-0000-0000DD080000}"/>
    <cellStyle name="Separador de milhares 2 3 3 3 4 2" xfId="4871" xr:uid="{00000000-0005-0000-0000-0000DE080000}"/>
    <cellStyle name="Separador de milhares 2 3 3 3 5" xfId="3324" xr:uid="{00000000-0005-0000-0000-0000DF080000}"/>
    <cellStyle name="Separador de milhares 2 3 3 4" xfId="790" xr:uid="{00000000-0005-0000-0000-0000E0080000}"/>
    <cellStyle name="Separador de milhares 2 3 3 4 2" xfId="1557" xr:uid="{00000000-0005-0000-0000-0000E1080000}"/>
    <cellStyle name="Separador de milhares 2 3 3 4 2 2" xfId="2800" xr:uid="{00000000-0005-0000-0000-0000E2080000}"/>
    <cellStyle name="Separador de milhares 2 3 3 4 2 2 2" xfId="5496" xr:uid="{00000000-0005-0000-0000-0000E3080000}"/>
    <cellStyle name="Separador de milhares 2 3 3 4 2 3" xfId="4253" xr:uid="{00000000-0005-0000-0000-0000E4080000}"/>
    <cellStyle name="Separador de milhares 2 3 3 4 3" xfId="2300" xr:uid="{00000000-0005-0000-0000-0000E5080000}"/>
    <cellStyle name="Separador de milhares 2 3 3 4 3 2" xfId="4996" xr:uid="{00000000-0005-0000-0000-0000E6080000}"/>
    <cellStyle name="Separador de milhares 2 3 3 4 4" xfId="3487" xr:uid="{00000000-0005-0000-0000-0000E7080000}"/>
    <cellStyle name="Separador de milhares 2 3 3 5" xfId="1221" xr:uid="{00000000-0005-0000-0000-0000E8080000}"/>
    <cellStyle name="Separador de milhares 2 3 3 5 2" xfId="2550" xr:uid="{00000000-0005-0000-0000-0000E9080000}"/>
    <cellStyle name="Separador de milhares 2 3 3 5 2 2" xfId="5246" xr:uid="{00000000-0005-0000-0000-0000EA080000}"/>
    <cellStyle name="Separador de milhares 2 3 3 5 3" xfId="3917" xr:uid="{00000000-0005-0000-0000-0000EB080000}"/>
    <cellStyle name="Separador de milhares 2 3 3 6" xfId="2050" xr:uid="{00000000-0005-0000-0000-0000EC080000}"/>
    <cellStyle name="Separador de milhares 2 3 3 6 2" xfId="4746" xr:uid="{00000000-0005-0000-0000-0000ED080000}"/>
    <cellStyle name="Separador de milhares 2 3 3 7" xfId="3150" xr:uid="{00000000-0005-0000-0000-0000EE080000}"/>
    <cellStyle name="Separador de milhares 2 3 4" xfId="499" xr:uid="{00000000-0005-0000-0000-0000EF080000}"/>
    <cellStyle name="Separador de milhares 2 3 4 2" xfId="674" xr:uid="{00000000-0005-0000-0000-0000F0080000}"/>
    <cellStyle name="Separador de milhares 2 3 4 2 2" xfId="1011" xr:uid="{00000000-0005-0000-0000-0000F1080000}"/>
    <cellStyle name="Separador de milhares 2 3 4 2 2 2" xfId="1778" xr:uid="{00000000-0005-0000-0000-0000F2080000}"/>
    <cellStyle name="Separador de milhares 2 3 4 2 2 2 2" xfId="2971" xr:uid="{00000000-0005-0000-0000-0000F3080000}"/>
    <cellStyle name="Separador de milhares 2 3 4 2 2 2 2 2" xfId="5667" xr:uid="{00000000-0005-0000-0000-0000F4080000}"/>
    <cellStyle name="Separador de milhares 2 3 4 2 2 2 3" xfId="4474" xr:uid="{00000000-0005-0000-0000-0000F5080000}"/>
    <cellStyle name="Separador de milhares 2 3 4 2 2 3" xfId="2471" xr:uid="{00000000-0005-0000-0000-0000F6080000}"/>
    <cellStyle name="Separador de milhares 2 3 4 2 2 3 2" xfId="5167" xr:uid="{00000000-0005-0000-0000-0000F7080000}"/>
    <cellStyle name="Separador de milhares 2 3 4 2 2 4" xfId="3708" xr:uid="{00000000-0005-0000-0000-0000F8080000}"/>
    <cellStyle name="Separador de milhares 2 3 4 2 3" xfId="1441" xr:uid="{00000000-0005-0000-0000-0000F9080000}"/>
    <cellStyle name="Separador de milhares 2 3 4 2 3 2" xfId="2721" xr:uid="{00000000-0005-0000-0000-0000FA080000}"/>
    <cellStyle name="Separador de milhares 2 3 4 2 3 2 2" xfId="5417" xr:uid="{00000000-0005-0000-0000-0000FB080000}"/>
    <cellStyle name="Separador de milhares 2 3 4 2 3 3" xfId="4137" xr:uid="{00000000-0005-0000-0000-0000FC080000}"/>
    <cellStyle name="Separador de milhares 2 3 4 2 4" xfId="2221" xr:uid="{00000000-0005-0000-0000-0000FD080000}"/>
    <cellStyle name="Separador de milhares 2 3 4 2 4 2" xfId="4917" xr:uid="{00000000-0005-0000-0000-0000FE080000}"/>
    <cellStyle name="Separador de milhares 2 3 4 2 5" xfId="3371" xr:uid="{00000000-0005-0000-0000-0000FF080000}"/>
    <cellStyle name="Separador de milhares 2 3 4 3" xfId="837" xr:uid="{00000000-0005-0000-0000-000000090000}"/>
    <cellStyle name="Separador de milhares 2 3 4 3 2" xfId="1604" xr:uid="{00000000-0005-0000-0000-000001090000}"/>
    <cellStyle name="Separador de milhares 2 3 4 3 2 2" xfId="2846" xr:uid="{00000000-0005-0000-0000-000002090000}"/>
    <cellStyle name="Separador de milhares 2 3 4 3 2 2 2" xfId="5542" xr:uid="{00000000-0005-0000-0000-000003090000}"/>
    <cellStyle name="Separador de milhares 2 3 4 3 2 3" xfId="4300" xr:uid="{00000000-0005-0000-0000-000004090000}"/>
    <cellStyle name="Separador de milhares 2 3 4 3 3" xfId="2346" xr:uid="{00000000-0005-0000-0000-000005090000}"/>
    <cellStyle name="Separador de milhares 2 3 4 3 3 2" xfId="5042" xr:uid="{00000000-0005-0000-0000-000006090000}"/>
    <cellStyle name="Separador de milhares 2 3 4 3 4" xfId="3534" xr:uid="{00000000-0005-0000-0000-000007090000}"/>
    <cellStyle name="Separador de milhares 2 3 4 4" xfId="1267" xr:uid="{00000000-0005-0000-0000-000008090000}"/>
    <cellStyle name="Separador de milhares 2 3 4 4 2" xfId="2596" xr:uid="{00000000-0005-0000-0000-000009090000}"/>
    <cellStyle name="Separador de milhares 2 3 4 4 2 2" xfId="5292" xr:uid="{00000000-0005-0000-0000-00000A090000}"/>
    <cellStyle name="Separador de milhares 2 3 4 4 3" xfId="3963" xr:uid="{00000000-0005-0000-0000-00000B090000}"/>
    <cellStyle name="Separador de milhares 2 3 4 5" xfId="2096" xr:uid="{00000000-0005-0000-0000-00000C090000}"/>
    <cellStyle name="Separador de milhares 2 3 4 5 2" xfId="4792" xr:uid="{00000000-0005-0000-0000-00000D090000}"/>
    <cellStyle name="Separador de milhares 2 3 4 6" xfId="3197" xr:uid="{00000000-0005-0000-0000-00000E090000}"/>
    <cellStyle name="Separador de milhares 2 3 5" xfId="581" xr:uid="{00000000-0005-0000-0000-00000F090000}"/>
    <cellStyle name="Separador de milhares 2 3 5 2" xfId="918" xr:uid="{00000000-0005-0000-0000-000010090000}"/>
    <cellStyle name="Separador de milhares 2 3 5 2 2" xfId="1685" xr:uid="{00000000-0005-0000-0000-000011090000}"/>
    <cellStyle name="Separador de milhares 2 3 5 2 2 2" xfId="2909" xr:uid="{00000000-0005-0000-0000-000012090000}"/>
    <cellStyle name="Separador de milhares 2 3 5 2 2 2 2" xfId="5605" xr:uid="{00000000-0005-0000-0000-000013090000}"/>
    <cellStyle name="Separador de milhares 2 3 5 2 2 3" xfId="4381" xr:uid="{00000000-0005-0000-0000-000014090000}"/>
    <cellStyle name="Separador de milhares 2 3 5 2 3" xfId="2409" xr:uid="{00000000-0005-0000-0000-000015090000}"/>
    <cellStyle name="Separador de milhares 2 3 5 2 3 2" xfId="5105" xr:uid="{00000000-0005-0000-0000-000016090000}"/>
    <cellStyle name="Separador de milhares 2 3 5 2 4" xfId="3615" xr:uid="{00000000-0005-0000-0000-000017090000}"/>
    <cellStyle name="Separador de milhares 2 3 5 3" xfId="1348" xr:uid="{00000000-0005-0000-0000-000018090000}"/>
    <cellStyle name="Separador de milhares 2 3 5 3 2" xfId="2659" xr:uid="{00000000-0005-0000-0000-000019090000}"/>
    <cellStyle name="Separador de milhares 2 3 5 3 2 2" xfId="5355" xr:uid="{00000000-0005-0000-0000-00001A090000}"/>
    <cellStyle name="Separador de milhares 2 3 5 3 3" xfId="4044" xr:uid="{00000000-0005-0000-0000-00001B090000}"/>
    <cellStyle name="Separador de milhares 2 3 5 4" xfId="2159" xr:uid="{00000000-0005-0000-0000-00001C090000}"/>
    <cellStyle name="Separador de milhares 2 3 5 4 2" xfId="4855" xr:uid="{00000000-0005-0000-0000-00001D090000}"/>
    <cellStyle name="Separador de milhares 2 3 5 5" xfId="3278" xr:uid="{00000000-0005-0000-0000-00001E090000}"/>
    <cellStyle name="Separador de milhares 2 3 6" xfId="771" xr:uid="{00000000-0005-0000-0000-00001F090000}"/>
    <cellStyle name="Separador de milhares 2 3 6 2" xfId="1538" xr:uid="{00000000-0005-0000-0000-000020090000}"/>
    <cellStyle name="Separador de milhares 2 3 6 2 2" xfId="2784" xr:uid="{00000000-0005-0000-0000-000021090000}"/>
    <cellStyle name="Separador de milhares 2 3 6 2 2 2" xfId="5480" xr:uid="{00000000-0005-0000-0000-000022090000}"/>
    <cellStyle name="Separador de milhares 2 3 6 2 3" xfId="4234" xr:uid="{00000000-0005-0000-0000-000023090000}"/>
    <cellStyle name="Separador de milhares 2 3 6 3" xfId="2284" xr:uid="{00000000-0005-0000-0000-000024090000}"/>
    <cellStyle name="Separador de milhares 2 3 6 3 2" xfId="4980" xr:uid="{00000000-0005-0000-0000-000025090000}"/>
    <cellStyle name="Separador de milhares 2 3 6 4" xfId="3468" xr:uid="{00000000-0005-0000-0000-000026090000}"/>
    <cellStyle name="Separador de milhares 2 3 7" xfId="1205" xr:uid="{00000000-0005-0000-0000-000027090000}"/>
    <cellStyle name="Separador de milhares 2 3 7 2" xfId="2534" xr:uid="{00000000-0005-0000-0000-000028090000}"/>
    <cellStyle name="Separador de milhares 2 3 7 2 2" xfId="5230" xr:uid="{00000000-0005-0000-0000-000029090000}"/>
    <cellStyle name="Separador de milhares 2 3 7 3" xfId="3901" xr:uid="{00000000-0005-0000-0000-00002A090000}"/>
    <cellStyle name="Separador de milhares 2 3 8" xfId="170" xr:uid="{00000000-0005-0000-0000-00002B090000}"/>
    <cellStyle name="Separador de milhares 2 3 8 2" xfId="1994" xr:uid="{00000000-0005-0000-0000-00002C090000}"/>
    <cellStyle name="Separador de milhares 2 3 8 2 2" xfId="4690" xr:uid="{00000000-0005-0000-0000-00002D090000}"/>
    <cellStyle name="Separador de milhares 2 3 8 3" xfId="3087" xr:uid="{00000000-0005-0000-0000-00002E090000}"/>
    <cellStyle name="Separador de milhares 2 3 9" xfId="1982" xr:uid="{00000000-0005-0000-0000-00002F090000}"/>
    <cellStyle name="Separador de milhares 2 3 9 2" xfId="4678" xr:uid="{00000000-0005-0000-0000-000030090000}"/>
    <cellStyle name="Separador de milhares 2 30" xfId="442" xr:uid="{00000000-0005-0000-0000-000031090000}"/>
    <cellStyle name="Separador de milhares 2 30 2" xfId="506" xr:uid="{00000000-0005-0000-0000-000032090000}"/>
    <cellStyle name="Separador de milhares 2 30 2 2" xfId="680" xr:uid="{00000000-0005-0000-0000-000033090000}"/>
    <cellStyle name="Separador de milhares 2 30 2 2 2" xfId="1017" xr:uid="{00000000-0005-0000-0000-000034090000}"/>
    <cellStyle name="Separador de milhares 2 30 2 2 2 2" xfId="1784" xr:uid="{00000000-0005-0000-0000-000035090000}"/>
    <cellStyle name="Separador de milhares 2 30 2 2 2 2 2" xfId="2977" xr:uid="{00000000-0005-0000-0000-000036090000}"/>
    <cellStyle name="Separador de milhares 2 30 2 2 2 2 2 2" xfId="5673" xr:uid="{00000000-0005-0000-0000-000037090000}"/>
    <cellStyle name="Separador de milhares 2 30 2 2 2 2 3" xfId="4480" xr:uid="{00000000-0005-0000-0000-000038090000}"/>
    <cellStyle name="Separador de milhares 2 30 2 2 2 3" xfId="2477" xr:uid="{00000000-0005-0000-0000-000039090000}"/>
    <cellStyle name="Separador de milhares 2 30 2 2 2 3 2" xfId="5173" xr:uid="{00000000-0005-0000-0000-00003A090000}"/>
    <cellStyle name="Separador de milhares 2 30 2 2 2 4" xfId="3714" xr:uid="{00000000-0005-0000-0000-00003B090000}"/>
    <cellStyle name="Separador de milhares 2 30 2 2 3" xfId="1447" xr:uid="{00000000-0005-0000-0000-00003C090000}"/>
    <cellStyle name="Separador de milhares 2 30 2 2 3 2" xfId="2727" xr:uid="{00000000-0005-0000-0000-00003D090000}"/>
    <cellStyle name="Separador de milhares 2 30 2 2 3 2 2" xfId="5423" xr:uid="{00000000-0005-0000-0000-00003E090000}"/>
    <cellStyle name="Separador de milhares 2 30 2 2 3 3" xfId="4143" xr:uid="{00000000-0005-0000-0000-00003F090000}"/>
    <cellStyle name="Separador de milhares 2 30 2 2 4" xfId="2227" xr:uid="{00000000-0005-0000-0000-000040090000}"/>
    <cellStyle name="Separador de milhares 2 30 2 2 4 2" xfId="4923" xr:uid="{00000000-0005-0000-0000-000041090000}"/>
    <cellStyle name="Separador de milhares 2 30 2 2 5" xfId="3377" xr:uid="{00000000-0005-0000-0000-000042090000}"/>
    <cellStyle name="Separador de milhares 2 30 2 3" xfId="844" xr:uid="{00000000-0005-0000-0000-000043090000}"/>
    <cellStyle name="Separador de milhares 2 30 2 3 2" xfId="1611" xr:uid="{00000000-0005-0000-0000-000044090000}"/>
    <cellStyle name="Separador de milhares 2 30 2 3 2 2" xfId="2852" xr:uid="{00000000-0005-0000-0000-000045090000}"/>
    <cellStyle name="Separador de milhares 2 30 2 3 2 2 2" xfId="5548" xr:uid="{00000000-0005-0000-0000-000046090000}"/>
    <cellStyle name="Separador de milhares 2 30 2 3 2 3" xfId="4307" xr:uid="{00000000-0005-0000-0000-000047090000}"/>
    <cellStyle name="Separador de milhares 2 30 2 3 3" xfId="2352" xr:uid="{00000000-0005-0000-0000-000048090000}"/>
    <cellStyle name="Separador de milhares 2 30 2 3 3 2" xfId="5048" xr:uid="{00000000-0005-0000-0000-000049090000}"/>
    <cellStyle name="Separador de milhares 2 30 2 3 4" xfId="3541" xr:uid="{00000000-0005-0000-0000-00004A090000}"/>
    <cellStyle name="Separador de milhares 2 30 2 4" xfId="1274" xr:uid="{00000000-0005-0000-0000-00004B090000}"/>
    <cellStyle name="Separador de milhares 2 30 2 4 2" xfId="2602" xr:uid="{00000000-0005-0000-0000-00004C090000}"/>
    <cellStyle name="Separador de milhares 2 30 2 4 2 2" xfId="5298" xr:uid="{00000000-0005-0000-0000-00004D090000}"/>
    <cellStyle name="Separador de milhares 2 30 2 4 3" xfId="3970" xr:uid="{00000000-0005-0000-0000-00004E090000}"/>
    <cellStyle name="Separador de milhares 2 30 2 5" xfId="2102" xr:uid="{00000000-0005-0000-0000-00004F090000}"/>
    <cellStyle name="Separador de milhares 2 30 2 5 2" xfId="4798" xr:uid="{00000000-0005-0000-0000-000050090000}"/>
    <cellStyle name="Separador de milhares 2 30 2 6" xfId="3204" xr:uid="{00000000-0005-0000-0000-000051090000}"/>
    <cellStyle name="Separador de milhares 2 30 3" xfId="617" xr:uid="{00000000-0005-0000-0000-000052090000}"/>
    <cellStyle name="Separador de milhares 2 30 3 2" xfId="954" xr:uid="{00000000-0005-0000-0000-000053090000}"/>
    <cellStyle name="Separador de milhares 2 30 3 2 2" xfId="1721" xr:uid="{00000000-0005-0000-0000-000054090000}"/>
    <cellStyle name="Separador de milhares 2 30 3 2 2 2" xfId="2915" xr:uid="{00000000-0005-0000-0000-000055090000}"/>
    <cellStyle name="Separador de milhares 2 30 3 2 2 2 2" xfId="5611" xr:uid="{00000000-0005-0000-0000-000056090000}"/>
    <cellStyle name="Separador de milhares 2 30 3 2 2 3" xfId="4417" xr:uid="{00000000-0005-0000-0000-000057090000}"/>
    <cellStyle name="Separador de milhares 2 30 3 2 3" xfId="2415" xr:uid="{00000000-0005-0000-0000-000058090000}"/>
    <cellStyle name="Separador de milhares 2 30 3 2 3 2" xfId="5111" xr:uid="{00000000-0005-0000-0000-000059090000}"/>
    <cellStyle name="Separador de milhares 2 30 3 2 4" xfId="3651" xr:uid="{00000000-0005-0000-0000-00005A090000}"/>
    <cellStyle name="Separador de milhares 2 30 3 3" xfId="1384" xr:uid="{00000000-0005-0000-0000-00005B090000}"/>
    <cellStyle name="Separador de milhares 2 30 3 3 2" xfId="2665" xr:uid="{00000000-0005-0000-0000-00005C090000}"/>
    <cellStyle name="Separador de milhares 2 30 3 3 2 2" xfId="5361" xr:uid="{00000000-0005-0000-0000-00005D090000}"/>
    <cellStyle name="Separador de milhares 2 30 3 3 3" xfId="4080" xr:uid="{00000000-0005-0000-0000-00005E090000}"/>
    <cellStyle name="Separador de milhares 2 30 3 4" xfId="2165" xr:uid="{00000000-0005-0000-0000-00005F090000}"/>
    <cellStyle name="Separador de milhares 2 30 3 4 2" xfId="4861" xr:uid="{00000000-0005-0000-0000-000060090000}"/>
    <cellStyle name="Separador de milhares 2 30 3 5" xfId="3314" xr:uid="{00000000-0005-0000-0000-000061090000}"/>
    <cellStyle name="Separador de milhares 2 30 4" xfId="780" xr:uid="{00000000-0005-0000-0000-000062090000}"/>
    <cellStyle name="Separador de milhares 2 30 4 2" xfId="1547" xr:uid="{00000000-0005-0000-0000-000063090000}"/>
    <cellStyle name="Separador de milhares 2 30 4 2 2" xfId="2790" xr:uid="{00000000-0005-0000-0000-000064090000}"/>
    <cellStyle name="Separador de milhares 2 30 4 2 2 2" xfId="5486" xr:uid="{00000000-0005-0000-0000-000065090000}"/>
    <cellStyle name="Separador de milhares 2 30 4 2 3" xfId="4243" xr:uid="{00000000-0005-0000-0000-000066090000}"/>
    <cellStyle name="Separador de milhares 2 30 4 3" xfId="2290" xr:uid="{00000000-0005-0000-0000-000067090000}"/>
    <cellStyle name="Separador de milhares 2 30 4 3 2" xfId="4986" xr:uid="{00000000-0005-0000-0000-000068090000}"/>
    <cellStyle name="Separador de milhares 2 30 4 4" xfId="3477" xr:uid="{00000000-0005-0000-0000-000069090000}"/>
    <cellStyle name="Separador de milhares 2 30 5" xfId="1211" xr:uid="{00000000-0005-0000-0000-00006A090000}"/>
    <cellStyle name="Separador de milhares 2 30 5 2" xfId="2540" xr:uid="{00000000-0005-0000-0000-00006B090000}"/>
    <cellStyle name="Separador de milhares 2 30 5 2 2" xfId="5236" xr:uid="{00000000-0005-0000-0000-00006C090000}"/>
    <cellStyle name="Separador de milhares 2 30 5 3" xfId="3907" xr:uid="{00000000-0005-0000-0000-00006D090000}"/>
    <cellStyle name="Separador de milhares 2 30 6" xfId="2041" xr:uid="{00000000-0005-0000-0000-00006E090000}"/>
    <cellStyle name="Separador de milhares 2 30 6 2" xfId="4737" xr:uid="{00000000-0005-0000-0000-00006F090000}"/>
    <cellStyle name="Separador de milhares 2 30 7" xfId="3141" xr:uid="{00000000-0005-0000-0000-000070090000}"/>
    <cellStyle name="Separador de milhares 2 31" xfId="1969" xr:uid="{00000000-0005-0000-0000-000071090000}"/>
    <cellStyle name="Separador de milhares 2 31 2" xfId="4665" xr:uid="{00000000-0005-0000-0000-000072090000}"/>
    <cellStyle name="Separador de milhares 2 32" xfId="3055" xr:uid="{00000000-0005-0000-0000-000073090000}"/>
    <cellStyle name="Separador de milhares 2 33" xfId="5739" xr:uid="{00000000-0005-0000-0000-000074090000}"/>
    <cellStyle name="Separador de milhares 2 33 2" xfId="5896" xr:uid="{00000000-0005-0000-0000-000075090000}"/>
    <cellStyle name="Separador de milhares 2 33 2 2" xfId="5910" xr:uid="{00000000-0005-0000-0000-000076090000}"/>
    <cellStyle name="Separador de milhares 2 33 3" xfId="5887" xr:uid="{00000000-0005-0000-0000-000077090000}"/>
    <cellStyle name="Separador de milhares 2 34" xfId="5842" xr:uid="{00000000-0005-0000-0000-000078090000}"/>
    <cellStyle name="Separador de milhares 2 35" xfId="5868" xr:uid="{00000000-0005-0000-0000-000079090000}"/>
    <cellStyle name="Separador de milhares 2 36" xfId="5861" xr:uid="{00000000-0005-0000-0000-00007A090000}"/>
    <cellStyle name="Separador de milhares 2 37" xfId="5867" xr:uid="{00000000-0005-0000-0000-00007B090000}"/>
    <cellStyle name="Separador de milhares 2 38" xfId="5862" xr:uid="{00000000-0005-0000-0000-00007C090000}"/>
    <cellStyle name="Separador de milhares 2 39" xfId="5866" xr:uid="{00000000-0005-0000-0000-00007D090000}"/>
    <cellStyle name="Separador de milhares 2 4" xfId="245" xr:uid="{00000000-0005-0000-0000-00007E090000}"/>
    <cellStyle name="Separador de milhares 2 4 10" xfId="375" xr:uid="{00000000-0005-0000-0000-00007F090000}"/>
    <cellStyle name="Separador de milhares 2 4 10 2" xfId="467" xr:uid="{00000000-0005-0000-0000-000080090000}"/>
    <cellStyle name="Separador de milhares 2 4 10 2 2" xfId="532" xr:uid="{00000000-0005-0000-0000-000081090000}"/>
    <cellStyle name="Separador de milhares 2 4 10 2 2 2" xfId="706" xr:uid="{00000000-0005-0000-0000-000082090000}"/>
    <cellStyle name="Separador de milhares 2 4 10 2 2 2 2" xfId="1043" xr:uid="{00000000-0005-0000-0000-000083090000}"/>
    <cellStyle name="Separador de milhares 2 4 10 2 2 2 2 2" xfId="1810" xr:uid="{00000000-0005-0000-0000-000084090000}"/>
    <cellStyle name="Separador de milhares 2 4 10 2 2 2 2 2 2" xfId="3003" xr:uid="{00000000-0005-0000-0000-000085090000}"/>
    <cellStyle name="Separador de milhares 2 4 10 2 2 2 2 2 2 2" xfId="5699" xr:uid="{00000000-0005-0000-0000-000086090000}"/>
    <cellStyle name="Separador de milhares 2 4 10 2 2 2 2 2 3" xfId="4506" xr:uid="{00000000-0005-0000-0000-000087090000}"/>
    <cellStyle name="Separador de milhares 2 4 10 2 2 2 2 3" xfId="2503" xr:uid="{00000000-0005-0000-0000-000088090000}"/>
    <cellStyle name="Separador de milhares 2 4 10 2 2 2 2 3 2" xfId="5199" xr:uid="{00000000-0005-0000-0000-000089090000}"/>
    <cellStyle name="Separador de milhares 2 4 10 2 2 2 2 4" xfId="3740" xr:uid="{00000000-0005-0000-0000-00008A090000}"/>
    <cellStyle name="Separador de milhares 2 4 10 2 2 2 3" xfId="1473" xr:uid="{00000000-0005-0000-0000-00008B090000}"/>
    <cellStyle name="Separador de milhares 2 4 10 2 2 2 3 2" xfId="2753" xr:uid="{00000000-0005-0000-0000-00008C090000}"/>
    <cellStyle name="Separador de milhares 2 4 10 2 2 2 3 2 2" xfId="5449" xr:uid="{00000000-0005-0000-0000-00008D090000}"/>
    <cellStyle name="Separador de milhares 2 4 10 2 2 2 3 3" xfId="4169" xr:uid="{00000000-0005-0000-0000-00008E090000}"/>
    <cellStyle name="Separador de milhares 2 4 10 2 2 2 4" xfId="2253" xr:uid="{00000000-0005-0000-0000-00008F090000}"/>
    <cellStyle name="Separador de milhares 2 4 10 2 2 2 4 2" xfId="4949" xr:uid="{00000000-0005-0000-0000-000090090000}"/>
    <cellStyle name="Separador de milhares 2 4 10 2 2 2 5" xfId="3403" xr:uid="{00000000-0005-0000-0000-000091090000}"/>
    <cellStyle name="Separador de milhares 2 4 10 2 2 3" xfId="870" xr:uid="{00000000-0005-0000-0000-000092090000}"/>
    <cellStyle name="Separador de milhares 2 4 10 2 2 3 2" xfId="1637" xr:uid="{00000000-0005-0000-0000-000093090000}"/>
    <cellStyle name="Separador de milhares 2 4 10 2 2 3 2 2" xfId="2878" xr:uid="{00000000-0005-0000-0000-000094090000}"/>
    <cellStyle name="Separador de milhares 2 4 10 2 2 3 2 2 2" xfId="5574" xr:uid="{00000000-0005-0000-0000-000095090000}"/>
    <cellStyle name="Separador de milhares 2 4 10 2 2 3 2 3" xfId="4333" xr:uid="{00000000-0005-0000-0000-000096090000}"/>
    <cellStyle name="Separador de milhares 2 4 10 2 2 3 3" xfId="2378" xr:uid="{00000000-0005-0000-0000-000097090000}"/>
    <cellStyle name="Separador de milhares 2 4 10 2 2 3 3 2" xfId="5074" xr:uid="{00000000-0005-0000-0000-000098090000}"/>
    <cellStyle name="Separador de milhares 2 4 10 2 2 3 4" xfId="3567" xr:uid="{00000000-0005-0000-0000-000099090000}"/>
    <cellStyle name="Separador de milhares 2 4 10 2 2 4" xfId="1300" xr:uid="{00000000-0005-0000-0000-00009A090000}"/>
    <cellStyle name="Separador de milhares 2 4 10 2 2 4 2" xfId="2628" xr:uid="{00000000-0005-0000-0000-00009B090000}"/>
    <cellStyle name="Separador de milhares 2 4 10 2 2 4 2 2" xfId="5324" xr:uid="{00000000-0005-0000-0000-00009C090000}"/>
    <cellStyle name="Separador de milhares 2 4 10 2 2 4 3" xfId="3996" xr:uid="{00000000-0005-0000-0000-00009D090000}"/>
    <cellStyle name="Separador de milhares 2 4 10 2 2 5" xfId="2128" xr:uid="{00000000-0005-0000-0000-00009E090000}"/>
    <cellStyle name="Separador de milhares 2 4 10 2 2 5 2" xfId="4824" xr:uid="{00000000-0005-0000-0000-00009F090000}"/>
    <cellStyle name="Separador de milhares 2 4 10 2 2 6" xfId="3230" xr:uid="{00000000-0005-0000-0000-0000A0090000}"/>
    <cellStyle name="Separador de milhares 2 4 10 2 3" xfId="643" xr:uid="{00000000-0005-0000-0000-0000A1090000}"/>
    <cellStyle name="Separador de milhares 2 4 10 2 3 2" xfId="980" xr:uid="{00000000-0005-0000-0000-0000A2090000}"/>
    <cellStyle name="Separador de milhares 2 4 10 2 3 2 2" xfId="1747" xr:uid="{00000000-0005-0000-0000-0000A3090000}"/>
    <cellStyle name="Separador de milhares 2 4 10 2 3 2 2 2" xfId="2941" xr:uid="{00000000-0005-0000-0000-0000A4090000}"/>
    <cellStyle name="Separador de milhares 2 4 10 2 3 2 2 2 2" xfId="5637" xr:uid="{00000000-0005-0000-0000-0000A5090000}"/>
    <cellStyle name="Separador de milhares 2 4 10 2 3 2 2 3" xfId="4443" xr:uid="{00000000-0005-0000-0000-0000A6090000}"/>
    <cellStyle name="Separador de milhares 2 4 10 2 3 2 3" xfId="2441" xr:uid="{00000000-0005-0000-0000-0000A7090000}"/>
    <cellStyle name="Separador de milhares 2 4 10 2 3 2 3 2" xfId="5137" xr:uid="{00000000-0005-0000-0000-0000A8090000}"/>
    <cellStyle name="Separador de milhares 2 4 10 2 3 2 4" xfId="3677" xr:uid="{00000000-0005-0000-0000-0000A9090000}"/>
    <cellStyle name="Separador de milhares 2 4 10 2 3 3" xfId="1410" xr:uid="{00000000-0005-0000-0000-0000AA090000}"/>
    <cellStyle name="Separador de milhares 2 4 10 2 3 3 2" xfId="2691" xr:uid="{00000000-0005-0000-0000-0000AB090000}"/>
    <cellStyle name="Separador de milhares 2 4 10 2 3 3 2 2" xfId="5387" xr:uid="{00000000-0005-0000-0000-0000AC090000}"/>
    <cellStyle name="Separador de milhares 2 4 10 2 3 3 3" xfId="4106" xr:uid="{00000000-0005-0000-0000-0000AD090000}"/>
    <cellStyle name="Separador de milhares 2 4 10 2 3 4" xfId="2191" xr:uid="{00000000-0005-0000-0000-0000AE090000}"/>
    <cellStyle name="Separador de milhares 2 4 10 2 3 4 2" xfId="4887" xr:uid="{00000000-0005-0000-0000-0000AF090000}"/>
    <cellStyle name="Separador de milhares 2 4 10 2 3 5" xfId="3340" xr:uid="{00000000-0005-0000-0000-0000B0090000}"/>
    <cellStyle name="Separador de milhares 2 4 10 2 4" xfId="806" xr:uid="{00000000-0005-0000-0000-0000B1090000}"/>
    <cellStyle name="Separador de milhares 2 4 10 2 4 2" xfId="1573" xr:uid="{00000000-0005-0000-0000-0000B2090000}"/>
    <cellStyle name="Separador de milhares 2 4 10 2 4 2 2" xfId="2816" xr:uid="{00000000-0005-0000-0000-0000B3090000}"/>
    <cellStyle name="Separador de milhares 2 4 10 2 4 2 2 2" xfId="5512" xr:uid="{00000000-0005-0000-0000-0000B4090000}"/>
    <cellStyle name="Separador de milhares 2 4 10 2 4 2 3" xfId="4269" xr:uid="{00000000-0005-0000-0000-0000B5090000}"/>
    <cellStyle name="Separador de milhares 2 4 10 2 4 3" xfId="2316" xr:uid="{00000000-0005-0000-0000-0000B6090000}"/>
    <cellStyle name="Separador de milhares 2 4 10 2 4 3 2" xfId="5012" xr:uid="{00000000-0005-0000-0000-0000B7090000}"/>
    <cellStyle name="Separador de milhares 2 4 10 2 4 4" xfId="3503" xr:uid="{00000000-0005-0000-0000-0000B8090000}"/>
    <cellStyle name="Separador de milhares 2 4 10 2 5" xfId="1237" xr:uid="{00000000-0005-0000-0000-0000B9090000}"/>
    <cellStyle name="Separador de milhares 2 4 10 2 5 2" xfId="2566" xr:uid="{00000000-0005-0000-0000-0000BA090000}"/>
    <cellStyle name="Separador de milhares 2 4 10 2 5 2 2" xfId="5262" xr:uid="{00000000-0005-0000-0000-0000BB090000}"/>
    <cellStyle name="Separador de milhares 2 4 10 2 5 3" xfId="3933" xr:uid="{00000000-0005-0000-0000-0000BC090000}"/>
    <cellStyle name="Separador de milhares 2 4 10 2 6" xfId="2066" xr:uid="{00000000-0005-0000-0000-0000BD090000}"/>
    <cellStyle name="Separador de milhares 2 4 10 2 6 2" xfId="4762" xr:uid="{00000000-0005-0000-0000-0000BE090000}"/>
    <cellStyle name="Separador de milhares 2 4 10 2 7" xfId="3166" xr:uid="{00000000-0005-0000-0000-0000BF090000}"/>
    <cellStyle name="Separador de milhares 2 4 10 3" xfId="2011" xr:uid="{00000000-0005-0000-0000-0000C0090000}"/>
    <cellStyle name="Separador de milhares 2 4 10 3 2" xfId="4707" xr:uid="{00000000-0005-0000-0000-0000C1090000}"/>
    <cellStyle name="Separador de milhares 2 4 10 4" xfId="3110" xr:uid="{00000000-0005-0000-0000-0000C2090000}"/>
    <cellStyle name="Separador de milhares 2 4 11" xfId="376" xr:uid="{00000000-0005-0000-0000-0000C3090000}"/>
    <cellStyle name="Separador de milhares 2 4 11 2" xfId="468" xr:uid="{00000000-0005-0000-0000-0000C4090000}"/>
    <cellStyle name="Separador de milhares 2 4 11 2 2" xfId="533" xr:uid="{00000000-0005-0000-0000-0000C5090000}"/>
    <cellStyle name="Separador de milhares 2 4 11 2 2 2" xfId="707" xr:uid="{00000000-0005-0000-0000-0000C6090000}"/>
    <cellStyle name="Separador de milhares 2 4 11 2 2 2 2" xfId="1044" xr:uid="{00000000-0005-0000-0000-0000C7090000}"/>
    <cellStyle name="Separador de milhares 2 4 11 2 2 2 2 2" xfId="1811" xr:uid="{00000000-0005-0000-0000-0000C8090000}"/>
    <cellStyle name="Separador de milhares 2 4 11 2 2 2 2 2 2" xfId="3004" xr:uid="{00000000-0005-0000-0000-0000C9090000}"/>
    <cellStyle name="Separador de milhares 2 4 11 2 2 2 2 2 2 2" xfId="5700" xr:uid="{00000000-0005-0000-0000-0000CA090000}"/>
    <cellStyle name="Separador de milhares 2 4 11 2 2 2 2 2 3" xfId="4507" xr:uid="{00000000-0005-0000-0000-0000CB090000}"/>
    <cellStyle name="Separador de milhares 2 4 11 2 2 2 2 3" xfId="2504" xr:uid="{00000000-0005-0000-0000-0000CC090000}"/>
    <cellStyle name="Separador de milhares 2 4 11 2 2 2 2 3 2" xfId="5200" xr:uid="{00000000-0005-0000-0000-0000CD090000}"/>
    <cellStyle name="Separador de milhares 2 4 11 2 2 2 2 4" xfId="3741" xr:uid="{00000000-0005-0000-0000-0000CE090000}"/>
    <cellStyle name="Separador de milhares 2 4 11 2 2 2 3" xfId="1474" xr:uid="{00000000-0005-0000-0000-0000CF090000}"/>
    <cellStyle name="Separador de milhares 2 4 11 2 2 2 3 2" xfId="2754" xr:uid="{00000000-0005-0000-0000-0000D0090000}"/>
    <cellStyle name="Separador de milhares 2 4 11 2 2 2 3 2 2" xfId="5450" xr:uid="{00000000-0005-0000-0000-0000D1090000}"/>
    <cellStyle name="Separador de milhares 2 4 11 2 2 2 3 3" xfId="4170" xr:uid="{00000000-0005-0000-0000-0000D2090000}"/>
    <cellStyle name="Separador de milhares 2 4 11 2 2 2 4" xfId="2254" xr:uid="{00000000-0005-0000-0000-0000D3090000}"/>
    <cellStyle name="Separador de milhares 2 4 11 2 2 2 4 2" xfId="4950" xr:uid="{00000000-0005-0000-0000-0000D4090000}"/>
    <cellStyle name="Separador de milhares 2 4 11 2 2 2 5" xfId="3404" xr:uid="{00000000-0005-0000-0000-0000D5090000}"/>
    <cellStyle name="Separador de milhares 2 4 11 2 2 3" xfId="871" xr:uid="{00000000-0005-0000-0000-0000D6090000}"/>
    <cellStyle name="Separador de milhares 2 4 11 2 2 3 2" xfId="1638" xr:uid="{00000000-0005-0000-0000-0000D7090000}"/>
    <cellStyle name="Separador de milhares 2 4 11 2 2 3 2 2" xfId="2879" xr:uid="{00000000-0005-0000-0000-0000D8090000}"/>
    <cellStyle name="Separador de milhares 2 4 11 2 2 3 2 2 2" xfId="5575" xr:uid="{00000000-0005-0000-0000-0000D9090000}"/>
    <cellStyle name="Separador de milhares 2 4 11 2 2 3 2 3" xfId="4334" xr:uid="{00000000-0005-0000-0000-0000DA090000}"/>
    <cellStyle name="Separador de milhares 2 4 11 2 2 3 3" xfId="2379" xr:uid="{00000000-0005-0000-0000-0000DB090000}"/>
    <cellStyle name="Separador de milhares 2 4 11 2 2 3 3 2" xfId="5075" xr:uid="{00000000-0005-0000-0000-0000DC090000}"/>
    <cellStyle name="Separador de milhares 2 4 11 2 2 3 4" xfId="3568" xr:uid="{00000000-0005-0000-0000-0000DD090000}"/>
    <cellStyle name="Separador de milhares 2 4 11 2 2 4" xfId="1301" xr:uid="{00000000-0005-0000-0000-0000DE090000}"/>
    <cellStyle name="Separador de milhares 2 4 11 2 2 4 2" xfId="2629" xr:uid="{00000000-0005-0000-0000-0000DF090000}"/>
    <cellStyle name="Separador de milhares 2 4 11 2 2 4 2 2" xfId="5325" xr:uid="{00000000-0005-0000-0000-0000E0090000}"/>
    <cellStyle name="Separador de milhares 2 4 11 2 2 4 3" xfId="3997" xr:uid="{00000000-0005-0000-0000-0000E1090000}"/>
    <cellStyle name="Separador de milhares 2 4 11 2 2 5" xfId="2129" xr:uid="{00000000-0005-0000-0000-0000E2090000}"/>
    <cellStyle name="Separador de milhares 2 4 11 2 2 5 2" xfId="4825" xr:uid="{00000000-0005-0000-0000-0000E3090000}"/>
    <cellStyle name="Separador de milhares 2 4 11 2 2 6" xfId="3231" xr:uid="{00000000-0005-0000-0000-0000E4090000}"/>
    <cellStyle name="Separador de milhares 2 4 11 2 3" xfId="644" xr:uid="{00000000-0005-0000-0000-0000E5090000}"/>
    <cellStyle name="Separador de milhares 2 4 11 2 3 2" xfId="981" xr:uid="{00000000-0005-0000-0000-0000E6090000}"/>
    <cellStyle name="Separador de milhares 2 4 11 2 3 2 2" xfId="1748" xr:uid="{00000000-0005-0000-0000-0000E7090000}"/>
    <cellStyle name="Separador de milhares 2 4 11 2 3 2 2 2" xfId="2942" xr:uid="{00000000-0005-0000-0000-0000E8090000}"/>
    <cellStyle name="Separador de milhares 2 4 11 2 3 2 2 2 2" xfId="5638" xr:uid="{00000000-0005-0000-0000-0000E9090000}"/>
    <cellStyle name="Separador de milhares 2 4 11 2 3 2 2 3" xfId="4444" xr:uid="{00000000-0005-0000-0000-0000EA090000}"/>
    <cellStyle name="Separador de milhares 2 4 11 2 3 2 3" xfId="2442" xr:uid="{00000000-0005-0000-0000-0000EB090000}"/>
    <cellStyle name="Separador de milhares 2 4 11 2 3 2 3 2" xfId="5138" xr:uid="{00000000-0005-0000-0000-0000EC090000}"/>
    <cellStyle name="Separador de milhares 2 4 11 2 3 2 4" xfId="3678" xr:uid="{00000000-0005-0000-0000-0000ED090000}"/>
    <cellStyle name="Separador de milhares 2 4 11 2 3 3" xfId="1411" xr:uid="{00000000-0005-0000-0000-0000EE090000}"/>
    <cellStyle name="Separador de milhares 2 4 11 2 3 3 2" xfId="2692" xr:uid="{00000000-0005-0000-0000-0000EF090000}"/>
    <cellStyle name="Separador de milhares 2 4 11 2 3 3 2 2" xfId="5388" xr:uid="{00000000-0005-0000-0000-0000F0090000}"/>
    <cellStyle name="Separador de milhares 2 4 11 2 3 3 3" xfId="4107" xr:uid="{00000000-0005-0000-0000-0000F1090000}"/>
    <cellStyle name="Separador de milhares 2 4 11 2 3 4" xfId="2192" xr:uid="{00000000-0005-0000-0000-0000F2090000}"/>
    <cellStyle name="Separador de milhares 2 4 11 2 3 4 2" xfId="4888" xr:uid="{00000000-0005-0000-0000-0000F3090000}"/>
    <cellStyle name="Separador de milhares 2 4 11 2 3 5" xfId="3341" xr:uid="{00000000-0005-0000-0000-0000F4090000}"/>
    <cellStyle name="Separador de milhares 2 4 11 2 4" xfId="807" xr:uid="{00000000-0005-0000-0000-0000F5090000}"/>
    <cellStyle name="Separador de milhares 2 4 11 2 4 2" xfId="1574" xr:uid="{00000000-0005-0000-0000-0000F6090000}"/>
    <cellStyle name="Separador de milhares 2 4 11 2 4 2 2" xfId="2817" xr:uid="{00000000-0005-0000-0000-0000F7090000}"/>
    <cellStyle name="Separador de milhares 2 4 11 2 4 2 2 2" xfId="5513" xr:uid="{00000000-0005-0000-0000-0000F8090000}"/>
    <cellStyle name="Separador de milhares 2 4 11 2 4 2 3" xfId="4270" xr:uid="{00000000-0005-0000-0000-0000F9090000}"/>
    <cellStyle name="Separador de milhares 2 4 11 2 4 3" xfId="2317" xr:uid="{00000000-0005-0000-0000-0000FA090000}"/>
    <cellStyle name="Separador de milhares 2 4 11 2 4 3 2" xfId="5013" xr:uid="{00000000-0005-0000-0000-0000FB090000}"/>
    <cellStyle name="Separador de milhares 2 4 11 2 4 4" xfId="3504" xr:uid="{00000000-0005-0000-0000-0000FC090000}"/>
    <cellStyle name="Separador de milhares 2 4 11 2 5" xfId="1238" xr:uid="{00000000-0005-0000-0000-0000FD090000}"/>
    <cellStyle name="Separador de milhares 2 4 11 2 5 2" xfId="2567" xr:uid="{00000000-0005-0000-0000-0000FE090000}"/>
    <cellStyle name="Separador de milhares 2 4 11 2 5 2 2" xfId="5263" xr:uid="{00000000-0005-0000-0000-0000FF090000}"/>
    <cellStyle name="Separador de milhares 2 4 11 2 5 3" xfId="3934" xr:uid="{00000000-0005-0000-0000-0000000A0000}"/>
    <cellStyle name="Separador de milhares 2 4 11 2 6" xfId="2067" xr:uid="{00000000-0005-0000-0000-0000010A0000}"/>
    <cellStyle name="Separador de milhares 2 4 11 2 6 2" xfId="4763" xr:uid="{00000000-0005-0000-0000-0000020A0000}"/>
    <cellStyle name="Separador de milhares 2 4 11 2 7" xfId="3167" xr:uid="{00000000-0005-0000-0000-0000030A0000}"/>
    <cellStyle name="Separador de milhares 2 4 11 3" xfId="2012" xr:uid="{00000000-0005-0000-0000-0000040A0000}"/>
    <cellStyle name="Separador de milhares 2 4 11 3 2" xfId="4708" xr:uid="{00000000-0005-0000-0000-0000050A0000}"/>
    <cellStyle name="Separador de milhares 2 4 11 4" xfId="3111" xr:uid="{00000000-0005-0000-0000-0000060A0000}"/>
    <cellStyle name="Separador de milhares 2 4 12" xfId="377" xr:uid="{00000000-0005-0000-0000-0000070A0000}"/>
    <cellStyle name="Separador de milhares 2 4 12 2" xfId="469" xr:uid="{00000000-0005-0000-0000-0000080A0000}"/>
    <cellStyle name="Separador de milhares 2 4 12 2 2" xfId="534" xr:uid="{00000000-0005-0000-0000-0000090A0000}"/>
    <cellStyle name="Separador de milhares 2 4 12 2 2 2" xfId="708" xr:uid="{00000000-0005-0000-0000-00000A0A0000}"/>
    <cellStyle name="Separador de milhares 2 4 12 2 2 2 2" xfId="1045" xr:uid="{00000000-0005-0000-0000-00000B0A0000}"/>
    <cellStyle name="Separador de milhares 2 4 12 2 2 2 2 2" xfId="1812" xr:uid="{00000000-0005-0000-0000-00000C0A0000}"/>
    <cellStyle name="Separador de milhares 2 4 12 2 2 2 2 2 2" xfId="3005" xr:uid="{00000000-0005-0000-0000-00000D0A0000}"/>
    <cellStyle name="Separador de milhares 2 4 12 2 2 2 2 2 2 2" xfId="5701" xr:uid="{00000000-0005-0000-0000-00000E0A0000}"/>
    <cellStyle name="Separador de milhares 2 4 12 2 2 2 2 2 3" xfId="4508" xr:uid="{00000000-0005-0000-0000-00000F0A0000}"/>
    <cellStyle name="Separador de milhares 2 4 12 2 2 2 2 3" xfId="2505" xr:uid="{00000000-0005-0000-0000-0000100A0000}"/>
    <cellStyle name="Separador de milhares 2 4 12 2 2 2 2 3 2" xfId="5201" xr:uid="{00000000-0005-0000-0000-0000110A0000}"/>
    <cellStyle name="Separador de milhares 2 4 12 2 2 2 2 4" xfId="3742" xr:uid="{00000000-0005-0000-0000-0000120A0000}"/>
    <cellStyle name="Separador de milhares 2 4 12 2 2 2 3" xfId="1475" xr:uid="{00000000-0005-0000-0000-0000130A0000}"/>
    <cellStyle name="Separador de milhares 2 4 12 2 2 2 3 2" xfId="2755" xr:uid="{00000000-0005-0000-0000-0000140A0000}"/>
    <cellStyle name="Separador de milhares 2 4 12 2 2 2 3 2 2" xfId="5451" xr:uid="{00000000-0005-0000-0000-0000150A0000}"/>
    <cellStyle name="Separador de milhares 2 4 12 2 2 2 3 3" xfId="4171" xr:uid="{00000000-0005-0000-0000-0000160A0000}"/>
    <cellStyle name="Separador de milhares 2 4 12 2 2 2 4" xfId="2255" xr:uid="{00000000-0005-0000-0000-0000170A0000}"/>
    <cellStyle name="Separador de milhares 2 4 12 2 2 2 4 2" xfId="4951" xr:uid="{00000000-0005-0000-0000-0000180A0000}"/>
    <cellStyle name="Separador de milhares 2 4 12 2 2 2 5" xfId="3405" xr:uid="{00000000-0005-0000-0000-0000190A0000}"/>
    <cellStyle name="Separador de milhares 2 4 12 2 2 3" xfId="872" xr:uid="{00000000-0005-0000-0000-00001A0A0000}"/>
    <cellStyle name="Separador de milhares 2 4 12 2 2 3 2" xfId="1639" xr:uid="{00000000-0005-0000-0000-00001B0A0000}"/>
    <cellStyle name="Separador de milhares 2 4 12 2 2 3 2 2" xfId="2880" xr:uid="{00000000-0005-0000-0000-00001C0A0000}"/>
    <cellStyle name="Separador de milhares 2 4 12 2 2 3 2 2 2" xfId="5576" xr:uid="{00000000-0005-0000-0000-00001D0A0000}"/>
    <cellStyle name="Separador de milhares 2 4 12 2 2 3 2 3" xfId="4335" xr:uid="{00000000-0005-0000-0000-00001E0A0000}"/>
    <cellStyle name="Separador de milhares 2 4 12 2 2 3 3" xfId="2380" xr:uid="{00000000-0005-0000-0000-00001F0A0000}"/>
    <cellStyle name="Separador de milhares 2 4 12 2 2 3 3 2" xfId="5076" xr:uid="{00000000-0005-0000-0000-0000200A0000}"/>
    <cellStyle name="Separador de milhares 2 4 12 2 2 3 4" xfId="3569" xr:uid="{00000000-0005-0000-0000-0000210A0000}"/>
    <cellStyle name="Separador de milhares 2 4 12 2 2 4" xfId="1302" xr:uid="{00000000-0005-0000-0000-0000220A0000}"/>
    <cellStyle name="Separador de milhares 2 4 12 2 2 4 2" xfId="2630" xr:uid="{00000000-0005-0000-0000-0000230A0000}"/>
    <cellStyle name="Separador de milhares 2 4 12 2 2 4 2 2" xfId="5326" xr:uid="{00000000-0005-0000-0000-0000240A0000}"/>
    <cellStyle name="Separador de milhares 2 4 12 2 2 4 3" xfId="3998" xr:uid="{00000000-0005-0000-0000-0000250A0000}"/>
    <cellStyle name="Separador de milhares 2 4 12 2 2 5" xfId="2130" xr:uid="{00000000-0005-0000-0000-0000260A0000}"/>
    <cellStyle name="Separador de milhares 2 4 12 2 2 5 2" xfId="4826" xr:uid="{00000000-0005-0000-0000-0000270A0000}"/>
    <cellStyle name="Separador de milhares 2 4 12 2 2 6" xfId="3232" xr:uid="{00000000-0005-0000-0000-0000280A0000}"/>
    <cellStyle name="Separador de milhares 2 4 12 2 3" xfId="645" xr:uid="{00000000-0005-0000-0000-0000290A0000}"/>
    <cellStyle name="Separador de milhares 2 4 12 2 3 2" xfId="982" xr:uid="{00000000-0005-0000-0000-00002A0A0000}"/>
    <cellStyle name="Separador de milhares 2 4 12 2 3 2 2" xfId="1749" xr:uid="{00000000-0005-0000-0000-00002B0A0000}"/>
    <cellStyle name="Separador de milhares 2 4 12 2 3 2 2 2" xfId="2943" xr:uid="{00000000-0005-0000-0000-00002C0A0000}"/>
    <cellStyle name="Separador de milhares 2 4 12 2 3 2 2 2 2" xfId="5639" xr:uid="{00000000-0005-0000-0000-00002D0A0000}"/>
    <cellStyle name="Separador de milhares 2 4 12 2 3 2 2 3" xfId="4445" xr:uid="{00000000-0005-0000-0000-00002E0A0000}"/>
    <cellStyle name="Separador de milhares 2 4 12 2 3 2 3" xfId="2443" xr:uid="{00000000-0005-0000-0000-00002F0A0000}"/>
    <cellStyle name="Separador de milhares 2 4 12 2 3 2 3 2" xfId="5139" xr:uid="{00000000-0005-0000-0000-0000300A0000}"/>
    <cellStyle name="Separador de milhares 2 4 12 2 3 2 4" xfId="3679" xr:uid="{00000000-0005-0000-0000-0000310A0000}"/>
    <cellStyle name="Separador de milhares 2 4 12 2 3 3" xfId="1412" xr:uid="{00000000-0005-0000-0000-0000320A0000}"/>
    <cellStyle name="Separador de milhares 2 4 12 2 3 3 2" xfId="2693" xr:uid="{00000000-0005-0000-0000-0000330A0000}"/>
    <cellStyle name="Separador de milhares 2 4 12 2 3 3 2 2" xfId="5389" xr:uid="{00000000-0005-0000-0000-0000340A0000}"/>
    <cellStyle name="Separador de milhares 2 4 12 2 3 3 3" xfId="4108" xr:uid="{00000000-0005-0000-0000-0000350A0000}"/>
    <cellStyle name="Separador de milhares 2 4 12 2 3 4" xfId="2193" xr:uid="{00000000-0005-0000-0000-0000360A0000}"/>
    <cellStyle name="Separador de milhares 2 4 12 2 3 4 2" xfId="4889" xr:uid="{00000000-0005-0000-0000-0000370A0000}"/>
    <cellStyle name="Separador de milhares 2 4 12 2 3 5" xfId="3342" xr:uid="{00000000-0005-0000-0000-0000380A0000}"/>
    <cellStyle name="Separador de milhares 2 4 12 2 4" xfId="808" xr:uid="{00000000-0005-0000-0000-0000390A0000}"/>
    <cellStyle name="Separador de milhares 2 4 12 2 4 2" xfId="1575" xr:uid="{00000000-0005-0000-0000-00003A0A0000}"/>
    <cellStyle name="Separador de milhares 2 4 12 2 4 2 2" xfId="2818" xr:uid="{00000000-0005-0000-0000-00003B0A0000}"/>
    <cellStyle name="Separador de milhares 2 4 12 2 4 2 2 2" xfId="5514" xr:uid="{00000000-0005-0000-0000-00003C0A0000}"/>
    <cellStyle name="Separador de milhares 2 4 12 2 4 2 3" xfId="4271" xr:uid="{00000000-0005-0000-0000-00003D0A0000}"/>
    <cellStyle name="Separador de milhares 2 4 12 2 4 3" xfId="2318" xr:uid="{00000000-0005-0000-0000-00003E0A0000}"/>
    <cellStyle name="Separador de milhares 2 4 12 2 4 3 2" xfId="5014" xr:uid="{00000000-0005-0000-0000-00003F0A0000}"/>
    <cellStyle name="Separador de milhares 2 4 12 2 4 4" xfId="3505" xr:uid="{00000000-0005-0000-0000-0000400A0000}"/>
    <cellStyle name="Separador de milhares 2 4 12 2 5" xfId="1239" xr:uid="{00000000-0005-0000-0000-0000410A0000}"/>
    <cellStyle name="Separador de milhares 2 4 12 2 5 2" xfId="2568" xr:uid="{00000000-0005-0000-0000-0000420A0000}"/>
    <cellStyle name="Separador de milhares 2 4 12 2 5 2 2" xfId="5264" xr:uid="{00000000-0005-0000-0000-0000430A0000}"/>
    <cellStyle name="Separador de milhares 2 4 12 2 5 3" xfId="3935" xr:uid="{00000000-0005-0000-0000-0000440A0000}"/>
    <cellStyle name="Separador de milhares 2 4 12 2 6" xfId="2068" xr:uid="{00000000-0005-0000-0000-0000450A0000}"/>
    <cellStyle name="Separador de milhares 2 4 12 2 6 2" xfId="4764" xr:uid="{00000000-0005-0000-0000-0000460A0000}"/>
    <cellStyle name="Separador de milhares 2 4 12 2 7" xfId="3168" xr:uid="{00000000-0005-0000-0000-0000470A0000}"/>
    <cellStyle name="Separador de milhares 2 4 12 3" xfId="2013" xr:uid="{00000000-0005-0000-0000-0000480A0000}"/>
    <cellStyle name="Separador de milhares 2 4 12 3 2" xfId="4709" xr:uid="{00000000-0005-0000-0000-0000490A0000}"/>
    <cellStyle name="Separador de milhares 2 4 12 4" xfId="3112" xr:uid="{00000000-0005-0000-0000-00004A0A0000}"/>
    <cellStyle name="Separador de milhares 2 4 13" xfId="456" xr:uid="{00000000-0005-0000-0000-00004B0A0000}"/>
    <cellStyle name="Separador de milhares 2 4 13 2" xfId="521" xr:uid="{00000000-0005-0000-0000-00004C0A0000}"/>
    <cellStyle name="Separador de milhares 2 4 13 2 2" xfId="695" xr:uid="{00000000-0005-0000-0000-00004D0A0000}"/>
    <cellStyle name="Separador de milhares 2 4 13 2 2 2" xfId="1032" xr:uid="{00000000-0005-0000-0000-00004E0A0000}"/>
    <cellStyle name="Separador de milhares 2 4 13 2 2 2 2" xfId="1799" xr:uid="{00000000-0005-0000-0000-00004F0A0000}"/>
    <cellStyle name="Separador de milhares 2 4 13 2 2 2 2 2" xfId="2992" xr:uid="{00000000-0005-0000-0000-0000500A0000}"/>
    <cellStyle name="Separador de milhares 2 4 13 2 2 2 2 2 2" xfId="5688" xr:uid="{00000000-0005-0000-0000-0000510A0000}"/>
    <cellStyle name="Separador de milhares 2 4 13 2 2 2 2 3" xfId="4495" xr:uid="{00000000-0005-0000-0000-0000520A0000}"/>
    <cellStyle name="Separador de milhares 2 4 13 2 2 2 3" xfId="2492" xr:uid="{00000000-0005-0000-0000-0000530A0000}"/>
    <cellStyle name="Separador de milhares 2 4 13 2 2 2 3 2" xfId="5188" xr:uid="{00000000-0005-0000-0000-0000540A0000}"/>
    <cellStyle name="Separador de milhares 2 4 13 2 2 2 4" xfId="3729" xr:uid="{00000000-0005-0000-0000-0000550A0000}"/>
    <cellStyle name="Separador de milhares 2 4 13 2 2 3" xfId="1462" xr:uid="{00000000-0005-0000-0000-0000560A0000}"/>
    <cellStyle name="Separador de milhares 2 4 13 2 2 3 2" xfId="2742" xr:uid="{00000000-0005-0000-0000-0000570A0000}"/>
    <cellStyle name="Separador de milhares 2 4 13 2 2 3 2 2" xfId="5438" xr:uid="{00000000-0005-0000-0000-0000580A0000}"/>
    <cellStyle name="Separador de milhares 2 4 13 2 2 3 3" xfId="4158" xr:uid="{00000000-0005-0000-0000-0000590A0000}"/>
    <cellStyle name="Separador de milhares 2 4 13 2 2 4" xfId="2242" xr:uid="{00000000-0005-0000-0000-00005A0A0000}"/>
    <cellStyle name="Separador de milhares 2 4 13 2 2 4 2" xfId="4938" xr:uid="{00000000-0005-0000-0000-00005B0A0000}"/>
    <cellStyle name="Separador de milhares 2 4 13 2 2 5" xfId="3392" xr:uid="{00000000-0005-0000-0000-00005C0A0000}"/>
    <cellStyle name="Separador de milhares 2 4 13 2 3" xfId="859" xr:uid="{00000000-0005-0000-0000-00005D0A0000}"/>
    <cellStyle name="Separador de milhares 2 4 13 2 3 2" xfId="1626" xr:uid="{00000000-0005-0000-0000-00005E0A0000}"/>
    <cellStyle name="Separador de milhares 2 4 13 2 3 2 2" xfId="2867" xr:uid="{00000000-0005-0000-0000-00005F0A0000}"/>
    <cellStyle name="Separador de milhares 2 4 13 2 3 2 2 2" xfId="5563" xr:uid="{00000000-0005-0000-0000-0000600A0000}"/>
    <cellStyle name="Separador de milhares 2 4 13 2 3 2 3" xfId="4322" xr:uid="{00000000-0005-0000-0000-0000610A0000}"/>
    <cellStyle name="Separador de milhares 2 4 13 2 3 3" xfId="2367" xr:uid="{00000000-0005-0000-0000-0000620A0000}"/>
    <cellStyle name="Separador de milhares 2 4 13 2 3 3 2" xfId="5063" xr:uid="{00000000-0005-0000-0000-0000630A0000}"/>
    <cellStyle name="Separador de milhares 2 4 13 2 3 4" xfId="3556" xr:uid="{00000000-0005-0000-0000-0000640A0000}"/>
    <cellStyle name="Separador de milhares 2 4 13 2 4" xfId="1289" xr:uid="{00000000-0005-0000-0000-0000650A0000}"/>
    <cellStyle name="Separador de milhares 2 4 13 2 4 2" xfId="2617" xr:uid="{00000000-0005-0000-0000-0000660A0000}"/>
    <cellStyle name="Separador de milhares 2 4 13 2 4 2 2" xfId="5313" xr:uid="{00000000-0005-0000-0000-0000670A0000}"/>
    <cellStyle name="Separador de milhares 2 4 13 2 4 3" xfId="3985" xr:uid="{00000000-0005-0000-0000-0000680A0000}"/>
    <cellStyle name="Separador de milhares 2 4 13 2 5" xfId="2117" xr:uid="{00000000-0005-0000-0000-0000690A0000}"/>
    <cellStyle name="Separador de milhares 2 4 13 2 5 2" xfId="4813" xr:uid="{00000000-0005-0000-0000-00006A0A0000}"/>
    <cellStyle name="Separador de milhares 2 4 13 2 6" xfId="3219" xr:uid="{00000000-0005-0000-0000-00006B0A0000}"/>
    <cellStyle name="Separador de milhares 2 4 13 3" xfId="632" xr:uid="{00000000-0005-0000-0000-00006C0A0000}"/>
    <cellStyle name="Separador de milhares 2 4 13 3 2" xfId="969" xr:uid="{00000000-0005-0000-0000-00006D0A0000}"/>
    <cellStyle name="Separador de milhares 2 4 13 3 2 2" xfId="1736" xr:uid="{00000000-0005-0000-0000-00006E0A0000}"/>
    <cellStyle name="Separador de milhares 2 4 13 3 2 2 2" xfId="2930" xr:uid="{00000000-0005-0000-0000-00006F0A0000}"/>
    <cellStyle name="Separador de milhares 2 4 13 3 2 2 2 2" xfId="5626" xr:uid="{00000000-0005-0000-0000-0000700A0000}"/>
    <cellStyle name="Separador de milhares 2 4 13 3 2 2 3" xfId="4432" xr:uid="{00000000-0005-0000-0000-0000710A0000}"/>
    <cellStyle name="Separador de milhares 2 4 13 3 2 3" xfId="2430" xr:uid="{00000000-0005-0000-0000-0000720A0000}"/>
    <cellStyle name="Separador de milhares 2 4 13 3 2 3 2" xfId="5126" xr:uid="{00000000-0005-0000-0000-0000730A0000}"/>
    <cellStyle name="Separador de milhares 2 4 13 3 2 4" xfId="3666" xr:uid="{00000000-0005-0000-0000-0000740A0000}"/>
    <cellStyle name="Separador de milhares 2 4 13 3 3" xfId="1399" xr:uid="{00000000-0005-0000-0000-0000750A0000}"/>
    <cellStyle name="Separador de milhares 2 4 13 3 3 2" xfId="2680" xr:uid="{00000000-0005-0000-0000-0000760A0000}"/>
    <cellStyle name="Separador de milhares 2 4 13 3 3 2 2" xfId="5376" xr:uid="{00000000-0005-0000-0000-0000770A0000}"/>
    <cellStyle name="Separador de milhares 2 4 13 3 3 3" xfId="4095" xr:uid="{00000000-0005-0000-0000-0000780A0000}"/>
    <cellStyle name="Separador de milhares 2 4 13 3 4" xfId="2180" xr:uid="{00000000-0005-0000-0000-0000790A0000}"/>
    <cellStyle name="Separador de milhares 2 4 13 3 4 2" xfId="4876" xr:uid="{00000000-0005-0000-0000-00007A0A0000}"/>
    <cellStyle name="Separador de milhares 2 4 13 3 5" xfId="3329" xr:uid="{00000000-0005-0000-0000-00007B0A0000}"/>
    <cellStyle name="Separador de milhares 2 4 13 4" xfId="795" xr:uid="{00000000-0005-0000-0000-00007C0A0000}"/>
    <cellStyle name="Separador de milhares 2 4 13 4 2" xfId="1562" xr:uid="{00000000-0005-0000-0000-00007D0A0000}"/>
    <cellStyle name="Separador de milhares 2 4 13 4 2 2" xfId="2805" xr:uid="{00000000-0005-0000-0000-00007E0A0000}"/>
    <cellStyle name="Separador de milhares 2 4 13 4 2 2 2" xfId="5501" xr:uid="{00000000-0005-0000-0000-00007F0A0000}"/>
    <cellStyle name="Separador de milhares 2 4 13 4 2 3" xfId="4258" xr:uid="{00000000-0005-0000-0000-0000800A0000}"/>
    <cellStyle name="Separador de milhares 2 4 13 4 3" xfId="2305" xr:uid="{00000000-0005-0000-0000-0000810A0000}"/>
    <cellStyle name="Separador de milhares 2 4 13 4 3 2" xfId="5001" xr:uid="{00000000-0005-0000-0000-0000820A0000}"/>
    <cellStyle name="Separador de milhares 2 4 13 4 4" xfId="3492" xr:uid="{00000000-0005-0000-0000-0000830A0000}"/>
    <cellStyle name="Separador de milhares 2 4 13 5" xfId="1226" xr:uid="{00000000-0005-0000-0000-0000840A0000}"/>
    <cellStyle name="Separador de milhares 2 4 13 5 2" xfId="2555" xr:uid="{00000000-0005-0000-0000-0000850A0000}"/>
    <cellStyle name="Separador de milhares 2 4 13 5 2 2" xfId="5251" xr:uid="{00000000-0005-0000-0000-0000860A0000}"/>
    <cellStyle name="Separador de milhares 2 4 13 5 3" xfId="3922" xr:uid="{00000000-0005-0000-0000-0000870A0000}"/>
    <cellStyle name="Separador de milhares 2 4 13 6" xfId="2055" xr:uid="{00000000-0005-0000-0000-0000880A0000}"/>
    <cellStyle name="Separador de milhares 2 4 13 6 2" xfId="4751" xr:uid="{00000000-0005-0000-0000-0000890A0000}"/>
    <cellStyle name="Separador de milhares 2 4 13 7" xfId="3155" xr:uid="{00000000-0005-0000-0000-00008A0A0000}"/>
    <cellStyle name="Separador de milhares 2 4 14" xfId="1999" xr:uid="{00000000-0005-0000-0000-00008B0A0000}"/>
    <cellStyle name="Separador de milhares 2 4 14 2" xfId="4695" xr:uid="{00000000-0005-0000-0000-00008C0A0000}"/>
    <cellStyle name="Separador de milhares 2 4 15" xfId="3097" xr:uid="{00000000-0005-0000-0000-00008D0A0000}"/>
    <cellStyle name="Separador de milhares 2 4 2" xfId="378" xr:uid="{00000000-0005-0000-0000-00008E0A0000}"/>
    <cellStyle name="Separador de milhares 2 4 2 2" xfId="470" xr:uid="{00000000-0005-0000-0000-00008F0A0000}"/>
    <cellStyle name="Separador de milhares 2 4 2 2 2" xfId="535" xr:uid="{00000000-0005-0000-0000-0000900A0000}"/>
    <cellStyle name="Separador de milhares 2 4 2 2 2 2" xfId="709" xr:uid="{00000000-0005-0000-0000-0000910A0000}"/>
    <cellStyle name="Separador de milhares 2 4 2 2 2 2 2" xfId="1046" xr:uid="{00000000-0005-0000-0000-0000920A0000}"/>
    <cellStyle name="Separador de milhares 2 4 2 2 2 2 2 2" xfId="1813" xr:uid="{00000000-0005-0000-0000-0000930A0000}"/>
    <cellStyle name="Separador de milhares 2 4 2 2 2 2 2 2 2" xfId="3006" xr:uid="{00000000-0005-0000-0000-0000940A0000}"/>
    <cellStyle name="Separador de milhares 2 4 2 2 2 2 2 2 2 2" xfId="5702" xr:uid="{00000000-0005-0000-0000-0000950A0000}"/>
    <cellStyle name="Separador de milhares 2 4 2 2 2 2 2 2 3" xfId="4509" xr:uid="{00000000-0005-0000-0000-0000960A0000}"/>
    <cellStyle name="Separador de milhares 2 4 2 2 2 2 2 3" xfId="2506" xr:uid="{00000000-0005-0000-0000-0000970A0000}"/>
    <cellStyle name="Separador de milhares 2 4 2 2 2 2 2 3 2" xfId="5202" xr:uid="{00000000-0005-0000-0000-0000980A0000}"/>
    <cellStyle name="Separador de milhares 2 4 2 2 2 2 2 4" xfId="3743" xr:uid="{00000000-0005-0000-0000-0000990A0000}"/>
    <cellStyle name="Separador de milhares 2 4 2 2 2 2 3" xfId="1476" xr:uid="{00000000-0005-0000-0000-00009A0A0000}"/>
    <cellStyle name="Separador de milhares 2 4 2 2 2 2 3 2" xfId="2756" xr:uid="{00000000-0005-0000-0000-00009B0A0000}"/>
    <cellStyle name="Separador de milhares 2 4 2 2 2 2 3 2 2" xfId="5452" xr:uid="{00000000-0005-0000-0000-00009C0A0000}"/>
    <cellStyle name="Separador de milhares 2 4 2 2 2 2 3 3" xfId="4172" xr:uid="{00000000-0005-0000-0000-00009D0A0000}"/>
    <cellStyle name="Separador de milhares 2 4 2 2 2 2 4" xfId="2256" xr:uid="{00000000-0005-0000-0000-00009E0A0000}"/>
    <cellStyle name="Separador de milhares 2 4 2 2 2 2 4 2" xfId="4952" xr:uid="{00000000-0005-0000-0000-00009F0A0000}"/>
    <cellStyle name="Separador de milhares 2 4 2 2 2 2 5" xfId="3406" xr:uid="{00000000-0005-0000-0000-0000A00A0000}"/>
    <cellStyle name="Separador de milhares 2 4 2 2 2 3" xfId="873" xr:uid="{00000000-0005-0000-0000-0000A10A0000}"/>
    <cellStyle name="Separador de milhares 2 4 2 2 2 3 2" xfId="1640" xr:uid="{00000000-0005-0000-0000-0000A20A0000}"/>
    <cellStyle name="Separador de milhares 2 4 2 2 2 3 2 2" xfId="2881" xr:uid="{00000000-0005-0000-0000-0000A30A0000}"/>
    <cellStyle name="Separador de milhares 2 4 2 2 2 3 2 2 2" xfId="5577" xr:uid="{00000000-0005-0000-0000-0000A40A0000}"/>
    <cellStyle name="Separador de milhares 2 4 2 2 2 3 2 3" xfId="4336" xr:uid="{00000000-0005-0000-0000-0000A50A0000}"/>
    <cellStyle name="Separador de milhares 2 4 2 2 2 3 3" xfId="2381" xr:uid="{00000000-0005-0000-0000-0000A60A0000}"/>
    <cellStyle name="Separador de milhares 2 4 2 2 2 3 3 2" xfId="5077" xr:uid="{00000000-0005-0000-0000-0000A70A0000}"/>
    <cellStyle name="Separador de milhares 2 4 2 2 2 3 4" xfId="3570" xr:uid="{00000000-0005-0000-0000-0000A80A0000}"/>
    <cellStyle name="Separador de milhares 2 4 2 2 2 4" xfId="1303" xr:uid="{00000000-0005-0000-0000-0000A90A0000}"/>
    <cellStyle name="Separador de milhares 2 4 2 2 2 4 2" xfId="2631" xr:uid="{00000000-0005-0000-0000-0000AA0A0000}"/>
    <cellStyle name="Separador de milhares 2 4 2 2 2 4 2 2" xfId="5327" xr:uid="{00000000-0005-0000-0000-0000AB0A0000}"/>
    <cellStyle name="Separador de milhares 2 4 2 2 2 4 3" xfId="3999" xr:uid="{00000000-0005-0000-0000-0000AC0A0000}"/>
    <cellStyle name="Separador de milhares 2 4 2 2 2 5" xfId="2131" xr:uid="{00000000-0005-0000-0000-0000AD0A0000}"/>
    <cellStyle name="Separador de milhares 2 4 2 2 2 5 2" xfId="4827" xr:uid="{00000000-0005-0000-0000-0000AE0A0000}"/>
    <cellStyle name="Separador de milhares 2 4 2 2 2 6" xfId="3233" xr:uid="{00000000-0005-0000-0000-0000AF0A0000}"/>
    <cellStyle name="Separador de milhares 2 4 2 2 3" xfId="646" xr:uid="{00000000-0005-0000-0000-0000B00A0000}"/>
    <cellStyle name="Separador de milhares 2 4 2 2 3 2" xfId="983" xr:uid="{00000000-0005-0000-0000-0000B10A0000}"/>
    <cellStyle name="Separador de milhares 2 4 2 2 3 2 2" xfId="1750" xr:uid="{00000000-0005-0000-0000-0000B20A0000}"/>
    <cellStyle name="Separador de milhares 2 4 2 2 3 2 2 2" xfId="2944" xr:uid="{00000000-0005-0000-0000-0000B30A0000}"/>
    <cellStyle name="Separador de milhares 2 4 2 2 3 2 2 2 2" xfId="5640" xr:uid="{00000000-0005-0000-0000-0000B40A0000}"/>
    <cellStyle name="Separador de milhares 2 4 2 2 3 2 2 3" xfId="4446" xr:uid="{00000000-0005-0000-0000-0000B50A0000}"/>
    <cellStyle name="Separador de milhares 2 4 2 2 3 2 3" xfId="2444" xr:uid="{00000000-0005-0000-0000-0000B60A0000}"/>
    <cellStyle name="Separador de milhares 2 4 2 2 3 2 3 2" xfId="5140" xr:uid="{00000000-0005-0000-0000-0000B70A0000}"/>
    <cellStyle name="Separador de milhares 2 4 2 2 3 2 4" xfId="3680" xr:uid="{00000000-0005-0000-0000-0000B80A0000}"/>
    <cellStyle name="Separador de milhares 2 4 2 2 3 3" xfId="1413" xr:uid="{00000000-0005-0000-0000-0000B90A0000}"/>
    <cellStyle name="Separador de milhares 2 4 2 2 3 3 2" xfId="2694" xr:uid="{00000000-0005-0000-0000-0000BA0A0000}"/>
    <cellStyle name="Separador de milhares 2 4 2 2 3 3 2 2" xfId="5390" xr:uid="{00000000-0005-0000-0000-0000BB0A0000}"/>
    <cellStyle name="Separador de milhares 2 4 2 2 3 3 3" xfId="4109" xr:uid="{00000000-0005-0000-0000-0000BC0A0000}"/>
    <cellStyle name="Separador de milhares 2 4 2 2 3 4" xfId="2194" xr:uid="{00000000-0005-0000-0000-0000BD0A0000}"/>
    <cellStyle name="Separador de milhares 2 4 2 2 3 4 2" xfId="4890" xr:uid="{00000000-0005-0000-0000-0000BE0A0000}"/>
    <cellStyle name="Separador de milhares 2 4 2 2 3 5" xfId="3343" xr:uid="{00000000-0005-0000-0000-0000BF0A0000}"/>
    <cellStyle name="Separador de milhares 2 4 2 2 4" xfId="809" xr:uid="{00000000-0005-0000-0000-0000C00A0000}"/>
    <cellStyle name="Separador de milhares 2 4 2 2 4 2" xfId="1576" xr:uid="{00000000-0005-0000-0000-0000C10A0000}"/>
    <cellStyle name="Separador de milhares 2 4 2 2 4 2 2" xfId="2819" xr:uid="{00000000-0005-0000-0000-0000C20A0000}"/>
    <cellStyle name="Separador de milhares 2 4 2 2 4 2 2 2" xfId="5515" xr:uid="{00000000-0005-0000-0000-0000C30A0000}"/>
    <cellStyle name="Separador de milhares 2 4 2 2 4 2 3" xfId="4272" xr:uid="{00000000-0005-0000-0000-0000C40A0000}"/>
    <cellStyle name="Separador de milhares 2 4 2 2 4 3" xfId="2319" xr:uid="{00000000-0005-0000-0000-0000C50A0000}"/>
    <cellStyle name="Separador de milhares 2 4 2 2 4 3 2" xfId="5015" xr:uid="{00000000-0005-0000-0000-0000C60A0000}"/>
    <cellStyle name="Separador de milhares 2 4 2 2 4 4" xfId="3506" xr:uid="{00000000-0005-0000-0000-0000C70A0000}"/>
    <cellStyle name="Separador de milhares 2 4 2 2 5" xfId="1240" xr:uid="{00000000-0005-0000-0000-0000C80A0000}"/>
    <cellStyle name="Separador de milhares 2 4 2 2 5 2" xfId="2569" xr:uid="{00000000-0005-0000-0000-0000C90A0000}"/>
    <cellStyle name="Separador de milhares 2 4 2 2 5 2 2" xfId="5265" xr:uid="{00000000-0005-0000-0000-0000CA0A0000}"/>
    <cellStyle name="Separador de milhares 2 4 2 2 5 3" xfId="3936" xr:uid="{00000000-0005-0000-0000-0000CB0A0000}"/>
    <cellStyle name="Separador de milhares 2 4 2 2 6" xfId="2069" xr:uid="{00000000-0005-0000-0000-0000CC0A0000}"/>
    <cellStyle name="Separador de milhares 2 4 2 2 6 2" xfId="4765" xr:uid="{00000000-0005-0000-0000-0000CD0A0000}"/>
    <cellStyle name="Separador de milhares 2 4 2 2 7" xfId="3169" xr:uid="{00000000-0005-0000-0000-0000CE0A0000}"/>
    <cellStyle name="Separador de milhares 2 4 2 3" xfId="2014" xr:uid="{00000000-0005-0000-0000-0000CF0A0000}"/>
    <cellStyle name="Separador de milhares 2 4 2 3 2" xfId="4710" xr:uid="{00000000-0005-0000-0000-0000D00A0000}"/>
    <cellStyle name="Separador de milhares 2 4 2 4" xfId="3113" xr:uid="{00000000-0005-0000-0000-0000D10A0000}"/>
    <cellStyle name="Separador de milhares 2 4 3" xfId="379" xr:uid="{00000000-0005-0000-0000-0000D20A0000}"/>
    <cellStyle name="Separador de milhares 2 4 3 2" xfId="471" xr:uid="{00000000-0005-0000-0000-0000D30A0000}"/>
    <cellStyle name="Separador de milhares 2 4 3 2 2" xfId="536" xr:uid="{00000000-0005-0000-0000-0000D40A0000}"/>
    <cellStyle name="Separador de milhares 2 4 3 2 2 2" xfId="710" xr:uid="{00000000-0005-0000-0000-0000D50A0000}"/>
    <cellStyle name="Separador de milhares 2 4 3 2 2 2 2" xfId="1047" xr:uid="{00000000-0005-0000-0000-0000D60A0000}"/>
    <cellStyle name="Separador de milhares 2 4 3 2 2 2 2 2" xfId="1814" xr:uid="{00000000-0005-0000-0000-0000D70A0000}"/>
    <cellStyle name="Separador de milhares 2 4 3 2 2 2 2 2 2" xfId="3007" xr:uid="{00000000-0005-0000-0000-0000D80A0000}"/>
    <cellStyle name="Separador de milhares 2 4 3 2 2 2 2 2 2 2" xfId="5703" xr:uid="{00000000-0005-0000-0000-0000D90A0000}"/>
    <cellStyle name="Separador de milhares 2 4 3 2 2 2 2 2 3" xfId="4510" xr:uid="{00000000-0005-0000-0000-0000DA0A0000}"/>
    <cellStyle name="Separador de milhares 2 4 3 2 2 2 2 3" xfId="2507" xr:uid="{00000000-0005-0000-0000-0000DB0A0000}"/>
    <cellStyle name="Separador de milhares 2 4 3 2 2 2 2 3 2" xfId="5203" xr:uid="{00000000-0005-0000-0000-0000DC0A0000}"/>
    <cellStyle name="Separador de milhares 2 4 3 2 2 2 2 4" xfId="3744" xr:uid="{00000000-0005-0000-0000-0000DD0A0000}"/>
    <cellStyle name="Separador de milhares 2 4 3 2 2 2 3" xfId="1477" xr:uid="{00000000-0005-0000-0000-0000DE0A0000}"/>
    <cellStyle name="Separador de milhares 2 4 3 2 2 2 3 2" xfId="2757" xr:uid="{00000000-0005-0000-0000-0000DF0A0000}"/>
    <cellStyle name="Separador de milhares 2 4 3 2 2 2 3 2 2" xfId="5453" xr:uid="{00000000-0005-0000-0000-0000E00A0000}"/>
    <cellStyle name="Separador de milhares 2 4 3 2 2 2 3 3" xfId="4173" xr:uid="{00000000-0005-0000-0000-0000E10A0000}"/>
    <cellStyle name="Separador de milhares 2 4 3 2 2 2 4" xfId="2257" xr:uid="{00000000-0005-0000-0000-0000E20A0000}"/>
    <cellStyle name="Separador de milhares 2 4 3 2 2 2 4 2" xfId="4953" xr:uid="{00000000-0005-0000-0000-0000E30A0000}"/>
    <cellStyle name="Separador de milhares 2 4 3 2 2 2 5" xfId="3407" xr:uid="{00000000-0005-0000-0000-0000E40A0000}"/>
    <cellStyle name="Separador de milhares 2 4 3 2 2 3" xfId="874" xr:uid="{00000000-0005-0000-0000-0000E50A0000}"/>
    <cellStyle name="Separador de milhares 2 4 3 2 2 3 2" xfId="1641" xr:uid="{00000000-0005-0000-0000-0000E60A0000}"/>
    <cellStyle name="Separador de milhares 2 4 3 2 2 3 2 2" xfId="2882" xr:uid="{00000000-0005-0000-0000-0000E70A0000}"/>
    <cellStyle name="Separador de milhares 2 4 3 2 2 3 2 2 2" xfId="5578" xr:uid="{00000000-0005-0000-0000-0000E80A0000}"/>
    <cellStyle name="Separador de milhares 2 4 3 2 2 3 2 3" xfId="4337" xr:uid="{00000000-0005-0000-0000-0000E90A0000}"/>
    <cellStyle name="Separador de milhares 2 4 3 2 2 3 3" xfId="2382" xr:uid="{00000000-0005-0000-0000-0000EA0A0000}"/>
    <cellStyle name="Separador de milhares 2 4 3 2 2 3 3 2" xfId="5078" xr:uid="{00000000-0005-0000-0000-0000EB0A0000}"/>
    <cellStyle name="Separador de milhares 2 4 3 2 2 3 4" xfId="3571" xr:uid="{00000000-0005-0000-0000-0000EC0A0000}"/>
    <cellStyle name="Separador de milhares 2 4 3 2 2 4" xfId="1304" xr:uid="{00000000-0005-0000-0000-0000ED0A0000}"/>
    <cellStyle name="Separador de milhares 2 4 3 2 2 4 2" xfId="2632" xr:uid="{00000000-0005-0000-0000-0000EE0A0000}"/>
    <cellStyle name="Separador de milhares 2 4 3 2 2 4 2 2" xfId="5328" xr:uid="{00000000-0005-0000-0000-0000EF0A0000}"/>
    <cellStyle name="Separador de milhares 2 4 3 2 2 4 3" xfId="4000" xr:uid="{00000000-0005-0000-0000-0000F00A0000}"/>
    <cellStyle name="Separador de milhares 2 4 3 2 2 5" xfId="2132" xr:uid="{00000000-0005-0000-0000-0000F10A0000}"/>
    <cellStyle name="Separador de milhares 2 4 3 2 2 5 2" xfId="4828" xr:uid="{00000000-0005-0000-0000-0000F20A0000}"/>
    <cellStyle name="Separador de milhares 2 4 3 2 2 6" xfId="3234" xr:uid="{00000000-0005-0000-0000-0000F30A0000}"/>
    <cellStyle name="Separador de milhares 2 4 3 2 3" xfId="647" xr:uid="{00000000-0005-0000-0000-0000F40A0000}"/>
    <cellStyle name="Separador de milhares 2 4 3 2 3 2" xfId="984" xr:uid="{00000000-0005-0000-0000-0000F50A0000}"/>
    <cellStyle name="Separador de milhares 2 4 3 2 3 2 2" xfId="1751" xr:uid="{00000000-0005-0000-0000-0000F60A0000}"/>
    <cellStyle name="Separador de milhares 2 4 3 2 3 2 2 2" xfId="2945" xr:uid="{00000000-0005-0000-0000-0000F70A0000}"/>
    <cellStyle name="Separador de milhares 2 4 3 2 3 2 2 2 2" xfId="5641" xr:uid="{00000000-0005-0000-0000-0000F80A0000}"/>
    <cellStyle name="Separador de milhares 2 4 3 2 3 2 2 3" xfId="4447" xr:uid="{00000000-0005-0000-0000-0000F90A0000}"/>
    <cellStyle name="Separador de milhares 2 4 3 2 3 2 3" xfId="2445" xr:uid="{00000000-0005-0000-0000-0000FA0A0000}"/>
    <cellStyle name="Separador de milhares 2 4 3 2 3 2 3 2" xfId="5141" xr:uid="{00000000-0005-0000-0000-0000FB0A0000}"/>
    <cellStyle name="Separador de milhares 2 4 3 2 3 2 4" xfId="3681" xr:uid="{00000000-0005-0000-0000-0000FC0A0000}"/>
    <cellStyle name="Separador de milhares 2 4 3 2 3 3" xfId="1414" xr:uid="{00000000-0005-0000-0000-0000FD0A0000}"/>
    <cellStyle name="Separador de milhares 2 4 3 2 3 3 2" xfId="2695" xr:uid="{00000000-0005-0000-0000-0000FE0A0000}"/>
    <cellStyle name="Separador de milhares 2 4 3 2 3 3 2 2" xfId="5391" xr:uid="{00000000-0005-0000-0000-0000FF0A0000}"/>
    <cellStyle name="Separador de milhares 2 4 3 2 3 3 3" xfId="4110" xr:uid="{00000000-0005-0000-0000-0000000B0000}"/>
    <cellStyle name="Separador de milhares 2 4 3 2 3 4" xfId="2195" xr:uid="{00000000-0005-0000-0000-0000010B0000}"/>
    <cellStyle name="Separador de milhares 2 4 3 2 3 4 2" xfId="4891" xr:uid="{00000000-0005-0000-0000-0000020B0000}"/>
    <cellStyle name="Separador de milhares 2 4 3 2 3 5" xfId="3344" xr:uid="{00000000-0005-0000-0000-0000030B0000}"/>
    <cellStyle name="Separador de milhares 2 4 3 2 4" xfId="810" xr:uid="{00000000-0005-0000-0000-0000040B0000}"/>
    <cellStyle name="Separador de milhares 2 4 3 2 4 2" xfId="1577" xr:uid="{00000000-0005-0000-0000-0000050B0000}"/>
    <cellStyle name="Separador de milhares 2 4 3 2 4 2 2" xfId="2820" xr:uid="{00000000-0005-0000-0000-0000060B0000}"/>
    <cellStyle name="Separador de milhares 2 4 3 2 4 2 2 2" xfId="5516" xr:uid="{00000000-0005-0000-0000-0000070B0000}"/>
    <cellStyle name="Separador de milhares 2 4 3 2 4 2 3" xfId="4273" xr:uid="{00000000-0005-0000-0000-0000080B0000}"/>
    <cellStyle name="Separador de milhares 2 4 3 2 4 3" xfId="2320" xr:uid="{00000000-0005-0000-0000-0000090B0000}"/>
    <cellStyle name="Separador de milhares 2 4 3 2 4 3 2" xfId="5016" xr:uid="{00000000-0005-0000-0000-00000A0B0000}"/>
    <cellStyle name="Separador de milhares 2 4 3 2 4 4" xfId="3507" xr:uid="{00000000-0005-0000-0000-00000B0B0000}"/>
    <cellStyle name="Separador de milhares 2 4 3 2 5" xfId="1241" xr:uid="{00000000-0005-0000-0000-00000C0B0000}"/>
    <cellStyle name="Separador de milhares 2 4 3 2 5 2" xfId="2570" xr:uid="{00000000-0005-0000-0000-00000D0B0000}"/>
    <cellStyle name="Separador de milhares 2 4 3 2 5 2 2" xfId="5266" xr:uid="{00000000-0005-0000-0000-00000E0B0000}"/>
    <cellStyle name="Separador de milhares 2 4 3 2 5 3" xfId="3937" xr:uid="{00000000-0005-0000-0000-00000F0B0000}"/>
    <cellStyle name="Separador de milhares 2 4 3 2 6" xfId="2070" xr:uid="{00000000-0005-0000-0000-0000100B0000}"/>
    <cellStyle name="Separador de milhares 2 4 3 2 6 2" xfId="4766" xr:uid="{00000000-0005-0000-0000-0000110B0000}"/>
    <cellStyle name="Separador de milhares 2 4 3 2 7" xfId="3170" xr:uid="{00000000-0005-0000-0000-0000120B0000}"/>
    <cellStyle name="Separador de milhares 2 4 3 3" xfId="2015" xr:uid="{00000000-0005-0000-0000-0000130B0000}"/>
    <cellStyle name="Separador de milhares 2 4 3 3 2" xfId="4711" xr:uid="{00000000-0005-0000-0000-0000140B0000}"/>
    <cellStyle name="Separador de milhares 2 4 3 4" xfId="3114" xr:uid="{00000000-0005-0000-0000-0000150B0000}"/>
    <cellStyle name="Separador de milhares 2 4 4" xfId="380" xr:uid="{00000000-0005-0000-0000-0000160B0000}"/>
    <cellStyle name="Separador de milhares 2 4 4 2" xfId="472" xr:uid="{00000000-0005-0000-0000-0000170B0000}"/>
    <cellStyle name="Separador de milhares 2 4 4 2 2" xfId="537" xr:uid="{00000000-0005-0000-0000-0000180B0000}"/>
    <cellStyle name="Separador de milhares 2 4 4 2 2 2" xfId="711" xr:uid="{00000000-0005-0000-0000-0000190B0000}"/>
    <cellStyle name="Separador de milhares 2 4 4 2 2 2 2" xfId="1048" xr:uid="{00000000-0005-0000-0000-00001A0B0000}"/>
    <cellStyle name="Separador de milhares 2 4 4 2 2 2 2 2" xfId="1815" xr:uid="{00000000-0005-0000-0000-00001B0B0000}"/>
    <cellStyle name="Separador de milhares 2 4 4 2 2 2 2 2 2" xfId="3008" xr:uid="{00000000-0005-0000-0000-00001C0B0000}"/>
    <cellStyle name="Separador de milhares 2 4 4 2 2 2 2 2 2 2" xfId="5704" xr:uid="{00000000-0005-0000-0000-00001D0B0000}"/>
    <cellStyle name="Separador de milhares 2 4 4 2 2 2 2 2 3" xfId="4511" xr:uid="{00000000-0005-0000-0000-00001E0B0000}"/>
    <cellStyle name="Separador de milhares 2 4 4 2 2 2 2 3" xfId="2508" xr:uid="{00000000-0005-0000-0000-00001F0B0000}"/>
    <cellStyle name="Separador de milhares 2 4 4 2 2 2 2 3 2" xfId="5204" xr:uid="{00000000-0005-0000-0000-0000200B0000}"/>
    <cellStyle name="Separador de milhares 2 4 4 2 2 2 2 4" xfId="3745" xr:uid="{00000000-0005-0000-0000-0000210B0000}"/>
    <cellStyle name="Separador de milhares 2 4 4 2 2 2 3" xfId="1478" xr:uid="{00000000-0005-0000-0000-0000220B0000}"/>
    <cellStyle name="Separador de milhares 2 4 4 2 2 2 3 2" xfId="2758" xr:uid="{00000000-0005-0000-0000-0000230B0000}"/>
    <cellStyle name="Separador de milhares 2 4 4 2 2 2 3 2 2" xfId="5454" xr:uid="{00000000-0005-0000-0000-0000240B0000}"/>
    <cellStyle name="Separador de milhares 2 4 4 2 2 2 3 3" xfId="4174" xr:uid="{00000000-0005-0000-0000-0000250B0000}"/>
    <cellStyle name="Separador de milhares 2 4 4 2 2 2 4" xfId="2258" xr:uid="{00000000-0005-0000-0000-0000260B0000}"/>
    <cellStyle name="Separador de milhares 2 4 4 2 2 2 4 2" xfId="4954" xr:uid="{00000000-0005-0000-0000-0000270B0000}"/>
    <cellStyle name="Separador de milhares 2 4 4 2 2 2 5" xfId="3408" xr:uid="{00000000-0005-0000-0000-0000280B0000}"/>
    <cellStyle name="Separador de milhares 2 4 4 2 2 3" xfId="875" xr:uid="{00000000-0005-0000-0000-0000290B0000}"/>
    <cellStyle name="Separador de milhares 2 4 4 2 2 3 2" xfId="1642" xr:uid="{00000000-0005-0000-0000-00002A0B0000}"/>
    <cellStyle name="Separador de milhares 2 4 4 2 2 3 2 2" xfId="2883" xr:uid="{00000000-0005-0000-0000-00002B0B0000}"/>
    <cellStyle name="Separador de milhares 2 4 4 2 2 3 2 2 2" xfId="5579" xr:uid="{00000000-0005-0000-0000-00002C0B0000}"/>
    <cellStyle name="Separador de milhares 2 4 4 2 2 3 2 3" xfId="4338" xr:uid="{00000000-0005-0000-0000-00002D0B0000}"/>
    <cellStyle name="Separador de milhares 2 4 4 2 2 3 3" xfId="2383" xr:uid="{00000000-0005-0000-0000-00002E0B0000}"/>
    <cellStyle name="Separador de milhares 2 4 4 2 2 3 3 2" xfId="5079" xr:uid="{00000000-0005-0000-0000-00002F0B0000}"/>
    <cellStyle name="Separador de milhares 2 4 4 2 2 3 4" xfId="3572" xr:uid="{00000000-0005-0000-0000-0000300B0000}"/>
    <cellStyle name="Separador de milhares 2 4 4 2 2 4" xfId="1305" xr:uid="{00000000-0005-0000-0000-0000310B0000}"/>
    <cellStyle name="Separador de milhares 2 4 4 2 2 4 2" xfId="2633" xr:uid="{00000000-0005-0000-0000-0000320B0000}"/>
    <cellStyle name="Separador de milhares 2 4 4 2 2 4 2 2" xfId="5329" xr:uid="{00000000-0005-0000-0000-0000330B0000}"/>
    <cellStyle name="Separador de milhares 2 4 4 2 2 4 3" xfId="4001" xr:uid="{00000000-0005-0000-0000-0000340B0000}"/>
    <cellStyle name="Separador de milhares 2 4 4 2 2 5" xfId="2133" xr:uid="{00000000-0005-0000-0000-0000350B0000}"/>
    <cellStyle name="Separador de milhares 2 4 4 2 2 5 2" xfId="4829" xr:uid="{00000000-0005-0000-0000-0000360B0000}"/>
    <cellStyle name="Separador de milhares 2 4 4 2 2 6" xfId="3235" xr:uid="{00000000-0005-0000-0000-0000370B0000}"/>
    <cellStyle name="Separador de milhares 2 4 4 2 3" xfId="648" xr:uid="{00000000-0005-0000-0000-0000380B0000}"/>
    <cellStyle name="Separador de milhares 2 4 4 2 3 2" xfId="985" xr:uid="{00000000-0005-0000-0000-0000390B0000}"/>
    <cellStyle name="Separador de milhares 2 4 4 2 3 2 2" xfId="1752" xr:uid="{00000000-0005-0000-0000-00003A0B0000}"/>
    <cellStyle name="Separador de milhares 2 4 4 2 3 2 2 2" xfId="2946" xr:uid="{00000000-0005-0000-0000-00003B0B0000}"/>
    <cellStyle name="Separador de milhares 2 4 4 2 3 2 2 2 2" xfId="5642" xr:uid="{00000000-0005-0000-0000-00003C0B0000}"/>
    <cellStyle name="Separador de milhares 2 4 4 2 3 2 2 3" xfId="4448" xr:uid="{00000000-0005-0000-0000-00003D0B0000}"/>
    <cellStyle name="Separador de milhares 2 4 4 2 3 2 3" xfId="2446" xr:uid="{00000000-0005-0000-0000-00003E0B0000}"/>
    <cellStyle name="Separador de milhares 2 4 4 2 3 2 3 2" xfId="5142" xr:uid="{00000000-0005-0000-0000-00003F0B0000}"/>
    <cellStyle name="Separador de milhares 2 4 4 2 3 2 4" xfId="3682" xr:uid="{00000000-0005-0000-0000-0000400B0000}"/>
    <cellStyle name="Separador de milhares 2 4 4 2 3 3" xfId="1415" xr:uid="{00000000-0005-0000-0000-0000410B0000}"/>
    <cellStyle name="Separador de milhares 2 4 4 2 3 3 2" xfId="2696" xr:uid="{00000000-0005-0000-0000-0000420B0000}"/>
    <cellStyle name="Separador de milhares 2 4 4 2 3 3 2 2" xfId="5392" xr:uid="{00000000-0005-0000-0000-0000430B0000}"/>
    <cellStyle name="Separador de milhares 2 4 4 2 3 3 3" xfId="4111" xr:uid="{00000000-0005-0000-0000-0000440B0000}"/>
    <cellStyle name="Separador de milhares 2 4 4 2 3 4" xfId="2196" xr:uid="{00000000-0005-0000-0000-0000450B0000}"/>
    <cellStyle name="Separador de milhares 2 4 4 2 3 4 2" xfId="4892" xr:uid="{00000000-0005-0000-0000-0000460B0000}"/>
    <cellStyle name="Separador de milhares 2 4 4 2 3 5" xfId="3345" xr:uid="{00000000-0005-0000-0000-0000470B0000}"/>
    <cellStyle name="Separador de milhares 2 4 4 2 4" xfId="811" xr:uid="{00000000-0005-0000-0000-0000480B0000}"/>
    <cellStyle name="Separador de milhares 2 4 4 2 4 2" xfId="1578" xr:uid="{00000000-0005-0000-0000-0000490B0000}"/>
    <cellStyle name="Separador de milhares 2 4 4 2 4 2 2" xfId="2821" xr:uid="{00000000-0005-0000-0000-00004A0B0000}"/>
    <cellStyle name="Separador de milhares 2 4 4 2 4 2 2 2" xfId="5517" xr:uid="{00000000-0005-0000-0000-00004B0B0000}"/>
    <cellStyle name="Separador de milhares 2 4 4 2 4 2 3" xfId="4274" xr:uid="{00000000-0005-0000-0000-00004C0B0000}"/>
    <cellStyle name="Separador de milhares 2 4 4 2 4 3" xfId="2321" xr:uid="{00000000-0005-0000-0000-00004D0B0000}"/>
    <cellStyle name="Separador de milhares 2 4 4 2 4 3 2" xfId="5017" xr:uid="{00000000-0005-0000-0000-00004E0B0000}"/>
    <cellStyle name="Separador de milhares 2 4 4 2 4 4" xfId="3508" xr:uid="{00000000-0005-0000-0000-00004F0B0000}"/>
    <cellStyle name="Separador de milhares 2 4 4 2 5" xfId="1242" xr:uid="{00000000-0005-0000-0000-0000500B0000}"/>
    <cellStyle name="Separador de milhares 2 4 4 2 5 2" xfId="2571" xr:uid="{00000000-0005-0000-0000-0000510B0000}"/>
    <cellStyle name="Separador de milhares 2 4 4 2 5 2 2" xfId="5267" xr:uid="{00000000-0005-0000-0000-0000520B0000}"/>
    <cellStyle name="Separador de milhares 2 4 4 2 5 3" xfId="3938" xr:uid="{00000000-0005-0000-0000-0000530B0000}"/>
    <cellStyle name="Separador de milhares 2 4 4 2 6" xfId="2071" xr:uid="{00000000-0005-0000-0000-0000540B0000}"/>
    <cellStyle name="Separador de milhares 2 4 4 2 6 2" xfId="4767" xr:uid="{00000000-0005-0000-0000-0000550B0000}"/>
    <cellStyle name="Separador de milhares 2 4 4 2 7" xfId="3171" xr:uid="{00000000-0005-0000-0000-0000560B0000}"/>
    <cellStyle name="Separador de milhares 2 4 4 3" xfId="2016" xr:uid="{00000000-0005-0000-0000-0000570B0000}"/>
    <cellStyle name="Separador de milhares 2 4 4 3 2" xfId="4712" xr:uid="{00000000-0005-0000-0000-0000580B0000}"/>
    <cellStyle name="Separador de milhares 2 4 4 4" xfId="3115" xr:uid="{00000000-0005-0000-0000-0000590B0000}"/>
    <cellStyle name="Separador de milhares 2 4 5" xfId="381" xr:uid="{00000000-0005-0000-0000-00005A0B0000}"/>
    <cellStyle name="Separador de milhares 2 4 5 2" xfId="473" xr:uid="{00000000-0005-0000-0000-00005B0B0000}"/>
    <cellStyle name="Separador de milhares 2 4 5 2 2" xfId="538" xr:uid="{00000000-0005-0000-0000-00005C0B0000}"/>
    <cellStyle name="Separador de milhares 2 4 5 2 2 2" xfId="712" xr:uid="{00000000-0005-0000-0000-00005D0B0000}"/>
    <cellStyle name="Separador de milhares 2 4 5 2 2 2 2" xfId="1049" xr:uid="{00000000-0005-0000-0000-00005E0B0000}"/>
    <cellStyle name="Separador de milhares 2 4 5 2 2 2 2 2" xfId="1816" xr:uid="{00000000-0005-0000-0000-00005F0B0000}"/>
    <cellStyle name="Separador de milhares 2 4 5 2 2 2 2 2 2" xfId="3009" xr:uid="{00000000-0005-0000-0000-0000600B0000}"/>
    <cellStyle name="Separador de milhares 2 4 5 2 2 2 2 2 2 2" xfId="5705" xr:uid="{00000000-0005-0000-0000-0000610B0000}"/>
    <cellStyle name="Separador de milhares 2 4 5 2 2 2 2 2 3" xfId="4512" xr:uid="{00000000-0005-0000-0000-0000620B0000}"/>
    <cellStyle name="Separador de milhares 2 4 5 2 2 2 2 3" xfId="2509" xr:uid="{00000000-0005-0000-0000-0000630B0000}"/>
    <cellStyle name="Separador de milhares 2 4 5 2 2 2 2 3 2" xfId="5205" xr:uid="{00000000-0005-0000-0000-0000640B0000}"/>
    <cellStyle name="Separador de milhares 2 4 5 2 2 2 2 4" xfId="3746" xr:uid="{00000000-0005-0000-0000-0000650B0000}"/>
    <cellStyle name="Separador de milhares 2 4 5 2 2 2 3" xfId="1479" xr:uid="{00000000-0005-0000-0000-0000660B0000}"/>
    <cellStyle name="Separador de milhares 2 4 5 2 2 2 3 2" xfId="2759" xr:uid="{00000000-0005-0000-0000-0000670B0000}"/>
    <cellStyle name="Separador de milhares 2 4 5 2 2 2 3 2 2" xfId="5455" xr:uid="{00000000-0005-0000-0000-0000680B0000}"/>
    <cellStyle name="Separador de milhares 2 4 5 2 2 2 3 3" xfId="4175" xr:uid="{00000000-0005-0000-0000-0000690B0000}"/>
    <cellStyle name="Separador de milhares 2 4 5 2 2 2 4" xfId="2259" xr:uid="{00000000-0005-0000-0000-00006A0B0000}"/>
    <cellStyle name="Separador de milhares 2 4 5 2 2 2 4 2" xfId="4955" xr:uid="{00000000-0005-0000-0000-00006B0B0000}"/>
    <cellStyle name="Separador de milhares 2 4 5 2 2 2 5" xfId="3409" xr:uid="{00000000-0005-0000-0000-00006C0B0000}"/>
    <cellStyle name="Separador de milhares 2 4 5 2 2 3" xfId="876" xr:uid="{00000000-0005-0000-0000-00006D0B0000}"/>
    <cellStyle name="Separador de milhares 2 4 5 2 2 3 2" xfId="1643" xr:uid="{00000000-0005-0000-0000-00006E0B0000}"/>
    <cellStyle name="Separador de milhares 2 4 5 2 2 3 2 2" xfId="2884" xr:uid="{00000000-0005-0000-0000-00006F0B0000}"/>
    <cellStyle name="Separador de milhares 2 4 5 2 2 3 2 2 2" xfId="5580" xr:uid="{00000000-0005-0000-0000-0000700B0000}"/>
    <cellStyle name="Separador de milhares 2 4 5 2 2 3 2 3" xfId="4339" xr:uid="{00000000-0005-0000-0000-0000710B0000}"/>
    <cellStyle name="Separador de milhares 2 4 5 2 2 3 3" xfId="2384" xr:uid="{00000000-0005-0000-0000-0000720B0000}"/>
    <cellStyle name="Separador de milhares 2 4 5 2 2 3 3 2" xfId="5080" xr:uid="{00000000-0005-0000-0000-0000730B0000}"/>
    <cellStyle name="Separador de milhares 2 4 5 2 2 3 4" xfId="3573" xr:uid="{00000000-0005-0000-0000-0000740B0000}"/>
    <cellStyle name="Separador de milhares 2 4 5 2 2 4" xfId="1306" xr:uid="{00000000-0005-0000-0000-0000750B0000}"/>
    <cellStyle name="Separador de milhares 2 4 5 2 2 4 2" xfId="2634" xr:uid="{00000000-0005-0000-0000-0000760B0000}"/>
    <cellStyle name="Separador de milhares 2 4 5 2 2 4 2 2" xfId="5330" xr:uid="{00000000-0005-0000-0000-0000770B0000}"/>
    <cellStyle name="Separador de milhares 2 4 5 2 2 4 3" xfId="4002" xr:uid="{00000000-0005-0000-0000-0000780B0000}"/>
    <cellStyle name="Separador de milhares 2 4 5 2 2 5" xfId="2134" xr:uid="{00000000-0005-0000-0000-0000790B0000}"/>
    <cellStyle name="Separador de milhares 2 4 5 2 2 5 2" xfId="4830" xr:uid="{00000000-0005-0000-0000-00007A0B0000}"/>
    <cellStyle name="Separador de milhares 2 4 5 2 2 6" xfId="3236" xr:uid="{00000000-0005-0000-0000-00007B0B0000}"/>
    <cellStyle name="Separador de milhares 2 4 5 2 3" xfId="649" xr:uid="{00000000-0005-0000-0000-00007C0B0000}"/>
    <cellStyle name="Separador de milhares 2 4 5 2 3 2" xfId="986" xr:uid="{00000000-0005-0000-0000-00007D0B0000}"/>
    <cellStyle name="Separador de milhares 2 4 5 2 3 2 2" xfId="1753" xr:uid="{00000000-0005-0000-0000-00007E0B0000}"/>
    <cellStyle name="Separador de milhares 2 4 5 2 3 2 2 2" xfId="2947" xr:uid="{00000000-0005-0000-0000-00007F0B0000}"/>
    <cellStyle name="Separador de milhares 2 4 5 2 3 2 2 2 2" xfId="5643" xr:uid="{00000000-0005-0000-0000-0000800B0000}"/>
    <cellStyle name="Separador de milhares 2 4 5 2 3 2 2 3" xfId="4449" xr:uid="{00000000-0005-0000-0000-0000810B0000}"/>
    <cellStyle name="Separador de milhares 2 4 5 2 3 2 3" xfId="2447" xr:uid="{00000000-0005-0000-0000-0000820B0000}"/>
    <cellStyle name="Separador de milhares 2 4 5 2 3 2 3 2" xfId="5143" xr:uid="{00000000-0005-0000-0000-0000830B0000}"/>
    <cellStyle name="Separador de milhares 2 4 5 2 3 2 4" xfId="3683" xr:uid="{00000000-0005-0000-0000-0000840B0000}"/>
    <cellStyle name="Separador de milhares 2 4 5 2 3 3" xfId="1416" xr:uid="{00000000-0005-0000-0000-0000850B0000}"/>
    <cellStyle name="Separador de milhares 2 4 5 2 3 3 2" xfId="2697" xr:uid="{00000000-0005-0000-0000-0000860B0000}"/>
    <cellStyle name="Separador de milhares 2 4 5 2 3 3 2 2" xfId="5393" xr:uid="{00000000-0005-0000-0000-0000870B0000}"/>
    <cellStyle name="Separador de milhares 2 4 5 2 3 3 3" xfId="4112" xr:uid="{00000000-0005-0000-0000-0000880B0000}"/>
    <cellStyle name="Separador de milhares 2 4 5 2 3 4" xfId="2197" xr:uid="{00000000-0005-0000-0000-0000890B0000}"/>
    <cellStyle name="Separador de milhares 2 4 5 2 3 4 2" xfId="4893" xr:uid="{00000000-0005-0000-0000-00008A0B0000}"/>
    <cellStyle name="Separador de milhares 2 4 5 2 3 5" xfId="3346" xr:uid="{00000000-0005-0000-0000-00008B0B0000}"/>
    <cellStyle name="Separador de milhares 2 4 5 2 4" xfId="812" xr:uid="{00000000-0005-0000-0000-00008C0B0000}"/>
    <cellStyle name="Separador de milhares 2 4 5 2 4 2" xfId="1579" xr:uid="{00000000-0005-0000-0000-00008D0B0000}"/>
    <cellStyle name="Separador de milhares 2 4 5 2 4 2 2" xfId="2822" xr:uid="{00000000-0005-0000-0000-00008E0B0000}"/>
    <cellStyle name="Separador de milhares 2 4 5 2 4 2 2 2" xfId="5518" xr:uid="{00000000-0005-0000-0000-00008F0B0000}"/>
    <cellStyle name="Separador de milhares 2 4 5 2 4 2 3" xfId="4275" xr:uid="{00000000-0005-0000-0000-0000900B0000}"/>
    <cellStyle name="Separador de milhares 2 4 5 2 4 3" xfId="2322" xr:uid="{00000000-0005-0000-0000-0000910B0000}"/>
    <cellStyle name="Separador de milhares 2 4 5 2 4 3 2" xfId="5018" xr:uid="{00000000-0005-0000-0000-0000920B0000}"/>
    <cellStyle name="Separador de milhares 2 4 5 2 4 4" xfId="3509" xr:uid="{00000000-0005-0000-0000-0000930B0000}"/>
    <cellStyle name="Separador de milhares 2 4 5 2 5" xfId="1243" xr:uid="{00000000-0005-0000-0000-0000940B0000}"/>
    <cellStyle name="Separador de milhares 2 4 5 2 5 2" xfId="2572" xr:uid="{00000000-0005-0000-0000-0000950B0000}"/>
    <cellStyle name="Separador de milhares 2 4 5 2 5 2 2" xfId="5268" xr:uid="{00000000-0005-0000-0000-0000960B0000}"/>
    <cellStyle name="Separador de milhares 2 4 5 2 5 3" xfId="3939" xr:uid="{00000000-0005-0000-0000-0000970B0000}"/>
    <cellStyle name="Separador de milhares 2 4 5 2 6" xfId="2072" xr:uid="{00000000-0005-0000-0000-0000980B0000}"/>
    <cellStyle name="Separador de milhares 2 4 5 2 6 2" xfId="4768" xr:uid="{00000000-0005-0000-0000-0000990B0000}"/>
    <cellStyle name="Separador de milhares 2 4 5 2 7" xfId="3172" xr:uid="{00000000-0005-0000-0000-00009A0B0000}"/>
    <cellStyle name="Separador de milhares 2 4 5 3" xfId="2017" xr:uid="{00000000-0005-0000-0000-00009B0B0000}"/>
    <cellStyle name="Separador de milhares 2 4 5 3 2" xfId="4713" xr:uid="{00000000-0005-0000-0000-00009C0B0000}"/>
    <cellStyle name="Separador de milhares 2 4 5 4" xfId="3116" xr:uid="{00000000-0005-0000-0000-00009D0B0000}"/>
    <cellStyle name="Separador de milhares 2 4 6" xfId="382" xr:uid="{00000000-0005-0000-0000-00009E0B0000}"/>
    <cellStyle name="Separador de milhares 2 4 6 2" xfId="474" xr:uid="{00000000-0005-0000-0000-00009F0B0000}"/>
    <cellStyle name="Separador de milhares 2 4 6 2 2" xfId="539" xr:uid="{00000000-0005-0000-0000-0000A00B0000}"/>
    <cellStyle name="Separador de milhares 2 4 6 2 2 2" xfId="713" xr:uid="{00000000-0005-0000-0000-0000A10B0000}"/>
    <cellStyle name="Separador de milhares 2 4 6 2 2 2 2" xfId="1050" xr:uid="{00000000-0005-0000-0000-0000A20B0000}"/>
    <cellStyle name="Separador de milhares 2 4 6 2 2 2 2 2" xfId="1817" xr:uid="{00000000-0005-0000-0000-0000A30B0000}"/>
    <cellStyle name="Separador de milhares 2 4 6 2 2 2 2 2 2" xfId="3010" xr:uid="{00000000-0005-0000-0000-0000A40B0000}"/>
    <cellStyle name="Separador de milhares 2 4 6 2 2 2 2 2 2 2" xfId="5706" xr:uid="{00000000-0005-0000-0000-0000A50B0000}"/>
    <cellStyle name="Separador de milhares 2 4 6 2 2 2 2 2 3" xfId="4513" xr:uid="{00000000-0005-0000-0000-0000A60B0000}"/>
    <cellStyle name="Separador de milhares 2 4 6 2 2 2 2 3" xfId="2510" xr:uid="{00000000-0005-0000-0000-0000A70B0000}"/>
    <cellStyle name="Separador de milhares 2 4 6 2 2 2 2 3 2" xfId="5206" xr:uid="{00000000-0005-0000-0000-0000A80B0000}"/>
    <cellStyle name="Separador de milhares 2 4 6 2 2 2 2 4" xfId="3747" xr:uid="{00000000-0005-0000-0000-0000A90B0000}"/>
    <cellStyle name="Separador de milhares 2 4 6 2 2 2 3" xfId="1480" xr:uid="{00000000-0005-0000-0000-0000AA0B0000}"/>
    <cellStyle name="Separador de milhares 2 4 6 2 2 2 3 2" xfId="2760" xr:uid="{00000000-0005-0000-0000-0000AB0B0000}"/>
    <cellStyle name="Separador de milhares 2 4 6 2 2 2 3 2 2" xfId="5456" xr:uid="{00000000-0005-0000-0000-0000AC0B0000}"/>
    <cellStyle name="Separador de milhares 2 4 6 2 2 2 3 3" xfId="4176" xr:uid="{00000000-0005-0000-0000-0000AD0B0000}"/>
    <cellStyle name="Separador de milhares 2 4 6 2 2 2 4" xfId="2260" xr:uid="{00000000-0005-0000-0000-0000AE0B0000}"/>
    <cellStyle name="Separador de milhares 2 4 6 2 2 2 4 2" xfId="4956" xr:uid="{00000000-0005-0000-0000-0000AF0B0000}"/>
    <cellStyle name="Separador de milhares 2 4 6 2 2 2 5" xfId="3410" xr:uid="{00000000-0005-0000-0000-0000B00B0000}"/>
    <cellStyle name="Separador de milhares 2 4 6 2 2 3" xfId="877" xr:uid="{00000000-0005-0000-0000-0000B10B0000}"/>
    <cellStyle name="Separador de milhares 2 4 6 2 2 3 2" xfId="1644" xr:uid="{00000000-0005-0000-0000-0000B20B0000}"/>
    <cellStyle name="Separador de milhares 2 4 6 2 2 3 2 2" xfId="2885" xr:uid="{00000000-0005-0000-0000-0000B30B0000}"/>
    <cellStyle name="Separador de milhares 2 4 6 2 2 3 2 2 2" xfId="5581" xr:uid="{00000000-0005-0000-0000-0000B40B0000}"/>
    <cellStyle name="Separador de milhares 2 4 6 2 2 3 2 3" xfId="4340" xr:uid="{00000000-0005-0000-0000-0000B50B0000}"/>
    <cellStyle name="Separador de milhares 2 4 6 2 2 3 3" xfId="2385" xr:uid="{00000000-0005-0000-0000-0000B60B0000}"/>
    <cellStyle name="Separador de milhares 2 4 6 2 2 3 3 2" xfId="5081" xr:uid="{00000000-0005-0000-0000-0000B70B0000}"/>
    <cellStyle name="Separador de milhares 2 4 6 2 2 3 4" xfId="3574" xr:uid="{00000000-0005-0000-0000-0000B80B0000}"/>
    <cellStyle name="Separador de milhares 2 4 6 2 2 4" xfId="1307" xr:uid="{00000000-0005-0000-0000-0000B90B0000}"/>
    <cellStyle name="Separador de milhares 2 4 6 2 2 4 2" xfId="2635" xr:uid="{00000000-0005-0000-0000-0000BA0B0000}"/>
    <cellStyle name="Separador de milhares 2 4 6 2 2 4 2 2" xfId="5331" xr:uid="{00000000-0005-0000-0000-0000BB0B0000}"/>
    <cellStyle name="Separador de milhares 2 4 6 2 2 4 3" xfId="4003" xr:uid="{00000000-0005-0000-0000-0000BC0B0000}"/>
    <cellStyle name="Separador de milhares 2 4 6 2 2 5" xfId="2135" xr:uid="{00000000-0005-0000-0000-0000BD0B0000}"/>
    <cellStyle name="Separador de milhares 2 4 6 2 2 5 2" xfId="4831" xr:uid="{00000000-0005-0000-0000-0000BE0B0000}"/>
    <cellStyle name="Separador de milhares 2 4 6 2 2 6" xfId="3237" xr:uid="{00000000-0005-0000-0000-0000BF0B0000}"/>
    <cellStyle name="Separador de milhares 2 4 6 2 3" xfId="650" xr:uid="{00000000-0005-0000-0000-0000C00B0000}"/>
    <cellStyle name="Separador de milhares 2 4 6 2 3 2" xfId="987" xr:uid="{00000000-0005-0000-0000-0000C10B0000}"/>
    <cellStyle name="Separador de milhares 2 4 6 2 3 2 2" xfId="1754" xr:uid="{00000000-0005-0000-0000-0000C20B0000}"/>
    <cellStyle name="Separador de milhares 2 4 6 2 3 2 2 2" xfId="2948" xr:uid="{00000000-0005-0000-0000-0000C30B0000}"/>
    <cellStyle name="Separador de milhares 2 4 6 2 3 2 2 2 2" xfId="5644" xr:uid="{00000000-0005-0000-0000-0000C40B0000}"/>
    <cellStyle name="Separador de milhares 2 4 6 2 3 2 2 3" xfId="4450" xr:uid="{00000000-0005-0000-0000-0000C50B0000}"/>
    <cellStyle name="Separador de milhares 2 4 6 2 3 2 3" xfId="2448" xr:uid="{00000000-0005-0000-0000-0000C60B0000}"/>
    <cellStyle name="Separador de milhares 2 4 6 2 3 2 3 2" xfId="5144" xr:uid="{00000000-0005-0000-0000-0000C70B0000}"/>
    <cellStyle name="Separador de milhares 2 4 6 2 3 2 4" xfId="3684" xr:uid="{00000000-0005-0000-0000-0000C80B0000}"/>
    <cellStyle name="Separador de milhares 2 4 6 2 3 3" xfId="1417" xr:uid="{00000000-0005-0000-0000-0000C90B0000}"/>
    <cellStyle name="Separador de milhares 2 4 6 2 3 3 2" xfId="2698" xr:uid="{00000000-0005-0000-0000-0000CA0B0000}"/>
    <cellStyle name="Separador de milhares 2 4 6 2 3 3 2 2" xfId="5394" xr:uid="{00000000-0005-0000-0000-0000CB0B0000}"/>
    <cellStyle name="Separador de milhares 2 4 6 2 3 3 3" xfId="4113" xr:uid="{00000000-0005-0000-0000-0000CC0B0000}"/>
    <cellStyle name="Separador de milhares 2 4 6 2 3 4" xfId="2198" xr:uid="{00000000-0005-0000-0000-0000CD0B0000}"/>
    <cellStyle name="Separador de milhares 2 4 6 2 3 4 2" xfId="4894" xr:uid="{00000000-0005-0000-0000-0000CE0B0000}"/>
    <cellStyle name="Separador de milhares 2 4 6 2 3 5" xfId="3347" xr:uid="{00000000-0005-0000-0000-0000CF0B0000}"/>
    <cellStyle name="Separador de milhares 2 4 6 2 4" xfId="813" xr:uid="{00000000-0005-0000-0000-0000D00B0000}"/>
    <cellStyle name="Separador de milhares 2 4 6 2 4 2" xfId="1580" xr:uid="{00000000-0005-0000-0000-0000D10B0000}"/>
    <cellStyle name="Separador de milhares 2 4 6 2 4 2 2" xfId="2823" xr:uid="{00000000-0005-0000-0000-0000D20B0000}"/>
    <cellStyle name="Separador de milhares 2 4 6 2 4 2 2 2" xfId="5519" xr:uid="{00000000-0005-0000-0000-0000D30B0000}"/>
    <cellStyle name="Separador de milhares 2 4 6 2 4 2 3" xfId="4276" xr:uid="{00000000-0005-0000-0000-0000D40B0000}"/>
    <cellStyle name="Separador de milhares 2 4 6 2 4 3" xfId="2323" xr:uid="{00000000-0005-0000-0000-0000D50B0000}"/>
    <cellStyle name="Separador de milhares 2 4 6 2 4 3 2" xfId="5019" xr:uid="{00000000-0005-0000-0000-0000D60B0000}"/>
    <cellStyle name="Separador de milhares 2 4 6 2 4 4" xfId="3510" xr:uid="{00000000-0005-0000-0000-0000D70B0000}"/>
    <cellStyle name="Separador de milhares 2 4 6 2 5" xfId="1244" xr:uid="{00000000-0005-0000-0000-0000D80B0000}"/>
    <cellStyle name="Separador de milhares 2 4 6 2 5 2" xfId="2573" xr:uid="{00000000-0005-0000-0000-0000D90B0000}"/>
    <cellStyle name="Separador de milhares 2 4 6 2 5 2 2" xfId="5269" xr:uid="{00000000-0005-0000-0000-0000DA0B0000}"/>
    <cellStyle name="Separador de milhares 2 4 6 2 5 3" xfId="3940" xr:uid="{00000000-0005-0000-0000-0000DB0B0000}"/>
    <cellStyle name="Separador de milhares 2 4 6 2 6" xfId="2073" xr:uid="{00000000-0005-0000-0000-0000DC0B0000}"/>
    <cellStyle name="Separador de milhares 2 4 6 2 6 2" xfId="4769" xr:uid="{00000000-0005-0000-0000-0000DD0B0000}"/>
    <cellStyle name="Separador de milhares 2 4 6 2 7" xfId="3173" xr:uid="{00000000-0005-0000-0000-0000DE0B0000}"/>
    <cellStyle name="Separador de milhares 2 4 6 3" xfId="2018" xr:uid="{00000000-0005-0000-0000-0000DF0B0000}"/>
    <cellStyle name="Separador de milhares 2 4 6 3 2" xfId="4714" xr:uid="{00000000-0005-0000-0000-0000E00B0000}"/>
    <cellStyle name="Separador de milhares 2 4 6 4" xfId="3117" xr:uid="{00000000-0005-0000-0000-0000E10B0000}"/>
    <cellStyle name="Separador de milhares 2 4 7" xfId="383" xr:uid="{00000000-0005-0000-0000-0000E20B0000}"/>
    <cellStyle name="Separador de milhares 2 4 7 2" xfId="475" xr:uid="{00000000-0005-0000-0000-0000E30B0000}"/>
    <cellStyle name="Separador de milhares 2 4 7 2 2" xfId="540" xr:uid="{00000000-0005-0000-0000-0000E40B0000}"/>
    <cellStyle name="Separador de milhares 2 4 7 2 2 2" xfId="714" xr:uid="{00000000-0005-0000-0000-0000E50B0000}"/>
    <cellStyle name="Separador de milhares 2 4 7 2 2 2 2" xfId="1051" xr:uid="{00000000-0005-0000-0000-0000E60B0000}"/>
    <cellStyle name="Separador de milhares 2 4 7 2 2 2 2 2" xfId="1818" xr:uid="{00000000-0005-0000-0000-0000E70B0000}"/>
    <cellStyle name="Separador de milhares 2 4 7 2 2 2 2 2 2" xfId="3011" xr:uid="{00000000-0005-0000-0000-0000E80B0000}"/>
    <cellStyle name="Separador de milhares 2 4 7 2 2 2 2 2 2 2" xfId="5707" xr:uid="{00000000-0005-0000-0000-0000E90B0000}"/>
    <cellStyle name="Separador de milhares 2 4 7 2 2 2 2 2 3" xfId="4514" xr:uid="{00000000-0005-0000-0000-0000EA0B0000}"/>
    <cellStyle name="Separador de milhares 2 4 7 2 2 2 2 3" xfId="2511" xr:uid="{00000000-0005-0000-0000-0000EB0B0000}"/>
    <cellStyle name="Separador de milhares 2 4 7 2 2 2 2 3 2" xfId="5207" xr:uid="{00000000-0005-0000-0000-0000EC0B0000}"/>
    <cellStyle name="Separador de milhares 2 4 7 2 2 2 2 4" xfId="3748" xr:uid="{00000000-0005-0000-0000-0000ED0B0000}"/>
    <cellStyle name="Separador de milhares 2 4 7 2 2 2 3" xfId="1481" xr:uid="{00000000-0005-0000-0000-0000EE0B0000}"/>
    <cellStyle name="Separador de milhares 2 4 7 2 2 2 3 2" xfId="2761" xr:uid="{00000000-0005-0000-0000-0000EF0B0000}"/>
    <cellStyle name="Separador de milhares 2 4 7 2 2 2 3 2 2" xfId="5457" xr:uid="{00000000-0005-0000-0000-0000F00B0000}"/>
    <cellStyle name="Separador de milhares 2 4 7 2 2 2 3 3" xfId="4177" xr:uid="{00000000-0005-0000-0000-0000F10B0000}"/>
    <cellStyle name="Separador de milhares 2 4 7 2 2 2 4" xfId="2261" xr:uid="{00000000-0005-0000-0000-0000F20B0000}"/>
    <cellStyle name="Separador de milhares 2 4 7 2 2 2 4 2" xfId="4957" xr:uid="{00000000-0005-0000-0000-0000F30B0000}"/>
    <cellStyle name="Separador de milhares 2 4 7 2 2 2 5" xfId="3411" xr:uid="{00000000-0005-0000-0000-0000F40B0000}"/>
    <cellStyle name="Separador de milhares 2 4 7 2 2 3" xfId="878" xr:uid="{00000000-0005-0000-0000-0000F50B0000}"/>
    <cellStyle name="Separador de milhares 2 4 7 2 2 3 2" xfId="1645" xr:uid="{00000000-0005-0000-0000-0000F60B0000}"/>
    <cellStyle name="Separador de milhares 2 4 7 2 2 3 2 2" xfId="2886" xr:uid="{00000000-0005-0000-0000-0000F70B0000}"/>
    <cellStyle name="Separador de milhares 2 4 7 2 2 3 2 2 2" xfId="5582" xr:uid="{00000000-0005-0000-0000-0000F80B0000}"/>
    <cellStyle name="Separador de milhares 2 4 7 2 2 3 2 3" xfId="4341" xr:uid="{00000000-0005-0000-0000-0000F90B0000}"/>
    <cellStyle name="Separador de milhares 2 4 7 2 2 3 3" xfId="2386" xr:uid="{00000000-0005-0000-0000-0000FA0B0000}"/>
    <cellStyle name="Separador de milhares 2 4 7 2 2 3 3 2" xfId="5082" xr:uid="{00000000-0005-0000-0000-0000FB0B0000}"/>
    <cellStyle name="Separador de milhares 2 4 7 2 2 3 4" xfId="3575" xr:uid="{00000000-0005-0000-0000-0000FC0B0000}"/>
    <cellStyle name="Separador de milhares 2 4 7 2 2 4" xfId="1308" xr:uid="{00000000-0005-0000-0000-0000FD0B0000}"/>
    <cellStyle name="Separador de milhares 2 4 7 2 2 4 2" xfId="2636" xr:uid="{00000000-0005-0000-0000-0000FE0B0000}"/>
    <cellStyle name="Separador de milhares 2 4 7 2 2 4 2 2" xfId="5332" xr:uid="{00000000-0005-0000-0000-0000FF0B0000}"/>
    <cellStyle name="Separador de milhares 2 4 7 2 2 4 3" xfId="4004" xr:uid="{00000000-0005-0000-0000-0000000C0000}"/>
    <cellStyle name="Separador de milhares 2 4 7 2 2 5" xfId="2136" xr:uid="{00000000-0005-0000-0000-0000010C0000}"/>
    <cellStyle name="Separador de milhares 2 4 7 2 2 5 2" xfId="4832" xr:uid="{00000000-0005-0000-0000-0000020C0000}"/>
    <cellStyle name="Separador de milhares 2 4 7 2 2 6" xfId="3238" xr:uid="{00000000-0005-0000-0000-0000030C0000}"/>
    <cellStyle name="Separador de milhares 2 4 7 2 3" xfId="651" xr:uid="{00000000-0005-0000-0000-0000040C0000}"/>
    <cellStyle name="Separador de milhares 2 4 7 2 3 2" xfId="988" xr:uid="{00000000-0005-0000-0000-0000050C0000}"/>
    <cellStyle name="Separador de milhares 2 4 7 2 3 2 2" xfId="1755" xr:uid="{00000000-0005-0000-0000-0000060C0000}"/>
    <cellStyle name="Separador de milhares 2 4 7 2 3 2 2 2" xfId="2949" xr:uid="{00000000-0005-0000-0000-0000070C0000}"/>
    <cellStyle name="Separador de milhares 2 4 7 2 3 2 2 2 2" xfId="5645" xr:uid="{00000000-0005-0000-0000-0000080C0000}"/>
    <cellStyle name="Separador de milhares 2 4 7 2 3 2 2 3" xfId="4451" xr:uid="{00000000-0005-0000-0000-0000090C0000}"/>
    <cellStyle name="Separador de milhares 2 4 7 2 3 2 3" xfId="2449" xr:uid="{00000000-0005-0000-0000-00000A0C0000}"/>
    <cellStyle name="Separador de milhares 2 4 7 2 3 2 3 2" xfId="5145" xr:uid="{00000000-0005-0000-0000-00000B0C0000}"/>
    <cellStyle name="Separador de milhares 2 4 7 2 3 2 4" xfId="3685" xr:uid="{00000000-0005-0000-0000-00000C0C0000}"/>
    <cellStyle name="Separador de milhares 2 4 7 2 3 3" xfId="1418" xr:uid="{00000000-0005-0000-0000-00000D0C0000}"/>
    <cellStyle name="Separador de milhares 2 4 7 2 3 3 2" xfId="2699" xr:uid="{00000000-0005-0000-0000-00000E0C0000}"/>
    <cellStyle name="Separador de milhares 2 4 7 2 3 3 2 2" xfId="5395" xr:uid="{00000000-0005-0000-0000-00000F0C0000}"/>
    <cellStyle name="Separador de milhares 2 4 7 2 3 3 3" xfId="4114" xr:uid="{00000000-0005-0000-0000-0000100C0000}"/>
    <cellStyle name="Separador de milhares 2 4 7 2 3 4" xfId="2199" xr:uid="{00000000-0005-0000-0000-0000110C0000}"/>
    <cellStyle name="Separador de milhares 2 4 7 2 3 4 2" xfId="4895" xr:uid="{00000000-0005-0000-0000-0000120C0000}"/>
    <cellStyle name="Separador de milhares 2 4 7 2 3 5" xfId="3348" xr:uid="{00000000-0005-0000-0000-0000130C0000}"/>
    <cellStyle name="Separador de milhares 2 4 7 2 4" xfId="814" xr:uid="{00000000-0005-0000-0000-0000140C0000}"/>
    <cellStyle name="Separador de milhares 2 4 7 2 4 2" xfId="1581" xr:uid="{00000000-0005-0000-0000-0000150C0000}"/>
    <cellStyle name="Separador de milhares 2 4 7 2 4 2 2" xfId="2824" xr:uid="{00000000-0005-0000-0000-0000160C0000}"/>
    <cellStyle name="Separador de milhares 2 4 7 2 4 2 2 2" xfId="5520" xr:uid="{00000000-0005-0000-0000-0000170C0000}"/>
    <cellStyle name="Separador de milhares 2 4 7 2 4 2 3" xfId="4277" xr:uid="{00000000-0005-0000-0000-0000180C0000}"/>
    <cellStyle name="Separador de milhares 2 4 7 2 4 3" xfId="2324" xr:uid="{00000000-0005-0000-0000-0000190C0000}"/>
    <cellStyle name="Separador de milhares 2 4 7 2 4 3 2" xfId="5020" xr:uid="{00000000-0005-0000-0000-00001A0C0000}"/>
    <cellStyle name="Separador de milhares 2 4 7 2 4 4" xfId="3511" xr:uid="{00000000-0005-0000-0000-00001B0C0000}"/>
    <cellStyle name="Separador de milhares 2 4 7 2 5" xfId="1245" xr:uid="{00000000-0005-0000-0000-00001C0C0000}"/>
    <cellStyle name="Separador de milhares 2 4 7 2 5 2" xfId="2574" xr:uid="{00000000-0005-0000-0000-00001D0C0000}"/>
    <cellStyle name="Separador de milhares 2 4 7 2 5 2 2" xfId="5270" xr:uid="{00000000-0005-0000-0000-00001E0C0000}"/>
    <cellStyle name="Separador de milhares 2 4 7 2 5 3" xfId="3941" xr:uid="{00000000-0005-0000-0000-00001F0C0000}"/>
    <cellStyle name="Separador de milhares 2 4 7 2 6" xfId="2074" xr:uid="{00000000-0005-0000-0000-0000200C0000}"/>
    <cellStyle name="Separador de milhares 2 4 7 2 6 2" xfId="4770" xr:uid="{00000000-0005-0000-0000-0000210C0000}"/>
    <cellStyle name="Separador de milhares 2 4 7 2 7" xfId="3174" xr:uid="{00000000-0005-0000-0000-0000220C0000}"/>
    <cellStyle name="Separador de milhares 2 4 7 3" xfId="2019" xr:uid="{00000000-0005-0000-0000-0000230C0000}"/>
    <cellStyle name="Separador de milhares 2 4 7 3 2" xfId="4715" xr:uid="{00000000-0005-0000-0000-0000240C0000}"/>
    <cellStyle name="Separador de milhares 2 4 7 4" xfId="3118" xr:uid="{00000000-0005-0000-0000-0000250C0000}"/>
    <cellStyle name="Separador de milhares 2 4 8" xfId="384" xr:uid="{00000000-0005-0000-0000-0000260C0000}"/>
    <cellStyle name="Separador de milhares 2 4 8 2" xfId="476" xr:uid="{00000000-0005-0000-0000-0000270C0000}"/>
    <cellStyle name="Separador de milhares 2 4 8 2 2" xfId="541" xr:uid="{00000000-0005-0000-0000-0000280C0000}"/>
    <cellStyle name="Separador de milhares 2 4 8 2 2 2" xfId="715" xr:uid="{00000000-0005-0000-0000-0000290C0000}"/>
    <cellStyle name="Separador de milhares 2 4 8 2 2 2 2" xfId="1052" xr:uid="{00000000-0005-0000-0000-00002A0C0000}"/>
    <cellStyle name="Separador de milhares 2 4 8 2 2 2 2 2" xfId="1819" xr:uid="{00000000-0005-0000-0000-00002B0C0000}"/>
    <cellStyle name="Separador de milhares 2 4 8 2 2 2 2 2 2" xfId="3012" xr:uid="{00000000-0005-0000-0000-00002C0C0000}"/>
    <cellStyle name="Separador de milhares 2 4 8 2 2 2 2 2 2 2" xfId="5708" xr:uid="{00000000-0005-0000-0000-00002D0C0000}"/>
    <cellStyle name="Separador de milhares 2 4 8 2 2 2 2 2 3" xfId="4515" xr:uid="{00000000-0005-0000-0000-00002E0C0000}"/>
    <cellStyle name="Separador de milhares 2 4 8 2 2 2 2 3" xfId="2512" xr:uid="{00000000-0005-0000-0000-00002F0C0000}"/>
    <cellStyle name="Separador de milhares 2 4 8 2 2 2 2 3 2" xfId="5208" xr:uid="{00000000-0005-0000-0000-0000300C0000}"/>
    <cellStyle name="Separador de milhares 2 4 8 2 2 2 2 4" xfId="3749" xr:uid="{00000000-0005-0000-0000-0000310C0000}"/>
    <cellStyle name="Separador de milhares 2 4 8 2 2 2 3" xfId="1482" xr:uid="{00000000-0005-0000-0000-0000320C0000}"/>
    <cellStyle name="Separador de milhares 2 4 8 2 2 2 3 2" xfId="2762" xr:uid="{00000000-0005-0000-0000-0000330C0000}"/>
    <cellStyle name="Separador de milhares 2 4 8 2 2 2 3 2 2" xfId="5458" xr:uid="{00000000-0005-0000-0000-0000340C0000}"/>
    <cellStyle name="Separador de milhares 2 4 8 2 2 2 3 3" xfId="4178" xr:uid="{00000000-0005-0000-0000-0000350C0000}"/>
    <cellStyle name="Separador de milhares 2 4 8 2 2 2 4" xfId="2262" xr:uid="{00000000-0005-0000-0000-0000360C0000}"/>
    <cellStyle name="Separador de milhares 2 4 8 2 2 2 4 2" xfId="4958" xr:uid="{00000000-0005-0000-0000-0000370C0000}"/>
    <cellStyle name="Separador de milhares 2 4 8 2 2 2 5" xfId="3412" xr:uid="{00000000-0005-0000-0000-0000380C0000}"/>
    <cellStyle name="Separador de milhares 2 4 8 2 2 3" xfId="879" xr:uid="{00000000-0005-0000-0000-0000390C0000}"/>
    <cellStyle name="Separador de milhares 2 4 8 2 2 3 2" xfId="1646" xr:uid="{00000000-0005-0000-0000-00003A0C0000}"/>
    <cellStyle name="Separador de milhares 2 4 8 2 2 3 2 2" xfId="2887" xr:uid="{00000000-0005-0000-0000-00003B0C0000}"/>
    <cellStyle name="Separador de milhares 2 4 8 2 2 3 2 2 2" xfId="5583" xr:uid="{00000000-0005-0000-0000-00003C0C0000}"/>
    <cellStyle name="Separador de milhares 2 4 8 2 2 3 2 3" xfId="4342" xr:uid="{00000000-0005-0000-0000-00003D0C0000}"/>
    <cellStyle name="Separador de milhares 2 4 8 2 2 3 3" xfId="2387" xr:uid="{00000000-0005-0000-0000-00003E0C0000}"/>
    <cellStyle name="Separador de milhares 2 4 8 2 2 3 3 2" xfId="5083" xr:uid="{00000000-0005-0000-0000-00003F0C0000}"/>
    <cellStyle name="Separador de milhares 2 4 8 2 2 3 4" xfId="3576" xr:uid="{00000000-0005-0000-0000-0000400C0000}"/>
    <cellStyle name="Separador de milhares 2 4 8 2 2 4" xfId="1309" xr:uid="{00000000-0005-0000-0000-0000410C0000}"/>
    <cellStyle name="Separador de milhares 2 4 8 2 2 4 2" xfId="2637" xr:uid="{00000000-0005-0000-0000-0000420C0000}"/>
    <cellStyle name="Separador de milhares 2 4 8 2 2 4 2 2" xfId="5333" xr:uid="{00000000-0005-0000-0000-0000430C0000}"/>
    <cellStyle name="Separador de milhares 2 4 8 2 2 4 3" xfId="4005" xr:uid="{00000000-0005-0000-0000-0000440C0000}"/>
    <cellStyle name="Separador de milhares 2 4 8 2 2 5" xfId="2137" xr:uid="{00000000-0005-0000-0000-0000450C0000}"/>
    <cellStyle name="Separador de milhares 2 4 8 2 2 5 2" xfId="4833" xr:uid="{00000000-0005-0000-0000-0000460C0000}"/>
    <cellStyle name="Separador de milhares 2 4 8 2 2 6" xfId="3239" xr:uid="{00000000-0005-0000-0000-0000470C0000}"/>
    <cellStyle name="Separador de milhares 2 4 8 2 3" xfId="652" xr:uid="{00000000-0005-0000-0000-0000480C0000}"/>
    <cellStyle name="Separador de milhares 2 4 8 2 3 2" xfId="989" xr:uid="{00000000-0005-0000-0000-0000490C0000}"/>
    <cellStyle name="Separador de milhares 2 4 8 2 3 2 2" xfId="1756" xr:uid="{00000000-0005-0000-0000-00004A0C0000}"/>
    <cellStyle name="Separador de milhares 2 4 8 2 3 2 2 2" xfId="2950" xr:uid="{00000000-0005-0000-0000-00004B0C0000}"/>
    <cellStyle name="Separador de milhares 2 4 8 2 3 2 2 2 2" xfId="5646" xr:uid="{00000000-0005-0000-0000-00004C0C0000}"/>
    <cellStyle name="Separador de milhares 2 4 8 2 3 2 2 3" xfId="4452" xr:uid="{00000000-0005-0000-0000-00004D0C0000}"/>
    <cellStyle name="Separador de milhares 2 4 8 2 3 2 3" xfId="2450" xr:uid="{00000000-0005-0000-0000-00004E0C0000}"/>
    <cellStyle name="Separador de milhares 2 4 8 2 3 2 3 2" xfId="5146" xr:uid="{00000000-0005-0000-0000-00004F0C0000}"/>
    <cellStyle name="Separador de milhares 2 4 8 2 3 2 4" xfId="3686" xr:uid="{00000000-0005-0000-0000-0000500C0000}"/>
    <cellStyle name="Separador de milhares 2 4 8 2 3 3" xfId="1419" xr:uid="{00000000-0005-0000-0000-0000510C0000}"/>
    <cellStyle name="Separador de milhares 2 4 8 2 3 3 2" xfId="2700" xr:uid="{00000000-0005-0000-0000-0000520C0000}"/>
    <cellStyle name="Separador de milhares 2 4 8 2 3 3 2 2" xfId="5396" xr:uid="{00000000-0005-0000-0000-0000530C0000}"/>
    <cellStyle name="Separador de milhares 2 4 8 2 3 3 3" xfId="4115" xr:uid="{00000000-0005-0000-0000-0000540C0000}"/>
    <cellStyle name="Separador de milhares 2 4 8 2 3 4" xfId="2200" xr:uid="{00000000-0005-0000-0000-0000550C0000}"/>
    <cellStyle name="Separador de milhares 2 4 8 2 3 4 2" xfId="4896" xr:uid="{00000000-0005-0000-0000-0000560C0000}"/>
    <cellStyle name="Separador de milhares 2 4 8 2 3 5" xfId="3349" xr:uid="{00000000-0005-0000-0000-0000570C0000}"/>
    <cellStyle name="Separador de milhares 2 4 8 2 4" xfId="815" xr:uid="{00000000-0005-0000-0000-0000580C0000}"/>
    <cellStyle name="Separador de milhares 2 4 8 2 4 2" xfId="1582" xr:uid="{00000000-0005-0000-0000-0000590C0000}"/>
    <cellStyle name="Separador de milhares 2 4 8 2 4 2 2" xfId="2825" xr:uid="{00000000-0005-0000-0000-00005A0C0000}"/>
    <cellStyle name="Separador de milhares 2 4 8 2 4 2 2 2" xfId="5521" xr:uid="{00000000-0005-0000-0000-00005B0C0000}"/>
    <cellStyle name="Separador de milhares 2 4 8 2 4 2 3" xfId="4278" xr:uid="{00000000-0005-0000-0000-00005C0C0000}"/>
    <cellStyle name="Separador de milhares 2 4 8 2 4 3" xfId="2325" xr:uid="{00000000-0005-0000-0000-00005D0C0000}"/>
    <cellStyle name="Separador de milhares 2 4 8 2 4 3 2" xfId="5021" xr:uid="{00000000-0005-0000-0000-00005E0C0000}"/>
    <cellStyle name="Separador de milhares 2 4 8 2 4 4" xfId="3512" xr:uid="{00000000-0005-0000-0000-00005F0C0000}"/>
    <cellStyle name="Separador de milhares 2 4 8 2 5" xfId="1246" xr:uid="{00000000-0005-0000-0000-0000600C0000}"/>
    <cellStyle name="Separador de milhares 2 4 8 2 5 2" xfId="2575" xr:uid="{00000000-0005-0000-0000-0000610C0000}"/>
    <cellStyle name="Separador de milhares 2 4 8 2 5 2 2" xfId="5271" xr:uid="{00000000-0005-0000-0000-0000620C0000}"/>
    <cellStyle name="Separador de milhares 2 4 8 2 5 3" xfId="3942" xr:uid="{00000000-0005-0000-0000-0000630C0000}"/>
    <cellStyle name="Separador de milhares 2 4 8 2 6" xfId="2075" xr:uid="{00000000-0005-0000-0000-0000640C0000}"/>
    <cellStyle name="Separador de milhares 2 4 8 2 6 2" xfId="4771" xr:uid="{00000000-0005-0000-0000-0000650C0000}"/>
    <cellStyle name="Separador de milhares 2 4 8 2 7" xfId="3175" xr:uid="{00000000-0005-0000-0000-0000660C0000}"/>
    <cellStyle name="Separador de milhares 2 4 8 3" xfId="2020" xr:uid="{00000000-0005-0000-0000-0000670C0000}"/>
    <cellStyle name="Separador de milhares 2 4 8 3 2" xfId="4716" xr:uid="{00000000-0005-0000-0000-0000680C0000}"/>
    <cellStyle name="Separador de milhares 2 4 8 4" xfId="3119" xr:uid="{00000000-0005-0000-0000-0000690C0000}"/>
    <cellStyle name="Separador de milhares 2 4 9" xfId="385" xr:uid="{00000000-0005-0000-0000-00006A0C0000}"/>
    <cellStyle name="Separador de milhares 2 4 9 2" xfId="477" xr:uid="{00000000-0005-0000-0000-00006B0C0000}"/>
    <cellStyle name="Separador de milhares 2 4 9 2 2" xfId="542" xr:uid="{00000000-0005-0000-0000-00006C0C0000}"/>
    <cellStyle name="Separador de milhares 2 4 9 2 2 2" xfId="716" xr:uid="{00000000-0005-0000-0000-00006D0C0000}"/>
    <cellStyle name="Separador de milhares 2 4 9 2 2 2 2" xfId="1053" xr:uid="{00000000-0005-0000-0000-00006E0C0000}"/>
    <cellStyle name="Separador de milhares 2 4 9 2 2 2 2 2" xfId="1820" xr:uid="{00000000-0005-0000-0000-00006F0C0000}"/>
    <cellStyle name="Separador de milhares 2 4 9 2 2 2 2 2 2" xfId="3013" xr:uid="{00000000-0005-0000-0000-0000700C0000}"/>
    <cellStyle name="Separador de milhares 2 4 9 2 2 2 2 2 2 2" xfId="5709" xr:uid="{00000000-0005-0000-0000-0000710C0000}"/>
    <cellStyle name="Separador de milhares 2 4 9 2 2 2 2 2 3" xfId="4516" xr:uid="{00000000-0005-0000-0000-0000720C0000}"/>
    <cellStyle name="Separador de milhares 2 4 9 2 2 2 2 3" xfId="2513" xr:uid="{00000000-0005-0000-0000-0000730C0000}"/>
    <cellStyle name="Separador de milhares 2 4 9 2 2 2 2 3 2" xfId="5209" xr:uid="{00000000-0005-0000-0000-0000740C0000}"/>
    <cellStyle name="Separador de milhares 2 4 9 2 2 2 2 4" xfId="3750" xr:uid="{00000000-0005-0000-0000-0000750C0000}"/>
    <cellStyle name="Separador de milhares 2 4 9 2 2 2 3" xfId="1483" xr:uid="{00000000-0005-0000-0000-0000760C0000}"/>
    <cellStyle name="Separador de milhares 2 4 9 2 2 2 3 2" xfId="2763" xr:uid="{00000000-0005-0000-0000-0000770C0000}"/>
    <cellStyle name="Separador de milhares 2 4 9 2 2 2 3 2 2" xfId="5459" xr:uid="{00000000-0005-0000-0000-0000780C0000}"/>
    <cellStyle name="Separador de milhares 2 4 9 2 2 2 3 3" xfId="4179" xr:uid="{00000000-0005-0000-0000-0000790C0000}"/>
    <cellStyle name="Separador de milhares 2 4 9 2 2 2 4" xfId="2263" xr:uid="{00000000-0005-0000-0000-00007A0C0000}"/>
    <cellStyle name="Separador de milhares 2 4 9 2 2 2 4 2" xfId="4959" xr:uid="{00000000-0005-0000-0000-00007B0C0000}"/>
    <cellStyle name="Separador de milhares 2 4 9 2 2 2 5" xfId="3413" xr:uid="{00000000-0005-0000-0000-00007C0C0000}"/>
    <cellStyle name="Separador de milhares 2 4 9 2 2 3" xfId="880" xr:uid="{00000000-0005-0000-0000-00007D0C0000}"/>
    <cellStyle name="Separador de milhares 2 4 9 2 2 3 2" xfId="1647" xr:uid="{00000000-0005-0000-0000-00007E0C0000}"/>
    <cellStyle name="Separador de milhares 2 4 9 2 2 3 2 2" xfId="2888" xr:uid="{00000000-0005-0000-0000-00007F0C0000}"/>
    <cellStyle name="Separador de milhares 2 4 9 2 2 3 2 2 2" xfId="5584" xr:uid="{00000000-0005-0000-0000-0000800C0000}"/>
    <cellStyle name="Separador de milhares 2 4 9 2 2 3 2 3" xfId="4343" xr:uid="{00000000-0005-0000-0000-0000810C0000}"/>
    <cellStyle name="Separador de milhares 2 4 9 2 2 3 3" xfId="2388" xr:uid="{00000000-0005-0000-0000-0000820C0000}"/>
    <cellStyle name="Separador de milhares 2 4 9 2 2 3 3 2" xfId="5084" xr:uid="{00000000-0005-0000-0000-0000830C0000}"/>
    <cellStyle name="Separador de milhares 2 4 9 2 2 3 4" xfId="3577" xr:uid="{00000000-0005-0000-0000-0000840C0000}"/>
    <cellStyle name="Separador de milhares 2 4 9 2 2 4" xfId="1310" xr:uid="{00000000-0005-0000-0000-0000850C0000}"/>
    <cellStyle name="Separador de milhares 2 4 9 2 2 4 2" xfId="2638" xr:uid="{00000000-0005-0000-0000-0000860C0000}"/>
    <cellStyle name="Separador de milhares 2 4 9 2 2 4 2 2" xfId="5334" xr:uid="{00000000-0005-0000-0000-0000870C0000}"/>
    <cellStyle name="Separador de milhares 2 4 9 2 2 4 3" xfId="4006" xr:uid="{00000000-0005-0000-0000-0000880C0000}"/>
    <cellStyle name="Separador de milhares 2 4 9 2 2 5" xfId="2138" xr:uid="{00000000-0005-0000-0000-0000890C0000}"/>
    <cellStyle name="Separador de milhares 2 4 9 2 2 5 2" xfId="4834" xr:uid="{00000000-0005-0000-0000-00008A0C0000}"/>
    <cellStyle name="Separador de milhares 2 4 9 2 2 6" xfId="3240" xr:uid="{00000000-0005-0000-0000-00008B0C0000}"/>
    <cellStyle name="Separador de milhares 2 4 9 2 3" xfId="653" xr:uid="{00000000-0005-0000-0000-00008C0C0000}"/>
    <cellStyle name="Separador de milhares 2 4 9 2 3 2" xfId="990" xr:uid="{00000000-0005-0000-0000-00008D0C0000}"/>
    <cellStyle name="Separador de milhares 2 4 9 2 3 2 2" xfId="1757" xr:uid="{00000000-0005-0000-0000-00008E0C0000}"/>
    <cellStyle name="Separador de milhares 2 4 9 2 3 2 2 2" xfId="2951" xr:uid="{00000000-0005-0000-0000-00008F0C0000}"/>
    <cellStyle name="Separador de milhares 2 4 9 2 3 2 2 2 2" xfId="5647" xr:uid="{00000000-0005-0000-0000-0000900C0000}"/>
    <cellStyle name="Separador de milhares 2 4 9 2 3 2 2 3" xfId="4453" xr:uid="{00000000-0005-0000-0000-0000910C0000}"/>
    <cellStyle name="Separador de milhares 2 4 9 2 3 2 3" xfId="2451" xr:uid="{00000000-0005-0000-0000-0000920C0000}"/>
    <cellStyle name="Separador de milhares 2 4 9 2 3 2 3 2" xfId="5147" xr:uid="{00000000-0005-0000-0000-0000930C0000}"/>
    <cellStyle name="Separador de milhares 2 4 9 2 3 2 4" xfId="3687" xr:uid="{00000000-0005-0000-0000-0000940C0000}"/>
    <cellStyle name="Separador de milhares 2 4 9 2 3 3" xfId="1420" xr:uid="{00000000-0005-0000-0000-0000950C0000}"/>
    <cellStyle name="Separador de milhares 2 4 9 2 3 3 2" xfId="2701" xr:uid="{00000000-0005-0000-0000-0000960C0000}"/>
    <cellStyle name="Separador de milhares 2 4 9 2 3 3 2 2" xfId="5397" xr:uid="{00000000-0005-0000-0000-0000970C0000}"/>
    <cellStyle name="Separador de milhares 2 4 9 2 3 3 3" xfId="4116" xr:uid="{00000000-0005-0000-0000-0000980C0000}"/>
    <cellStyle name="Separador de milhares 2 4 9 2 3 4" xfId="2201" xr:uid="{00000000-0005-0000-0000-0000990C0000}"/>
    <cellStyle name="Separador de milhares 2 4 9 2 3 4 2" xfId="4897" xr:uid="{00000000-0005-0000-0000-00009A0C0000}"/>
    <cellStyle name="Separador de milhares 2 4 9 2 3 5" xfId="3350" xr:uid="{00000000-0005-0000-0000-00009B0C0000}"/>
    <cellStyle name="Separador de milhares 2 4 9 2 4" xfId="816" xr:uid="{00000000-0005-0000-0000-00009C0C0000}"/>
    <cellStyle name="Separador de milhares 2 4 9 2 4 2" xfId="1583" xr:uid="{00000000-0005-0000-0000-00009D0C0000}"/>
    <cellStyle name="Separador de milhares 2 4 9 2 4 2 2" xfId="2826" xr:uid="{00000000-0005-0000-0000-00009E0C0000}"/>
    <cellStyle name="Separador de milhares 2 4 9 2 4 2 2 2" xfId="5522" xr:uid="{00000000-0005-0000-0000-00009F0C0000}"/>
    <cellStyle name="Separador de milhares 2 4 9 2 4 2 3" xfId="4279" xr:uid="{00000000-0005-0000-0000-0000A00C0000}"/>
    <cellStyle name="Separador de milhares 2 4 9 2 4 3" xfId="2326" xr:uid="{00000000-0005-0000-0000-0000A10C0000}"/>
    <cellStyle name="Separador de milhares 2 4 9 2 4 3 2" xfId="5022" xr:uid="{00000000-0005-0000-0000-0000A20C0000}"/>
    <cellStyle name="Separador de milhares 2 4 9 2 4 4" xfId="3513" xr:uid="{00000000-0005-0000-0000-0000A30C0000}"/>
    <cellStyle name="Separador de milhares 2 4 9 2 5" xfId="1247" xr:uid="{00000000-0005-0000-0000-0000A40C0000}"/>
    <cellStyle name="Separador de milhares 2 4 9 2 5 2" xfId="2576" xr:uid="{00000000-0005-0000-0000-0000A50C0000}"/>
    <cellStyle name="Separador de milhares 2 4 9 2 5 2 2" xfId="5272" xr:uid="{00000000-0005-0000-0000-0000A60C0000}"/>
    <cellStyle name="Separador de milhares 2 4 9 2 5 3" xfId="3943" xr:uid="{00000000-0005-0000-0000-0000A70C0000}"/>
    <cellStyle name="Separador de milhares 2 4 9 2 6" xfId="2076" xr:uid="{00000000-0005-0000-0000-0000A80C0000}"/>
    <cellStyle name="Separador de milhares 2 4 9 2 6 2" xfId="4772" xr:uid="{00000000-0005-0000-0000-0000A90C0000}"/>
    <cellStyle name="Separador de milhares 2 4 9 2 7" xfId="3176" xr:uid="{00000000-0005-0000-0000-0000AA0C0000}"/>
    <cellStyle name="Separador de milhares 2 4 9 3" xfId="2021" xr:uid="{00000000-0005-0000-0000-0000AB0C0000}"/>
    <cellStyle name="Separador de milhares 2 4 9 3 2" xfId="4717" xr:uid="{00000000-0005-0000-0000-0000AC0C0000}"/>
    <cellStyle name="Separador de milhares 2 4 9 4" xfId="3120" xr:uid="{00000000-0005-0000-0000-0000AD0C0000}"/>
    <cellStyle name="Separador de milhares 2 40" xfId="5863" xr:uid="{00000000-0005-0000-0000-0000AE0C0000}"/>
    <cellStyle name="Separador de milhares 2 41" xfId="5865" xr:uid="{00000000-0005-0000-0000-0000AF0C0000}"/>
    <cellStyle name="Separador de milhares 2 42" xfId="5869" xr:uid="{00000000-0005-0000-0000-0000B00C0000}"/>
    <cellStyle name="Separador de milhares 2 43" xfId="5864" xr:uid="{00000000-0005-0000-0000-0000B10C0000}"/>
    <cellStyle name="Separador de milhares 2 5" xfId="246" xr:uid="{00000000-0005-0000-0000-0000B20C0000}"/>
    <cellStyle name="Separador de milhares 2 5 2" xfId="457" xr:uid="{00000000-0005-0000-0000-0000B30C0000}"/>
    <cellStyle name="Separador de milhares 2 5 2 2" xfId="522" xr:uid="{00000000-0005-0000-0000-0000B40C0000}"/>
    <cellStyle name="Separador de milhares 2 5 2 2 2" xfId="696" xr:uid="{00000000-0005-0000-0000-0000B50C0000}"/>
    <cellStyle name="Separador de milhares 2 5 2 2 2 2" xfId="1033" xr:uid="{00000000-0005-0000-0000-0000B60C0000}"/>
    <cellStyle name="Separador de milhares 2 5 2 2 2 2 2" xfId="1800" xr:uid="{00000000-0005-0000-0000-0000B70C0000}"/>
    <cellStyle name="Separador de milhares 2 5 2 2 2 2 2 2" xfId="2993" xr:uid="{00000000-0005-0000-0000-0000B80C0000}"/>
    <cellStyle name="Separador de milhares 2 5 2 2 2 2 2 2 2" xfId="5689" xr:uid="{00000000-0005-0000-0000-0000B90C0000}"/>
    <cellStyle name="Separador de milhares 2 5 2 2 2 2 2 3" xfId="4496" xr:uid="{00000000-0005-0000-0000-0000BA0C0000}"/>
    <cellStyle name="Separador de milhares 2 5 2 2 2 2 3" xfId="2493" xr:uid="{00000000-0005-0000-0000-0000BB0C0000}"/>
    <cellStyle name="Separador de milhares 2 5 2 2 2 2 3 2" xfId="5189" xr:uid="{00000000-0005-0000-0000-0000BC0C0000}"/>
    <cellStyle name="Separador de milhares 2 5 2 2 2 2 4" xfId="3730" xr:uid="{00000000-0005-0000-0000-0000BD0C0000}"/>
    <cellStyle name="Separador de milhares 2 5 2 2 2 3" xfId="1463" xr:uid="{00000000-0005-0000-0000-0000BE0C0000}"/>
    <cellStyle name="Separador de milhares 2 5 2 2 2 3 2" xfId="2743" xr:uid="{00000000-0005-0000-0000-0000BF0C0000}"/>
    <cellStyle name="Separador de milhares 2 5 2 2 2 3 2 2" xfId="5439" xr:uid="{00000000-0005-0000-0000-0000C00C0000}"/>
    <cellStyle name="Separador de milhares 2 5 2 2 2 3 3" xfId="4159" xr:uid="{00000000-0005-0000-0000-0000C10C0000}"/>
    <cellStyle name="Separador de milhares 2 5 2 2 2 4" xfId="2243" xr:uid="{00000000-0005-0000-0000-0000C20C0000}"/>
    <cellStyle name="Separador de milhares 2 5 2 2 2 4 2" xfId="4939" xr:uid="{00000000-0005-0000-0000-0000C30C0000}"/>
    <cellStyle name="Separador de milhares 2 5 2 2 2 5" xfId="3393" xr:uid="{00000000-0005-0000-0000-0000C40C0000}"/>
    <cellStyle name="Separador de milhares 2 5 2 2 3" xfId="860" xr:uid="{00000000-0005-0000-0000-0000C50C0000}"/>
    <cellStyle name="Separador de milhares 2 5 2 2 3 2" xfId="1627" xr:uid="{00000000-0005-0000-0000-0000C60C0000}"/>
    <cellStyle name="Separador de milhares 2 5 2 2 3 2 2" xfId="2868" xr:uid="{00000000-0005-0000-0000-0000C70C0000}"/>
    <cellStyle name="Separador de milhares 2 5 2 2 3 2 2 2" xfId="5564" xr:uid="{00000000-0005-0000-0000-0000C80C0000}"/>
    <cellStyle name="Separador de milhares 2 5 2 2 3 2 3" xfId="4323" xr:uid="{00000000-0005-0000-0000-0000C90C0000}"/>
    <cellStyle name="Separador de milhares 2 5 2 2 3 3" xfId="2368" xr:uid="{00000000-0005-0000-0000-0000CA0C0000}"/>
    <cellStyle name="Separador de milhares 2 5 2 2 3 3 2" xfId="5064" xr:uid="{00000000-0005-0000-0000-0000CB0C0000}"/>
    <cellStyle name="Separador de milhares 2 5 2 2 3 4" xfId="3557" xr:uid="{00000000-0005-0000-0000-0000CC0C0000}"/>
    <cellStyle name="Separador de milhares 2 5 2 2 4" xfId="1290" xr:uid="{00000000-0005-0000-0000-0000CD0C0000}"/>
    <cellStyle name="Separador de milhares 2 5 2 2 4 2" xfId="2618" xr:uid="{00000000-0005-0000-0000-0000CE0C0000}"/>
    <cellStyle name="Separador de milhares 2 5 2 2 4 2 2" xfId="5314" xr:uid="{00000000-0005-0000-0000-0000CF0C0000}"/>
    <cellStyle name="Separador de milhares 2 5 2 2 4 3" xfId="3986" xr:uid="{00000000-0005-0000-0000-0000D00C0000}"/>
    <cellStyle name="Separador de milhares 2 5 2 2 5" xfId="2118" xr:uid="{00000000-0005-0000-0000-0000D10C0000}"/>
    <cellStyle name="Separador de milhares 2 5 2 2 5 2" xfId="4814" xr:uid="{00000000-0005-0000-0000-0000D20C0000}"/>
    <cellStyle name="Separador de milhares 2 5 2 2 6" xfId="3220" xr:uid="{00000000-0005-0000-0000-0000D30C0000}"/>
    <cellStyle name="Separador de milhares 2 5 2 3" xfId="633" xr:uid="{00000000-0005-0000-0000-0000D40C0000}"/>
    <cellStyle name="Separador de milhares 2 5 2 3 2" xfId="970" xr:uid="{00000000-0005-0000-0000-0000D50C0000}"/>
    <cellStyle name="Separador de milhares 2 5 2 3 2 2" xfId="1737" xr:uid="{00000000-0005-0000-0000-0000D60C0000}"/>
    <cellStyle name="Separador de milhares 2 5 2 3 2 2 2" xfId="2931" xr:uid="{00000000-0005-0000-0000-0000D70C0000}"/>
    <cellStyle name="Separador de milhares 2 5 2 3 2 2 2 2" xfId="5627" xr:uid="{00000000-0005-0000-0000-0000D80C0000}"/>
    <cellStyle name="Separador de milhares 2 5 2 3 2 2 3" xfId="4433" xr:uid="{00000000-0005-0000-0000-0000D90C0000}"/>
    <cellStyle name="Separador de milhares 2 5 2 3 2 3" xfId="2431" xr:uid="{00000000-0005-0000-0000-0000DA0C0000}"/>
    <cellStyle name="Separador de milhares 2 5 2 3 2 3 2" xfId="5127" xr:uid="{00000000-0005-0000-0000-0000DB0C0000}"/>
    <cellStyle name="Separador de milhares 2 5 2 3 2 4" xfId="3667" xr:uid="{00000000-0005-0000-0000-0000DC0C0000}"/>
    <cellStyle name="Separador de milhares 2 5 2 3 3" xfId="1400" xr:uid="{00000000-0005-0000-0000-0000DD0C0000}"/>
    <cellStyle name="Separador de milhares 2 5 2 3 3 2" xfId="2681" xr:uid="{00000000-0005-0000-0000-0000DE0C0000}"/>
    <cellStyle name="Separador de milhares 2 5 2 3 3 2 2" xfId="5377" xr:uid="{00000000-0005-0000-0000-0000DF0C0000}"/>
    <cellStyle name="Separador de milhares 2 5 2 3 3 3" xfId="4096" xr:uid="{00000000-0005-0000-0000-0000E00C0000}"/>
    <cellStyle name="Separador de milhares 2 5 2 3 4" xfId="2181" xr:uid="{00000000-0005-0000-0000-0000E10C0000}"/>
    <cellStyle name="Separador de milhares 2 5 2 3 4 2" xfId="4877" xr:uid="{00000000-0005-0000-0000-0000E20C0000}"/>
    <cellStyle name="Separador de milhares 2 5 2 3 5" xfId="3330" xr:uid="{00000000-0005-0000-0000-0000E30C0000}"/>
    <cellStyle name="Separador de milhares 2 5 2 4" xfId="796" xr:uid="{00000000-0005-0000-0000-0000E40C0000}"/>
    <cellStyle name="Separador de milhares 2 5 2 4 2" xfId="1563" xr:uid="{00000000-0005-0000-0000-0000E50C0000}"/>
    <cellStyle name="Separador de milhares 2 5 2 4 2 2" xfId="2806" xr:uid="{00000000-0005-0000-0000-0000E60C0000}"/>
    <cellStyle name="Separador de milhares 2 5 2 4 2 2 2" xfId="5502" xr:uid="{00000000-0005-0000-0000-0000E70C0000}"/>
    <cellStyle name="Separador de milhares 2 5 2 4 2 3" xfId="4259" xr:uid="{00000000-0005-0000-0000-0000E80C0000}"/>
    <cellStyle name="Separador de milhares 2 5 2 4 3" xfId="2306" xr:uid="{00000000-0005-0000-0000-0000E90C0000}"/>
    <cellStyle name="Separador de milhares 2 5 2 4 3 2" xfId="5002" xr:uid="{00000000-0005-0000-0000-0000EA0C0000}"/>
    <cellStyle name="Separador de milhares 2 5 2 4 4" xfId="3493" xr:uid="{00000000-0005-0000-0000-0000EB0C0000}"/>
    <cellStyle name="Separador de milhares 2 5 2 5" xfId="1227" xr:uid="{00000000-0005-0000-0000-0000EC0C0000}"/>
    <cellStyle name="Separador de milhares 2 5 2 5 2" xfId="2556" xr:uid="{00000000-0005-0000-0000-0000ED0C0000}"/>
    <cellStyle name="Separador de milhares 2 5 2 5 2 2" xfId="5252" xr:uid="{00000000-0005-0000-0000-0000EE0C0000}"/>
    <cellStyle name="Separador de milhares 2 5 2 5 3" xfId="3923" xr:uid="{00000000-0005-0000-0000-0000EF0C0000}"/>
    <cellStyle name="Separador de milhares 2 5 2 6" xfId="2056" xr:uid="{00000000-0005-0000-0000-0000F00C0000}"/>
    <cellStyle name="Separador de milhares 2 5 2 6 2" xfId="4752" xr:uid="{00000000-0005-0000-0000-0000F10C0000}"/>
    <cellStyle name="Separador de milhares 2 5 2 7" xfId="3156" xr:uid="{00000000-0005-0000-0000-0000F20C0000}"/>
    <cellStyle name="Separador de milhares 2 5 3" xfId="2000" xr:uid="{00000000-0005-0000-0000-0000F30C0000}"/>
    <cellStyle name="Separador de milhares 2 5 3 2" xfId="4696" xr:uid="{00000000-0005-0000-0000-0000F40C0000}"/>
    <cellStyle name="Separador de milhares 2 5 4" xfId="3098" xr:uid="{00000000-0005-0000-0000-0000F50C0000}"/>
    <cellStyle name="Separador de milhares 2 6" xfId="247" xr:uid="{00000000-0005-0000-0000-0000F60C0000}"/>
    <cellStyle name="Separador de milhares 2 6 2" xfId="386" xr:uid="{00000000-0005-0000-0000-0000F70C0000}"/>
    <cellStyle name="Separador de milhares 2 6 2 2" xfId="478" xr:uid="{00000000-0005-0000-0000-0000F80C0000}"/>
    <cellStyle name="Separador de milhares 2 6 2 2 2" xfId="543" xr:uid="{00000000-0005-0000-0000-0000F90C0000}"/>
    <cellStyle name="Separador de milhares 2 6 2 2 2 2" xfId="717" xr:uid="{00000000-0005-0000-0000-0000FA0C0000}"/>
    <cellStyle name="Separador de milhares 2 6 2 2 2 2 2" xfId="1054" xr:uid="{00000000-0005-0000-0000-0000FB0C0000}"/>
    <cellStyle name="Separador de milhares 2 6 2 2 2 2 2 2" xfId="1821" xr:uid="{00000000-0005-0000-0000-0000FC0C0000}"/>
    <cellStyle name="Separador de milhares 2 6 2 2 2 2 2 2 2" xfId="3014" xr:uid="{00000000-0005-0000-0000-0000FD0C0000}"/>
    <cellStyle name="Separador de milhares 2 6 2 2 2 2 2 2 2 2" xfId="5710" xr:uid="{00000000-0005-0000-0000-0000FE0C0000}"/>
    <cellStyle name="Separador de milhares 2 6 2 2 2 2 2 2 3" xfId="4517" xr:uid="{00000000-0005-0000-0000-0000FF0C0000}"/>
    <cellStyle name="Separador de milhares 2 6 2 2 2 2 2 3" xfId="2514" xr:uid="{00000000-0005-0000-0000-0000000D0000}"/>
    <cellStyle name="Separador de milhares 2 6 2 2 2 2 2 3 2" xfId="5210" xr:uid="{00000000-0005-0000-0000-0000010D0000}"/>
    <cellStyle name="Separador de milhares 2 6 2 2 2 2 2 4" xfId="3751" xr:uid="{00000000-0005-0000-0000-0000020D0000}"/>
    <cellStyle name="Separador de milhares 2 6 2 2 2 2 3" xfId="1484" xr:uid="{00000000-0005-0000-0000-0000030D0000}"/>
    <cellStyle name="Separador de milhares 2 6 2 2 2 2 3 2" xfId="2764" xr:uid="{00000000-0005-0000-0000-0000040D0000}"/>
    <cellStyle name="Separador de milhares 2 6 2 2 2 2 3 2 2" xfId="5460" xr:uid="{00000000-0005-0000-0000-0000050D0000}"/>
    <cellStyle name="Separador de milhares 2 6 2 2 2 2 3 3" xfId="4180" xr:uid="{00000000-0005-0000-0000-0000060D0000}"/>
    <cellStyle name="Separador de milhares 2 6 2 2 2 2 4" xfId="2264" xr:uid="{00000000-0005-0000-0000-0000070D0000}"/>
    <cellStyle name="Separador de milhares 2 6 2 2 2 2 4 2" xfId="4960" xr:uid="{00000000-0005-0000-0000-0000080D0000}"/>
    <cellStyle name="Separador de milhares 2 6 2 2 2 2 5" xfId="3414" xr:uid="{00000000-0005-0000-0000-0000090D0000}"/>
    <cellStyle name="Separador de milhares 2 6 2 2 2 3" xfId="881" xr:uid="{00000000-0005-0000-0000-00000A0D0000}"/>
    <cellStyle name="Separador de milhares 2 6 2 2 2 3 2" xfId="1648" xr:uid="{00000000-0005-0000-0000-00000B0D0000}"/>
    <cellStyle name="Separador de milhares 2 6 2 2 2 3 2 2" xfId="2889" xr:uid="{00000000-0005-0000-0000-00000C0D0000}"/>
    <cellStyle name="Separador de milhares 2 6 2 2 2 3 2 2 2" xfId="5585" xr:uid="{00000000-0005-0000-0000-00000D0D0000}"/>
    <cellStyle name="Separador de milhares 2 6 2 2 2 3 2 3" xfId="4344" xr:uid="{00000000-0005-0000-0000-00000E0D0000}"/>
    <cellStyle name="Separador de milhares 2 6 2 2 2 3 3" xfId="2389" xr:uid="{00000000-0005-0000-0000-00000F0D0000}"/>
    <cellStyle name="Separador de milhares 2 6 2 2 2 3 3 2" xfId="5085" xr:uid="{00000000-0005-0000-0000-0000100D0000}"/>
    <cellStyle name="Separador de milhares 2 6 2 2 2 3 4" xfId="3578" xr:uid="{00000000-0005-0000-0000-0000110D0000}"/>
    <cellStyle name="Separador de milhares 2 6 2 2 2 4" xfId="1311" xr:uid="{00000000-0005-0000-0000-0000120D0000}"/>
    <cellStyle name="Separador de milhares 2 6 2 2 2 4 2" xfId="2639" xr:uid="{00000000-0005-0000-0000-0000130D0000}"/>
    <cellStyle name="Separador de milhares 2 6 2 2 2 4 2 2" xfId="5335" xr:uid="{00000000-0005-0000-0000-0000140D0000}"/>
    <cellStyle name="Separador de milhares 2 6 2 2 2 4 3" xfId="4007" xr:uid="{00000000-0005-0000-0000-0000150D0000}"/>
    <cellStyle name="Separador de milhares 2 6 2 2 2 5" xfId="2139" xr:uid="{00000000-0005-0000-0000-0000160D0000}"/>
    <cellStyle name="Separador de milhares 2 6 2 2 2 5 2" xfId="4835" xr:uid="{00000000-0005-0000-0000-0000170D0000}"/>
    <cellStyle name="Separador de milhares 2 6 2 2 2 6" xfId="3241" xr:uid="{00000000-0005-0000-0000-0000180D0000}"/>
    <cellStyle name="Separador de milhares 2 6 2 2 3" xfId="654" xr:uid="{00000000-0005-0000-0000-0000190D0000}"/>
    <cellStyle name="Separador de milhares 2 6 2 2 3 2" xfId="991" xr:uid="{00000000-0005-0000-0000-00001A0D0000}"/>
    <cellStyle name="Separador de milhares 2 6 2 2 3 2 2" xfId="1758" xr:uid="{00000000-0005-0000-0000-00001B0D0000}"/>
    <cellStyle name="Separador de milhares 2 6 2 2 3 2 2 2" xfId="2952" xr:uid="{00000000-0005-0000-0000-00001C0D0000}"/>
    <cellStyle name="Separador de milhares 2 6 2 2 3 2 2 2 2" xfId="5648" xr:uid="{00000000-0005-0000-0000-00001D0D0000}"/>
    <cellStyle name="Separador de milhares 2 6 2 2 3 2 2 3" xfId="4454" xr:uid="{00000000-0005-0000-0000-00001E0D0000}"/>
    <cellStyle name="Separador de milhares 2 6 2 2 3 2 3" xfId="2452" xr:uid="{00000000-0005-0000-0000-00001F0D0000}"/>
    <cellStyle name="Separador de milhares 2 6 2 2 3 2 3 2" xfId="5148" xr:uid="{00000000-0005-0000-0000-0000200D0000}"/>
    <cellStyle name="Separador de milhares 2 6 2 2 3 2 4" xfId="3688" xr:uid="{00000000-0005-0000-0000-0000210D0000}"/>
    <cellStyle name="Separador de milhares 2 6 2 2 3 3" xfId="1421" xr:uid="{00000000-0005-0000-0000-0000220D0000}"/>
    <cellStyle name="Separador de milhares 2 6 2 2 3 3 2" xfId="2702" xr:uid="{00000000-0005-0000-0000-0000230D0000}"/>
    <cellStyle name="Separador de milhares 2 6 2 2 3 3 2 2" xfId="5398" xr:uid="{00000000-0005-0000-0000-0000240D0000}"/>
    <cellStyle name="Separador de milhares 2 6 2 2 3 3 3" xfId="4117" xr:uid="{00000000-0005-0000-0000-0000250D0000}"/>
    <cellStyle name="Separador de milhares 2 6 2 2 3 4" xfId="2202" xr:uid="{00000000-0005-0000-0000-0000260D0000}"/>
    <cellStyle name="Separador de milhares 2 6 2 2 3 4 2" xfId="4898" xr:uid="{00000000-0005-0000-0000-0000270D0000}"/>
    <cellStyle name="Separador de milhares 2 6 2 2 3 5" xfId="3351" xr:uid="{00000000-0005-0000-0000-0000280D0000}"/>
    <cellStyle name="Separador de milhares 2 6 2 2 4" xfId="817" xr:uid="{00000000-0005-0000-0000-0000290D0000}"/>
    <cellStyle name="Separador de milhares 2 6 2 2 4 2" xfId="1584" xr:uid="{00000000-0005-0000-0000-00002A0D0000}"/>
    <cellStyle name="Separador de milhares 2 6 2 2 4 2 2" xfId="2827" xr:uid="{00000000-0005-0000-0000-00002B0D0000}"/>
    <cellStyle name="Separador de milhares 2 6 2 2 4 2 2 2" xfId="5523" xr:uid="{00000000-0005-0000-0000-00002C0D0000}"/>
    <cellStyle name="Separador de milhares 2 6 2 2 4 2 3" xfId="4280" xr:uid="{00000000-0005-0000-0000-00002D0D0000}"/>
    <cellStyle name="Separador de milhares 2 6 2 2 4 3" xfId="2327" xr:uid="{00000000-0005-0000-0000-00002E0D0000}"/>
    <cellStyle name="Separador de milhares 2 6 2 2 4 3 2" xfId="5023" xr:uid="{00000000-0005-0000-0000-00002F0D0000}"/>
    <cellStyle name="Separador de milhares 2 6 2 2 4 4" xfId="3514" xr:uid="{00000000-0005-0000-0000-0000300D0000}"/>
    <cellStyle name="Separador de milhares 2 6 2 2 5" xfId="1248" xr:uid="{00000000-0005-0000-0000-0000310D0000}"/>
    <cellStyle name="Separador de milhares 2 6 2 2 5 2" xfId="2577" xr:uid="{00000000-0005-0000-0000-0000320D0000}"/>
    <cellStyle name="Separador de milhares 2 6 2 2 5 2 2" xfId="5273" xr:uid="{00000000-0005-0000-0000-0000330D0000}"/>
    <cellStyle name="Separador de milhares 2 6 2 2 5 3" xfId="3944" xr:uid="{00000000-0005-0000-0000-0000340D0000}"/>
    <cellStyle name="Separador de milhares 2 6 2 2 6" xfId="2077" xr:uid="{00000000-0005-0000-0000-0000350D0000}"/>
    <cellStyle name="Separador de milhares 2 6 2 2 6 2" xfId="4773" xr:uid="{00000000-0005-0000-0000-0000360D0000}"/>
    <cellStyle name="Separador de milhares 2 6 2 2 7" xfId="3177" xr:uid="{00000000-0005-0000-0000-0000370D0000}"/>
    <cellStyle name="Separador de milhares 2 6 2 3" xfId="2022" xr:uid="{00000000-0005-0000-0000-0000380D0000}"/>
    <cellStyle name="Separador de milhares 2 6 2 3 2" xfId="4718" xr:uid="{00000000-0005-0000-0000-0000390D0000}"/>
    <cellStyle name="Separador de milhares 2 6 2 4" xfId="3121" xr:uid="{00000000-0005-0000-0000-00003A0D0000}"/>
    <cellStyle name="Separador de milhares 2 6 3" xfId="387" xr:uid="{00000000-0005-0000-0000-00003B0D0000}"/>
    <cellStyle name="Separador de milhares 2 6 3 2" xfId="479" xr:uid="{00000000-0005-0000-0000-00003C0D0000}"/>
    <cellStyle name="Separador de milhares 2 6 3 2 2" xfId="544" xr:uid="{00000000-0005-0000-0000-00003D0D0000}"/>
    <cellStyle name="Separador de milhares 2 6 3 2 2 2" xfId="718" xr:uid="{00000000-0005-0000-0000-00003E0D0000}"/>
    <cellStyle name="Separador de milhares 2 6 3 2 2 2 2" xfId="1055" xr:uid="{00000000-0005-0000-0000-00003F0D0000}"/>
    <cellStyle name="Separador de milhares 2 6 3 2 2 2 2 2" xfId="1822" xr:uid="{00000000-0005-0000-0000-0000400D0000}"/>
    <cellStyle name="Separador de milhares 2 6 3 2 2 2 2 2 2" xfId="3015" xr:uid="{00000000-0005-0000-0000-0000410D0000}"/>
    <cellStyle name="Separador de milhares 2 6 3 2 2 2 2 2 2 2" xfId="5711" xr:uid="{00000000-0005-0000-0000-0000420D0000}"/>
    <cellStyle name="Separador de milhares 2 6 3 2 2 2 2 2 3" xfId="4518" xr:uid="{00000000-0005-0000-0000-0000430D0000}"/>
    <cellStyle name="Separador de milhares 2 6 3 2 2 2 2 3" xfId="2515" xr:uid="{00000000-0005-0000-0000-0000440D0000}"/>
    <cellStyle name="Separador de milhares 2 6 3 2 2 2 2 3 2" xfId="5211" xr:uid="{00000000-0005-0000-0000-0000450D0000}"/>
    <cellStyle name="Separador de milhares 2 6 3 2 2 2 2 4" xfId="3752" xr:uid="{00000000-0005-0000-0000-0000460D0000}"/>
    <cellStyle name="Separador de milhares 2 6 3 2 2 2 3" xfId="1485" xr:uid="{00000000-0005-0000-0000-0000470D0000}"/>
    <cellStyle name="Separador de milhares 2 6 3 2 2 2 3 2" xfId="2765" xr:uid="{00000000-0005-0000-0000-0000480D0000}"/>
    <cellStyle name="Separador de milhares 2 6 3 2 2 2 3 2 2" xfId="5461" xr:uid="{00000000-0005-0000-0000-0000490D0000}"/>
    <cellStyle name="Separador de milhares 2 6 3 2 2 2 3 3" xfId="4181" xr:uid="{00000000-0005-0000-0000-00004A0D0000}"/>
    <cellStyle name="Separador de milhares 2 6 3 2 2 2 4" xfId="2265" xr:uid="{00000000-0005-0000-0000-00004B0D0000}"/>
    <cellStyle name="Separador de milhares 2 6 3 2 2 2 4 2" xfId="4961" xr:uid="{00000000-0005-0000-0000-00004C0D0000}"/>
    <cellStyle name="Separador de milhares 2 6 3 2 2 2 5" xfId="3415" xr:uid="{00000000-0005-0000-0000-00004D0D0000}"/>
    <cellStyle name="Separador de milhares 2 6 3 2 2 3" xfId="882" xr:uid="{00000000-0005-0000-0000-00004E0D0000}"/>
    <cellStyle name="Separador de milhares 2 6 3 2 2 3 2" xfId="1649" xr:uid="{00000000-0005-0000-0000-00004F0D0000}"/>
    <cellStyle name="Separador de milhares 2 6 3 2 2 3 2 2" xfId="2890" xr:uid="{00000000-0005-0000-0000-0000500D0000}"/>
    <cellStyle name="Separador de milhares 2 6 3 2 2 3 2 2 2" xfId="5586" xr:uid="{00000000-0005-0000-0000-0000510D0000}"/>
    <cellStyle name="Separador de milhares 2 6 3 2 2 3 2 3" xfId="4345" xr:uid="{00000000-0005-0000-0000-0000520D0000}"/>
    <cellStyle name="Separador de milhares 2 6 3 2 2 3 3" xfId="2390" xr:uid="{00000000-0005-0000-0000-0000530D0000}"/>
    <cellStyle name="Separador de milhares 2 6 3 2 2 3 3 2" xfId="5086" xr:uid="{00000000-0005-0000-0000-0000540D0000}"/>
    <cellStyle name="Separador de milhares 2 6 3 2 2 3 4" xfId="3579" xr:uid="{00000000-0005-0000-0000-0000550D0000}"/>
    <cellStyle name="Separador de milhares 2 6 3 2 2 4" xfId="1312" xr:uid="{00000000-0005-0000-0000-0000560D0000}"/>
    <cellStyle name="Separador de milhares 2 6 3 2 2 4 2" xfId="2640" xr:uid="{00000000-0005-0000-0000-0000570D0000}"/>
    <cellStyle name="Separador de milhares 2 6 3 2 2 4 2 2" xfId="5336" xr:uid="{00000000-0005-0000-0000-0000580D0000}"/>
    <cellStyle name="Separador de milhares 2 6 3 2 2 4 3" xfId="4008" xr:uid="{00000000-0005-0000-0000-0000590D0000}"/>
    <cellStyle name="Separador de milhares 2 6 3 2 2 5" xfId="2140" xr:uid="{00000000-0005-0000-0000-00005A0D0000}"/>
    <cellStyle name="Separador de milhares 2 6 3 2 2 5 2" xfId="4836" xr:uid="{00000000-0005-0000-0000-00005B0D0000}"/>
    <cellStyle name="Separador de milhares 2 6 3 2 2 6" xfId="3242" xr:uid="{00000000-0005-0000-0000-00005C0D0000}"/>
    <cellStyle name="Separador de milhares 2 6 3 2 3" xfId="655" xr:uid="{00000000-0005-0000-0000-00005D0D0000}"/>
    <cellStyle name="Separador de milhares 2 6 3 2 3 2" xfId="992" xr:uid="{00000000-0005-0000-0000-00005E0D0000}"/>
    <cellStyle name="Separador de milhares 2 6 3 2 3 2 2" xfId="1759" xr:uid="{00000000-0005-0000-0000-00005F0D0000}"/>
    <cellStyle name="Separador de milhares 2 6 3 2 3 2 2 2" xfId="2953" xr:uid="{00000000-0005-0000-0000-0000600D0000}"/>
    <cellStyle name="Separador de milhares 2 6 3 2 3 2 2 2 2" xfId="5649" xr:uid="{00000000-0005-0000-0000-0000610D0000}"/>
    <cellStyle name="Separador de milhares 2 6 3 2 3 2 2 3" xfId="4455" xr:uid="{00000000-0005-0000-0000-0000620D0000}"/>
    <cellStyle name="Separador de milhares 2 6 3 2 3 2 3" xfId="2453" xr:uid="{00000000-0005-0000-0000-0000630D0000}"/>
    <cellStyle name="Separador de milhares 2 6 3 2 3 2 3 2" xfId="5149" xr:uid="{00000000-0005-0000-0000-0000640D0000}"/>
    <cellStyle name="Separador de milhares 2 6 3 2 3 2 4" xfId="3689" xr:uid="{00000000-0005-0000-0000-0000650D0000}"/>
    <cellStyle name="Separador de milhares 2 6 3 2 3 3" xfId="1422" xr:uid="{00000000-0005-0000-0000-0000660D0000}"/>
    <cellStyle name="Separador de milhares 2 6 3 2 3 3 2" xfId="2703" xr:uid="{00000000-0005-0000-0000-0000670D0000}"/>
    <cellStyle name="Separador de milhares 2 6 3 2 3 3 2 2" xfId="5399" xr:uid="{00000000-0005-0000-0000-0000680D0000}"/>
    <cellStyle name="Separador de milhares 2 6 3 2 3 3 3" xfId="4118" xr:uid="{00000000-0005-0000-0000-0000690D0000}"/>
    <cellStyle name="Separador de milhares 2 6 3 2 3 4" xfId="2203" xr:uid="{00000000-0005-0000-0000-00006A0D0000}"/>
    <cellStyle name="Separador de milhares 2 6 3 2 3 4 2" xfId="4899" xr:uid="{00000000-0005-0000-0000-00006B0D0000}"/>
    <cellStyle name="Separador de milhares 2 6 3 2 3 5" xfId="3352" xr:uid="{00000000-0005-0000-0000-00006C0D0000}"/>
    <cellStyle name="Separador de milhares 2 6 3 2 4" xfId="818" xr:uid="{00000000-0005-0000-0000-00006D0D0000}"/>
    <cellStyle name="Separador de milhares 2 6 3 2 4 2" xfId="1585" xr:uid="{00000000-0005-0000-0000-00006E0D0000}"/>
    <cellStyle name="Separador de milhares 2 6 3 2 4 2 2" xfId="2828" xr:uid="{00000000-0005-0000-0000-00006F0D0000}"/>
    <cellStyle name="Separador de milhares 2 6 3 2 4 2 2 2" xfId="5524" xr:uid="{00000000-0005-0000-0000-0000700D0000}"/>
    <cellStyle name="Separador de milhares 2 6 3 2 4 2 3" xfId="4281" xr:uid="{00000000-0005-0000-0000-0000710D0000}"/>
    <cellStyle name="Separador de milhares 2 6 3 2 4 3" xfId="2328" xr:uid="{00000000-0005-0000-0000-0000720D0000}"/>
    <cellStyle name="Separador de milhares 2 6 3 2 4 3 2" xfId="5024" xr:uid="{00000000-0005-0000-0000-0000730D0000}"/>
    <cellStyle name="Separador de milhares 2 6 3 2 4 4" xfId="3515" xr:uid="{00000000-0005-0000-0000-0000740D0000}"/>
    <cellStyle name="Separador de milhares 2 6 3 2 5" xfId="1249" xr:uid="{00000000-0005-0000-0000-0000750D0000}"/>
    <cellStyle name="Separador de milhares 2 6 3 2 5 2" xfId="2578" xr:uid="{00000000-0005-0000-0000-0000760D0000}"/>
    <cellStyle name="Separador de milhares 2 6 3 2 5 2 2" xfId="5274" xr:uid="{00000000-0005-0000-0000-0000770D0000}"/>
    <cellStyle name="Separador de milhares 2 6 3 2 5 3" xfId="3945" xr:uid="{00000000-0005-0000-0000-0000780D0000}"/>
    <cellStyle name="Separador de milhares 2 6 3 2 6" xfId="2078" xr:uid="{00000000-0005-0000-0000-0000790D0000}"/>
    <cellStyle name="Separador de milhares 2 6 3 2 6 2" xfId="4774" xr:uid="{00000000-0005-0000-0000-00007A0D0000}"/>
    <cellStyle name="Separador de milhares 2 6 3 2 7" xfId="3178" xr:uid="{00000000-0005-0000-0000-00007B0D0000}"/>
    <cellStyle name="Separador de milhares 2 6 3 3" xfId="2023" xr:uid="{00000000-0005-0000-0000-00007C0D0000}"/>
    <cellStyle name="Separador de milhares 2 6 3 3 2" xfId="4719" xr:uid="{00000000-0005-0000-0000-00007D0D0000}"/>
    <cellStyle name="Separador de milhares 2 6 3 4" xfId="3122" xr:uid="{00000000-0005-0000-0000-00007E0D0000}"/>
    <cellStyle name="Separador de milhares 2 6 4" xfId="458" xr:uid="{00000000-0005-0000-0000-00007F0D0000}"/>
    <cellStyle name="Separador de milhares 2 6 4 2" xfId="523" xr:uid="{00000000-0005-0000-0000-0000800D0000}"/>
    <cellStyle name="Separador de milhares 2 6 4 2 2" xfId="697" xr:uid="{00000000-0005-0000-0000-0000810D0000}"/>
    <cellStyle name="Separador de milhares 2 6 4 2 2 2" xfId="1034" xr:uid="{00000000-0005-0000-0000-0000820D0000}"/>
    <cellStyle name="Separador de milhares 2 6 4 2 2 2 2" xfId="1801" xr:uid="{00000000-0005-0000-0000-0000830D0000}"/>
    <cellStyle name="Separador de milhares 2 6 4 2 2 2 2 2" xfId="2994" xr:uid="{00000000-0005-0000-0000-0000840D0000}"/>
    <cellStyle name="Separador de milhares 2 6 4 2 2 2 2 2 2" xfId="5690" xr:uid="{00000000-0005-0000-0000-0000850D0000}"/>
    <cellStyle name="Separador de milhares 2 6 4 2 2 2 2 3" xfId="4497" xr:uid="{00000000-0005-0000-0000-0000860D0000}"/>
    <cellStyle name="Separador de milhares 2 6 4 2 2 2 3" xfId="2494" xr:uid="{00000000-0005-0000-0000-0000870D0000}"/>
    <cellStyle name="Separador de milhares 2 6 4 2 2 2 3 2" xfId="5190" xr:uid="{00000000-0005-0000-0000-0000880D0000}"/>
    <cellStyle name="Separador de milhares 2 6 4 2 2 2 4" xfId="3731" xr:uid="{00000000-0005-0000-0000-0000890D0000}"/>
    <cellStyle name="Separador de milhares 2 6 4 2 2 3" xfId="1464" xr:uid="{00000000-0005-0000-0000-00008A0D0000}"/>
    <cellStyle name="Separador de milhares 2 6 4 2 2 3 2" xfId="2744" xr:uid="{00000000-0005-0000-0000-00008B0D0000}"/>
    <cellStyle name="Separador de milhares 2 6 4 2 2 3 2 2" xfId="5440" xr:uid="{00000000-0005-0000-0000-00008C0D0000}"/>
    <cellStyle name="Separador de milhares 2 6 4 2 2 3 3" xfId="4160" xr:uid="{00000000-0005-0000-0000-00008D0D0000}"/>
    <cellStyle name="Separador de milhares 2 6 4 2 2 4" xfId="2244" xr:uid="{00000000-0005-0000-0000-00008E0D0000}"/>
    <cellStyle name="Separador de milhares 2 6 4 2 2 4 2" xfId="4940" xr:uid="{00000000-0005-0000-0000-00008F0D0000}"/>
    <cellStyle name="Separador de milhares 2 6 4 2 2 5" xfId="3394" xr:uid="{00000000-0005-0000-0000-0000900D0000}"/>
    <cellStyle name="Separador de milhares 2 6 4 2 3" xfId="861" xr:uid="{00000000-0005-0000-0000-0000910D0000}"/>
    <cellStyle name="Separador de milhares 2 6 4 2 3 2" xfId="1628" xr:uid="{00000000-0005-0000-0000-0000920D0000}"/>
    <cellStyle name="Separador de milhares 2 6 4 2 3 2 2" xfId="2869" xr:uid="{00000000-0005-0000-0000-0000930D0000}"/>
    <cellStyle name="Separador de milhares 2 6 4 2 3 2 2 2" xfId="5565" xr:uid="{00000000-0005-0000-0000-0000940D0000}"/>
    <cellStyle name="Separador de milhares 2 6 4 2 3 2 3" xfId="4324" xr:uid="{00000000-0005-0000-0000-0000950D0000}"/>
    <cellStyle name="Separador de milhares 2 6 4 2 3 3" xfId="2369" xr:uid="{00000000-0005-0000-0000-0000960D0000}"/>
    <cellStyle name="Separador de milhares 2 6 4 2 3 3 2" xfId="5065" xr:uid="{00000000-0005-0000-0000-0000970D0000}"/>
    <cellStyle name="Separador de milhares 2 6 4 2 3 4" xfId="3558" xr:uid="{00000000-0005-0000-0000-0000980D0000}"/>
    <cellStyle name="Separador de milhares 2 6 4 2 4" xfId="1291" xr:uid="{00000000-0005-0000-0000-0000990D0000}"/>
    <cellStyle name="Separador de milhares 2 6 4 2 4 2" xfId="2619" xr:uid="{00000000-0005-0000-0000-00009A0D0000}"/>
    <cellStyle name="Separador de milhares 2 6 4 2 4 2 2" xfId="5315" xr:uid="{00000000-0005-0000-0000-00009B0D0000}"/>
    <cellStyle name="Separador de milhares 2 6 4 2 4 3" xfId="3987" xr:uid="{00000000-0005-0000-0000-00009C0D0000}"/>
    <cellStyle name="Separador de milhares 2 6 4 2 5" xfId="2119" xr:uid="{00000000-0005-0000-0000-00009D0D0000}"/>
    <cellStyle name="Separador de milhares 2 6 4 2 5 2" xfId="4815" xr:uid="{00000000-0005-0000-0000-00009E0D0000}"/>
    <cellStyle name="Separador de milhares 2 6 4 2 6" xfId="3221" xr:uid="{00000000-0005-0000-0000-00009F0D0000}"/>
    <cellStyle name="Separador de milhares 2 6 4 3" xfId="634" xr:uid="{00000000-0005-0000-0000-0000A00D0000}"/>
    <cellStyle name="Separador de milhares 2 6 4 3 2" xfId="971" xr:uid="{00000000-0005-0000-0000-0000A10D0000}"/>
    <cellStyle name="Separador de milhares 2 6 4 3 2 2" xfId="1738" xr:uid="{00000000-0005-0000-0000-0000A20D0000}"/>
    <cellStyle name="Separador de milhares 2 6 4 3 2 2 2" xfId="2932" xr:uid="{00000000-0005-0000-0000-0000A30D0000}"/>
    <cellStyle name="Separador de milhares 2 6 4 3 2 2 2 2" xfId="5628" xr:uid="{00000000-0005-0000-0000-0000A40D0000}"/>
    <cellStyle name="Separador de milhares 2 6 4 3 2 2 3" xfId="4434" xr:uid="{00000000-0005-0000-0000-0000A50D0000}"/>
    <cellStyle name="Separador de milhares 2 6 4 3 2 3" xfId="2432" xr:uid="{00000000-0005-0000-0000-0000A60D0000}"/>
    <cellStyle name="Separador de milhares 2 6 4 3 2 3 2" xfId="5128" xr:uid="{00000000-0005-0000-0000-0000A70D0000}"/>
    <cellStyle name="Separador de milhares 2 6 4 3 2 4" xfId="3668" xr:uid="{00000000-0005-0000-0000-0000A80D0000}"/>
    <cellStyle name="Separador de milhares 2 6 4 3 3" xfId="1401" xr:uid="{00000000-0005-0000-0000-0000A90D0000}"/>
    <cellStyle name="Separador de milhares 2 6 4 3 3 2" xfId="2682" xr:uid="{00000000-0005-0000-0000-0000AA0D0000}"/>
    <cellStyle name="Separador de milhares 2 6 4 3 3 2 2" xfId="5378" xr:uid="{00000000-0005-0000-0000-0000AB0D0000}"/>
    <cellStyle name="Separador de milhares 2 6 4 3 3 3" xfId="4097" xr:uid="{00000000-0005-0000-0000-0000AC0D0000}"/>
    <cellStyle name="Separador de milhares 2 6 4 3 4" xfId="2182" xr:uid="{00000000-0005-0000-0000-0000AD0D0000}"/>
    <cellStyle name="Separador de milhares 2 6 4 3 4 2" xfId="4878" xr:uid="{00000000-0005-0000-0000-0000AE0D0000}"/>
    <cellStyle name="Separador de milhares 2 6 4 3 5" xfId="3331" xr:uid="{00000000-0005-0000-0000-0000AF0D0000}"/>
    <cellStyle name="Separador de milhares 2 6 4 4" xfId="797" xr:uid="{00000000-0005-0000-0000-0000B00D0000}"/>
    <cellStyle name="Separador de milhares 2 6 4 4 2" xfId="1564" xr:uid="{00000000-0005-0000-0000-0000B10D0000}"/>
    <cellStyle name="Separador de milhares 2 6 4 4 2 2" xfId="2807" xr:uid="{00000000-0005-0000-0000-0000B20D0000}"/>
    <cellStyle name="Separador de milhares 2 6 4 4 2 2 2" xfId="5503" xr:uid="{00000000-0005-0000-0000-0000B30D0000}"/>
    <cellStyle name="Separador de milhares 2 6 4 4 2 3" xfId="4260" xr:uid="{00000000-0005-0000-0000-0000B40D0000}"/>
    <cellStyle name="Separador de milhares 2 6 4 4 3" xfId="2307" xr:uid="{00000000-0005-0000-0000-0000B50D0000}"/>
    <cellStyle name="Separador de milhares 2 6 4 4 3 2" xfId="5003" xr:uid="{00000000-0005-0000-0000-0000B60D0000}"/>
    <cellStyle name="Separador de milhares 2 6 4 4 4" xfId="3494" xr:uid="{00000000-0005-0000-0000-0000B70D0000}"/>
    <cellStyle name="Separador de milhares 2 6 4 5" xfId="1228" xr:uid="{00000000-0005-0000-0000-0000B80D0000}"/>
    <cellStyle name="Separador de milhares 2 6 4 5 2" xfId="2557" xr:uid="{00000000-0005-0000-0000-0000B90D0000}"/>
    <cellStyle name="Separador de milhares 2 6 4 5 2 2" xfId="5253" xr:uid="{00000000-0005-0000-0000-0000BA0D0000}"/>
    <cellStyle name="Separador de milhares 2 6 4 5 3" xfId="3924" xr:uid="{00000000-0005-0000-0000-0000BB0D0000}"/>
    <cellStyle name="Separador de milhares 2 6 4 6" xfId="2057" xr:uid="{00000000-0005-0000-0000-0000BC0D0000}"/>
    <cellStyle name="Separador de milhares 2 6 4 6 2" xfId="4753" xr:uid="{00000000-0005-0000-0000-0000BD0D0000}"/>
    <cellStyle name="Separador de milhares 2 6 4 7" xfId="3157" xr:uid="{00000000-0005-0000-0000-0000BE0D0000}"/>
    <cellStyle name="Separador de milhares 2 6 5" xfId="2001" xr:uid="{00000000-0005-0000-0000-0000BF0D0000}"/>
    <cellStyle name="Separador de milhares 2 6 5 2" xfId="4697" xr:uid="{00000000-0005-0000-0000-0000C00D0000}"/>
    <cellStyle name="Separador de milhares 2 6 6" xfId="3099" xr:uid="{00000000-0005-0000-0000-0000C10D0000}"/>
    <cellStyle name="Separador de milhares 2 7" xfId="388" xr:uid="{00000000-0005-0000-0000-0000C20D0000}"/>
    <cellStyle name="Separador de milhares 2 7 2" xfId="389" xr:uid="{00000000-0005-0000-0000-0000C30D0000}"/>
    <cellStyle name="Separador de milhares 2 7 3" xfId="480" xr:uid="{00000000-0005-0000-0000-0000C40D0000}"/>
    <cellStyle name="Separador de milhares 2 7 3 2" xfId="545" xr:uid="{00000000-0005-0000-0000-0000C50D0000}"/>
    <cellStyle name="Separador de milhares 2 7 3 2 2" xfId="719" xr:uid="{00000000-0005-0000-0000-0000C60D0000}"/>
    <cellStyle name="Separador de milhares 2 7 3 2 2 2" xfId="1056" xr:uid="{00000000-0005-0000-0000-0000C70D0000}"/>
    <cellStyle name="Separador de milhares 2 7 3 2 2 2 2" xfId="1823" xr:uid="{00000000-0005-0000-0000-0000C80D0000}"/>
    <cellStyle name="Separador de milhares 2 7 3 2 2 2 2 2" xfId="3016" xr:uid="{00000000-0005-0000-0000-0000C90D0000}"/>
    <cellStyle name="Separador de milhares 2 7 3 2 2 2 2 2 2" xfId="5712" xr:uid="{00000000-0005-0000-0000-0000CA0D0000}"/>
    <cellStyle name="Separador de milhares 2 7 3 2 2 2 2 3" xfId="4519" xr:uid="{00000000-0005-0000-0000-0000CB0D0000}"/>
    <cellStyle name="Separador de milhares 2 7 3 2 2 2 3" xfId="2516" xr:uid="{00000000-0005-0000-0000-0000CC0D0000}"/>
    <cellStyle name="Separador de milhares 2 7 3 2 2 2 3 2" xfId="5212" xr:uid="{00000000-0005-0000-0000-0000CD0D0000}"/>
    <cellStyle name="Separador de milhares 2 7 3 2 2 2 4" xfId="3753" xr:uid="{00000000-0005-0000-0000-0000CE0D0000}"/>
    <cellStyle name="Separador de milhares 2 7 3 2 2 3" xfId="1486" xr:uid="{00000000-0005-0000-0000-0000CF0D0000}"/>
    <cellStyle name="Separador de milhares 2 7 3 2 2 3 2" xfId="2766" xr:uid="{00000000-0005-0000-0000-0000D00D0000}"/>
    <cellStyle name="Separador de milhares 2 7 3 2 2 3 2 2" xfId="5462" xr:uid="{00000000-0005-0000-0000-0000D10D0000}"/>
    <cellStyle name="Separador de milhares 2 7 3 2 2 3 3" xfId="4182" xr:uid="{00000000-0005-0000-0000-0000D20D0000}"/>
    <cellStyle name="Separador de milhares 2 7 3 2 2 4" xfId="2266" xr:uid="{00000000-0005-0000-0000-0000D30D0000}"/>
    <cellStyle name="Separador de milhares 2 7 3 2 2 4 2" xfId="4962" xr:uid="{00000000-0005-0000-0000-0000D40D0000}"/>
    <cellStyle name="Separador de milhares 2 7 3 2 2 5" xfId="3416" xr:uid="{00000000-0005-0000-0000-0000D50D0000}"/>
    <cellStyle name="Separador de milhares 2 7 3 2 3" xfId="883" xr:uid="{00000000-0005-0000-0000-0000D60D0000}"/>
    <cellStyle name="Separador de milhares 2 7 3 2 3 2" xfId="1650" xr:uid="{00000000-0005-0000-0000-0000D70D0000}"/>
    <cellStyle name="Separador de milhares 2 7 3 2 3 2 2" xfId="2891" xr:uid="{00000000-0005-0000-0000-0000D80D0000}"/>
    <cellStyle name="Separador de milhares 2 7 3 2 3 2 2 2" xfId="5587" xr:uid="{00000000-0005-0000-0000-0000D90D0000}"/>
    <cellStyle name="Separador de milhares 2 7 3 2 3 2 3" xfId="4346" xr:uid="{00000000-0005-0000-0000-0000DA0D0000}"/>
    <cellStyle name="Separador de milhares 2 7 3 2 3 3" xfId="2391" xr:uid="{00000000-0005-0000-0000-0000DB0D0000}"/>
    <cellStyle name="Separador de milhares 2 7 3 2 3 3 2" xfId="5087" xr:uid="{00000000-0005-0000-0000-0000DC0D0000}"/>
    <cellStyle name="Separador de milhares 2 7 3 2 3 4" xfId="3580" xr:uid="{00000000-0005-0000-0000-0000DD0D0000}"/>
    <cellStyle name="Separador de milhares 2 7 3 2 4" xfId="1313" xr:uid="{00000000-0005-0000-0000-0000DE0D0000}"/>
    <cellStyle name="Separador de milhares 2 7 3 2 4 2" xfId="2641" xr:uid="{00000000-0005-0000-0000-0000DF0D0000}"/>
    <cellStyle name="Separador de milhares 2 7 3 2 4 2 2" xfId="5337" xr:uid="{00000000-0005-0000-0000-0000E00D0000}"/>
    <cellStyle name="Separador de milhares 2 7 3 2 4 3" xfId="4009" xr:uid="{00000000-0005-0000-0000-0000E10D0000}"/>
    <cellStyle name="Separador de milhares 2 7 3 2 5" xfId="2141" xr:uid="{00000000-0005-0000-0000-0000E20D0000}"/>
    <cellStyle name="Separador de milhares 2 7 3 2 5 2" xfId="4837" xr:uid="{00000000-0005-0000-0000-0000E30D0000}"/>
    <cellStyle name="Separador de milhares 2 7 3 2 6" xfId="3243" xr:uid="{00000000-0005-0000-0000-0000E40D0000}"/>
    <cellStyle name="Separador de milhares 2 7 3 3" xfId="656" xr:uid="{00000000-0005-0000-0000-0000E50D0000}"/>
    <cellStyle name="Separador de milhares 2 7 3 3 2" xfId="993" xr:uid="{00000000-0005-0000-0000-0000E60D0000}"/>
    <cellStyle name="Separador de milhares 2 7 3 3 2 2" xfId="1760" xr:uid="{00000000-0005-0000-0000-0000E70D0000}"/>
    <cellStyle name="Separador de milhares 2 7 3 3 2 2 2" xfId="2954" xr:uid="{00000000-0005-0000-0000-0000E80D0000}"/>
    <cellStyle name="Separador de milhares 2 7 3 3 2 2 2 2" xfId="5650" xr:uid="{00000000-0005-0000-0000-0000E90D0000}"/>
    <cellStyle name="Separador de milhares 2 7 3 3 2 2 3" xfId="4456" xr:uid="{00000000-0005-0000-0000-0000EA0D0000}"/>
    <cellStyle name="Separador de milhares 2 7 3 3 2 3" xfId="2454" xr:uid="{00000000-0005-0000-0000-0000EB0D0000}"/>
    <cellStyle name="Separador de milhares 2 7 3 3 2 3 2" xfId="5150" xr:uid="{00000000-0005-0000-0000-0000EC0D0000}"/>
    <cellStyle name="Separador de milhares 2 7 3 3 2 4" xfId="3690" xr:uid="{00000000-0005-0000-0000-0000ED0D0000}"/>
    <cellStyle name="Separador de milhares 2 7 3 3 3" xfId="1423" xr:uid="{00000000-0005-0000-0000-0000EE0D0000}"/>
    <cellStyle name="Separador de milhares 2 7 3 3 3 2" xfId="2704" xr:uid="{00000000-0005-0000-0000-0000EF0D0000}"/>
    <cellStyle name="Separador de milhares 2 7 3 3 3 2 2" xfId="5400" xr:uid="{00000000-0005-0000-0000-0000F00D0000}"/>
    <cellStyle name="Separador de milhares 2 7 3 3 3 3" xfId="4119" xr:uid="{00000000-0005-0000-0000-0000F10D0000}"/>
    <cellStyle name="Separador de milhares 2 7 3 3 4" xfId="2204" xr:uid="{00000000-0005-0000-0000-0000F20D0000}"/>
    <cellStyle name="Separador de milhares 2 7 3 3 4 2" xfId="4900" xr:uid="{00000000-0005-0000-0000-0000F30D0000}"/>
    <cellStyle name="Separador de milhares 2 7 3 3 5" xfId="3353" xr:uid="{00000000-0005-0000-0000-0000F40D0000}"/>
    <cellStyle name="Separador de milhares 2 7 3 4" xfId="819" xr:uid="{00000000-0005-0000-0000-0000F50D0000}"/>
    <cellStyle name="Separador de milhares 2 7 3 4 2" xfId="1586" xr:uid="{00000000-0005-0000-0000-0000F60D0000}"/>
    <cellStyle name="Separador de milhares 2 7 3 4 2 2" xfId="2829" xr:uid="{00000000-0005-0000-0000-0000F70D0000}"/>
    <cellStyle name="Separador de milhares 2 7 3 4 2 2 2" xfId="5525" xr:uid="{00000000-0005-0000-0000-0000F80D0000}"/>
    <cellStyle name="Separador de milhares 2 7 3 4 2 3" xfId="4282" xr:uid="{00000000-0005-0000-0000-0000F90D0000}"/>
    <cellStyle name="Separador de milhares 2 7 3 4 3" xfId="2329" xr:uid="{00000000-0005-0000-0000-0000FA0D0000}"/>
    <cellStyle name="Separador de milhares 2 7 3 4 3 2" xfId="5025" xr:uid="{00000000-0005-0000-0000-0000FB0D0000}"/>
    <cellStyle name="Separador de milhares 2 7 3 4 4" xfId="3516" xr:uid="{00000000-0005-0000-0000-0000FC0D0000}"/>
    <cellStyle name="Separador de milhares 2 7 3 5" xfId="1250" xr:uid="{00000000-0005-0000-0000-0000FD0D0000}"/>
    <cellStyle name="Separador de milhares 2 7 3 5 2" xfId="2579" xr:uid="{00000000-0005-0000-0000-0000FE0D0000}"/>
    <cellStyle name="Separador de milhares 2 7 3 5 2 2" xfId="5275" xr:uid="{00000000-0005-0000-0000-0000FF0D0000}"/>
    <cellStyle name="Separador de milhares 2 7 3 5 3" xfId="3946" xr:uid="{00000000-0005-0000-0000-0000000E0000}"/>
    <cellStyle name="Separador de milhares 2 7 3 6" xfId="2079" xr:uid="{00000000-0005-0000-0000-0000010E0000}"/>
    <cellStyle name="Separador de milhares 2 7 3 6 2" xfId="4775" xr:uid="{00000000-0005-0000-0000-0000020E0000}"/>
    <cellStyle name="Separador de milhares 2 7 3 7" xfId="3179" xr:uid="{00000000-0005-0000-0000-0000030E0000}"/>
    <cellStyle name="Separador de milhares 2 7 4" xfId="2024" xr:uid="{00000000-0005-0000-0000-0000040E0000}"/>
    <cellStyle name="Separador de milhares 2 7 4 2" xfId="4720" xr:uid="{00000000-0005-0000-0000-0000050E0000}"/>
    <cellStyle name="Separador de milhares 2 7 5" xfId="3123" xr:uid="{00000000-0005-0000-0000-0000060E0000}"/>
    <cellStyle name="Separador de milhares 2 8" xfId="390" xr:uid="{00000000-0005-0000-0000-0000070E0000}"/>
    <cellStyle name="Separador de milhares 2 9" xfId="391" xr:uid="{00000000-0005-0000-0000-0000080E0000}"/>
    <cellStyle name="Separador de milhares 2_10ª MP DER" xfId="152" xr:uid="{00000000-0005-0000-0000-0000090E0000}"/>
    <cellStyle name="Separador de milhares 20" xfId="392" xr:uid="{00000000-0005-0000-0000-00000A0E0000}"/>
    <cellStyle name="Separador de milhares 21" xfId="393" xr:uid="{00000000-0005-0000-0000-00000B0E0000}"/>
    <cellStyle name="Separador de milhares 22" xfId="394" xr:uid="{00000000-0005-0000-0000-00000C0E0000}"/>
    <cellStyle name="Separador de milhares 23" xfId="395" xr:uid="{00000000-0005-0000-0000-00000D0E0000}"/>
    <cellStyle name="Separador de milhares 24" xfId="396" xr:uid="{00000000-0005-0000-0000-00000E0E0000}"/>
    <cellStyle name="Separador de milhares 25" xfId="397" xr:uid="{00000000-0005-0000-0000-00000F0E0000}"/>
    <cellStyle name="Separador de milhares 26" xfId="398" xr:uid="{00000000-0005-0000-0000-0000100E0000}"/>
    <cellStyle name="Separador de milhares 27" xfId="399" xr:uid="{00000000-0005-0000-0000-0000110E0000}"/>
    <cellStyle name="Separador de milhares 28" xfId="400" xr:uid="{00000000-0005-0000-0000-0000120E0000}"/>
    <cellStyle name="Separador de milhares 29" xfId="401" xr:uid="{00000000-0005-0000-0000-0000130E0000}"/>
    <cellStyle name="Separador de milhares 3" xfId="52" xr:uid="{00000000-0005-0000-0000-0000140E0000}"/>
    <cellStyle name="Separador de milhares 3 10" xfId="3034" xr:uid="{00000000-0005-0000-0000-0000150E0000}"/>
    <cellStyle name="Separador de milhares 3 10 2" xfId="5729" xr:uid="{00000000-0005-0000-0000-0000160E0000}"/>
    <cellStyle name="Separador de milhares 3 11" xfId="3061" xr:uid="{00000000-0005-0000-0000-0000170E0000}"/>
    <cellStyle name="Separador de milhares 3 13" xfId="438" xr:uid="{00000000-0005-0000-0000-0000180E0000}"/>
    <cellStyle name="Separador de milhares 3 2" xfId="71" xr:uid="{00000000-0005-0000-0000-0000190E0000}"/>
    <cellStyle name="Separador de milhares 3 2 2" xfId="114" xr:uid="{00000000-0005-0000-0000-00001A0E0000}"/>
    <cellStyle name="Separador de milhares 3 2 2 2" xfId="481" xr:uid="{00000000-0005-0000-0000-00001B0E0000}"/>
    <cellStyle name="Separador de milhares 3 2 2 2 2" xfId="546" xr:uid="{00000000-0005-0000-0000-00001C0E0000}"/>
    <cellStyle name="Separador de milhares 3 2 2 2 2 2" xfId="720" xr:uid="{00000000-0005-0000-0000-00001D0E0000}"/>
    <cellStyle name="Separador de milhares 3 2 2 2 2 2 2" xfId="1057" xr:uid="{00000000-0005-0000-0000-00001E0E0000}"/>
    <cellStyle name="Separador de milhares 3 2 2 2 2 2 2 2" xfId="1824" xr:uid="{00000000-0005-0000-0000-00001F0E0000}"/>
    <cellStyle name="Separador de milhares 3 2 2 2 2 2 2 2 2" xfId="3017" xr:uid="{00000000-0005-0000-0000-0000200E0000}"/>
    <cellStyle name="Separador de milhares 3 2 2 2 2 2 2 2 2 2" xfId="5713" xr:uid="{00000000-0005-0000-0000-0000210E0000}"/>
    <cellStyle name="Separador de milhares 3 2 2 2 2 2 2 2 3" xfId="4520" xr:uid="{00000000-0005-0000-0000-0000220E0000}"/>
    <cellStyle name="Separador de milhares 3 2 2 2 2 2 2 3" xfId="2517" xr:uid="{00000000-0005-0000-0000-0000230E0000}"/>
    <cellStyle name="Separador de milhares 3 2 2 2 2 2 2 3 2" xfId="5213" xr:uid="{00000000-0005-0000-0000-0000240E0000}"/>
    <cellStyle name="Separador de milhares 3 2 2 2 2 2 2 4" xfId="3754" xr:uid="{00000000-0005-0000-0000-0000250E0000}"/>
    <cellStyle name="Separador de milhares 3 2 2 2 2 2 3" xfId="1487" xr:uid="{00000000-0005-0000-0000-0000260E0000}"/>
    <cellStyle name="Separador de milhares 3 2 2 2 2 2 3 2" xfId="2767" xr:uid="{00000000-0005-0000-0000-0000270E0000}"/>
    <cellStyle name="Separador de milhares 3 2 2 2 2 2 3 2 2" xfId="5463" xr:uid="{00000000-0005-0000-0000-0000280E0000}"/>
    <cellStyle name="Separador de milhares 3 2 2 2 2 2 3 3" xfId="4183" xr:uid="{00000000-0005-0000-0000-0000290E0000}"/>
    <cellStyle name="Separador de milhares 3 2 2 2 2 2 4" xfId="2267" xr:uid="{00000000-0005-0000-0000-00002A0E0000}"/>
    <cellStyle name="Separador de milhares 3 2 2 2 2 2 4 2" xfId="4963" xr:uid="{00000000-0005-0000-0000-00002B0E0000}"/>
    <cellStyle name="Separador de milhares 3 2 2 2 2 2 5" xfId="3417" xr:uid="{00000000-0005-0000-0000-00002C0E0000}"/>
    <cellStyle name="Separador de milhares 3 2 2 2 2 3" xfId="884" xr:uid="{00000000-0005-0000-0000-00002D0E0000}"/>
    <cellStyle name="Separador de milhares 3 2 2 2 2 3 2" xfId="1651" xr:uid="{00000000-0005-0000-0000-00002E0E0000}"/>
    <cellStyle name="Separador de milhares 3 2 2 2 2 3 2 2" xfId="2892" xr:uid="{00000000-0005-0000-0000-00002F0E0000}"/>
    <cellStyle name="Separador de milhares 3 2 2 2 2 3 2 2 2" xfId="5588" xr:uid="{00000000-0005-0000-0000-0000300E0000}"/>
    <cellStyle name="Separador de milhares 3 2 2 2 2 3 2 3" xfId="4347" xr:uid="{00000000-0005-0000-0000-0000310E0000}"/>
    <cellStyle name="Separador de milhares 3 2 2 2 2 3 3" xfId="2392" xr:uid="{00000000-0005-0000-0000-0000320E0000}"/>
    <cellStyle name="Separador de milhares 3 2 2 2 2 3 3 2" xfId="5088" xr:uid="{00000000-0005-0000-0000-0000330E0000}"/>
    <cellStyle name="Separador de milhares 3 2 2 2 2 3 4" xfId="3581" xr:uid="{00000000-0005-0000-0000-0000340E0000}"/>
    <cellStyle name="Separador de milhares 3 2 2 2 2 4" xfId="1314" xr:uid="{00000000-0005-0000-0000-0000350E0000}"/>
    <cellStyle name="Separador de milhares 3 2 2 2 2 4 2" xfId="2642" xr:uid="{00000000-0005-0000-0000-0000360E0000}"/>
    <cellStyle name="Separador de milhares 3 2 2 2 2 4 2 2" xfId="5338" xr:uid="{00000000-0005-0000-0000-0000370E0000}"/>
    <cellStyle name="Separador de milhares 3 2 2 2 2 4 3" xfId="4010" xr:uid="{00000000-0005-0000-0000-0000380E0000}"/>
    <cellStyle name="Separador de milhares 3 2 2 2 2 5" xfId="2142" xr:uid="{00000000-0005-0000-0000-0000390E0000}"/>
    <cellStyle name="Separador de milhares 3 2 2 2 2 5 2" xfId="4838" xr:uid="{00000000-0005-0000-0000-00003A0E0000}"/>
    <cellStyle name="Separador de milhares 3 2 2 2 2 6" xfId="3244" xr:uid="{00000000-0005-0000-0000-00003B0E0000}"/>
    <cellStyle name="Separador de milhares 3 2 2 2 3" xfId="657" xr:uid="{00000000-0005-0000-0000-00003C0E0000}"/>
    <cellStyle name="Separador de milhares 3 2 2 2 3 2" xfId="994" xr:uid="{00000000-0005-0000-0000-00003D0E0000}"/>
    <cellStyle name="Separador de milhares 3 2 2 2 3 2 2" xfId="1761" xr:uid="{00000000-0005-0000-0000-00003E0E0000}"/>
    <cellStyle name="Separador de milhares 3 2 2 2 3 2 2 2" xfId="2955" xr:uid="{00000000-0005-0000-0000-00003F0E0000}"/>
    <cellStyle name="Separador de milhares 3 2 2 2 3 2 2 2 2" xfId="5651" xr:uid="{00000000-0005-0000-0000-0000400E0000}"/>
    <cellStyle name="Separador de milhares 3 2 2 2 3 2 2 3" xfId="4457" xr:uid="{00000000-0005-0000-0000-0000410E0000}"/>
    <cellStyle name="Separador de milhares 3 2 2 2 3 2 3" xfId="2455" xr:uid="{00000000-0005-0000-0000-0000420E0000}"/>
    <cellStyle name="Separador de milhares 3 2 2 2 3 2 3 2" xfId="5151" xr:uid="{00000000-0005-0000-0000-0000430E0000}"/>
    <cellStyle name="Separador de milhares 3 2 2 2 3 2 4" xfId="3691" xr:uid="{00000000-0005-0000-0000-0000440E0000}"/>
    <cellStyle name="Separador de milhares 3 2 2 2 3 3" xfId="1424" xr:uid="{00000000-0005-0000-0000-0000450E0000}"/>
    <cellStyle name="Separador de milhares 3 2 2 2 3 3 2" xfId="2705" xr:uid="{00000000-0005-0000-0000-0000460E0000}"/>
    <cellStyle name="Separador de milhares 3 2 2 2 3 3 2 2" xfId="5401" xr:uid="{00000000-0005-0000-0000-0000470E0000}"/>
    <cellStyle name="Separador de milhares 3 2 2 2 3 3 3" xfId="4120" xr:uid="{00000000-0005-0000-0000-0000480E0000}"/>
    <cellStyle name="Separador de milhares 3 2 2 2 3 4" xfId="2205" xr:uid="{00000000-0005-0000-0000-0000490E0000}"/>
    <cellStyle name="Separador de milhares 3 2 2 2 3 4 2" xfId="4901" xr:uid="{00000000-0005-0000-0000-00004A0E0000}"/>
    <cellStyle name="Separador de milhares 3 2 2 2 3 5" xfId="3354" xr:uid="{00000000-0005-0000-0000-00004B0E0000}"/>
    <cellStyle name="Separador de milhares 3 2 2 2 4" xfId="820" xr:uid="{00000000-0005-0000-0000-00004C0E0000}"/>
    <cellStyle name="Separador de milhares 3 2 2 2 4 2" xfId="1587" xr:uid="{00000000-0005-0000-0000-00004D0E0000}"/>
    <cellStyle name="Separador de milhares 3 2 2 2 4 2 2" xfId="2830" xr:uid="{00000000-0005-0000-0000-00004E0E0000}"/>
    <cellStyle name="Separador de milhares 3 2 2 2 4 2 2 2" xfId="5526" xr:uid="{00000000-0005-0000-0000-00004F0E0000}"/>
    <cellStyle name="Separador de milhares 3 2 2 2 4 2 3" xfId="4283" xr:uid="{00000000-0005-0000-0000-0000500E0000}"/>
    <cellStyle name="Separador de milhares 3 2 2 2 4 3" xfId="2330" xr:uid="{00000000-0005-0000-0000-0000510E0000}"/>
    <cellStyle name="Separador de milhares 3 2 2 2 4 3 2" xfId="5026" xr:uid="{00000000-0005-0000-0000-0000520E0000}"/>
    <cellStyle name="Separador de milhares 3 2 2 2 4 4" xfId="3517" xr:uid="{00000000-0005-0000-0000-0000530E0000}"/>
    <cellStyle name="Separador de milhares 3 2 2 2 5" xfId="1251" xr:uid="{00000000-0005-0000-0000-0000540E0000}"/>
    <cellStyle name="Separador de milhares 3 2 2 2 5 2" xfId="2580" xr:uid="{00000000-0005-0000-0000-0000550E0000}"/>
    <cellStyle name="Separador de milhares 3 2 2 2 5 2 2" xfId="5276" xr:uid="{00000000-0005-0000-0000-0000560E0000}"/>
    <cellStyle name="Separador de milhares 3 2 2 2 5 3" xfId="3947" xr:uid="{00000000-0005-0000-0000-0000570E0000}"/>
    <cellStyle name="Separador de milhares 3 2 2 2 6" xfId="2080" xr:uid="{00000000-0005-0000-0000-0000580E0000}"/>
    <cellStyle name="Separador de milhares 3 2 2 2 6 2" xfId="4776" xr:uid="{00000000-0005-0000-0000-0000590E0000}"/>
    <cellStyle name="Separador de milhares 3 2 2 2 7" xfId="3180" xr:uid="{00000000-0005-0000-0000-00005A0E0000}"/>
    <cellStyle name="Separador de milhares 3 2 2 3" xfId="402" xr:uid="{00000000-0005-0000-0000-00005B0E0000}"/>
    <cellStyle name="Separador de milhares 3 2 2 3 2" xfId="2025" xr:uid="{00000000-0005-0000-0000-00005C0E0000}"/>
    <cellStyle name="Separador de milhares 3 2 2 3 2 2" xfId="4721" xr:uid="{00000000-0005-0000-0000-00005D0E0000}"/>
    <cellStyle name="Separador de milhares 3 2 2 3 3" xfId="3124" xr:uid="{00000000-0005-0000-0000-00005E0E0000}"/>
    <cellStyle name="Separador de milhares 3 2 2 4" xfId="5893" xr:uid="{00000000-0005-0000-0000-00005F0E0000}"/>
    <cellStyle name="Separador de milhares 3 2 2 5" xfId="5907" xr:uid="{00000000-0005-0000-0000-0000600E0000}"/>
    <cellStyle name="Separador de milhares 3 2 3" xfId="452" xr:uid="{00000000-0005-0000-0000-0000610E0000}"/>
    <cellStyle name="Separador de milhares 3 2 3 2" xfId="517" xr:uid="{00000000-0005-0000-0000-0000620E0000}"/>
    <cellStyle name="Separador de milhares 3 2 3 2 2" xfId="691" xr:uid="{00000000-0005-0000-0000-0000630E0000}"/>
    <cellStyle name="Separador de milhares 3 2 3 2 2 2" xfId="1028" xr:uid="{00000000-0005-0000-0000-0000640E0000}"/>
    <cellStyle name="Separador de milhares 3 2 3 2 2 2 2" xfId="1795" xr:uid="{00000000-0005-0000-0000-0000650E0000}"/>
    <cellStyle name="Separador de milhares 3 2 3 2 2 2 2 2" xfId="2988" xr:uid="{00000000-0005-0000-0000-0000660E0000}"/>
    <cellStyle name="Separador de milhares 3 2 3 2 2 2 2 2 2" xfId="5684" xr:uid="{00000000-0005-0000-0000-0000670E0000}"/>
    <cellStyle name="Separador de milhares 3 2 3 2 2 2 2 3" xfId="4491" xr:uid="{00000000-0005-0000-0000-0000680E0000}"/>
    <cellStyle name="Separador de milhares 3 2 3 2 2 2 3" xfId="2488" xr:uid="{00000000-0005-0000-0000-0000690E0000}"/>
    <cellStyle name="Separador de milhares 3 2 3 2 2 2 3 2" xfId="5184" xr:uid="{00000000-0005-0000-0000-00006A0E0000}"/>
    <cellStyle name="Separador de milhares 3 2 3 2 2 2 4" xfId="3725" xr:uid="{00000000-0005-0000-0000-00006B0E0000}"/>
    <cellStyle name="Separador de milhares 3 2 3 2 2 3" xfId="1458" xr:uid="{00000000-0005-0000-0000-00006C0E0000}"/>
    <cellStyle name="Separador de milhares 3 2 3 2 2 3 2" xfId="2738" xr:uid="{00000000-0005-0000-0000-00006D0E0000}"/>
    <cellStyle name="Separador de milhares 3 2 3 2 2 3 2 2" xfId="5434" xr:uid="{00000000-0005-0000-0000-00006E0E0000}"/>
    <cellStyle name="Separador de milhares 3 2 3 2 2 3 3" xfId="4154" xr:uid="{00000000-0005-0000-0000-00006F0E0000}"/>
    <cellStyle name="Separador de milhares 3 2 3 2 2 4" xfId="2238" xr:uid="{00000000-0005-0000-0000-0000700E0000}"/>
    <cellStyle name="Separador de milhares 3 2 3 2 2 4 2" xfId="4934" xr:uid="{00000000-0005-0000-0000-0000710E0000}"/>
    <cellStyle name="Separador de milhares 3 2 3 2 2 5" xfId="3388" xr:uid="{00000000-0005-0000-0000-0000720E0000}"/>
    <cellStyle name="Separador de milhares 3 2 3 2 3" xfId="855" xr:uid="{00000000-0005-0000-0000-0000730E0000}"/>
    <cellStyle name="Separador de milhares 3 2 3 2 3 2" xfId="1622" xr:uid="{00000000-0005-0000-0000-0000740E0000}"/>
    <cellStyle name="Separador de milhares 3 2 3 2 3 2 2" xfId="2863" xr:uid="{00000000-0005-0000-0000-0000750E0000}"/>
    <cellStyle name="Separador de milhares 3 2 3 2 3 2 2 2" xfId="5559" xr:uid="{00000000-0005-0000-0000-0000760E0000}"/>
    <cellStyle name="Separador de milhares 3 2 3 2 3 2 3" xfId="4318" xr:uid="{00000000-0005-0000-0000-0000770E0000}"/>
    <cellStyle name="Separador de milhares 3 2 3 2 3 3" xfId="2363" xr:uid="{00000000-0005-0000-0000-0000780E0000}"/>
    <cellStyle name="Separador de milhares 3 2 3 2 3 3 2" xfId="5059" xr:uid="{00000000-0005-0000-0000-0000790E0000}"/>
    <cellStyle name="Separador de milhares 3 2 3 2 3 4" xfId="3552" xr:uid="{00000000-0005-0000-0000-00007A0E0000}"/>
    <cellStyle name="Separador de milhares 3 2 3 2 4" xfId="1285" xr:uid="{00000000-0005-0000-0000-00007B0E0000}"/>
    <cellStyle name="Separador de milhares 3 2 3 2 4 2" xfId="2613" xr:uid="{00000000-0005-0000-0000-00007C0E0000}"/>
    <cellStyle name="Separador de milhares 3 2 3 2 4 2 2" xfId="5309" xr:uid="{00000000-0005-0000-0000-00007D0E0000}"/>
    <cellStyle name="Separador de milhares 3 2 3 2 4 3" xfId="3981" xr:uid="{00000000-0005-0000-0000-00007E0E0000}"/>
    <cellStyle name="Separador de milhares 3 2 3 2 5" xfId="2113" xr:uid="{00000000-0005-0000-0000-00007F0E0000}"/>
    <cellStyle name="Separador de milhares 3 2 3 2 5 2" xfId="4809" xr:uid="{00000000-0005-0000-0000-0000800E0000}"/>
    <cellStyle name="Separador de milhares 3 2 3 2 6" xfId="3215" xr:uid="{00000000-0005-0000-0000-0000810E0000}"/>
    <cellStyle name="Separador de milhares 3 2 3 3" xfId="628" xr:uid="{00000000-0005-0000-0000-0000820E0000}"/>
    <cellStyle name="Separador de milhares 3 2 3 3 2" xfId="965" xr:uid="{00000000-0005-0000-0000-0000830E0000}"/>
    <cellStyle name="Separador de milhares 3 2 3 3 2 2" xfId="1732" xr:uid="{00000000-0005-0000-0000-0000840E0000}"/>
    <cellStyle name="Separador de milhares 3 2 3 3 2 2 2" xfId="2926" xr:uid="{00000000-0005-0000-0000-0000850E0000}"/>
    <cellStyle name="Separador de milhares 3 2 3 3 2 2 2 2" xfId="5622" xr:uid="{00000000-0005-0000-0000-0000860E0000}"/>
    <cellStyle name="Separador de milhares 3 2 3 3 2 2 3" xfId="4428" xr:uid="{00000000-0005-0000-0000-0000870E0000}"/>
    <cellStyle name="Separador de milhares 3 2 3 3 2 3" xfId="2426" xr:uid="{00000000-0005-0000-0000-0000880E0000}"/>
    <cellStyle name="Separador de milhares 3 2 3 3 2 3 2" xfId="5122" xr:uid="{00000000-0005-0000-0000-0000890E0000}"/>
    <cellStyle name="Separador de milhares 3 2 3 3 2 4" xfId="3662" xr:uid="{00000000-0005-0000-0000-00008A0E0000}"/>
    <cellStyle name="Separador de milhares 3 2 3 3 3" xfId="1395" xr:uid="{00000000-0005-0000-0000-00008B0E0000}"/>
    <cellStyle name="Separador de milhares 3 2 3 3 3 2" xfId="2676" xr:uid="{00000000-0005-0000-0000-00008C0E0000}"/>
    <cellStyle name="Separador de milhares 3 2 3 3 3 2 2" xfId="5372" xr:uid="{00000000-0005-0000-0000-00008D0E0000}"/>
    <cellStyle name="Separador de milhares 3 2 3 3 3 3" xfId="4091" xr:uid="{00000000-0005-0000-0000-00008E0E0000}"/>
    <cellStyle name="Separador de milhares 3 2 3 3 4" xfId="2176" xr:uid="{00000000-0005-0000-0000-00008F0E0000}"/>
    <cellStyle name="Separador de milhares 3 2 3 3 4 2" xfId="4872" xr:uid="{00000000-0005-0000-0000-0000900E0000}"/>
    <cellStyle name="Separador de milhares 3 2 3 3 5" xfId="3325" xr:uid="{00000000-0005-0000-0000-0000910E0000}"/>
    <cellStyle name="Separador de milhares 3 2 3 4" xfId="791" xr:uid="{00000000-0005-0000-0000-0000920E0000}"/>
    <cellStyle name="Separador de milhares 3 2 3 4 2" xfId="1558" xr:uid="{00000000-0005-0000-0000-0000930E0000}"/>
    <cellStyle name="Separador de milhares 3 2 3 4 2 2" xfId="2801" xr:uid="{00000000-0005-0000-0000-0000940E0000}"/>
    <cellStyle name="Separador de milhares 3 2 3 4 2 2 2" xfId="5497" xr:uid="{00000000-0005-0000-0000-0000950E0000}"/>
    <cellStyle name="Separador de milhares 3 2 3 4 2 3" xfId="4254" xr:uid="{00000000-0005-0000-0000-0000960E0000}"/>
    <cellStyle name="Separador de milhares 3 2 3 4 3" xfId="2301" xr:uid="{00000000-0005-0000-0000-0000970E0000}"/>
    <cellStyle name="Separador de milhares 3 2 3 4 3 2" xfId="4997" xr:uid="{00000000-0005-0000-0000-0000980E0000}"/>
    <cellStyle name="Separador de milhares 3 2 3 4 4" xfId="3488" xr:uid="{00000000-0005-0000-0000-0000990E0000}"/>
    <cellStyle name="Separador de milhares 3 2 3 5" xfId="1222" xr:uid="{00000000-0005-0000-0000-00009A0E0000}"/>
    <cellStyle name="Separador de milhares 3 2 3 5 2" xfId="2551" xr:uid="{00000000-0005-0000-0000-00009B0E0000}"/>
    <cellStyle name="Separador de milhares 3 2 3 5 2 2" xfId="5247" xr:uid="{00000000-0005-0000-0000-00009C0E0000}"/>
    <cellStyle name="Separador de milhares 3 2 3 5 3" xfId="3918" xr:uid="{00000000-0005-0000-0000-00009D0E0000}"/>
    <cellStyle name="Separador de milhares 3 2 3 6" xfId="2051" xr:uid="{00000000-0005-0000-0000-00009E0E0000}"/>
    <cellStyle name="Separador de milhares 3 2 3 6 2" xfId="4747" xr:uid="{00000000-0005-0000-0000-00009F0E0000}"/>
    <cellStyle name="Separador de milhares 3 2 3 7" xfId="3151" xr:uid="{00000000-0005-0000-0000-0000A00E0000}"/>
    <cellStyle name="Separador de milhares 3 2 4" xfId="171" xr:uid="{00000000-0005-0000-0000-0000A10E0000}"/>
    <cellStyle name="Separador de milhares 3 2 4 2" xfId="1995" xr:uid="{00000000-0005-0000-0000-0000A20E0000}"/>
    <cellStyle name="Separador de milhares 3 2 4 2 2" xfId="4691" xr:uid="{00000000-0005-0000-0000-0000A30E0000}"/>
    <cellStyle name="Separador de milhares 3 2 4 3" xfId="3088" xr:uid="{00000000-0005-0000-0000-0000A40E0000}"/>
    <cellStyle name="Separador de milhares 3 2 5" xfId="1976" xr:uid="{00000000-0005-0000-0000-0000A50E0000}"/>
    <cellStyle name="Separador de milhares 3 2 5 2" xfId="4672" xr:uid="{00000000-0005-0000-0000-0000A60E0000}"/>
    <cellStyle name="Separador de milhares 3 2 6" xfId="3068" xr:uid="{00000000-0005-0000-0000-0000A70E0000}"/>
    <cellStyle name="Separador de milhares 3 2 7" xfId="5740" xr:uid="{00000000-0005-0000-0000-0000A80E0000}"/>
    <cellStyle name="Separador de milhares 3 3" xfId="112" xr:uid="{00000000-0005-0000-0000-0000A90E0000}"/>
    <cellStyle name="Separador de milhares 3 3 2" xfId="403" xr:uid="{00000000-0005-0000-0000-0000AA0E0000}"/>
    <cellStyle name="Separador de milhares 3 3 3" xfId="459" xr:uid="{00000000-0005-0000-0000-0000AB0E0000}"/>
    <cellStyle name="Separador de milhares 3 3 3 2" xfId="524" xr:uid="{00000000-0005-0000-0000-0000AC0E0000}"/>
    <cellStyle name="Separador de milhares 3 3 3 2 2" xfId="698" xr:uid="{00000000-0005-0000-0000-0000AD0E0000}"/>
    <cellStyle name="Separador de milhares 3 3 3 2 2 2" xfId="1035" xr:uid="{00000000-0005-0000-0000-0000AE0E0000}"/>
    <cellStyle name="Separador de milhares 3 3 3 2 2 2 2" xfId="1802" xr:uid="{00000000-0005-0000-0000-0000AF0E0000}"/>
    <cellStyle name="Separador de milhares 3 3 3 2 2 2 2 2" xfId="2995" xr:uid="{00000000-0005-0000-0000-0000B00E0000}"/>
    <cellStyle name="Separador de milhares 3 3 3 2 2 2 2 2 2" xfId="5691" xr:uid="{00000000-0005-0000-0000-0000B10E0000}"/>
    <cellStyle name="Separador de milhares 3 3 3 2 2 2 2 3" xfId="4498" xr:uid="{00000000-0005-0000-0000-0000B20E0000}"/>
    <cellStyle name="Separador de milhares 3 3 3 2 2 2 3" xfId="2495" xr:uid="{00000000-0005-0000-0000-0000B30E0000}"/>
    <cellStyle name="Separador de milhares 3 3 3 2 2 2 3 2" xfId="5191" xr:uid="{00000000-0005-0000-0000-0000B40E0000}"/>
    <cellStyle name="Separador de milhares 3 3 3 2 2 2 4" xfId="3732" xr:uid="{00000000-0005-0000-0000-0000B50E0000}"/>
    <cellStyle name="Separador de milhares 3 3 3 2 2 3" xfId="1465" xr:uid="{00000000-0005-0000-0000-0000B60E0000}"/>
    <cellStyle name="Separador de milhares 3 3 3 2 2 3 2" xfId="2745" xr:uid="{00000000-0005-0000-0000-0000B70E0000}"/>
    <cellStyle name="Separador de milhares 3 3 3 2 2 3 2 2" xfId="5441" xr:uid="{00000000-0005-0000-0000-0000B80E0000}"/>
    <cellStyle name="Separador de milhares 3 3 3 2 2 3 3" xfId="4161" xr:uid="{00000000-0005-0000-0000-0000B90E0000}"/>
    <cellStyle name="Separador de milhares 3 3 3 2 2 4" xfId="2245" xr:uid="{00000000-0005-0000-0000-0000BA0E0000}"/>
    <cellStyle name="Separador de milhares 3 3 3 2 2 4 2" xfId="4941" xr:uid="{00000000-0005-0000-0000-0000BB0E0000}"/>
    <cellStyle name="Separador de milhares 3 3 3 2 2 5" xfId="3395" xr:uid="{00000000-0005-0000-0000-0000BC0E0000}"/>
    <cellStyle name="Separador de milhares 3 3 3 2 3" xfId="862" xr:uid="{00000000-0005-0000-0000-0000BD0E0000}"/>
    <cellStyle name="Separador de milhares 3 3 3 2 3 2" xfId="1629" xr:uid="{00000000-0005-0000-0000-0000BE0E0000}"/>
    <cellStyle name="Separador de milhares 3 3 3 2 3 2 2" xfId="2870" xr:uid="{00000000-0005-0000-0000-0000BF0E0000}"/>
    <cellStyle name="Separador de milhares 3 3 3 2 3 2 2 2" xfId="5566" xr:uid="{00000000-0005-0000-0000-0000C00E0000}"/>
    <cellStyle name="Separador de milhares 3 3 3 2 3 2 3" xfId="4325" xr:uid="{00000000-0005-0000-0000-0000C10E0000}"/>
    <cellStyle name="Separador de milhares 3 3 3 2 3 3" xfId="2370" xr:uid="{00000000-0005-0000-0000-0000C20E0000}"/>
    <cellStyle name="Separador de milhares 3 3 3 2 3 3 2" xfId="5066" xr:uid="{00000000-0005-0000-0000-0000C30E0000}"/>
    <cellStyle name="Separador de milhares 3 3 3 2 3 4" xfId="3559" xr:uid="{00000000-0005-0000-0000-0000C40E0000}"/>
    <cellStyle name="Separador de milhares 3 3 3 2 4" xfId="1292" xr:uid="{00000000-0005-0000-0000-0000C50E0000}"/>
    <cellStyle name="Separador de milhares 3 3 3 2 4 2" xfId="2620" xr:uid="{00000000-0005-0000-0000-0000C60E0000}"/>
    <cellStyle name="Separador de milhares 3 3 3 2 4 2 2" xfId="5316" xr:uid="{00000000-0005-0000-0000-0000C70E0000}"/>
    <cellStyle name="Separador de milhares 3 3 3 2 4 3" xfId="3988" xr:uid="{00000000-0005-0000-0000-0000C80E0000}"/>
    <cellStyle name="Separador de milhares 3 3 3 2 5" xfId="2120" xr:uid="{00000000-0005-0000-0000-0000C90E0000}"/>
    <cellStyle name="Separador de milhares 3 3 3 2 5 2" xfId="4816" xr:uid="{00000000-0005-0000-0000-0000CA0E0000}"/>
    <cellStyle name="Separador de milhares 3 3 3 2 6" xfId="3222" xr:uid="{00000000-0005-0000-0000-0000CB0E0000}"/>
    <cellStyle name="Separador de milhares 3 3 3 3" xfId="635" xr:uid="{00000000-0005-0000-0000-0000CC0E0000}"/>
    <cellStyle name="Separador de milhares 3 3 3 3 2" xfId="972" xr:uid="{00000000-0005-0000-0000-0000CD0E0000}"/>
    <cellStyle name="Separador de milhares 3 3 3 3 2 2" xfId="1739" xr:uid="{00000000-0005-0000-0000-0000CE0E0000}"/>
    <cellStyle name="Separador de milhares 3 3 3 3 2 2 2" xfId="2933" xr:uid="{00000000-0005-0000-0000-0000CF0E0000}"/>
    <cellStyle name="Separador de milhares 3 3 3 3 2 2 2 2" xfId="5629" xr:uid="{00000000-0005-0000-0000-0000D00E0000}"/>
    <cellStyle name="Separador de milhares 3 3 3 3 2 2 3" xfId="4435" xr:uid="{00000000-0005-0000-0000-0000D10E0000}"/>
    <cellStyle name="Separador de milhares 3 3 3 3 2 3" xfId="2433" xr:uid="{00000000-0005-0000-0000-0000D20E0000}"/>
    <cellStyle name="Separador de milhares 3 3 3 3 2 3 2" xfId="5129" xr:uid="{00000000-0005-0000-0000-0000D30E0000}"/>
    <cellStyle name="Separador de milhares 3 3 3 3 2 4" xfId="3669" xr:uid="{00000000-0005-0000-0000-0000D40E0000}"/>
    <cellStyle name="Separador de milhares 3 3 3 3 3" xfId="1402" xr:uid="{00000000-0005-0000-0000-0000D50E0000}"/>
    <cellStyle name="Separador de milhares 3 3 3 3 3 2" xfId="2683" xr:uid="{00000000-0005-0000-0000-0000D60E0000}"/>
    <cellStyle name="Separador de milhares 3 3 3 3 3 2 2" xfId="5379" xr:uid="{00000000-0005-0000-0000-0000D70E0000}"/>
    <cellStyle name="Separador de milhares 3 3 3 3 3 3" xfId="4098" xr:uid="{00000000-0005-0000-0000-0000D80E0000}"/>
    <cellStyle name="Separador de milhares 3 3 3 3 4" xfId="2183" xr:uid="{00000000-0005-0000-0000-0000D90E0000}"/>
    <cellStyle name="Separador de milhares 3 3 3 3 4 2" xfId="4879" xr:uid="{00000000-0005-0000-0000-0000DA0E0000}"/>
    <cellStyle name="Separador de milhares 3 3 3 3 5" xfId="3332" xr:uid="{00000000-0005-0000-0000-0000DB0E0000}"/>
    <cellStyle name="Separador de milhares 3 3 3 4" xfId="798" xr:uid="{00000000-0005-0000-0000-0000DC0E0000}"/>
    <cellStyle name="Separador de milhares 3 3 3 4 2" xfId="1565" xr:uid="{00000000-0005-0000-0000-0000DD0E0000}"/>
    <cellStyle name="Separador de milhares 3 3 3 4 2 2" xfId="2808" xr:uid="{00000000-0005-0000-0000-0000DE0E0000}"/>
    <cellStyle name="Separador de milhares 3 3 3 4 2 2 2" xfId="5504" xr:uid="{00000000-0005-0000-0000-0000DF0E0000}"/>
    <cellStyle name="Separador de milhares 3 3 3 4 2 3" xfId="4261" xr:uid="{00000000-0005-0000-0000-0000E00E0000}"/>
    <cellStyle name="Separador de milhares 3 3 3 4 3" xfId="2308" xr:uid="{00000000-0005-0000-0000-0000E10E0000}"/>
    <cellStyle name="Separador de milhares 3 3 3 4 3 2" xfId="5004" xr:uid="{00000000-0005-0000-0000-0000E20E0000}"/>
    <cellStyle name="Separador de milhares 3 3 3 4 4" xfId="3495" xr:uid="{00000000-0005-0000-0000-0000E30E0000}"/>
    <cellStyle name="Separador de milhares 3 3 3 5" xfId="1229" xr:uid="{00000000-0005-0000-0000-0000E40E0000}"/>
    <cellStyle name="Separador de milhares 3 3 3 5 2" xfId="2558" xr:uid="{00000000-0005-0000-0000-0000E50E0000}"/>
    <cellStyle name="Separador de milhares 3 3 3 5 2 2" xfId="5254" xr:uid="{00000000-0005-0000-0000-0000E60E0000}"/>
    <cellStyle name="Separador de milhares 3 3 3 5 3" xfId="3925" xr:uid="{00000000-0005-0000-0000-0000E70E0000}"/>
    <cellStyle name="Separador de milhares 3 3 3 6" xfId="2058" xr:uid="{00000000-0005-0000-0000-0000E80E0000}"/>
    <cellStyle name="Separador de milhares 3 3 3 6 2" xfId="4754" xr:uid="{00000000-0005-0000-0000-0000E90E0000}"/>
    <cellStyle name="Separador de milhares 3 3 3 7" xfId="3158" xr:uid="{00000000-0005-0000-0000-0000EA0E0000}"/>
    <cellStyle name="Separador de milhares 3 3 4" xfId="248" xr:uid="{00000000-0005-0000-0000-0000EB0E0000}"/>
    <cellStyle name="Separador de milhares 3 3 4 2" xfId="2002" xr:uid="{00000000-0005-0000-0000-0000EC0E0000}"/>
    <cellStyle name="Separador de milhares 3 3 4 2 2" xfId="4698" xr:uid="{00000000-0005-0000-0000-0000ED0E0000}"/>
    <cellStyle name="Separador de milhares 3 3 4 3" xfId="3100" xr:uid="{00000000-0005-0000-0000-0000EE0E0000}"/>
    <cellStyle name="Separador de milhares 3 4" xfId="404" xr:uid="{00000000-0005-0000-0000-0000EF0E0000}"/>
    <cellStyle name="Separador de milhares 3 5" xfId="405" xr:uid="{00000000-0005-0000-0000-0000F00E0000}"/>
    <cellStyle name="Separador de milhares 3 5 2" xfId="482" xr:uid="{00000000-0005-0000-0000-0000F10E0000}"/>
    <cellStyle name="Separador de milhares 3 5 2 2" xfId="547" xr:uid="{00000000-0005-0000-0000-0000F20E0000}"/>
    <cellStyle name="Separador de milhares 3 5 2 2 2" xfId="721" xr:uid="{00000000-0005-0000-0000-0000F30E0000}"/>
    <cellStyle name="Separador de milhares 3 5 2 2 2 2" xfId="1058" xr:uid="{00000000-0005-0000-0000-0000F40E0000}"/>
    <cellStyle name="Separador de milhares 3 5 2 2 2 2 2" xfId="1825" xr:uid="{00000000-0005-0000-0000-0000F50E0000}"/>
    <cellStyle name="Separador de milhares 3 5 2 2 2 2 2 2" xfId="3018" xr:uid="{00000000-0005-0000-0000-0000F60E0000}"/>
    <cellStyle name="Separador de milhares 3 5 2 2 2 2 2 2 2" xfId="5714" xr:uid="{00000000-0005-0000-0000-0000F70E0000}"/>
    <cellStyle name="Separador de milhares 3 5 2 2 2 2 2 3" xfId="4521" xr:uid="{00000000-0005-0000-0000-0000F80E0000}"/>
    <cellStyle name="Separador de milhares 3 5 2 2 2 2 3" xfId="2518" xr:uid="{00000000-0005-0000-0000-0000F90E0000}"/>
    <cellStyle name="Separador de milhares 3 5 2 2 2 2 3 2" xfId="5214" xr:uid="{00000000-0005-0000-0000-0000FA0E0000}"/>
    <cellStyle name="Separador de milhares 3 5 2 2 2 2 4" xfId="3755" xr:uid="{00000000-0005-0000-0000-0000FB0E0000}"/>
    <cellStyle name="Separador de milhares 3 5 2 2 2 3" xfId="1488" xr:uid="{00000000-0005-0000-0000-0000FC0E0000}"/>
    <cellStyle name="Separador de milhares 3 5 2 2 2 3 2" xfId="2768" xr:uid="{00000000-0005-0000-0000-0000FD0E0000}"/>
    <cellStyle name="Separador de milhares 3 5 2 2 2 3 2 2" xfId="5464" xr:uid="{00000000-0005-0000-0000-0000FE0E0000}"/>
    <cellStyle name="Separador de milhares 3 5 2 2 2 3 3" xfId="4184" xr:uid="{00000000-0005-0000-0000-0000FF0E0000}"/>
    <cellStyle name="Separador de milhares 3 5 2 2 2 4" xfId="2268" xr:uid="{00000000-0005-0000-0000-0000000F0000}"/>
    <cellStyle name="Separador de milhares 3 5 2 2 2 4 2" xfId="4964" xr:uid="{00000000-0005-0000-0000-0000010F0000}"/>
    <cellStyle name="Separador de milhares 3 5 2 2 2 5" xfId="3418" xr:uid="{00000000-0005-0000-0000-0000020F0000}"/>
    <cellStyle name="Separador de milhares 3 5 2 2 3" xfId="885" xr:uid="{00000000-0005-0000-0000-0000030F0000}"/>
    <cellStyle name="Separador de milhares 3 5 2 2 3 2" xfId="1652" xr:uid="{00000000-0005-0000-0000-0000040F0000}"/>
    <cellStyle name="Separador de milhares 3 5 2 2 3 2 2" xfId="2893" xr:uid="{00000000-0005-0000-0000-0000050F0000}"/>
    <cellStyle name="Separador de milhares 3 5 2 2 3 2 2 2" xfId="5589" xr:uid="{00000000-0005-0000-0000-0000060F0000}"/>
    <cellStyle name="Separador de milhares 3 5 2 2 3 2 3" xfId="4348" xr:uid="{00000000-0005-0000-0000-0000070F0000}"/>
    <cellStyle name="Separador de milhares 3 5 2 2 3 3" xfId="2393" xr:uid="{00000000-0005-0000-0000-0000080F0000}"/>
    <cellStyle name="Separador de milhares 3 5 2 2 3 3 2" xfId="5089" xr:uid="{00000000-0005-0000-0000-0000090F0000}"/>
    <cellStyle name="Separador de milhares 3 5 2 2 3 4" xfId="3582" xr:uid="{00000000-0005-0000-0000-00000A0F0000}"/>
    <cellStyle name="Separador de milhares 3 5 2 2 4" xfId="1315" xr:uid="{00000000-0005-0000-0000-00000B0F0000}"/>
    <cellStyle name="Separador de milhares 3 5 2 2 4 2" xfId="2643" xr:uid="{00000000-0005-0000-0000-00000C0F0000}"/>
    <cellStyle name="Separador de milhares 3 5 2 2 4 2 2" xfId="5339" xr:uid="{00000000-0005-0000-0000-00000D0F0000}"/>
    <cellStyle name="Separador de milhares 3 5 2 2 4 3" xfId="4011" xr:uid="{00000000-0005-0000-0000-00000E0F0000}"/>
    <cellStyle name="Separador de milhares 3 5 2 2 5" xfId="2143" xr:uid="{00000000-0005-0000-0000-00000F0F0000}"/>
    <cellStyle name="Separador de milhares 3 5 2 2 5 2" xfId="4839" xr:uid="{00000000-0005-0000-0000-0000100F0000}"/>
    <cellStyle name="Separador de milhares 3 5 2 2 6" xfId="3245" xr:uid="{00000000-0005-0000-0000-0000110F0000}"/>
    <cellStyle name="Separador de milhares 3 5 2 3" xfId="658" xr:uid="{00000000-0005-0000-0000-0000120F0000}"/>
    <cellStyle name="Separador de milhares 3 5 2 3 2" xfId="995" xr:uid="{00000000-0005-0000-0000-0000130F0000}"/>
    <cellStyle name="Separador de milhares 3 5 2 3 2 2" xfId="1762" xr:uid="{00000000-0005-0000-0000-0000140F0000}"/>
    <cellStyle name="Separador de milhares 3 5 2 3 2 2 2" xfId="2956" xr:uid="{00000000-0005-0000-0000-0000150F0000}"/>
    <cellStyle name="Separador de milhares 3 5 2 3 2 2 2 2" xfId="5652" xr:uid="{00000000-0005-0000-0000-0000160F0000}"/>
    <cellStyle name="Separador de milhares 3 5 2 3 2 2 3" xfId="4458" xr:uid="{00000000-0005-0000-0000-0000170F0000}"/>
    <cellStyle name="Separador de milhares 3 5 2 3 2 3" xfId="2456" xr:uid="{00000000-0005-0000-0000-0000180F0000}"/>
    <cellStyle name="Separador de milhares 3 5 2 3 2 3 2" xfId="5152" xr:uid="{00000000-0005-0000-0000-0000190F0000}"/>
    <cellStyle name="Separador de milhares 3 5 2 3 2 4" xfId="3692" xr:uid="{00000000-0005-0000-0000-00001A0F0000}"/>
    <cellStyle name="Separador de milhares 3 5 2 3 3" xfId="1425" xr:uid="{00000000-0005-0000-0000-00001B0F0000}"/>
    <cellStyle name="Separador de milhares 3 5 2 3 3 2" xfId="2706" xr:uid="{00000000-0005-0000-0000-00001C0F0000}"/>
    <cellStyle name="Separador de milhares 3 5 2 3 3 2 2" xfId="5402" xr:uid="{00000000-0005-0000-0000-00001D0F0000}"/>
    <cellStyle name="Separador de milhares 3 5 2 3 3 3" xfId="4121" xr:uid="{00000000-0005-0000-0000-00001E0F0000}"/>
    <cellStyle name="Separador de milhares 3 5 2 3 4" xfId="2206" xr:uid="{00000000-0005-0000-0000-00001F0F0000}"/>
    <cellStyle name="Separador de milhares 3 5 2 3 4 2" xfId="4902" xr:uid="{00000000-0005-0000-0000-0000200F0000}"/>
    <cellStyle name="Separador de milhares 3 5 2 3 5" xfId="3355" xr:uid="{00000000-0005-0000-0000-0000210F0000}"/>
    <cellStyle name="Separador de milhares 3 5 2 4" xfId="821" xr:uid="{00000000-0005-0000-0000-0000220F0000}"/>
    <cellStyle name="Separador de milhares 3 5 2 4 2" xfId="1588" xr:uid="{00000000-0005-0000-0000-0000230F0000}"/>
    <cellStyle name="Separador de milhares 3 5 2 4 2 2" xfId="2831" xr:uid="{00000000-0005-0000-0000-0000240F0000}"/>
    <cellStyle name="Separador de milhares 3 5 2 4 2 2 2" xfId="5527" xr:uid="{00000000-0005-0000-0000-0000250F0000}"/>
    <cellStyle name="Separador de milhares 3 5 2 4 2 3" xfId="4284" xr:uid="{00000000-0005-0000-0000-0000260F0000}"/>
    <cellStyle name="Separador de milhares 3 5 2 4 3" xfId="2331" xr:uid="{00000000-0005-0000-0000-0000270F0000}"/>
    <cellStyle name="Separador de milhares 3 5 2 4 3 2" xfId="5027" xr:uid="{00000000-0005-0000-0000-0000280F0000}"/>
    <cellStyle name="Separador de milhares 3 5 2 4 4" xfId="3518" xr:uid="{00000000-0005-0000-0000-0000290F0000}"/>
    <cellStyle name="Separador de milhares 3 5 2 5" xfId="1252" xr:uid="{00000000-0005-0000-0000-00002A0F0000}"/>
    <cellStyle name="Separador de milhares 3 5 2 5 2" xfId="2581" xr:uid="{00000000-0005-0000-0000-00002B0F0000}"/>
    <cellStyle name="Separador de milhares 3 5 2 5 2 2" xfId="5277" xr:uid="{00000000-0005-0000-0000-00002C0F0000}"/>
    <cellStyle name="Separador de milhares 3 5 2 5 3" xfId="3948" xr:uid="{00000000-0005-0000-0000-00002D0F0000}"/>
    <cellStyle name="Separador de milhares 3 5 2 6" xfId="2081" xr:uid="{00000000-0005-0000-0000-00002E0F0000}"/>
    <cellStyle name="Separador de milhares 3 5 2 6 2" xfId="4777" xr:uid="{00000000-0005-0000-0000-00002F0F0000}"/>
    <cellStyle name="Separador de milhares 3 5 2 7" xfId="3181" xr:uid="{00000000-0005-0000-0000-0000300F0000}"/>
    <cellStyle name="Separador de milhares 3 5 3" xfId="2026" xr:uid="{00000000-0005-0000-0000-0000310F0000}"/>
    <cellStyle name="Separador de milhares 3 5 3 2" xfId="4722" xr:uid="{00000000-0005-0000-0000-0000320F0000}"/>
    <cellStyle name="Separador de milhares 3 5 4" xfId="3125" xr:uid="{00000000-0005-0000-0000-0000330F0000}"/>
    <cellStyle name="Separador de milhares 3 6" xfId="437" xr:uid="{00000000-0005-0000-0000-0000340F0000}"/>
    <cellStyle name="Separador de milhares 3 7" xfId="444" xr:uid="{00000000-0005-0000-0000-0000350F0000}"/>
    <cellStyle name="Separador de milhares 3 7 2" xfId="508" xr:uid="{00000000-0005-0000-0000-0000360F0000}"/>
    <cellStyle name="Separador de milhares 3 7 2 2" xfId="682" xr:uid="{00000000-0005-0000-0000-0000370F0000}"/>
    <cellStyle name="Separador de milhares 3 7 2 2 2" xfId="1019" xr:uid="{00000000-0005-0000-0000-0000380F0000}"/>
    <cellStyle name="Separador de milhares 3 7 2 2 2 2" xfId="1786" xr:uid="{00000000-0005-0000-0000-0000390F0000}"/>
    <cellStyle name="Separador de milhares 3 7 2 2 2 2 2" xfId="2979" xr:uid="{00000000-0005-0000-0000-00003A0F0000}"/>
    <cellStyle name="Separador de milhares 3 7 2 2 2 2 2 2" xfId="5675" xr:uid="{00000000-0005-0000-0000-00003B0F0000}"/>
    <cellStyle name="Separador de milhares 3 7 2 2 2 2 3" xfId="4482" xr:uid="{00000000-0005-0000-0000-00003C0F0000}"/>
    <cellStyle name="Separador de milhares 3 7 2 2 2 3" xfId="2479" xr:uid="{00000000-0005-0000-0000-00003D0F0000}"/>
    <cellStyle name="Separador de milhares 3 7 2 2 2 3 2" xfId="5175" xr:uid="{00000000-0005-0000-0000-00003E0F0000}"/>
    <cellStyle name="Separador de milhares 3 7 2 2 2 4" xfId="3716" xr:uid="{00000000-0005-0000-0000-00003F0F0000}"/>
    <cellStyle name="Separador de milhares 3 7 2 2 3" xfId="1449" xr:uid="{00000000-0005-0000-0000-0000400F0000}"/>
    <cellStyle name="Separador de milhares 3 7 2 2 3 2" xfId="2729" xr:uid="{00000000-0005-0000-0000-0000410F0000}"/>
    <cellStyle name="Separador de milhares 3 7 2 2 3 2 2" xfId="5425" xr:uid="{00000000-0005-0000-0000-0000420F0000}"/>
    <cellStyle name="Separador de milhares 3 7 2 2 3 3" xfId="4145" xr:uid="{00000000-0005-0000-0000-0000430F0000}"/>
    <cellStyle name="Separador de milhares 3 7 2 2 4" xfId="2229" xr:uid="{00000000-0005-0000-0000-0000440F0000}"/>
    <cellStyle name="Separador de milhares 3 7 2 2 4 2" xfId="4925" xr:uid="{00000000-0005-0000-0000-0000450F0000}"/>
    <cellStyle name="Separador de milhares 3 7 2 2 5" xfId="3379" xr:uid="{00000000-0005-0000-0000-0000460F0000}"/>
    <cellStyle name="Separador de milhares 3 7 2 3" xfId="846" xr:uid="{00000000-0005-0000-0000-0000470F0000}"/>
    <cellStyle name="Separador de milhares 3 7 2 3 2" xfId="1613" xr:uid="{00000000-0005-0000-0000-0000480F0000}"/>
    <cellStyle name="Separador de milhares 3 7 2 3 2 2" xfId="2854" xr:uid="{00000000-0005-0000-0000-0000490F0000}"/>
    <cellStyle name="Separador de milhares 3 7 2 3 2 2 2" xfId="5550" xr:uid="{00000000-0005-0000-0000-00004A0F0000}"/>
    <cellStyle name="Separador de milhares 3 7 2 3 2 3" xfId="4309" xr:uid="{00000000-0005-0000-0000-00004B0F0000}"/>
    <cellStyle name="Separador de milhares 3 7 2 3 3" xfId="2354" xr:uid="{00000000-0005-0000-0000-00004C0F0000}"/>
    <cellStyle name="Separador de milhares 3 7 2 3 3 2" xfId="5050" xr:uid="{00000000-0005-0000-0000-00004D0F0000}"/>
    <cellStyle name="Separador de milhares 3 7 2 3 4" xfId="3543" xr:uid="{00000000-0005-0000-0000-00004E0F0000}"/>
    <cellStyle name="Separador de milhares 3 7 2 4" xfId="1276" xr:uid="{00000000-0005-0000-0000-00004F0F0000}"/>
    <cellStyle name="Separador de milhares 3 7 2 4 2" xfId="2604" xr:uid="{00000000-0005-0000-0000-0000500F0000}"/>
    <cellStyle name="Separador de milhares 3 7 2 4 2 2" xfId="5300" xr:uid="{00000000-0005-0000-0000-0000510F0000}"/>
    <cellStyle name="Separador de milhares 3 7 2 4 3" xfId="3972" xr:uid="{00000000-0005-0000-0000-0000520F0000}"/>
    <cellStyle name="Separador de milhares 3 7 2 5" xfId="2104" xr:uid="{00000000-0005-0000-0000-0000530F0000}"/>
    <cellStyle name="Separador de milhares 3 7 2 5 2" xfId="4800" xr:uid="{00000000-0005-0000-0000-0000540F0000}"/>
    <cellStyle name="Separador de milhares 3 7 2 6" xfId="3206" xr:uid="{00000000-0005-0000-0000-0000550F0000}"/>
    <cellStyle name="Separador de milhares 3 7 3" xfId="619" xr:uid="{00000000-0005-0000-0000-0000560F0000}"/>
    <cellStyle name="Separador de milhares 3 7 3 2" xfId="956" xr:uid="{00000000-0005-0000-0000-0000570F0000}"/>
    <cellStyle name="Separador de milhares 3 7 3 2 2" xfId="1723" xr:uid="{00000000-0005-0000-0000-0000580F0000}"/>
    <cellStyle name="Separador de milhares 3 7 3 2 2 2" xfId="2917" xr:uid="{00000000-0005-0000-0000-0000590F0000}"/>
    <cellStyle name="Separador de milhares 3 7 3 2 2 2 2" xfId="5613" xr:uid="{00000000-0005-0000-0000-00005A0F0000}"/>
    <cellStyle name="Separador de milhares 3 7 3 2 2 3" xfId="4419" xr:uid="{00000000-0005-0000-0000-00005B0F0000}"/>
    <cellStyle name="Separador de milhares 3 7 3 2 3" xfId="2417" xr:uid="{00000000-0005-0000-0000-00005C0F0000}"/>
    <cellStyle name="Separador de milhares 3 7 3 2 3 2" xfId="5113" xr:uid="{00000000-0005-0000-0000-00005D0F0000}"/>
    <cellStyle name="Separador de milhares 3 7 3 2 4" xfId="3653" xr:uid="{00000000-0005-0000-0000-00005E0F0000}"/>
    <cellStyle name="Separador de milhares 3 7 3 3" xfId="1386" xr:uid="{00000000-0005-0000-0000-00005F0F0000}"/>
    <cellStyle name="Separador de milhares 3 7 3 3 2" xfId="2667" xr:uid="{00000000-0005-0000-0000-0000600F0000}"/>
    <cellStyle name="Separador de milhares 3 7 3 3 2 2" xfId="5363" xr:uid="{00000000-0005-0000-0000-0000610F0000}"/>
    <cellStyle name="Separador de milhares 3 7 3 3 3" xfId="4082" xr:uid="{00000000-0005-0000-0000-0000620F0000}"/>
    <cellStyle name="Separador de milhares 3 7 3 4" xfId="2167" xr:uid="{00000000-0005-0000-0000-0000630F0000}"/>
    <cellStyle name="Separador de milhares 3 7 3 4 2" xfId="4863" xr:uid="{00000000-0005-0000-0000-0000640F0000}"/>
    <cellStyle name="Separador de milhares 3 7 3 5" xfId="3316" xr:uid="{00000000-0005-0000-0000-0000650F0000}"/>
    <cellStyle name="Separador de milhares 3 7 4" xfId="782" xr:uid="{00000000-0005-0000-0000-0000660F0000}"/>
    <cellStyle name="Separador de milhares 3 7 4 2" xfId="1549" xr:uid="{00000000-0005-0000-0000-0000670F0000}"/>
    <cellStyle name="Separador de milhares 3 7 4 2 2" xfId="2792" xr:uid="{00000000-0005-0000-0000-0000680F0000}"/>
    <cellStyle name="Separador de milhares 3 7 4 2 2 2" xfId="5488" xr:uid="{00000000-0005-0000-0000-0000690F0000}"/>
    <cellStyle name="Separador de milhares 3 7 4 2 3" xfId="4245" xr:uid="{00000000-0005-0000-0000-00006A0F0000}"/>
    <cellStyle name="Separador de milhares 3 7 4 3" xfId="2292" xr:uid="{00000000-0005-0000-0000-00006B0F0000}"/>
    <cellStyle name="Separador de milhares 3 7 4 3 2" xfId="4988" xr:uid="{00000000-0005-0000-0000-00006C0F0000}"/>
    <cellStyle name="Separador de milhares 3 7 4 4" xfId="3479" xr:uid="{00000000-0005-0000-0000-00006D0F0000}"/>
    <cellStyle name="Separador de milhares 3 7 5" xfId="1213" xr:uid="{00000000-0005-0000-0000-00006E0F0000}"/>
    <cellStyle name="Separador de milhares 3 7 5 2" xfId="2542" xr:uid="{00000000-0005-0000-0000-00006F0F0000}"/>
    <cellStyle name="Separador de milhares 3 7 5 2 2" xfId="5238" xr:uid="{00000000-0005-0000-0000-0000700F0000}"/>
    <cellStyle name="Separador de milhares 3 7 5 3" xfId="3909" xr:uid="{00000000-0005-0000-0000-0000710F0000}"/>
    <cellStyle name="Separador de milhares 3 7 6" xfId="2043" xr:uid="{00000000-0005-0000-0000-0000720F0000}"/>
    <cellStyle name="Separador de milhares 3 7 6 2" xfId="4739" xr:uid="{00000000-0005-0000-0000-0000730F0000}"/>
    <cellStyle name="Separador de milhares 3 7 7" xfId="3143" xr:uid="{00000000-0005-0000-0000-0000740F0000}"/>
    <cellStyle name="Separador de milhares 3 8" xfId="153" xr:uid="{00000000-0005-0000-0000-0000750F0000}"/>
    <cellStyle name="Separador de milhares 3 8 2" xfId="1989" xr:uid="{00000000-0005-0000-0000-0000760F0000}"/>
    <cellStyle name="Separador de milhares 3 8 2 2" xfId="4685" xr:uid="{00000000-0005-0000-0000-0000770F0000}"/>
    <cellStyle name="Separador de milhares 3 8 3" xfId="3082" xr:uid="{00000000-0005-0000-0000-0000780F0000}"/>
    <cellStyle name="Separador de milhares 3 9" xfId="1970" xr:uid="{00000000-0005-0000-0000-0000790F0000}"/>
    <cellStyle name="Separador de milhares 3 9 2" xfId="4666" xr:uid="{00000000-0005-0000-0000-00007A0F0000}"/>
    <cellStyle name="Separador de milhares 3_14ª MED. TY" xfId="406" xr:uid="{00000000-0005-0000-0000-00007B0F0000}"/>
    <cellStyle name="Separador de milhares 30" xfId="407" xr:uid="{00000000-0005-0000-0000-00007C0F0000}"/>
    <cellStyle name="Separador de milhares 31" xfId="408" xr:uid="{00000000-0005-0000-0000-00007D0F0000}"/>
    <cellStyle name="Separador de milhares 32" xfId="409" xr:uid="{00000000-0005-0000-0000-00007E0F0000}"/>
    <cellStyle name="Separador de milhares 33" xfId="410" xr:uid="{00000000-0005-0000-0000-00007F0F0000}"/>
    <cellStyle name="Separador de milhares 34" xfId="411" xr:uid="{00000000-0005-0000-0000-0000800F0000}"/>
    <cellStyle name="Separador de milhares 35" xfId="412" xr:uid="{00000000-0005-0000-0000-0000810F0000}"/>
    <cellStyle name="Separador de milhares 36" xfId="413" xr:uid="{00000000-0005-0000-0000-0000820F0000}"/>
    <cellStyle name="Separador de milhares 37" xfId="414" xr:uid="{00000000-0005-0000-0000-0000830F0000}"/>
    <cellStyle name="Separador de milhares 4" xfId="96" xr:uid="{00000000-0005-0000-0000-0000840F0000}"/>
    <cellStyle name="Separador de milhares 4 2" xfId="172" xr:uid="{00000000-0005-0000-0000-0000850F0000}"/>
    <cellStyle name="Separador de milhares 4 2 2" xfId="453" xr:uid="{00000000-0005-0000-0000-0000860F0000}"/>
    <cellStyle name="Separador de milhares 4 2 2 2" xfId="518" xr:uid="{00000000-0005-0000-0000-0000870F0000}"/>
    <cellStyle name="Separador de milhares 4 2 2 2 2" xfId="692" xr:uid="{00000000-0005-0000-0000-0000880F0000}"/>
    <cellStyle name="Separador de milhares 4 2 2 2 2 2" xfId="1029" xr:uid="{00000000-0005-0000-0000-0000890F0000}"/>
    <cellStyle name="Separador de milhares 4 2 2 2 2 2 2" xfId="1796" xr:uid="{00000000-0005-0000-0000-00008A0F0000}"/>
    <cellStyle name="Separador de milhares 4 2 2 2 2 2 2 2" xfId="2989" xr:uid="{00000000-0005-0000-0000-00008B0F0000}"/>
    <cellStyle name="Separador de milhares 4 2 2 2 2 2 2 2 2" xfId="5685" xr:uid="{00000000-0005-0000-0000-00008C0F0000}"/>
    <cellStyle name="Separador de milhares 4 2 2 2 2 2 2 3" xfId="4492" xr:uid="{00000000-0005-0000-0000-00008D0F0000}"/>
    <cellStyle name="Separador de milhares 4 2 2 2 2 2 3" xfId="2489" xr:uid="{00000000-0005-0000-0000-00008E0F0000}"/>
    <cellStyle name="Separador de milhares 4 2 2 2 2 2 3 2" xfId="5185" xr:uid="{00000000-0005-0000-0000-00008F0F0000}"/>
    <cellStyle name="Separador de milhares 4 2 2 2 2 2 4" xfId="3726" xr:uid="{00000000-0005-0000-0000-0000900F0000}"/>
    <cellStyle name="Separador de milhares 4 2 2 2 2 3" xfId="1459" xr:uid="{00000000-0005-0000-0000-0000910F0000}"/>
    <cellStyle name="Separador de milhares 4 2 2 2 2 3 2" xfId="2739" xr:uid="{00000000-0005-0000-0000-0000920F0000}"/>
    <cellStyle name="Separador de milhares 4 2 2 2 2 3 2 2" xfId="5435" xr:uid="{00000000-0005-0000-0000-0000930F0000}"/>
    <cellStyle name="Separador de milhares 4 2 2 2 2 3 3" xfId="4155" xr:uid="{00000000-0005-0000-0000-0000940F0000}"/>
    <cellStyle name="Separador de milhares 4 2 2 2 2 4" xfId="2239" xr:uid="{00000000-0005-0000-0000-0000950F0000}"/>
    <cellStyle name="Separador de milhares 4 2 2 2 2 4 2" xfId="4935" xr:uid="{00000000-0005-0000-0000-0000960F0000}"/>
    <cellStyle name="Separador de milhares 4 2 2 2 2 5" xfId="3389" xr:uid="{00000000-0005-0000-0000-0000970F0000}"/>
    <cellStyle name="Separador de milhares 4 2 2 2 3" xfId="856" xr:uid="{00000000-0005-0000-0000-0000980F0000}"/>
    <cellStyle name="Separador de milhares 4 2 2 2 3 2" xfId="1623" xr:uid="{00000000-0005-0000-0000-0000990F0000}"/>
    <cellStyle name="Separador de milhares 4 2 2 2 3 2 2" xfId="2864" xr:uid="{00000000-0005-0000-0000-00009A0F0000}"/>
    <cellStyle name="Separador de milhares 4 2 2 2 3 2 2 2" xfId="5560" xr:uid="{00000000-0005-0000-0000-00009B0F0000}"/>
    <cellStyle name="Separador de milhares 4 2 2 2 3 2 3" xfId="4319" xr:uid="{00000000-0005-0000-0000-00009C0F0000}"/>
    <cellStyle name="Separador de milhares 4 2 2 2 3 3" xfId="2364" xr:uid="{00000000-0005-0000-0000-00009D0F0000}"/>
    <cellStyle name="Separador de milhares 4 2 2 2 3 3 2" xfId="5060" xr:uid="{00000000-0005-0000-0000-00009E0F0000}"/>
    <cellStyle name="Separador de milhares 4 2 2 2 3 4" xfId="3553" xr:uid="{00000000-0005-0000-0000-00009F0F0000}"/>
    <cellStyle name="Separador de milhares 4 2 2 2 4" xfId="1286" xr:uid="{00000000-0005-0000-0000-0000A00F0000}"/>
    <cellStyle name="Separador de milhares 4 2 2 2 4 2" xfId="2614" xr:uid="{00000000-0005-0000-0000-0000A10F0000}"/>
    <cellStyle name="Separador de milhares 4 2 2 2 4 2 2" xfId="5310" xr:uid="{00000000-0005-0000-0000-0000A20F0000}"/>
    <cellStyle name="Separador de milhares 4 2 2 2 4 3" xfId="3982" xr:uid="{00000000-0005-0000-0000-0000A30F0000}"/>
    <cellStyle name="Separador de milhares 4 2 2 2 5" xfId="2114" xr:uid="{00000000-0005-0000-0000-0000A40F0000}"/>
    <cellStyle name="Separador de milhares 4 2 2 2 5 2" xfId="4810" xr:uid="{00000000-0005-0000-0000-0000A50F0000}"/>
    <cellStyle name="Separador de milhares 4 2 2 2 6" xfId="3216" xr:uid="{00000000-0005-0000-0000-0000A60F0000}"/>
    <cellStyle name="Separador de milhares 4 2 2 3" xfId="629" xr:uid="{00000000-0005-0000-0000-0000A70F0000}"/>
    <cellStyle name="Separador de milhares 4 2 2 3 2" xfId="966" xr:uid="{00000000-0005-0000-0000-0000A80F0000}"/>
    <cellStyle name="Separador de milhares 4 2 2 3 2 2" xfId="1733" xr:uid="{00000000-0005-0000-0000-0000A90F0000}"/>
    <cellStyle name="Separador de milhares 4 2 2 3 2 2 2" xfId="2927" xr:uid="{00000000-0005-0000-0000-0000AA0F0000}"/>
    <cellStyle name="Separador de milhares 4 2 2 3 2 2 2 2" xfId="5623" xr:uid="{00000000-0005-0000-0000-0000AB0F0000}"/>
    <cellStyle name="Separador de milhares 4 2 2 3 2 2 3" xfId="4429" xr:uid="{00000000-0005-0000-0000-0000AC0F0000}"/>
    <cellStyle name="Separador de milhares 4 2 2 3 2 3" xfId="2427" xr:uid="{00000000-0005-0000-0000-0000AD0F0000}"/>
    <cellStyle name="Separador de milhares 4 2 2 3 2 3 2" xfId="5123" xr:uid="{00000000-0005-0000-0000-0000AE0F0000}"/>
    <cellStyle name="Separador de milhares 4 2 2 3 2 4" xfId="3663" xr:uid="{00000000-0005-0000-0000-0000AF0F0000}"/>
    <cellStyle name="Separador de milhares 4 2 2 3 3" xfId="1396" xr:uid="{00000000-0005-0000-0000-0000B00F0000}"/>
    <cellStyle name="Separador de milhares 4 2 2 3 3 2" xfId="2677" xr:uid="{00000000-0005-0000-0000-0000B10F0000}"/>
    <cellStyle name="Separador de milhares 4 2 2 3 3 2 2" xfId="5373" xr:uid="{00000000-0005-0000-0000-0000B20F0000}"/>
    <cellStyle name="Separador de milhares 4 2 2 3 3 3" xfId="4092" xr:uid="{00000000-0005-0000-0000-0000B30F0000}"/>
    <cellStyle name="Separador de milhares 4 2 2 3 4" xfId="2177" xr:uid="{00000000-0005-0000-0000-0000B40F0000}"/>
    <cellStyle name="Separador de milhares 4 2 2 3 4 2" xfId="4873" xr:uid="{00000000-0005-0000-0000-0000B50F0000}"/>
    <cellStyle name="Separador de milhares 4 2 2 3 5" xfId="3326" xr:uid="{00000000-0005-0000-0000-0000B60F0000}"/>
    <cellStyle name="Separador de milhares 4 2 2 4" xfId="792" xr:uid="{00000000-0005-0000-0000-0000B70F0000}"/>
    <cellStyle name="Separador de milhares 4 2 2 4 2" xfId="1559" xr:uid="{00000000-0005-0000-0000-0000B80F0000}"/>
    <cellStyle name="Separador de milhares 4 2 2 4 2 2" xfId="2802" xr:uid="{00000000-0005-0000-0000-0000B90F0000}"/>
    <cellStyle name="Separador de milhares 4 2 2 4 2 2 2" xfId="5498" xr:uid="{00000000-0005-0000-0000-0000BA0F0000}"/>
    <cellStyle name="Separador de milhares 4 2 2 4 2 3" xfId="4255" xr:uid="{00000000-0005-0000-0000-0000BB0F0000}"/>
    <cellStyle name="Separador de milhares 4 2 2 4 3" xfId="2302" xr:uid="{00000000-0005-0000-0000-0000BC0F0000}"/>
    <cellStyle name="Separador de milhares 4 2 2 4 3 2" xfId="4998" xr:uid="{00000000-0005-0000-0000-0000BD0F0000}"/>
    <cellStyle name="Separador de milhares 4 2 2 4 4" xfId="3489" xr:uid="{00000000-0005-0000-0000-0000BE0F0000}"/>
    <cellStyle name="Separador de milhares 4 2 2 5" xfId="1223" xr:uid="{00000000-0005-0000-0000-0000BF0F0000}"/>
    <cellStyle name="Separador de milhares 4 2 2 5 2" xfId="2552" xr:uid="{00000000-0005-0000-0000-0000C00F0000}"/>
    <cellStyle name="Separador de milhares 4 2 2 5 2 2" xfId="5248" xr:uid="{00000000-0005-0000-0000-0000C10F0000}"/>
    <cellStyle name="Separador de milhares 4 2 2 5 3" xfId="3919" xr:uid="{00000000-0005-0000-0000-0000C20F0000}"/>
    <cellStyle name="Separador de milhares 4 2 2 6" xfId="2052" xr:uid="{00000000-0005-0000-0000-0000C30F0000}"/>
    <cellStyle name="Separador de milhares 4 2 2 6 2" xfId="4748" xr:uid="{00000000-0005-0000-0000-0000C40F0000}"/>
    <cellStyle name="Separador de milhares 4 2 2 7" xfId="3152" xr:uid="{00000000-0005-0000-0000-0000C50F0000}"/>
    <cellStyle name="Separador de milhares 4 2 3" xfId="1996" xr:uid="{00000000-0005-0000-0000-0000C60F0000}"/>
    <cellStyle name="Separador de milhares 4 2 3 2" xfId="4692" xr:uid="{00000000-0005-0000-0000-0000C70F0000}"/>
    <cellStyle name="Separador de milhares 4 2 4" xfId="3089" xr:uid="{00000000-0005-0000-0000-0000C80F0000}"/>
    <cellStyle name="Separador de milhares 4 3" xfId="440" xr:uid="{00000000-0005-0000-0000-0000C90F0000}"/>
    <cellStyle name="Separador de milhares 4 3 2" xfId="504" xr:uid="{00000000-0005-0000-0000-0000CA0F0000}"/>
    <cellStyle name="Separador de milhares 4 3 2 2" xfId="679" xr:uid="{00000000-0005-0000-0000-0000CB0F0000}"/>
    <cellStyle name="Separador de milhares 4 3 2 2 2" xfId="1016" xr:uid="{00000000-0005-0000-0000-0000CC0F0000}"/>
    <cellStyle name="Separador de milhares 4 3 2 2 2 2" xfId="1783" xr:uid="{00000000-0005-0000-0000-0000CD0F0000}"/>
    <cellStyle name="Separador de milhares 4 3 2 2 2 2 2" xfId="2976" xr:uid="{00000000-0005-0000-0000-0000CE0F0000}"/>
    <cellStyle name="Separador de milhares 4 3 2 2 2 2 2 2" xfId="5672" xr:uid="{00000000-0005-0000-0000-0000CF0F0000}"/>
    <cellStyle name="Separador de milhares 4 3 2 2 2 2 3" xfId="4479" xr:uid="{00000000-0005-0000-0000-0000D00F0000}"/>
    <cellStyle name="Separador de milhares 4 3 2 2 2 3" xfId="2476" xr:uid="{00000000-0005-0000-0000-0000D10F0000}"/>
    <cellStyle name="Separador de milhares 4 3 2 2 2 3 2" xfId="5172" xr:uid="{00000000-0005-0000-0000-0000D20F0000}"/>
    <cellStyle name="Separador de milhares 4 3 2 2 2 4" xfId="3713" xr:uid="{00000000-0005-0000-0000-0000D30F0000}"/>
    <cellStyle name="Separador de milhares 4 3 2 2 3" xfId="1446" xr:uid="{00000000-0005-0000-0000-0000D40F0000}"/>
    <cellStyle name="Separador de milhares 4 3 2 2 3 2" xfId="2726" xr:uid="{00000000-0005-0000-0000-0000D50F0000}"/>
    <cellStyle name="Separador de milhares 4 3 2 2 3 2 2" xfId="5422" xr:uid="{00000000-0005-0000-0000-0000D60F0000}"/>
    <cellStyle name="Separador de milhares 4 3 2 2 3 3" xfId="4142" xr:uid="{00000000-0005-0000-0000-0000D70F0000}"/>
    <cellStyle name="Separador de milhares 4 3 2 2 4" xfId="2226" xr:uid="{00000000-0005-0000-0000-0000D80F0000}"/>
    <cellStyle name="Separador de milhares 4 3 2 2 4 2" xfId="4922" xr:uid="{00000000-0005-0000-0000-0000D90F0000}"/>
    <cellStyle name="Separador de milhares 4 3 2 2 5" xfId="3376" xr:uid="{00000000-0005-0000-0000-0000DA0F0000}"/>
    <cellStyle name="Separador de milhares 4 3 2 3" xfId="842" xr:uid="{00000000-0005-0000-0000-0000DB0F0000}"/>
    <cellStyle name="Separador de milhares 4 3 2 3 2" xfId="1609" xr:uid="{00000000-0005-0000-0000-0000DC0F0000}"/>
    <cellStyle name="Separador de milhares 4 3 2 3 2 2" xfId="2851" xr:uid="{00000000-0005-0000-0000-0000DD0F0000}"/>
    <cellStyle name="Separador de milhares 4 3 2 3 2 2 2" xfId="5547" xr:uid="{00000000-0005-0000-0000-0000DE0F0000}"/>
    <cellStyle name="Separador de milhares 4 3 2 3 2 3" xfId="4305" xr:uid="{00000000-0005-0000-0000-0000DF0F0000}"/>
    <cellStyle name="Separador de milhares 4 3 2 3 3" xfId="2351" xr:uid="{00000000-0005-0000-0000-0000E00F0000}"/>
    <cellStyle name="Separador de milhares 4 3 2 3 3 2" xfId="5047" xr:uid="{00000000-0005-0000-0000-0000E10F0000}"/>
    <cellStyle name="Separador de milhares 4 3 2 3 4" xfId="3539" xr:uid="{00000000-0005-0000-0000-0000E20F0000}"/>
    <cellStyle name="Separador de milhares 4 3 2 4" xfId="1272" xr:uid="{00000000-0005-0000-0000-0000E30F0000}"/>
    <cellStyle name="Separador de milhares 4 3 2 4 2" xfId="2601" xr:uid="{00000000-0005-0000-0000-0000E40F0000}"/>
    <cellStyle name="Separador de milhares 4 3 2 4 2 2" xfId="5297" xr:uid="{00000000-0005-0000-0000-0000E50F0000}"/>
    <cellStyle name="Separador de milhares 4 3 2 4 3" xfId="3968" xr:uid="{00000000-0005-0000-0000-0000E60F0000}"/>
    <cellStyle name="Separador de milhares 4 3 2 5" xfId="2101" xr:uid="{00000000-0005-0000-0000-0000E70F0000}"/>
    <cellStyle name="Separador de milhares 4 3 2 5 2" xfId="4797" xr:uid="{00000000-0005-0000-0000-0000E80F0000}"/>
    <cellStyle name="Separador de milhares 4 3 2 6" xfId="3202" xr:uid="{00000000-0005-0000-0000-0000E90F0000}"/>
    <cellStyle name="Separador de milhares 4 3 3" xfId="616" xr:uid="{00000000-0005-0000-0000-0000EA0F0000}"/>
    <cellStyle name="Separador de milhares 4 3 3 2" xfId="953" xr:uid="{00000000-0005-0000-0000-0000EB0F0000}"/>
    <cellStyle name="Separador de milhares 4 3 3 2 2" xfId="1720" xr:uid="{00000000-0005-0000-0000-0000EC0F0000}"/>
    <cellStyle name="Separador de milhares 4 3 3 2 2 2" xfId="2914" xr:uid="{00000000-0005-0000-0000-0000ED0F0000}"/>
    <cellStyle name="Separador de milhares 4 3 3 2 2 2 2" xfId="5610" xr:uid="{00000000-0005-0000-0000-0000EE0F0000}"/>
    <cellStyle name="Separador de milhares 4 3 3 2 2 3" xfId="4416" xr:uid="{00000000-0005-0000-0000-0000EF0F0000}"/>
    <cellStyle name="Separador de milhares 4 3 3 2 3" xfId="2414" xr:uid="{00000000-0005-0000-0000-0000F00F0000}"/>
    <cellStyle name="Separador de milhares 4 3 3 2 3 2" xfId="5110" xr:uid="{00000000-0005-0000-0000-0000F10F0000}"/>
    <cellStyle name="Separador de milhares 4 3 3 2 4" xfId="3650" xr:uid="{00000000-0005-0000-0000-0000F20F0000}"/>
    <cellStyle name="Separador de milhares 4 3 3 3" xfId="1383" xr:uid="{00000000-0005-0000-0000-0000F30F0000}"/>
    <cellStyle name="Separador de milhares 4 3 3 3 2" xfId="2664" xr:uid="{00000000-0005-0000-0000-0000F40F0000}"/>
    <cellStyle name="Separador de milhares 4 3 3 3 2 2" xfId="5360" xr:uid="{00000000-0005-0000-0000-0000F50F0000}"/>
    <cellStyle name="Separador de milhares 4 3 3 3 3" xfId="4079" xr:uid="{00000000-0005-0000-0000-0000F60F0000}"/>
    <cellStyle name="Separador de milhares 4 3 3 4" xfId="2164" xr:uid="{00000000-0005-0000-0000-0000F70F0000}"/>
    <cellStyle name="Separador de milhares 4 3 3 4 2" xfId="4860" xr:uid="{00000000-0005-0000-0000-0000F80F0000}"/>
    <cellStyle name="Separador de milhares 4 3 3 5" xfId="3313" xr:uid="{00000000-0005-0000-0000-0000F90F0000}"/>
    <cellStyle name="Separador de milhares 4 3 4" xfId="778" xr:uid="{00000000-0005-0000-0000-0000FA0F0000}"/>
    <cellStyle name="Separador de milhares 4 3 4 2" xfId="1545" xr:uid="{00000000-0005-0000-0000-0000FB0F0000}"/>
    <cellStyle name="Separador de milhares 4 3 4 2 2" xfId="2789" xr:uid="{00000000-0005-0000-0000-0000FC0F0000}"/>
    <cellStyle name="Separador de milhares 4 3 4 2 2 2" xfId="5485" xr:uid="{00000000-0005-0000-0000-0000FD0F0000}"/>
    <cellStyle name="Separador de milhares 4 3 4 2 3" xfId="4241" xr:uid="{00000000-0005-0000-0000-0000FE0F0000}"/>
    <cellStyle name="Separador de milhares 4 3 4 3" xfId="2289" xr:uid="{00000000-0005-0000-0000-0000FF0F0000}"/>
    <cellStyle name="Separador de milhares 4 3 4 3 2" xfId="4985" xr:uid="{00000000-0005-0000-0000-000000100000}"/>
    <cellStyle name="Separador de milhares 4 3 4 4" xfId="3475" xr:uid="{00000000-0005-0000-0000-000001100000}"/>
    <cellStyle name="Separador de milhares 4 3 5" xfId="1210" xr:uid="{00000000-0005-0000-0000-000002100000}"/>
    <cellStyle name="Separador de milhares 4 3 5 2" xfId="2539" xr:uid="{00000000-0005-0000-0000-000003100000}"/>
    <cellStyle name="Separador de milhares 4 3 5 2 2" xfId="5235" xr:uid="{00000000-0005-0000-0000-000004100000}"/>
    <cellStyle name="Separador de milhares 4 3 5 3" xfId="3906" xr:uid="{00000000-0005-0000-0000-000005100000}"/>
    <cellStyle name="Separador de milhares 4 3 6" xfId="2040" xr:uid="{00000000-0005-0000-0000-000006100000}"/>
    <cellStyle name="Separador de milhares 4 3 6 2" xfId="4736" xr:uid="{00000000-0005-0000-0000-000007100000}"/>
    <cellStyle name="Separador de milhares 4 3 7" xfId="3139" xr:uid="{00000000-0005-0000-0000-000008100000}"/>
    <cellStyle name="Separador de milhares 4 4" xfId="116" xr:uid="{00000000-0005-0000-0000-000009100000}"/>
    <cellStyle name="Separador de milhares 4 4 2" xfId="1987" xr:uid="{00000000-0005-0000-0000-00000A100000}"/>
    <cellStyle name="Separador de milhares 4 4 2 2" xfId="4683" xr:uid="{00000000-0005-0000-0000-00000B100000}"/>
    <cellStyle name="Separador de milhares 4 4 3" xfId="3079" xr:uid="{00000000-0005-0000-0000-00000C100000}"/>
    <cellStyle name="Separador de milhares 4 5" xfId="1983" xr:uid="{00000000-0005-0000-0000-00000D100000}"/>
    <cellStyle name="Separador de milhares 4 5 2" xfId="4679" xr:uid="{00000000-0005-0000-0000-00000E100000}"/>
    <cellStyle name="Separador de milhares 4 6" xfId="3075" xr:uid="{00000000-0005-0000-0000-00000F100000}"/>
    <cellStyle name="Separador de milhares 5" xfId="113" xr:uid="{00000000-0005-0000-0000-000010100000}"/>
    <cellStyle name="Separador de milhares 5 2" xfId="173" xr:uid="{00000000-0005-0000-0000-000011100000}"/>
    <cellStyle name="Separador de milhares 5 2 2" xfId="454" xr:uid="{00000000-0005-0000-0000-000012100000}"/>
    <cellStyle name="Separador de milhares 5 2 2 2" xfId="519" xr:uid="{00000000-0005-0000-0000-000013100000}"/>
    <cellStyle name="Separador de milhares 5 2 2 2 2" xfId="693" xr:uid="{00000000-0005-0000-0000-000014100000}"/>
    <cellStyle name="Separador de milhares 5 2 2 2 2 2" xfId="1030" xr:uid="{00000000-0005-0000-0000-000015100000}"/>
    <cellStyle name="Separador de milhares 5 2 2 2 2 2 2" xfId="1797" xr:uid="{00000000-0005-0000-0000-000016100000}"/>
    <cellStyle name="Separador de milhares 5 2 2 2 2 2 2 2" xfId="2990" xr:uid="{00000000-0005-0000-0000-000017100000}"/>
    <cellStyle name="Separador de milhares 5 2 2 2 2 2 2 2 2" xfId="5686" xr:uid="{00000000-0005-0000-0000-000018100000}"/>
    <cellStyle name="Separador de milhares 5 2 2 2 2 2 2 3" xfId="4493" xr:uid="{00000000-0005-0000-0000-000019100000}"/>
    <cellStyle name="Separador de milhares 5 2 2 2 2 2 3" xfId="2490" xr:uid="{00000000-0005-0000-0000-00001A100000}"/>
    <cellStyle name="Separador de milhares 5 2 2 2 2 2 3 2" xfId="5186" xr:uid="{00000000-0005-0000-0000-00001B100000}"/>
    <cellStyle name="Separador de milhares 5 2 2 2 2 2 4" xfId="3727" xr:uid="{00000000-0005-0000-0000-00001C100000}"/>
    <cellStyle name="Separador de milhares 5 2 2 2 2 3" xfId="1460" xr:uid="{00000000-0005-0000-0000-00001D100000}"/>
    <cellStyle name="Separador de milhares 5 2 2 2 2 3 2" xfId="2740" xr:uid="{00000000-0005-0000-0000-00001E100000}"/>
    <cellStyle name="Separador de milhares 5 2 2 2 2 3 2 2" xfId="5436" xr:uid="{00000000-0005-0000-0000-00001F100000}"/>
    <cellStyle name="Separador de milhares 5 2 2 2 2 3 3" xfId="4156" xr:uid="{00000000-0005-0000-0000-000020100000}"/>
    <cellStyle name="Separador de milhares 5 2 2 2 2 4" xfId="2240" xr:uid="{00000000-0005-0000-0000-000021100000}"/>
    <cellStyle name="Separador de milhares 5 2 2 2 2 4 2" xfId="4936" xr:uid="{00000000-0005-0000-0000-000022100000}"/>
    <cellStyle name="Separador de milhares 5 2 2 2 2 5" xfId="3390" xr:uid="{00000000-0005-0000-0000-000023100000}"/>
    <cellStyle name="Separador de milhares 5 2 2 2 3" xfId="857" xr:uid="{00000000-0005-0000-0000-000024100000}"/>
    <cellStyle name="Separador de milhares 5 2 2 2 3 2" xfId="1624" xr:uid="{00000000-0005-0000-0000-000025100000}"/>
    <cellStyle name="Separador de milhares 5 2 2 2 3 2 2" xfId="2865" xr:uid="{00000000-0005-0000-0000-000026100000}"/>
    <cellStyle name="Separador de milhares 5 2 2 2 3 2 2 2" xfId="5561" xr:uid="{00000000-0005-0000-0000-000027100000}"/>
    <cellStyle name="Separador de milhares 5 2 2 2 3 2 3" xfId="4320" xr:uid="{00000000-0005-0000-0000-000028100000}"/>
    <cellStyle name="Separador de milhares 5 2 2 2 3 3" xfId="2365" xr:uid="{00000000-0005-0000-0000-000029100000}"/>
    <cellStyle name="Separador de milhares 5 2 2 2 3 3 2" xfId="5061" xr:uid="{00000000-0005-0000-0000-00002A100000}"/>
    <cellStyle name="Separador de milhares 5 2 2 2 3 4" xfId="3554" xr:uid="{00000000-0005-0000-0000-00002B100000}"/>
    <cellStyle name="Separador de milhares 5 2 2 2 4" xfId="1287" xr:uid="{00000000-0005-0000-0000-00002C100000}"/>
    <cellStyle name="Separador de milhares 5 2 2 2 4 2" xfId="2615" xr:uid="{00000000-0005-0000-0000-00002D100000}"/>
    <cellStyle name="Separador de milhares 5 2 2 2 4 2 2" xfId="5311" xr:uid="{00000000-0005-0000-0000-00002E100000}"/>
    <cellStyle name="Separador de milhares 5 2 2 2 4 3" xfId="3983" xr:uid="{00000000-0005-0000-0000-00002F100000}"/>
    <cellStyle name="Separador de milhares 5 2 2 2 5" xfId="2115" xr:uid="{00000000-0005-0000-0000-000030100000}"/>
    <cellStyle name="Separador de milhares 5 2 2 2 5 2" xfId="4811" xr:uid="{00000000-0005-0000-0000-000031100000}"/>
    <cellStyle name="Separador de milhares 5 2 2 2 6" xfId="3217" xr:uid="{00000000-0005-0000-0000-000032100000}"/>
    <cellStyle name="Separador de milhares 5 2 2 3" xfId="630" xr:uid="{00000000-0005-0000-0000-000033100000}"/>
    <cellStyle name="Separador de milhares 5 2 2 3 2" xfId="967" xr:uid="{00000000-0005-0000-0000-000034100000}"/>
    <cellStyle name="Separador de milhares 5 2 2 3 2 2" xfId="1734" xr:uid="{00000000-0005-0000-0000-000035100000}"/>
    <cellStyle name="Separador de milhares 5 2 2 3 2 2 2" xfId="2928" xr:uid="{00000000-0005-0000-0000-000036100000}"/>
    <cellStyle name="Separador de milhares 5 2 2 3 2 2 2 2" xfId="5624" xr:uid="{00000000-0005-0000-0000-000037100000}"/>
    <cellStyle name="Separador de milhares 5 2 2 3 2 2 3" xfId="4430" xr:uid="{00000000-0005-0000-0000-000038100000}"/>
    <cellStyle name="Separador de milhares 5 2 2 3 2 3" xfId="2428" xr:uid="{00000000-0005-0000-0000-000039100000}"/>
    <cellStyle name="Separador de milhares 5 2 2 3 2 3 2" xfId="5124" xr:uid="{00000000-0005-0000-0000-00003A100000}"/>
    <cellStyle name="Separador de milhares 5 2 2 3 2 4" xfId="3664" xr:uid="{00000000-0005-0000-0000-00003B100000}"/>
    <cellStyle name="Separador de milhares 5 2 2 3 3" xfId="1397" xr:uid="{00000000-0005-0000-0000-00003C100000}"/>
    <cellStyle name="Separador de milhares 5 2 2 3 3 2" xfId="2678" xr:uid="{00000000-0005-0000-0000-00003D100000}"/>
    <cellStyle name="Separador de milhares 5 2 2 3 3 2 2" xfId="5374" xr:uid="{00000000-0005-0000-0000-00003E100000}"/>
    <cellStyle name="Separador de milhares 5 2 2 3 3 3" xfId="4093" xr:uid="{00000000-0005-0000-0000-00003F100000}"/>
    <cellStyle name="Separador de milhares 5 2 2 3 4" xfId="2178" xr:uid="{00000000-0005-0000-0000-000040100000}"/>
    <cellStyle name="Separador de milhares 5 2 2 3 4 2" xfId="4874" xr:uid="{00000000-0005-0000-0000-000041100000}"/>
    <cellStyle name="Separador de milhares 5 2 2 3 5" xfId="3327" xr:uid="{00000000-0005-0000-0000-000042100000}"/>
    <cellStyle name="Separador de milhares 5 2 2 4" xfId="793" xr:uid="{00000000-0005-0000-0000-000043100000}"/>
    <cellStyle name="Separador de milhares 5 2 2 4 2" xfId="1560" xr:uid="{00000000-0005-0000-0000-000044100000}"/>
    <cellStyle name="Separador de milhares 5 2 2 4 2 2" xfId="2803" xr:uid="{00000000-0005-0000-0000-000045100000}"/>
    <cellStyle name="Separador de milhares 5 2 2 4 2 2 2" xfId="5499" xr:uid="{00000000-0005-0000-0000-000046100000}"/>
    <cellStyle name="Separador de milhares 5 2 2 4 2 3" xfId="4256" xr:uid="{00000000-0005-0000-0000-000047100000}"/>
    <cellStyle name="Separador de milhares 5 2 2 4 3" xfId="2303" xr:uid="{00000000-0005-0000-0000-000048100000}"/>
    <cellStyle name="Separador de milhares 5 2 2 4 3 2" xfId="4999" xr:uid="{00000000-0005-0000-0000-000049100000}"/>
    <cellStyle name="Separador de milhares 5 2 2 4 4" xfId="3490" xr:uid="{00000000-0005-0000-0000-00004A100000}"/>
    <cellStyle name="Separador de milhares 5 2 2 5" xfId="1224" xr:uid="{00000000-0005-0000-0000-00004B100000}"/>
    <cellStyle name="Separador de milhares 5 2 2 5 2" xfId="2553" xr:uid="{00000000-0005-0000-0000-00004C100000}"/>
    <cellStyle name="Separador de milhares 5 2 2 5 2 2" xfId="5249" xr:uid="{00000000-0005-0000-0000-00004D100000}"/>
    <cellStyle name="Separador de milhares 5 2 2 5 3" xfId="3920" xr:uid="{00000000-0005-0000-0000-00004E100000}"/>
    <cellStyle name="Separador de milhares 5 2 2 6" xfId="2053" xr:uid="{00000000-0005-0000-0000-00004F100000}"/>
    <cellStyle name="Separador de milhares 5 2 2 6 2" xfId="4749" xr:uid="{00000000-0005-0000-0000-000050100000}"/>
    <cellStyle name="Separador de milhares 5 2 2 7" xfId="3153" xr:uid="{00000000-0005-0000-0000-000051100000}"/>
    <cellStyle name="Separador de milhares 5 2 3" xfId="1997" xr:uid="{00000000-0005-0000-0000-000052100000}"/>
    <cellStyle name="Separador de milhares 5 2 3 2" xfId="4693" xr:uid="{00000000-0005-0000-0000-000053100000}"/>
    <cellStyle name="Separador de milhares 5 2 4" xfId="3090" xr:uid="{00000000-0005-0000-0000-000054100000}"/>
    <cellStyle name="Separador de milhares 5 3" xfId="174" xr:uid="{00000000-0005-0000-0000-000055100000}"/>
    <cellStyle name="Separador de milhares 5 4" xfId="445" xr:uid="{00000000-0005-0000-0000-000056100000}"/>
    <cellStyle name="Separador de milhares 5 4 2" xfId="509" xr:uid="{00000000-0005-0000-0000-000057100000}"/>
    <cellStyle name="Separador de milhares 5 4 2 2" xfId="683" xr:uid="{00000000-0005-0000-0000-000058100000}"/>
    <cellStyle name="Separador de milhares 5 4 2 2 2" xfId="1020" xr:uid="{00000000-0005-0000-0000-000059100000}"/>
    <cellStyle name="Separador de milhares 5 4 2 2 2 2" xfId="1787" xr:uid="{00000000-0005-0000-0000-00005A100000}"/>
    <cellStyle name="Separador de milhares 5 4 2 2 2 2 2" xfId="2980" xr:uid="{00000000-0005-0000-0000-00005B100000}"/>
    <cellStyle name="Separador de milhares 5 4 2 2 2 2 2 2" xfId="5676" xr:uid="{00000000-0005-0000-0000-00005C100000}"/>
    <cellStyle name="Separador de milhares 5 4 2 2 2 2 3" xfId="4483" xr:uid="{00000000-0005-0000-0000-00005D100000}"/>
    <cellStyle name="Separador de milhares 5 4 2 2 2 3" xfId="2480" xr:uid="{00000000-0005-0000-0000-00005E100000}"/>
    <cellStyle name="Separador de milhares 5 4 2 2 2 3 2" xfId="5176" xr:uid="{00000000-0005-0000-0000-00005F100000}"/>
    <cellStyle name="Separador de milhares 5 4 2 2 2 4" xfId="3717" xr:uid="{00000000-0005-0000-0000-000060100000}"/>
    <cellStyle name="Separador de milhares 5 4 2 2 3" xfId="1450" xr:uid="{00000000-0005-0000-0000-000061100000}"/>
    <cellStyle name="Separador de milhares 5 4 2 2 3 2" xfId="2730" xr:uid="{00000000-0005-0000-0000-000062100000}"/>
    <cellStyle name="Separador de milhares 5 4 2 2 3 2 2" xfId="5426" xr:uid="{00000000-0005-0000-0000-000063100000}"/>
    <cellStyle name="Separador de milhares 5 4 2 2 3 3" xfId="4146" xr:uid="{00000000-0005-0000-0000-000064100000}"/>
    <cellStyle name="Separador de milhares 5 4 2 2 4" xfId="2230" xr:uid="{00000000-0005-0000-0000-000065100000}"/>
    <cellStyle name="Separador de milhares 5 4 2 2 4 2" xfId="4926" xr:uid="{00000000-0005-0000-0000-000066100000}"/>
    <cellStyle name="Separador de milhares 5 4 2 2 5" xfId="3380" xr:uid="{00000000-0005-0000-0000-000067100000}"/>
    <cellStyle name="Separador de milhares 5 4 2 3" xfId="847" xr:uid="{00000000-0005-0000-0000-000068100000}"/>
    <cellStyle name="Separador de milhares 5 4 2 3 2" xfId="1614" xr:uid="{00000000-0005-0000-0000-000069100000}"/>
    <cellStyle name="Separador de milhares 5 4 2 3 2 2" xfId="2855" xr:uid="{00000000-0005-0000-0000-00006A100000}"/>
    <cellStyle name="Separador de milhares 5 4 2 3 2 2 2" xfId="5551" xr:uid="{00000000-0005-0000-0000-00006B100000}"/>
    <cellStyle name="Separador de milhares 5 4 2 3 2 3" xfId="4310" xr:uid="{00000000-0005-0000-0000-00006C100000}"/>
    <cellStyle name="Separador de milhares 5 4 2 3 3" xfId="2355" xr:uid="{00000000-0005-0000-0000-00006D100000}"/>
    <cellStyle name="Separador de milhares 5 4 2 3 3 2" xfId="5051" xr:uid="{00000000-0005-0000-0000-00006E100000}"/>
    <cellStyle name="Separador de milhares 5 4 2 3 4" xfId="3544" xr:uid="{00000000-0005-0000-0000-00006F100000}"/>
    <cellStyle name="Separador de milhares 5 4 2 4" xfId="1277" xr:uid="{00000000-0005-0000-0000-000070100000}"/>
    <cellStyle name="Separador de milhares 5 4 2 4 2" xfId="2605" xr:uid="{00000000-0005-0000-0000-000071100000}"/>
    <cellStyle name="Separador de milhares 5 4 2 4 2 2" xfId="5301" xr:uid="{00000000-0005-0000-0000-000072100000}"/>
    <cellStyle name="Separador de milhares 5 4 2 4 3" xfId="3973" xr:uid="{00000000-0005-0000-0000-000073100000}"/>
    <cellStyle name="Separador de milhares 5 4 2 5" xfId="2105" xr:uid="{00000000-0005-0000-0000-000074100000}"/>
    <cellStyle name="Separador de milhares 5 4 2 5 2" xfId="4801" xr:uid="{00000000-0005-0000-0000-000075100000}"/>
    <cellStyle name="Separador de milhares 5 4 2 6" xfId="3207" xr:uid="{00000000-0005-0000-0000-000076100000}"/>
    <cellStyle name="Separador de milhares 5 4 3" xfId="620" xr:uid="{00000000-0005-0000-0000-000077100000}"/>
    <cellStyle name="Separador de milhares 5 4 3 2" xfId="957" xr:uid="{00000000-0005-0000-0000-000078100000}"/>
    <cellStyle name="Separador de milhares 5 4 3 2 2" xfId="1724" xr:uid="{00000000-0005-0000-0000-000079100000}"/>
    <cellStyle name="Separador de milhares 5 4 3 2 2 2" xfId="2918" xr:uid="{00000000-0005-0000-0000-00007A100000}"/>
    <cellStyle name="Separador de milhares 5 4 3 2 2 2 2" xfId="5614" xr:uid="{00000000-0005-0000-0000-00007B100000}"/>
    <cellStyle name="Separador de milhares 5 4 3 2 2 3" xfId="4420" xr:uid="{00000000-0005-0000-0000-00007C100000}"/>
    <cellStyle name="Separador de milhares 5 4 3 2 3" xfId="2418" xr:uid="{00000000-0005-0000-0000-00007D100000}"/>
    <cellStyle name="Separador de milhares 5 4 3 2 3 2" xfId="5114" xr:uid="{00000000-0005-0000-0000-00007E100000}"/>
    <cellStyle name="Separador de milhares 5 4 3 2 4" xfId="3654" xr:uid="{00000000-0005-0000-0000-00007F100000}"/>
    <cellStyle name="Separador de milhares 5 4 3 3" xfId="1387" xr:uid="{00000000-0005-0000-0000-000080100000}"/>
    <cellStyle name="Separador de milhares 5 4 3 3 2" xfId="2668" xr:uid="{00000000-0005-0000-0000-000081100000}"/>
    <cellStyle name="Separador de milhares 5 4 3 3 2 2" xfId="5364" xr:uid="{00000000-0005-0000-0000-000082100000}"/>
    <cellStyle name="Separador de milhares 5 4 3 3 3" xfId="4083" xr:uid="{00000000-0005-0000-0000-000083100000}"/>
    <cellStyle name="Separador de milhares 5 4 3 4" xfId="2168" xr:uid="{00000000-0005-0000-0000-000084100000}"/>
    <cellStyle name="Separador de milhares 5 4 3 4 2" xfId="4864" xr:uid="{00000000-0005-0000-0000-000085100000}"/>
    <cellStyle name="Separador de milhares 5 4 3 5" xfId="3317" xr:uid="{00000000-0005-0000-0000-000086100000}"/>
    <cellStyle name="Separador de milhares 5 4 4" xfId="783" xr:uid="{00000000-0005-0000-0000-000087100000}"/>
    <cellStyle name="Separador de milhares 5 4 4 2" xfId="1550" xr:uid="{00000000-0005-0000-0000-000088100000}"/>
    <cellStyle name="Separador de milhares 5 4 4 2 2" xfId="2793" xr:uid="{00000000-0005-0000-0000-000089100000}"/>
    <cellStyle name="Separador de milhares 5 4 4 2 2 2" xfId="5489" xr:uid="{00000000-0005-0000-0000-00008A100000}"/>
    <cellStyle name="Separador de milhares 5 4 4 2 3" xfId="4246" xr:uid="{00000000-0005-0000-0000-00008B100000}"/>
    <cellStyle name="Separador de milhares 5 4 4 3" xfId="2293" xr:uid="{00000000-0005-0000-0000-00008C100000}"/>
    <cellStyle name="Separador de milhares 5 4 4 3 2" xfId="4989" xr:uid="{00000000-0005-0000-0000-00008D100000}"/>
    <cellStyle name="Separador de milhares 5 4 4 4" xfId="3480" xr:uid="{00000000-0005-0000-0000-00008E100000}"/>
    <cellStyle name="Separador de milhares 5 4 5" xfId="1214" xr:uid="{00000000-0005-0000-0000-00008F100000}"/>
    <cellStyle name="Separador de milhares 5 4 5 2" xfId="2543" xr:uid="{00000000-0005-0000-0000-000090100000}"/>
    <cellStyle name="Separador de milhares 5 4 5 2 2" xfId="5239" xr:uid="{00000000-0005-0000-0000-000091100000}"/>
    <cellStyle name="Separador de milhares 5 4 5 3" xfId="3910" xr:uid="{00000000-0005-0000-0000-000092100000}"/>
    <cellStyle name="Separador de milhares 5 4 6" xfId="2044" xr:uid="{00000000-0005-0000-0000-000093100000}"/>
    <cellStyle name="Separador de milhares 5 4 6 2" xfId="4740" xr:uid="{00000000-0005-0000-0000-000094100000}"/>
    <cellStyle name="Separador de milhares 5 4 7" xfId="3144" xr:uid="{00000000-0005-0000-0000-000095100000}"/>
    <cellStyle name="Separador de milhares 5 5" xfId="497" xr:uid="{00000000-0005-0000-0000-000096100000}"/>
    <cellStyle name="Separador de milhares 5 5 2" xfId="672" xr:uid="{00000000-0005-0000-0000-000097100000}"/>
    <cellStyle name="Separador de milhares 5 5 2 2" xfId="1009" xr:uid="{00000000-0005-0000-0000-000098100000}"/>
    <cellStyle name="Separador de milhares 5 5 2 2 2" xfId="1776" xr:uid="{00000000-0005-0000-0000-000099100000}"/>
    <cellStyle name="Separador de milhares 5 5 2 2 2 2" xfId="2969" xr:uid="{00000000-0005-0000-0000-00009A100000}"/>
    <cellStyle name="Separador de milhares 5 5 2 2 2 2 2" xfId="5665" xr:uid="{00000000-0005-0000-0000-00009B100000}"/>
    <cellStyle name="Separador de milhares 5 5 2 2 2 3" xfId="4472" xr:uid="{00000000-0005-0000-0000-00009C100000}"/>
    <cellStyle name="Separador de milhares 5 5 2 2 3" xfId="2469" xr:uid="{00000000-0005-0000-0000-00009D100000}"/>
    <cellStyle name="Separador de milhares 5 5 2 2 3 2" xfId="5165" xr:uid="{00000000-0005-0000-0000-00009E100000}"/>
    <cellStyle name="Separador de milhares 5 5 2 2 4" xfId="3706" xr:uid="{00000000-0005-0000-0000-00009F100000}"/>
    <cellStyle name="Separador de milhares 5 5 2 3" xfId="1439" xr:uid="{00000000-0005-0000-0000-0000A0100000}"/>
    <cellStyle name="Separador de milhares 5 5 2 3 2" xfId="2719" xr:uid="{00000000-0005-0000-0000-0000A1100000}"/>
    <cellStyle name="Separador de milhares 5 5 2 3 2 2" xfId="5415" xr:uid="{00000000-0005-0000-0000-0000A2100000}"/>
    <cellStyle name="Separador de milhares 5 5 2 3 3" xfId="4135" xr:uid="{00000000-0005-0000-0000-0000A3100000}"/>
    <cellStyle name="Separador de milhares 5 5 2 4" xfId="2219" xr:uid="{00000000-0005-0000-0000-0000A4100000}"/>
    <cellStyle name="Separador de milhares 5 5 2 4 2" xfId="4915" xr:uid="{00000000-0005-0000-0000-0000A5100000}"/>
    <cellStyle name="Separador de milhares 5 5 2 5" xfId="3369" xr:uid="{00000000-0005-0000-0000-0000A6100000}"/>
    <cellStyle name="Separador de milhares 5 5 3" xfId="835" xr:uid="{00000000-0005-0000-0000-0000A7100000}"/>
    <cellStyle name="Separador de milhares 5 5 3 2" xfId="1602" xr:uid="{00000000-0005-0000-0000-0000A8100000}"/>
    <cellStyle name="Separador de milhares 5 5 3 2 2" xfId="2844" xr:uid="{00000000-0005-0000-0000-0000A9100000}"/>
    <cellStyle name="Separador de milhares 5 5 3 2 2 2" xfId="5540" xr:uid="{00000000-0005-0000-0000-0000AA100000}"/>
    <cellStyle name="Separador de milhares 5 5 3 2 3" xfId="4298" xr:uid="{00000000-0005-0000-0000-0000AB100000}"/>
    <cellStyle name="Separador de milhares 5 5 3 3" xfId="2344" xr:uid="{00000000-0005-0000-0000-0000AC100000}"/>
    <cellStyle name="Separador de milhares 5 5 3 3 2" xfId="5040" xr:uid="{00000000-0005-0000-0000-0000AD100000}"/>
    <cellStyle name="Separador de milhares 5 5 3 4" xfId="3532" xr:uid="{00000000-0005-0000-0000-0000AE100000}"/>
    <cellStyle name="Separador de milhares 5 5 4" xfId="1265" xr:uid="{00000000-0005-0000-0000-0000AF100000}"/>
    <cellStyle name="Separador de milhares 5 5 4 2" xfId="2594" xr:uid="{00000000-0005-0000-0000-0000B0100000}"/>
    <cellStyle name="Separador de milhares 5 5 4 2 2" xfId="5290" xr:uid="{00000000-0005-0000-0000-0000B1100000}"/>
    <cellStyle name="Separador de milhares 5 5 4 3" xfId="3961" xr:uid="{00000000-0005-0000-0000-0000B2100000}"/>
    <cellStyle name="Separador de milhares 5 5 5" xfId="2094" xr:uid="{00000000-0005-0000-0000-0000B3100000}"/>
    <cellStyle name="Separador de milhares 5 5 5 2" xfId="4790" xr:uid="{00000000-0005-0000-0000-0000B4100000}"/>
    <cellStyle name="Separador de milhares 5 5 6" xfId="3195" xr:uid="{00000000-0005-0000-0000-0000B5100000}"/>
    <cellStyle name="Separador de milhares 5 6" xfId="572" xr:uid="{00000000-0005-0000-0000-0000B6100000}"/>
    <cellStyle name="Separador de milhares 5 6 2" xfId="909" xr:uid="{00000000-0005-0000-0000-0000B7100000}"/>
    <cellStyle name="Separador de milhares 5 6 2 2" xfId="1676" xr:uid="{00000000-0005-0000-0000-0000B8100000}"/>
    <cellStyle name="Separador de milhares 5 6 2 2 2" xfId="2907" xr:uid="{00000000-0005-0000-0000-0000B9100000}"/>
    <cellStyle name="Separador de milhares 5 6 2 2 2 2" xfId="5603" xr:uid="{00000000-0005-0000-0000-0000BA100000}"/>
    <cellStyle name="Separador de milhares 5 6 2 2 3" xfId="4372" xr:uid="{00000000-0005-0000-0000-0000BB100000}"/>
    <cellStyle name="Separador de milhares 5 6 2 3" xfId="2407" xr:uid="{00000000-0005-0000-0000-0000BC100000}"/>
    <cellStyle name="Separador de milhares 5 6 2 3 2" xfId="5103" xr:uid="{00000000-0005-0000-0000-0000BD100000}"/>
    <cellStyle name="Separador de milhares 5 6 2 4" xfId="3606" xr:uid="{00000000-0005-0000-0000-0000BE100000}"/>
    <cellStyle name="Separador de milhares 5 6 3" xfId="1339" xr:uid="{00000000-0005-0000-0000-0000BF100000}"/>
    <cellStyle name="Separador de milhares 5 6 3 2" xfId="2657" xr:uid="{00000000-0005-0000-0000-0000C0100000}"/>
    <cellStyle name="Separador de milhares 5 6 3 2 2" xfId="5353" xr:uid="{00000000-0005-0000-0000-0000C1100000}"/>
    <cellStyle name="Separador de milhares 5 6 3 3" xfId="4035" xr:uid="{00000000-0005-0000-0000-0000C2100000}"/>
    <cellStyle name="Separador de milhares 5 6 4" xfId="2157" xr:uid="{00000000-0005-0000-0000-0000C3100000}"/>
    <cellStyle name="Separador de milhares 5 6 4 2" xfId="4853" xr:uid="{00000000-0005-0000-0000-0000C4100000}"/>
    <cellStyle name="Separador de milhares 5 6 5" xfId="3269" xr:uid="{00000000-0005-0000-0000-0000C5100000}"/>
    <cellStyle name="Separador de milhares 5 7" xfId="768" xr:uid="{00000000-0005-0000-0000-0000C6100000}"/>
    <cellStyle name="Separador de milhares 5 7 2" xfId="1535" xr:uid="{00000000-0005-0000-0000-0000C7100000}"/>
    <cellStyle name="Separador de milhares 5 7 2 2" xfId="2782" xr:uid="{00000000-0005-0000-0000-0000C8100000}"/>
    <cellStyle name="Separador de milhares 5 7 2 2 2" xfId="5478" xr:uid="{00000000-0005-0000-0000-0000C9100000}"/>
    <cellStyle name="Separador de milhares 5 7 2 3" xfId="4231" xr:uid="{00000000-0005-0000-0000-0000CA100000}"/>
    <cellStyle name="Separador de milhares 5 7 3" xfId="2282" xr:uid="{00000000-0005-0000-0000-0000CB100000}"/>
    <cellStyle name="Separador de milhares 5 7 3 2" xfId="4978" xr:uid="{00000000-0005-0000-0000-0000CC100000}"/>
    <cellStyle name="Separador de milhares 5 7 4" xfId="3465" xr:uid="{00000000-0005-0000-0000-0000CD100000}"/>
    <cellStyle name="Separador de milhares 5 8" xfId="1201" xr:uid="{00000000-0005-0000-0000-0000CE100000}"/>
    <cellStyle name="Separador de milhares 5 8 2" xfId="2532" xr:uid="{00000000-0005-0000-0000-0000CF100000}"/>
    <cellStyle name="Separador de milhares 5 8 2 2" xfId="5228" xr:uid="{00000000-0005-0000-0000-0000D0100000}"/>
    <cellStyle name="Separador de milhares 5 8 3" xfId="3897" xr:uid="{00000000-0005-0000-0000-0000D1100000}"/>
    <cellStyle name="Separador de milhares 5 9" xfId="154" xr:uid="{00000000-0005-0000-0000-0000D2100000}"/>
    <cellStyle name="Separador de milhares 5 9 2" xfId="1990" xr:uid="{00000000-0005-0000-0000-0000D3100000}"/>
    <cellStyle name="Separador de milhares 5 9 2 2" xfId="4686" xr:uid="{00000000-0005-0000-0000-0000D4100000}"/>
    <cellStyle name="Separador de milhares 5 9 3" xfId="3083" xr:uid="{00000000-0005-0000-0000-0000D5100000}"/>
    <cellStyle name="Separador de milhares 6" xfId="59" xr:uid="{00000000-0005-0000-0000-0000D6100000}"/>
    <cellStyle name="Separador de milhares 6 2" xfId="73" xr:uid="{00000000-0005-0000-0000-0000D7100000}"/>
    <cellStyle name="Separador de milhares 6 2 2" xfId="447" xr:uid="{00000000-0005-0000-0000-0000D8100000}"/>
    <cellStyle name="Separador de milhares 6 2 2 2" xfId="511" xr:uid="{00000000-0005-0000-0000-0000D9100000}"/>
    <cellStyle name="Separador de milhares 6 2 2 2 2" xfId="685" xr:uid="{00000000-0005-0000-0000-0000DA100000}"/>
    <cellStyle name="Separador de milhares 6 2 2 2 2 2" xfId="1022" xr:uid="{00000000-0005-0000-0000-0000DB100000}"/>
    <cellStyle name="Separador de milhares 6 2 2 2 2 2 2" xfId="1789" xr:uid="{00000000-0005-0000-0000-0000DC100000}"/>
    <cellStyle name="Separador de milhares 6 2 2 2 2 2 2 2" xfId="2982" xr:uid="{00000000-0005-0000-0000-0000DD100000}"/>
    <cellStyle name="Separador de milhares 6 2 2 2 2 2 2 2 2" xfId="5678" xr:uid="{00000000-0005-0000-0000-0000DE100000}"/>
    <cellStyle name="Separador de milhares 6 2 2 2 2 2 2 3" xfId="4485" xr:uid="{00000000-0005-0000-0000-0000DF100000}"/>
    <cellStyle name="Separador de milhares 6 2 2 2 2 2 3" xfId="2482" xr:uid="{00000000-0005-0000-0000-0000E0100000}"/>
    <cellStyle name="Separador de milhares 6 2 2 2 2 2 3 2" xfId="5178" xr:uid="{00000000-0005-0000-0000-0000E1100000}"/>
    <cellStyle name="Separador de milhares 6 2 2 2 2 2 4" xfId="3719" xr:uid="{00000000-0005-0000-0000-0000E2100000}"/>
    <cellStyle name="Separador de milhares 6 2 2 2 2 3" xfId="1452" xr:uid="{00000000-0005-0000-0000-0000E3100000}"/>
    <cellStyle name="Separador de milhares 6 2 2 2 2 3 2" xfId="2732" xr:uid="{00000000-0005-0000-0000-0000E4100000}"/>
    <cellStyle name="Separador de milhares 6 2 2 2 2 3 2 2" xfId="5428" xr:uid="{00000000-0005-0000-0000-0000E5100000}"/>
    <cellStyle name="Separador de milhares 6 2 2 2 2 3 3" xfId="4148" xr:uid="{00000000-0005-0000-0000-0000E6100000}"/>
    <cellStyle name="Separador de milhares 6 2 2 2 2 4" xfId="2232" xr:uid="{00000000-0005-0000-0000-0000E7100000}"/>
    <cellStyle name="Separador de milhares 6 2 2 2 2 4 2" xfId="4928" xr:uid="{00000000-0005-0000-0000-0000E8100000}"/>
    <cellStyle name="Separador de milhares 6 2 2 2 2 5" xfId="3382" xr:uid="{00000000-0005-0000-0000-0000E9100000}"/>
    <cellStyle name="Separador de milhares 6 2 2 2 3" xfId="849" xr:uid="{00000000-0005-0000-0000-0000EA100000}"/>
    <cellStyle name="Separador de milhares 6 2 2 2 3 2" xfId="1616" xr:uid="{00000000-0005-0000-0000-0000EB100000}"/>
    <cellStyle name="Separador de milhares 6 2 2 2 3 2 2" xfId="2857" xr:uid="{00000000-0005-0000-0000-0000EC100000}"/>
    <cellStyle name="Separador de milhares 6 2 2 2 3 2 2 2" xfId="5553" xr:uid="{00000000-0005-0000-0000-0000ED100000}"/>
    <cellStyle name="Separador de milhares 6 2 2 2 3 2 3" xfId="4312" xr:uid="{00000000-0005-0000-0000-0000EE100000}"/>
    <cellStyle name="Separador de milhares 6 2 2 2 3 3" xfId="2357" xr:uid="{00000000-0005-0000-0000-0000EF100000}"/>
    <cellStyle name="Separador de milhares 6 2 2 2 3 3 2" xfId="5053" xr:uid="{00000000-0005-0000-0000-0000F0100000}"/>
    <cellStyle name="Separador de milhares 6 2 2 2 3 4" xfId="3546" xr:uid="{00000000-0005-0000-0000-0000F1100000}"/>
    <cellStyle name="Separador de milhares 6 2 2 2 4" xfId="1279" xr:uid="{00000000-0005-0000-0000-0000F2100000}"/>
    <cellStyle name="Separador de milhares 6 2 2 2 4 2" xfId="2607" xr:uid="{00000000-0005-0000-0000-0000F3100000}"/>
    <cellStyle name="Separador de milhares 6 2 2 2 4 2 2" xfId="5303" xr:uid="{00000000-0005-0000-0000-0000F4100000}"/>
    <cellStyle name="Separador de milhares 6 2 2 2 4 3" xfId="3975" xr:uid="{00000000-0005-0000-0000-0000F5100000}"/>
    <cellStyle name="Separador de milhares 6 2 2 2 5" xfId="2107" xr:uid="{00000000-0005-0000-0000-0000F6100000}"/>
    <cellStyle name="Separador de milhares 6 2 2 2 5 2" xfId="4803" xr:uid="{00000000-0005-0000-0000-0000F7100000}"/>
    <cellStyle name="Separador de milhares 6 2 2 2 6" xfId="3209" xr:uid="{00000000-0005-0000-0000-0000F8100000}"/>
    <cellStyle name="Separador de milhares 6 2 2 3" xfId="622" xr:uid="{00000000-0005-0000-0000-0000F9100000}"/>
    <cellStyle name="Separador de milhares 6 2 2 3 2" xfId="959" xr:uid="{00000000-0005-0000-0000-0000FA100000}"/>
    <cellStyle name="Separador de milhares 6 2 2 3 2 2" xfId="1726" xr:uid="{00000000-0005-0000-0000-0000FB100000}"/>
    <cellStyle name="Separador de milhares 6 2 2 3 2 2 2" xfId="2920" xr:uid="{00000000-0005-0000-0000-0000FC100000}"/>
    <cellStyle name="Separador de milhares 6 2 2 3 2 2 2 2" xfId="5616" xr:uid="{00000000-0005-0000-0000-0000FD100000}"/>
    <cellStyle name="Separador de milhares 6 2 2 3 2 2 3" xfId="4422" xr:uid="{00000000-0005-0000-0000-0000FE100000}"/>
    <cellStyle name="Separador de milhares 6 2 2 3 2 3" xfId="2420" xr:uid="{00000000-0005-0000-0000-0000FF100000}"/>
    <cellStyle name="Separador de milhares 6 2 2 3 2 3 2" xfId="5116" xr:uid="{00000000-0005-0000-0000-000000110000}"/>
    <cellStyle name="Separador de milhares 6 2 2 3 2 4" xfId="3656" xr:uid="{00000000-0005-0000-0000-000001110000}"/>
    <cellStyle name="Separador de milhares 6 2 2 3 3" xfId="1389" xr:uid="{00000000-0005-0000-0000-000002110000}"/>
    <cellStyle name="Separador de milhares 6 2 2 3 3 2" xfId="2670" xr:uid="{00000000-0005-0000-0000-000003110000}"/>
    <cellStyle name="Separador de milhares 6 2 2 3 3 2 2" xfId="5366" xr:uid="{00000000-0005-0000-0000-000004110000}"/>
    <cellStyle name="Separador de milhares 6 2 2 3 3 3" xfId="4085" xr:uid="{00000000-0005-0000-0000-000005110000}"/>
    <cellStyle name="Separador de milhares 6 2 2 3 4" xfId="2170" xr:uid="{00000000-0005-0000-0000-000006110000}"/>
    <cellStyle name="Separador de milhares 6 2 2 3 4 2" xfId="4866" xr:uid="{00000000-0005-0000-0000-000007110000}"/>
    <cellStyle name="Separador de milhares 6 2 2 3 5" xfId="3319" xr:uid="{00000000-0005-0000-0000-000008110000}"/>
    <cellStyle name="Separador de milhares 6 2 2 4" xfId="785" xr:uid="{00000000-0005-0000-0000-000009110000}"/>
    <cellStyle name="Separador de milhares 6 2 2 4 2" xfId="1552" xr:uid="{00000000-0005-0000-0000-00000A110000}"/>
    <cellStyle name="Separador de milhares 6 2 2 4 2 2" xfId="2795" xr:uid="{00000000-0005-0000-0000-00000B110000}"/>
    <cellStyle name="Separador de milhares 6 2 2 4 2 2 2" xfId="5491" xr:uid="{00000000-0005-0000-0000-00000C110000}"/>
    <cellStyle name="Separador de milhares 6 2 2 4 2 3" xfId="4248" xr:uid="{00000000-0005-0000-0000-00000D110000}"/>
    <cellStyle name="Separador de milhares 6 2 2 4 3" xfId="2295" xr:uid="{00000000-0005-0000-0000-00000E110000}"/>
    <cellStyle name="Separador de milhares 6 2 2 4 3 2" xfId="4991" xr:uid="{00000000-0005-0000-0000-00000F110000}"/>
    <cellStyle name="Separador de milhares 6 2 2 4 4" xfId="3482" xr:uid="{00000000-0005-0000-0000-000010110000}"/>
    <cellStyle name="Separador de milhares 6 2 2 5" xfId="1216" xr:uid="{00000000-0005-0000-0000-000011110000}"/>
    <cellStyle name="Separador de milhares 6 2 2 5 2" xfId="2545" xr:uid="{00000000-0005-0000-0000-000012110000}"/>
    <cellStyle name="Separador de milhares 6 2 2 5 2 2" xfId="5241" xr:uid="{00000000-0005-0000-0000-000013110000}"/>
    <cellStyle name="Separador de milhares 6 2 2 5 3" xfId="3912" xr:uid="{00000000-0005-0000-0000-000014110000}"/>
    <cellStyle name="Separador de milhares 6 2 2 6" xfId="2046" xr:uid="{00000000-0005-0000-0000-000015110000}"/>
    <cellStyle name="Separador de milhares 6 2 2 6 2" xfId="4742" xr:uid="{00000000-0005-0000-0000-000016110000}"/>
    <cellStyle name="Separador de milhares 6 2 2 7" xfId="3146" xr:uid="{00000000-0005-0000-0000-000017110000}"/>
    <cellStyle name="Separador de milhares 6 2 3" xfId="155" xr:uid="{00000000-0005-0000-0000-000018110000}"/>
    <cellStyle name="Separador de milhares 6 2 3 2" xfId="1991" xr:uid="{00000000-0005-0000-0000-000019110000}"/>
    <cellStyle name="Separador de milhares 6 2 3 2 2" xfId="4687" xr:uid="{00000000-0005-0000-0000-00001A110000}"/>
    <cellStyle name="Separador de milhares 6 2 3 3" xfId="3084" xr:uid="{00000000-0005-0000-0000-00001B110000}"/>
    <cellStyle name="Separador de milhares 6 2 4" xfId="1978" xr:uid="{00000000-0005-0000-0000-00001C110000}"/>
    <cellStyle name="Separador de milhares 6 2 4 2" xfId="4674" xr:uid="{00000000-0005-0000-0000-00001D110000}"/>
    <cellStyle name="Separador de milhares 6 2 5" xfId="3070" xr:uid="{00000000-0005-0000-0000-00001E110000}"/>
    <cellStyle name="Separador de milhares 6 3" xfId="415" xr:uid="{00000000-0005-0000-0000-00001F110000}"/>
    <cellStyle name="Separador de milhares 6 3 2" xfId="483" xr:uid="{00000000-0005-0000-0000-000020110000}"/>
    <cellStyle name="Separador de milhares 6 3 2 2" xfId="548" xr:uid="{00000000-0005-0000-0000-000021110000}"/>
    <cellStyle name="Separador de milhares 6 3 2 2 2" xfId="722" xr:uid="{00000000-0005-0000-0000-000022110000}"/>
    <cellStyle name="Separador de milhares 6 3 2 2 2 2" xfId="1059" xr:uid="{00000000-0005-0000-0000-000023110000}"/>
    <cellStyle name="Separador de milhares 6 3 2 2 2 2 2" xfId="1826" xr:uid="{00000000-0005-0000-0000-000024110000}"/>
    <cellStyle name="Separador de milhares 6 3 2 2 2 2 2 2" xfId="3019" xr:uid="{00000000-0005-0000-0000-000025110000}"/>
    <cellStyle name="Separador de milhares 6 3 2 2 2 2 2 2 2" xfId="5715" xr:uid="{00000000-0005-0000-0000-000026110000}"/>
    <cellStyle name="Separador de milhares 6 3 2 2 2 2 2 3" xfId="4522" xr:uid="{00000000-0005-0000-0000-000027110000}"/>
    <cellStyle name="Separador de milhares 6 3 2 2 2 2 3" xfId="2519" xr:uid="{00000000-0005-0000-0000-000028110000}"/>
    <cellStyle name="Separador de milhares 6 3 2 2 2 2 3 2" xfId="5215" xr:uid="{00000000-0005-0000-0000-000029110000}"/>
    <cellStyle name="Separador de milhares 6 3 2 2 2 2 4" xfId="3756" xr:uid="{00000000-0005-0000-0000-00002A110000}"/>
    <cellStyle name="Separador de milhares 6 3 2 2 2 3" xfId="1489" xr:uid="{00000000-0005-0000-0000-00002B110000}"/>
    <cellStyle name="Separador de milhares 6 3 2 2 2 3 2" xfId="2769" xr:uid="{00000000-0005-0000-0000-00002C110000}"/>
    <cellStyle name="Separador de milhares 6 3 2 2 2 3 2 2" xfId="5465" xr:uid="{00000000-0005-0000-0000-00002D110000}"/>
    <cellStyle name="Separador de milhares 6 3 2 2 2 3 3" xfId="4185" xr:uid="{00000000-0005-0000-0000-00002E110000}"/>
    <cellStyle name="Separador de milhares 6 3 2 2 2 4" xfId="2269" xr:uid="{00000000-0005-0000-0000-00002F110000}"/>
    <cellStyle name="Separador de milhares 6 3 2 2 2 4 2" xfId="4965" xr:uid="{00000000-0005-0000-0000-000030110000}"/>
    <cellStyle name="Separador de milhares 6 3 2 2 2 5" xfId="3419" xr:uid="{00000000-0005-0000-0000-000031110000}"/>
    <cellStyle name="Separador de milhares 6 3 2 2 3" xfId="886" xr:uid="{00000000-0005-0000-0000-000032110000}"/>
    <cellStyle name="Separador de milhares 6 3 2 2 3 2" xfId="1653" xr:uid="{00000000-0005-0000-0000-000033110000}"/>
    <cellStyle name="Separador de milhares 6 3 2 2 3 2 2" xfId="2894" xr:uid="{00000000-0005-0000-0000-000034110000}"/>
    <cellStyle name="Separador de milhares 6 3 2 2 3 2 2 2" xfId="5590" xr:uid="{00000000-0005-0000-0000-000035110000}"/>
    <cellStyle name="Separador de milhares 6 3 2 2 3 2 3" xfId="4349" xr:uid="{00000000-0005-0000-0000-000036110000}"/>
    <cellStyle name="Separador de milhares 6 3 2 2 3 3" xfId="2394" xr:uid="{00000000-0005-0000-0000-000037110000}"/>
    <cellStyle name="Separador de milhares 6 3 2 2 3 3 2" xfId="5090" xr:uid="{00000000-0005-0000-0000-000038110000}"/>
    <cellStyle name="Separador de milhares 6 3 2 2 3 4" xfId="3583" xr:uid="{00000000-0005-0000-0000-000039110000}"/>
    <cellStyle name="Separador de milhares 6 3 2 2 4" xfId="1316" xr:uid="{00000000-0005-0000-0000-00003A110000}"/>
    <cellStyle name="Separador de milhares 6 3 2 2 4 2" xfId="2644" xr:uid="{00000000-0005-0000-0000-00003B110000}"/>
    <cellStyle name="Separador de milhares 6 3 2 2 4 2 2" xfId="5340" xr:uid="{00000000-0005-0000-0000-00003C110000}"/>
    <cellStyle name="Separador de milhares 6 3 2 2 4 3" xfId="4012" xr:uid="{00000000-0005-0000-0000-00003D110000}"/>
    <cellStyle name="Separador de milhares 6 3 2 2 5" xfId="2144" xr:uid="{00000000-0005-0000-0000-00003E110000}"/>
    <cellStyle name="Separador de milhares 6 3 2 2 5 2" xfId="4840" xr:uid="{00000000-0005-0000-0000-00003F110000}"/>
    <cellStyle name="Separador de milhares 6 3 2 2 6" xfId="3246" xr:uid="{00000000-0005-0000-0000-000040110000}"/>
    <cellStyle name="Separador de milhares 6 3 2 3" xfId="659" xr:uid="{00000000-0005-0000-0000-000041110000}"/>
    <cellStyle name="Separador de milhares 6 3 2 3 2" xfId="996" xr:uid="{00000000-0005-0000-0000-000042110000}"/>
    <cellStyle name="Separador de milhares 6 3 2 3 2 2" xfId="1763" xr:uid="{00000000-0005-0000-0000-000043110000}"/>
    <cellStyle name="Separador de milhares 6 3 2 3 2 2 2" xfId="2957" xr:uid="{00000000-0005-0000-0000-000044110000}"/>
    <cellStyle name="Separador de milhares 6 3 2 3 2 2 2 2" xfId="5653" xr:uid="{00000000-0005-0000-0000-000045110000}"/>
    <cellStyle name="Separador de milhares 6 3 2 3 2 2 3" xfId="4459" xr:uid="{00000000-0005-0000-0000-000046110000}"/>
    <cellStyle name="Separador de milhares 6 3 2 3 2 3" xfId="2457" xr:uid="{00000000-0005-0000-0000-000047110000}"/>
    <cellStyle name="Separador de milhares 6 3 2 3 2 3 2" xfId="5153" xr:uid="{00000000-0005-0000-0000-000048110000}"/>
    <cellStyle name="Separador de milhares 6 3 2 3 2 4" xfId="3693" xr:uid="{00000000-0005-0000-0000-000049110000}"/>
    <cellStyle name="Separador de milhares 6 3 2 3 3" xfId="1426" xr:uid="{00000000-0005-0000-0000-00004A110000}"/>
    <cellStyle name="Separador de milhares 6 3 2 3 3 2" xfId="2707" xr:uid="{00000000-0005-0000-0000-00004B110000}"/>
    <cellStyle name="Separador de milhares 6 3 2 3 3 2 2" xfId="5403" xr:uid="{00000000-0005-0000-0000-00004C110000}"/>
    <cellStyle name="Separador de milhares 6 3 2 3 3 3" xfId="4122" xr:uid="{00000000-0005-0000-0000-00004D110000}"/>
    <cellStyle name="Separador de milhares 6 3 2 3 4" xfId="2207" xr:uid="{00000000-0005-0000-0000-00004E110000}"/>
    <cellStyle name="Separador de milhares 6 3 2 3 4 2" xfId="4903" xr:uid="{00000000-0005-0000-0000-00004F110000}"/>
    <cellStyle name="Separador de milhares 6 3 2 3 5" xfId="3356" xr:uid="{00000000-0005-0000-0000-000050110000}"/>
    <cellStyle name="Separador de milhares 6 3 2 4" xfId="822" xr:uid="{00000000-0005-0000-0000-000051110000}"/>
    <cellStyle name="Separador de milhares 6 3 2 4 2" xfId="1589" xr:uid="{00000000-0005-0000-0000-000052110000}"/>
    <cellStyle name="Separador de milhares 6 3 2 4 2 2" xfId="2832" xr:uid="{00000000-0005-0000-0000-000053110000}"/>
    <cellStyle name="Separador de milhares 6 3 2 4 2 2 2" xfId="5528" xr:uid="{00000000-0005-0000-0000-000054110000}"/>
    <cellStyle name="Separador de milhares 6 3 2 4 2 3" xfId="4285" xr:uid="{00000000-0005-0000-0000-000055110000}"/>
    <cellStyle name="Separador de milhares 6 3 2 4 3" xfId="2332" xr:uid="{00000000-0005-0000-0000-000056110000}"/>
    <cellStyle name="Separador de milhares 6 3 2 4 3 2" xfId="5028" xr:uid="{00000000-0005-0000-0000-000057110000}"/>
    <cellStyle name="Separador de milhares 6 3 2 4 4" xfId="3519" xr:uid="{00000000-0005-0000-0000-000058110000}"/>
    <cellStyle name="Separador de milhares 6 3 2 5" xfId="1253" xr:uid="{00000000-0005-0000-0000-000059110000}"/>
    <cellStyle name="Separador de milhares 6 3 2 5 2" xfId="2582" xr:uid="{00000000-0005-0000-0000-00005A110000}"/>
    <cellStyle name="Separador de milhares 6 3 2 5 2 2" xfId="5278" xr:uid="{00000000-0005-0000-0000-00005B110000}"/>
    <cellStyle name="Separador de milhares 6 3 2 5 3" xfId="3949" xr:uid="{00000000-0005-0000-0000-00005C110000}"/>
    <cellStyle name="Separador de milhares 6 3 2 6" xfId="2082" xr:uid="{00000000-0005-0000-0000-00005D110000}"/>
    <cellStyle name="Separador de milhares 6 3 2 6 2" xfId="4778" xr:uid="{00000000-0005-0000-0000-00005E110000}"/>
    <cellStyle name="Separador de milhares 6 3 2 7" xfId="3182" xr:uid="{00000000-0005-0000-0000-00005F110000}"/>
    <cellStyle name="Separador de milhares 6 3 3" xfId="2027" xr:uid="{00000000-0005-0000-0000-000060110000}"/>
    <cellStyle name="Separador de milhares 6 3 3 2" xfId="4723" xr:uid="{00000000-0005-0000-0000-000061110000}"/>
    <cellStyle name="Separador de milhares 6 3 4" xfId="3126" xr:uid="{00000000-0005-0000-0000-000062110000}"/>
    <cellStyle name="Separador de milhares 6 4" xfId="446" xr:uid="{00000000-0005-0000-0000-000063110000}"/>
    <cellStyle name="Separador de milhares 6 4 2" xfId="510" xr:uid="{00000000-0005-0000-0000-000064110000}"/>
    <cellStyle name="Separador de milhares 6 4 2 2" xfId="684" xr:uid="{00000000-0005-0000-0000-000065110000}"/>
    <cellStyle name="Separador de milhares 6 4 2 2 2" xfId="1021" xr:uid="{00000000-0005-0000-0000-000066110000}"/>
    <cellStyle name="Separador de milhares 6 4 2 2 2 2" xfId="1788" xr:uid="{00000000-0005-0000-0000-000067110000}"/>
    <cellStyle name="Separador de milhares 6 4 2 2 2 2 2" xfId="2981" xr:uid="{00000000-0005-0000-0000-000068110000}"/>
    <cellStyle name="Separador de milhares 6 4 2 2 2 2 2 2" xfId="5677" xr:uid="{00000000-0005-0000-0000-000069110000}"/>
    <cellStyle name="Separador de milhares 6 4 2 2 2 2 3" xfId="4484" xr:uid="{00000000-0005-0000-0000-00006A110000}"/>
    <cellStyle name="Separador de milhares 6 4 2 2 2 3" xfId="2481" xr:uid="{00000000-0005-0000-0000-00006B110000}"/>
    <cellStyle name="Separador de milhares 6 4 2 2 2 3 2" xfId="5177" xr:uid="{00000000-0005-0000-0000-00006C110000}"/>
    <cellStyle name="Separador de milhares 6 4 2 2 2 4" xfId="3718" xr:uid="{00000000-0005-0000-0000-00006D110000}"/>
    <cellStyle name="Separador de milhares 6 4 2 2 3" xfId="1451" xr:uid="{00000000-0005-0000-0000-00006E110000}"/>
    <cellStyle name="Separador de milhares 6 4 2 2 3 2" xfId="2731" xr:uid="{00000000-0005-0000-0000-00006F110000}"/>
    <cellStyle name="Separador de milhares 6 4 2 2 3 2 2" xfId="5427" xr:uid="{00000000-0005-0000-0000-000070110000}"/>
    <cellStyle name="Separador de milhares 6 4 2 2 3 3" xfId="4147" xr:uid="{00000000-0005-0000-0000-000071110000}"/>
    <cellStyle name="Separador de milhares 6 4 2 2 4" xfId="2231" xr:uid="{00000000-0005-0000-0000-000072110000}"/>
    <cellStyle name="Separador de milhares 6 4 2 2 4 2" xfId="4927" xr:uid="{00000000-0005-0000-0000-000073110000}"/>
    <cellStyle name="Separador de milhares 6 4 2 2 5" xfId="3381" xr:uid="{00000000-0005-0000-0000-000074110000}"/>
    <cellStyle name="Separador de milhares 6 4 2 3" xfId="848" xr:uid="{00000000-0005-0000-0000-000075110000}"/>
    <cellStyle name="Separador de milhares 6 4 2 3 2" xfId="1615" xr:uid="{00000000-0005-0000-0000-000076110000}"/>
    <cellStyle name="Separador de milhares 6 4 2 3 2 2" xfId="2856" xr:uid="{00000000-0005-0000-0000-000077110000}"/>
    <cellStyle name="Separador de milhares 6 4 2 3 2 2 2" xfId="5552" xr:uid="{00000000-0005-0000-0000-000078110000}"/>
    <cellStyle name="Separador de milhares 6 4 2 3 2 3" xfId="4311" xr:uid="{00000000-0005-0000-0000-000079110000}"/>
    <cellStyle name="Separador de milhares 6 4 2 3 3" xfId="2356" xr:uid="{00000000-0005-0000-0000-00007A110000}"/>
    <cellStyle name="Separador de milhares 6 4 2 3 3 2" xfId="5052" xr:uid="{00000000-0005-0000-0000-00007B110000}"/>
    <cellStyle name="Separador de milhares 6 4 2 3 4" xfId="3545" xr:uid="{00000000-0005-0000-0000-00007C110000}"/>
    <cellStyle name="Separador de milhares 6 4 2 4" xfId="1278" xr:uid="{00000000-0005-0000-0000-00007D110000}"/>
    <cellStyle name="Separador de milhares 6 4 2 4 2" xfId="2606" xr:uid="{00000000-0005-0000-0000-00007E110000}"/>
    <cellStyle name="Separador de milhares 6 4 2 4 2 2" xfId="5302" xr:uid="{00000000-0005-0000-0000-00007F110000}"/>
    <cellStyle name="Separador de milhares 6 4 2 4 3" xfId="3974" xr:uid="{00000000-0005-0000-0000-000080110000}"/>
    <cellStyle name="Separador de milhares 6 4 2 5" xfId="2106" xr:uid="{00000000-0005-0000-0000-000081110000}"/>
    <cellStyle name="Separador de milhares 6 4 2 5 2" xfId="4802" xr:uid="{00000000-0005-0000-0000-000082110000}"/>
    <cellStyle name="Separador de milhares 6 4 2 6" xfId="3208" xr:uid="{00000000-0005-0000-0000-000083110000}"/>
    <cellStyle name="Separador de milhares 6 4 3" xfId="621" xr:uid="{00000000-0005-0000-0000-000084110000}"/>
    <cellStyle name="Separador de milhares 6 4 3 2" xfId="958" xr:uid="{00000000-0005-0000-0000-000085110000}"/>
    <cellStyle name="Separador de milhares 6 4 3 2 2" xfId="1725" xr:uid="{00000000-0005-0000-0000-000086110000}"/>
    <cellStyle name="Separador de milhares 6 4 3 2 2 2" xfId="2919" xr:uid="{00000000-0005-0000-0000-000087110000}"/>
    <cellStyle name="Separador de milhares 6 4 3 2 2 2 2" xfId="5615" xr:uid="{00000000-0005-0000-0000-000088110000}"/>
    <cellStyle name="Separador de milhares 6 4 3 2 2 3" xfId="4421" xr:uid="{00000000-0005-0000-0000-000089110000}"/>
    <cellStyle name="Separador de milhares 6 4 3 2 3" xfId="2419" xr:uid="{00000000-0005-0000-0000-00008A110000}"/>
    <cellStyle name="Separador de milhares 6 4 3 2 3 2" xfId="5115" xr:uid="{00000000-0005-0000-0000-00008B110000}"/>
    <cellStyle name="Separador de milhares 6 4 3 2 4" xfId="3655" xr:uid="{00000000-0005-0000-0000-00008C110000}"/>
    <cellStyle name="Separador de milhares 6 4 3 3" xfId="1388" xr:uid="{00000000-0005-0000-0000-00008D110000}"/>
    <cellStyle name="Separador de milhares 6 4 3 3 2" xfId="2669" xr:uid="{00000000-0005-0000-0000-00008E110000}"/>
    <cellStyle name="Separador de milhares 6 4 3 3 2 2" xfId="5365" xr:uid="{00000000-0005-0000-0000-00008F110000}"/>
    <cellStyle name="Separador de milhares 6 4 3 3 3" xfId="4084" xr:uid="{00000000-0005-0000-0000-000090110000}"/>
    <cellStyle name="Separador de milhares 6 4 3 4" xfId="2169" xr:uid="{00000000-0005-0000-0000-000091110000}"/>
    <cellStyle name="Separador de milhares 6 4 3 4 2" xfId="4865" xr:uid="{00000000-0005-0000-0000-000092110000}"/>
    <cellStyle name="Separador de milhares 6 4 3 5" xfId="3318" xr:uid="{00000000-0005-0000-0000-000093110000}"/>
    <cellStyle name="Separador de milhares 6 4 4" xfId="784" xr:uid="{00000000-0005-0000-0000-000094110000}"/>
    <cellStyle name="Separador de milhares 6 4 4 2" xfId="1551" xr:uid="{00000000-0005-0000-0000-000095110000}"/>
    <cellStyle name="Separador de milhares 6 4 4 2 2" xfId="2794" xr:uid="{00000000-0005-0000-0000-000096110000}"/>
    <cellStyle name="Separador de milhares 6 4 4 2 2 2" xfId="5490" xr:uid="{00000000-0005-0000-0000-000097110000}"/>
    <cellStyle name="Separador de milhares 6 4 4 2 3" xfId="4247" xr:uid="{00000000-0005-0000-0000-000098110000}"/>
    <cellStyle name="Separador de milhares 6 4 4 3" xfId="2294" xr:uid="{00000000-0005-0000-0000-000099110000}"/>
    <cellStyle name="Separador de milhares 6 4 4 3 2" xfId="4990" xr:uid="{00000000-0005-0000-0000-00009A110000}"/>
    <cellStyle name="Separador de milhares 6 4 4 4" xfId="3481" xr:uid="{00000000-0005-0000-0000-00009B110000}"/>
    <cellStyle name="Separador de milhares 6 4 5" xfId="1215" xr:uid="{00000000-0005-0000-0000-00009C110000}"/>
    <cellStyle name="Separador de milhares 6 4 5 2" xfId="2544" xr:uid="{00000000-0005-0000-0000-00009D110000}"/>
    <cellStyle name="Separador de milhares 6 4 5 2 2" xfId="5240" xr:uid="{00000000-0005-0000-0000-00009E110000}"/>
    <cellStyle name="Separador de milhares 6 4 5 3" xfId="3911" xr:uid="{00000000-0005-0000-0000-00009F110000}"/>
    <cellStyle name="Separador de milhares 6 4 6" xfId="2045" xr:uid="{00000000-0005-0000-0000-0000A0110000}"/>
    <cellStyle name="Separador de milhares 6 4 6 2" xfId="4741" xr:uid="{00000000-0005-0000-0000-0000A1110000}"/>
    <cellStyle name="Separador de milhares 6 4 7" xfId="3145" xr:uid="{00000000-0005-0000-0000-0000A2110000}"/>
    <cellStyle name="Separador de milhares 6 5" xfId="1972" xr:uid="{00000000-0005-0000-0000-0000A3110000}"/>
    <cellStyle name="Separador de milhares 6 5 2" xfId="4668" xr:uid="{00000000-0005-0000-0000-0000A4110000}"/>
    <cellStyle name="Separador de milhares 6 6" xfId="3063" xr:uid="{00000000-0005-0000-0000-0000A5110000}"/>
    <cellStyle name="Separador de milhares 7" xfId="416" xr:uid="{00000000-0005-0000-0000-0000A6110000}"/>
    <cellStyle name="Separador de milhares 7 2" xfId="175" xr:uid="{00000000-0005-0000-0000-0000A7110000}"/>
    <cellStyle name="Separador de milhares 7 3" xfId="2028" xr:uid="{00000000-0005-0000-0000-0000A8110000}"/>
    <cellStyle name="Separador de milhares 7 3 2" xfId="4724" xr:uid="{00000000-0005-0000-0000-0000A9110000}"/>
    <cellStyle name="Separador de milhares 7 4" xfId="3127" xr:uid="{00000000-0005-0000-0000-0000AA110000}"/>
    <cellStyle name="Separador de milhares 8" xfId="417" xr:uid="{00000000-0005-0000-0000-0000AB110000}"/>
    <cellStyle name="Separador de milhares 8 2" xfId="418" xr:uid="{00000000-0005-0000-0000-0000AC110000}"/>
    <cellStyle name="Separador de milhares 8 2 2" xfId="485" xr:uid="{00000000-0005-0000-0000-0000AD110000}"/>
    <cellStyle name="Separador de milhares 8 2 2 2" xfId="550" xr:uid="{00000000-0005-0000-0000-0000AE110000}"/>
    <cellStyle name="Separador de milhares 8 2 2 2 2" xfId="724" xr:uid="{00000000-0005-0000-0000-0000AF110000}"/>
    <cellStyle name="Separador de milhares 8 2 2 2 2 2" xfId="1061" xr:uid="{00000000-0005-0000-0000-0000B0110000}"/>
    <cellStyle name="Separador de milhares 8 2 2 2 2 2 2" xfId="1828" xr:uid="{00000000-0005-0000-0000-0000B1110000}"/>
    <cellStyle name="Separador de milhares 8 2 2 2 2 2 2 2" xfId="3021" xr:uid="{00000000-0005-0000-0000-0000B2110000}"/>
    <cellStyle name="Separador de milhares 8 2 2 2 2 2 2 2 2" xfId="5717" xr:uid="{00000000-0005-0000-0000-0000B3110000}"/>
    <cellStyle name="Separador de milhares 8 2 2 2 2 2 2 3" xfId="4524" xr:uid="{00000000-0005-0000-0000-0000B4110000}"/>
    <cellStyle name="Separador de milhares 8 2 2 2 2 2 3" xfId="2521" xr:uid="{00000000-0005-0000-0000-0000B5110000}"/>
    <cellStyle name="Separador de milhares 8 2 2 2 2 2 3 2" xfId="5217" xr:uid="{00000000-0005-0000-0000-0000B6110000}"/>
    <cellStyle name="Separador de milhares 8 2 2 2 2 2 4" xfId="3758" xr:uid="{00000000-0005-0000-0000-0000B7110000}"/>
    <cellStyle name="Separador de milhares 8 2 2 2 2 3" xfId="1491" xr:uid="{00000000-0005-0000-0000-0000B8110000}"/>
    <cellStyle name="Separador de milhares 8 2 2 2 2 3 2" xfId="2771" xr:uid="{00000000-0005-0000-0000-0000B9110000}"/>
    <cellStyle name="Separador de milhares 8 2 2 2 2 3 2 2" xfId="5467" xr:uid="{00000000-0005-0000-0000-0000BA110000}"/>
    <cellStyle name="Separador de milhares 8 2 2 2 2 3 3" xfId="4187" xr:uid="{00000000-0005-0000-0000-0000BB110000}"/>
    <cellStyle name="Separador de milhares 8 2 2 2 2 4" xfId="2271" xr:uid="{00000000-0005-0000-0000-0000BC110000}"/>
    <cellStyle name="Separador de milhares 8 2 2 2 2 4 2" xfId="4967" xr:uid="{00000000-0005-0000-0000-0000BD110000}"/>
    <cellStyle name="Separador de milhares 8 2 2 2 2 5" xfId="3421" xr:uid="{00000000-0005-0000-0000-0000BE110000}"/>
    <cellStyle name="Separador de milhares 8 2 2 2 3" xfId="888" xr:uid="{00000000-0005-0000-0000-0000BF110000}"/>
    <cellStyle name="Separador de milhares 8 2 2 2 3 2" xfId="1655" xr:uid="{00000000-0005-0000-0000-0000C0110000}"/>
    <cellStyle name="Separador de milhares 8 2 2 2 3 2 2" xfId="2896" xr:uid="{00000000-0005-0000-0000-0000C1110000}"/>
    <cellStyle name="Separador de milhares 8 2 2 2 3 2 2 2" xfId="5592" xr:uid="{00000000-0005-0000-0000-0000C2110000}"/>
    <cellStyle name="Separador de milhares 8 2 2 2 3 2 3" xfId="4351" xr:uid="{00000000-0005-0000-0000-0000C3110000}"/>
    <cellStyle name="Separador de milhares 8 2 2 2 3 3" xfId="2396" xr:uid="{00000000-0005-0000-0000-0000C4110000}"/>
    <cellStyle name="Separador de milhares 8 2 2 2 3 3 2" xfId="5092" xr:uid="{00000000-0005-0000-0000-0000C5110000}"/>
    <cellStyle name="Separador de milhares 8 2 2 2 3 4" xfId="3585" xr:uid="{00000000-0005-0000-0000-0000C6110000}"/>
    <cellStyle name="Separador de milhares 8 2 2 2 4" xfId="1318" xr:uid="{00000000-0005-0000-0000-0000C7110000}"/>
    <cellStyle name="Separador de milhares 8 2 2 2 4 2" xfId="2646" xr:uid="{00000000-0005-0000-0000-0000C8110000}"/>
    <cellStyle name="Separador de milhares 8 2 2 2 4 2 2" xfId="5342" xr:uid="{00000000-0005-0000-0000-0000C9110000}"/>
    <cellStyle name="Separador de milhares 8 2 2 2 4 3" xfId="4014" xr:uid="{00000000-0005-0000-0000-0000CA110000}"/>
    <cellStyle name="Separador de milhares 8 2 2 2 5" xfId="2146" xr:uid="{00000000-0005-0000-0000-0000CB110000}"/>
    <cellStyle name="Separador de milhares 8 2 2 2 5 2" xfId="4842" xr:uid="{00000000-0005-0000-0000-0000CC110000}"/>
    <cellStyle name="Separador de milhares 8 2 2 2 6" xfId="3248" xr:uid="{00000000-0005-0000-0000-0000CD110000}"/>
    <cellStyle name="Separador de milhares 8 2 2 3" xfId="661" xr:uid="{00000000-0005-0000-0000-0000CE110000}"/>
    <cellStyle name="Separador de milhares 8 2 2 3 2" xfId="998" xr:uid="{00000000-0005-0000-0000-0000CF110000}"/>
    <cellStyle name="Separador de milhares 8 2 2 3 2 2" xfId="1765" xr:uid="{00000000-0005-0000-0000-0000D0110000}"/>
    <cellStyle name="Separador de milhares 8 2 2 3 2 2 2" xfId="2959" xr:uid="{00000000-0005-0000-0000-0000D1110000}"/>
    <cellStyle name="Separador de milhares 8 2 2 3 2 2 2 2" xfId="5655" xr:uid="{00000000-0005-0000-0000-0000D2110000}"/>
    <cellStyle name="Separador de milhares 8 2 2 3 2 2 3" xfId="4461" xr:uid="{00000000-0005-0000-0000-0000D3110000}"/>
    <cellStyle name="Separador de milhares 8 2 2 3 2 3" xfId="2459" xr:uid="{00000000-0005-0000-0000-0000D4110000}"/>
    <cellStyle name="Separador de milhares 8 2 2 3 2 3 2" xfId="5155" xr:uid="{00000000-0005-0000-0000-0000D5110000}"/>
    <cellStyle name="Separador de milhares 8 2 2 3 2 4" xfId="3695" xr:uid="{00000000-0005-0000-0000-0000D6110000}"/>
    <cellStyle name="Separador de milhares 8 2 2 3 3" xfId="1428" xr:uid="{00000000-0005-0000-0000-0000D7110000}"/>
    <cellStyle name="Separador de milhares 8 2 2 3 3 2" xfId="2709" xr:uid="{00000000-0005-0000-0000-0000D8110000}"/>
    <cellStyle name="Separador de milhares 8 2 2 3 3 2 2" xfId="5405" xr:uid="{00000000-0005-0000-0000-0000D9110000}"/>
    <cellStyle name="Separador de milhares 8 2 2 3 3 3" xfId="4124" xr:uid="{00000000-0005-0000-0000-0000DA110000}"/>
    <cellStyle name="Separador de milhares 8 2 2 3 4" xfId="2209" xr:uid="{00000000-0005-0000-0000-0000DB110000}"/>
    <cellStyle name="Separador de milhares 8 2 2 3 4 2" xfId="4905" xr:uid="{00000000-0005-0000-0000-0000DC110000}"/>
    <cellStyle name="Separador de milhares 8 2 2 3 5" xfId="3358" xr:uid="{00000000-0005-0000-0000-0000DD110000}"/>
    <cellStyle name="Separador de milhares 8 2 2 4" xfId="824" xr:uid="{00000000-0005-0000-0000-0000DE110000}"/>
    <cellStyle name="Separador de milhares 8 2 2 4 2" xfId="1591" xr:uid="{00000000-0005-0000-0000-0000DF110000}"/>
    <cellStyle name="Separador de milhares 8 2 2 4 2 2" xfId="2834" xr:uid="{00000000-0005-0000-0000-0000E0110000}"/>
    <cellStyle name="Separador de milhares 8 2 2 4 2 2 2" xfId="5530" xr:uid="{00000000-0005-0000-0000-0000E1110000}"/>
    <cellStyle name="Separador de milhares 8 2 2 4 2 3" xfId="4287" xr:uid="{00000000-0005-0000-0000-0000E2110000}"/>
    <cellStyle name="Separador de milhares 8 2 2 4 3" xfId="2334" xr:uid="{00000000-0005-0000-0000-0000E3110000}"/>
    <cellStyle name="Separador de milhares 8 2 2 4 3 2" xfId="5030" xr:uid="{00000000-0005-0000-0000-0000E4110000}"/>
    <cellStyle name="Separador de milhares 8 2 2 4 4" xfId="3521" xr:uid="{00000000-0005-0000-0000-0000E5110000}"/>
    <cellStyle name="Separador de milhares 8 2 2 5" xfId="1255" xr:uid="{00000000-0005-0000-0000-0000E6110000}"/>
    <cellStyle name="Separador de milhares 8 2 2 5 2" xfId="2584" xr:uid="{00000000-0005-0000-0000-0000E7110000}"/>
    <cellStyle name="Separador de milhares 8 2 2 5 2 2" xfId="5280" xr:uid="{00000000-0005-0000-0000-0000E8110000}"/>
    <cellStyle name="Separador de milhares 8 2 2 5 3" xfId="3951" xr:uid="{00000000-0005-0000-0000-0000E9110000}"/>
    <cellStyle name="Separador de milhares 8 2 2 6" xfId="2084" xr:uid="{00000000-0005-0000-0000-0000EA110000}"/>
    <cellStyle name="Separador de milhares 8 2 2 6 2" xfId="4780" xr:uid="{00000000-0005-0000-0000-0000EB110000}"/>
    <cellStyle name="Separador de milhares 8 2 2 7" xfId="3184" xr:uid="{00000000-0005-0000-0000-0000EC110000}"/>
    <cellStyle name="Separador de milhares 8 2 3" xfId="2030" xr:uid="{00000000-0005-0000-0000-0000ED110000}"/>
    <cellStyle name="Separador de milhares 8 2 3 2" xfId="4726" xr:uid="{00000000-0005-0000-0000-0000EE110000}"/>
    <cellStyle name="Separador de milhares 8 2 4" xfId="3129" xr:uid="{00000000-0005-0000-0000-0000EF110000}"/>
    <cellStyle name="Separador de milhares 8 3" xfId="419" xr:uid="{00000000-0005-0000-0000-0000F0110000}"/>
    <cellStyle name="Separador de milhares 8 3 2" xfId="486" xr:uid="{00000000-0005-0000-0000-0000F1110000}"/>
    <cellStyle name="Separador de milhares 8 3 2 2" xfId="551" xr:uid="{00000000-0005-0000-0000-0000F2110000}"/>
    <cellStyle name="Separador de milhares 8 3 2 2 2" xfId="725" xr:uid="{00000000-0005-0000-0000-0000F3110000}"/>
    <cellStyle name="Separador de milhares 8 3 2 2 2 2" xfId="1062" xr:uid="{00000000-0005-0000-0000-0000F4110000}"/>
    <cellStyle name="Separador de milhares 8 3 2 2 2 2 2" xfId="1829" xr:uid="{00000000-0005-0000-0000-0000F5110000}"/>
    <cellStyle name="Separador de milhares 8 3 2 2 2 2 2 2" xfId="3022" xr:uid="{00000000-0005-0000-0000-0000F6110000}"/>
    <cellStyle name="Separador de milhares 8 3 2 2 2 2 2 2 2" xfId="5718" xr:uid="{00000000-0005-0000-0000-0000F7110000}"/>
    <cellStyle name="Separador de milhares 8 3 2 2 2 2 2 3" xfId="4525" xr:uid="{00000000-0005-0000-0000-0000F8110000}"/>
    <cellStyle name="Separador de milhares 8 3 2 2 2 2 3" xfId="2522" xr:uid="{00000000-0005-0000-0000-0000F9110000}"/>
    <cellStyle name="Separador de milhares 8 3 2 2 2 2 3 2" xfId="5218" xr:uid="{00000000-0005-0000-0000-0000FA110000}"/>
    <cellStyle name="Separador de milhares 8 3 2 2 2 2 4" xfId="3759" xr:uid="{00000000-0005-0000-0000-0000FB110000}"/>
    <cellStyle name="Separador de milhares 8 3 2 2 2 3" xfId="1492" xr:uid="{00000000-0005-0000-0000-0000FC110000}"/>
    <cellStyle name="Separador de milhares 8 3 2 2 2 3 2" xfId="2772" xr:uid="{00000000-0005-0000-0000-0000FD110000}"/>
    <cellStyle name="Separador de milhares 8 3 2 2 2 3 2 2" xfId="5468" xr:uid="{00000000-0005-0000-0000-0000FE110000}"/>
    <cellStyle name="Separador de milhares 8 3 2 2 2 3 3" xfId="4188" xr:uid="{00000000-0005-0000-0000-0000FF110000}"/>
    <cellStyle name="Separador de milhares 8 3 2 2 2 4" xfId="2272" xr:uid="{00000000-0005-0000-0000-000000120000}"/>
    <cellStyle name="Separador de milhares 8 3 2 2 2 4 2" xfId="4968" xr:uid="{00000000-0005-0000-0000-000001120000}"/>
    <cellStyle name="Separador de milhares 8 3 2 2 2 5" xfId="3422" xr:uid="{00000000-0005-0000-0000-000002120000}"/>
    <cellStyle name="Separador de milhares 8 3 2 2 3" xfId="889" xr:uid="{00000000-0005-0000-0000-000003120000}"/>
    <cellStyle name="Separador de milhares 8 3 2 2 3 2" xfId="1656" xr:uid="{00000000-0005-0000-0000-000004120000}"/>
    <cellStyle name="Separador de milhares 8 3 2 2 3 2 2" xfId="2897" xr:uid="{00000000-0005-0000-0000-000005120000}"/>
    <cellStyle name="Separador de milhares 8 3 2 2 3 2 2 2" xfId="5593" xr:uid="{00000000-0005-0000-0000-000006120000}"/>
    <cellStyle name="Separador de milhares 8 3 2 2 3 2 3" xfId="4352" xr:uid="{00000000-0005-0000-0000-000007120000}"/>
    <cellStyle name="Separador de milhares 8 3 2 2 3 3" xfId="2397" xr:uid="{00000000-0005-0000-0000-000008120000}"/>
    <cellStyle name="Separador de milhares 8 3 2 2 3 3 2" xfId="5093" xr:uid="{00000000-0005-0000-0000-000009120000}"/>
    <cellStyle name="Separador de milhares 8 3 2 2 3 4" xfId="3586" xr:uid="{00000000-0005-0000-0000-00000A120000}"/>
    <cellStyle name="Separador de milhares 8 3 2 2 4" xfId="1319" xr:uid="{00000000-0005-0000-0000-00000B120000}"/>
    <cellStyle name="Separador de milhares 8 3 2 2 4 2" xfId="2647" xr:uid="{00000000-0005-0000-0000-00000C120000}"/>
    <cellStyle name="Separador de milhares 8 3 2 2 4 2 2" xfId="5343" xr:uid="{00000000-0005-0000-0000-00000D120000}"/>
    <cellStyle name="Separador de milhares 8 3 2 2 4 3" xfId="4015" xr:uid="{00000000-0005-0000-0000-00000E120000}"/>
    <cellStyle name="Separador de milhares 8 3 2 2 5" xfId="2147" xr:uid="{00000000-0005-0000-0000-00000F120000}"/>
    <cellStyle name="Separador de milhares 8 3 2 2 5 2" xfId="4843" xr:uid="{00000000-0005-0000-0000-000010120000}"/>
    <cellStyle name="Separador de milhares 8 3 2 2 6" xfId="3249" xr:uid="{00000000-0005-0000-0000-000011120000}"/>
    <cellStyle name="Separador de milhares 8 3 2 3" xfId="662" xr:uid="{00000000-0005-0000-0000-000012120000}"/>
    <cellStyle name="Separador de milhares 8 3 2 3 2" xfId="999" xr:uid="{00000000-0005-0000-0000-000013120000}"/>
    <cellStyle name="Separador de milhares 8 3 2 3 2 2" xfId="1766" xr:uid="{00000000-0005-0000-0000-000014120000}"/>
    <cellStyle name="Separador de milhares 8 3 2 3 2 2 2" xfId="2960" xr:uid="{00000000-0005-0000-0000-000015120000}"/>
    <cellStyle name="Separador de milhares 8 3 2 3 2 2 2 2" xfId="5656" xr:uid="{00000000-0005-0000-0000-000016120000}"/>
    <cellStyle name="Separador de milhares 8 3 2 3 2 2 3" xfId="4462" xr:uid="{00000000-0005-0000-0000-000017120000}"/>
    <cellStyle name="Separador de milhares 8 3 2 3 2 3" xfId="2460" xr:uid="{00000000-0005-0000-0000-000018120000}"/>
    <cellStyle name="Separador de milhares 8 3 2 3 2 3 2" xfId="5156" xr:uid="{00000000-0005-0000-0000-000019120000}"/>
    <cellStyle name="Separador de milhares 8 3 2 3 2 4" xfId="3696" xr:uid="{00000000-0005-0000-0000-00001A120000}"/>
    <cellStyle name="Separador de milhares 8 3 2 3 3" xfId="1429" xr:uid="{00000000-0005-0000-0000-00001B120000}"/>
    <cellStyle name="Separador de milhares 8 3 2 3 3 2" xfId="2710" xr:uid="{00000000-0005-0000-0000-00001C120000}"/>
    <cellStyle name="Separador de milhares 8 3 2 3 3 2 2" xfId="5406" xr:uid="{00000000-0005-0000-0000-00001D120000}"/>
    <cellStyle name="Separador de milhares 8 3 2 3 3 3" xfId="4125" xr:uid="{00000000-0005-0000-0000-00001E120000}"/>
    <cellStyle name="Separador de milhares 8 3 2 3 4" xfId="2210" xr:uid="{00000000-0005-0000-0000-00001F120000}"/>
    <cellStyle name="Separador de milhares 8 3 2 3 4 2" xfId="4906" xr:uid="{00000000-0005-0000-0000-000020120000}"/>
    <cellStyle name="Separador de milhares 8 3 2 3 5" xfId="3359" xr:uid="{00000000-0005-0000-0000-000021120000}"/>
    <cellStyle name="Separador de milhares 8 3 2 4" xfId="825" xr:uid="{00000000-0005-0000-0000-000022120000}"/>
    <cellStyle name="Separador de milhares 8 3 2 4 2" xfId="1592" xr:uid="{00000000-0005-0000-0000-000023120000}"/>
    <cellStyle name="Separador de milhares 8 3 2 4 2 2" xfId="2835" xr:uid="{00000000-0005-0000-0000-000024120000}"/>
    <cellStyle name="Separador de milhares 8 3 2 4 2 2 2" xfId="5531" xr:uid="{00000000-0005-0000-0000-000025120000}"/>
    <cellStyle name="Separador de milhares 8 3 2 4 2 3" xfId="4288" xr:uid="{00000000-0005-0000-0000-000026120000}"/>
    <cellStyle name="Separador de milhares 8 3 2 4 3" xfId="2335" xr:uid="{00000000-0005-0000-0000-000027120000}"/>
    <cellStyle name="Separador de milhares 8 3 2 4 3 2" xfId="5031" xr:uid="{00000000-0005-0000-0000-000028120000}"/>
    <cellStyle name="Separador de milhares 8 3 2 4 4" xfId="3522" xr:uid="{00000000-0005-0000-0000-000029120000}"/>
    <cellStyle name="Separador de milhares 8 3 2 5" xfId="1256" xr:uid="{00000000-0005-0000-0000-00002A120000}"/>
    <cellStyle name="Separador de milhares 8 3 2 5 2" xfId="2585" xr:uid="{00000000-0005-0000-0000-00002B120000}"/>
    <cellStyle name="Separador de milhares 8 3 2 5 2 2" xfId="5281" xr:uid="{00000000-0005-0000-0000-00002C120000}"/>
    <cellStyle name="Separador de milhares 8 3 2 5 3" xfId="3952" xr:uid="{00000000-0005-0000-0000-00002D120000}"/>
    <cellStyle name="Separador de milhares 8 3 2 6" xfId="2085" xr:uid="{00000000-0005-0000-0000-00002E120000}"/>
    <cellStyle name="Separador de milhares 8 3 2 6 2" xfId="4781" xr:uid="{00000000-0005-0000-0000-00002F120000}"/>
    <cellStyle name="Separador de milhares 8 3 2 7" xfId="3185" xr:uid="{00000000-0005-0000-0000-000030120000}"/>
    <cellStyle name="Separador de milhares 8 3 3" xfId="2031" xr:uid="{00000000-0005-0000-0000-000031120000}"/>
    <cellStyle name="Separador de milhares 8 3 3 2" xfId="4727" xr:uid="{00000000-0005-0000-0000-000032120000}"/>
    <cellStyle name="Separador de milhares 8 3 4" xfId="3130" xr:uid="{00000000-0005-0000-0000-000033120000}"/>
    <cellStyle name="Separador de milhares 8 4" xfId="484" xr:uid="{00000000-0005-0000-0000-000034120000}"/>
    <cellStyle name="Separador de milhares 8 4 2" xfId="549" xr:uid="{00000000-0005-0000-0000-000035120000}"/>
    <cellStyle name="Separador de milhares 8 4 2 2" xfId="723" xr:uid="{00000000-0005-0000-0000-000036120000}"/>
    <cellStyle name="Separador de milhares 8 4 2 2 2" xfId="1060" xr:uid="{00000000-0005-0000-0000-000037120000}"/>
    <cellStyle name="Separador de milhares 8 4 2 2 2 2" xfId="1827" xr:uid="{00000000-0005-0000-0000-000038120000}"/>
    <cellStyle name="Separador de milhares 8 4 2 2 2 2 2" xfId="3020" xr:uid="{00000000-0005-0000-0000-000039120000}"/>
    <cellStyle name="Separador de milhares 8 4 2 2 2 2 2 2" xfId="5716" xr:uid="{00000000-0005-0000-0000-00003A120000}"/>
    <cellStyle name="Separador de milhares 8 4 2 2 2 2 3" xfId="4523" xr:uid="{00000000-0005-0000-0000-00003B120000}"/>
    <cellStyle name="Separador de milhares 8 4 2 2 2 3" xfId="2520" xr:uid="{00000000-0005-0000-0000-00003C120000}"/>
    <cellStyle name="Separador de milhares 8 4 2 2 2 3 2" xfId="5216" xr:uid="{00000000-0005-0000-0000-00003D120000}"/>
    <cellStyle name="Separador de milhares 8 4 2 2 2 4" xfId="3757" xr:uid="{00000000-0005-0000-0000-00003E120000}"/>
    <cellStyle name="Separador de milhares 8 4 2 2 3" xfId="1490" xr:uid="{00000000-0005-0000-0000-00003F120000}"/>
    <cellStyle name="Separador de milhares 8 4 2 2 3 2" xfId="2770" xr:uid="{00000000-0005-0000-0000-000040120000}"/>
    <cellStyle name="Separador de milhares 8 4 2 2 3 2 2" xfId="5466" xr:uid="{00000000-0005-0000-0000-000041120000}"/>
    <cellStyle name="Separador de milhares 8 4 2 2 3 3" xfId="4186" xr:uid="{00000000-0005-0000-0000-000042120000}"/>
    <cellStyle name="Separador de milhares 8 4 2 2 4" xfId="2270" xr:uid="{00000000-0005-0000-0000-000043120000}"/>
    <cellStyle name="Separador de milhares 8 4 2 2 4 2" xfId="4966" xr:uid="{00000000-0005-0000-0000-000044120000}"/>
    <cellStyle name="Separador de milhares 8 4 2 2 5" xfId="3420" xr:uid="{00000000-0005-0000-0000-000045120000}"/>
    <cellStyle name="Separador de milhares 8 4 2 3" xfId="887" xr:uid="{00000000-0005-0000-0000-000046120000}"/>
    <cellStyle name="Separador de milhares 8 4 2 3 2" xfId="1654" xr:uid="{00000000-0005-0000-0000-000047120000}"/>
    <cellStyle name="Separador de milhares 8 4 2 3 2 2" xfId="2895" xr:uid="{00000000-0005-0000-0000-000048120000}"/>
    <cellStyle name="Separador de milhares 8 4 2 3 2 2 2" xfId="5591" xr:uid="{00000000-0005-0000-0000-000049120000}"/>
    <cellStyle name="Separador de milhares 8 4 2 3 2 3" xfId="4350" xr:uid="{00000000-0005-0000-0000-00004A120000}"/>
    <cellStyle name="Separador de milhares 8 4 2 3 3" xfId="2395" xr:uid="{00000000-0005-0000-0000-00004B120000}"/>
    <cellStyle name="Separador de milhares 8 4 2 3 3 2" xfId="5091" xr:uid="{00000000-0005-0000-0000-00004C120000}"/>
    <cellStyle name="Separador de milhares 8 4 2 3 4" xfId="3584" xr:uid="{00000000-0005-0000-0000-00004D120000}"/>
    <cellStyle name="Separador de milhares 8 4 2 4" xfId="1317" xr:uid="{00000000-0005-0000-0000-00004E120000}"/>
    <cellStyle name="Separador de milhares 8 4 2 4 2" xfId="2645" xr:uid="{00000000-0005-0000-0000-00004F120000}"/>
    <cellStyle name="Separador de milhares 8 4 2 4 2 2" xfId="5341" xr:uid="{00000000-0005-0000-0000-000050120000}"/>
    <cellStyle name="Separador de milhares 8 4 2 4 3" xfId="4013" xr:uid="{00000000-0005-0000-0000-000051120000}"/>
    <cellStyle name="Separador de milhares 8 4 2 5" xfId="2145" xr:uid="{00000000-0005-0000-0000-000052120000}"/>
    <cellStyle name="Separador de milhares 8 4 2 5 2" xfId="4841" xr:uid="{00000000-0005-0000-0000-000053120000}"/>
    <cellStyle name="Separador de milhares 8 4 2 6" xfId="3247" xr:uid="{00000000-0005-0000-0000-000054120000}"/>
    <cellStyle name="Separador de milhares 8 4 3" xfId="660" xr:uid="{00000000-0005-0000-0000-000055120000}"/>
    <cellStyle name="Separador de milhares 8 4 3 2" xfId="997" xr:uid="{00000000-0005-0000-0000-000056120000}"/>
    <cellStyle name="Separador de milhares 8 4 3 2 2" xfId="1764" xr:uid="{00000000-0005-0000-0000-000057120000}"/>
    <cellStyle name="Separador de milhares 8 4 3 2 2 2" xfId="2958" xr:uid="{00000000-0005-0000-0000-000058120000}"/>
    <cellStyle name="Separador de milhares 8 4 3 2 2 2 2" xfId="5654" xr:uid="{00000000-0005-0000-0000-000059120000}"/>
    <cellStyle name="Separador de milhares 8 4 3 2 2 3" xfId="4460" xr:uid="{00000000-0005-0000-0000-00005A120000}"/>
    <cellStyle name="Separador de milhares 8 4 3 2 3" xfId="2458" xr:uid="{00000000-0005-0000-0000-00005B120000}"/>
    <cellStyle name="Separador de milhares 8 4 3 2 3 2" xfId="5154" xr:uid="{00000000-0005-0000-0000-00005C120000}"/>
    <cellStyle name="Separador de milhares 8 4 3 2 4" xfId="3694" xr:uid="{00000000-0005-0000-0000-00005D120000}"/>
    <cellStyle name="Separador de milhares 8 4 3 3" xfId="1427" xr:uid="{00000000-0005-0000-0000-00005E120000}"/>
    <cellStyle name="Separador de milhares 8 4 3 3 2" xfId="2708" xr:uid="{00000000-0005-0000-0000-00005F120000}"/>
    <cellStyle name="Separador de milhares 8 4 3 3 2 2" xfId="5404" xr:uid="{00000000-0005-0000-0000-000060120000}"/>
    <cellStyle name="Separador de milhares 8 4 3 3 3" xfId="4123" xr:uid="{00000000-0005-0000-0000-000061120000}"/>
    <cellStyle name="Separador de milhares 8 4 3 4" xfId="2208" xr:uid="{00000000-0005-0000-0000-000062120000}"/>
    <cellStyle name="Separador de milhares 8 4 3 4 2" xfId="4904" xr:uid="{00000000-0005-0000-0000-000063120000}"/>
    <cellStyle name="Separador de milhares 8 4 3 5" xfId="3357" xr:uid="{00000000-0005-0000-0000-000064120000}"/>
    <cellStyle name="Separador de milhares 8 4 4" xfId="823" xr:uid="{00000000-0005-0000-0000-000065120000}"/>
    <cellStyle name="Separador de milhares 8 4 4 2" xfId="1590" xr:uid="{00000000-0005-0000-0000-000066120000}"/>
    <cellStyle name="Separador de milhares 8 4 4 2 2" xfId="2833" xr:uid="{00000000-0005-0000-0000-000067120000}"/>
    <cellStyle name="Separador de milhares 8 4 4 2 2 2" xfId="5529" xr:uid="{00000000-0005-0000-0000-000068120000}"/>
    <cellStyle name="Separador de milhares 8 4 4 2 3" xfId="4286" xr:uid="{00000000-0005-0000-0000-000069120000}"/>
    <cellStyle name="Separador de milhares 8 4 4 3" xfId="2333" xr:uid="{00000000-0005-0000-0000-00006A120000}"/>
    <cellStyle name="Separador de milhares 8 4 4 3 2" xfId="5029" xr:uid="{00000000-0005-0000-0000-00006B120000}"/>
    <cellStyle name="Separador de milhares 8 4 4 4" xfId="3520" xr:uid="{00000000-0005-0000-0000-00006C120000}"/>
    <cellStyle name="Separador de milhares 8 4 5" xfId="1254" xr:uid="{00000000-0005-0000-0000-00006D120000}"/>
    <cellStyle name="Separador de milhares 8 4 5 2" xfId="2583" xr:uid="{00000000-0005-0000-0000-00006E120000}"/>
    <cellStyle name="Separador de milhares 8 4 5 2 2" xfId="5279" xr:uid="{00000000-0005-0000-0000-00006F120000}"/>
    <cellStyle name="Separador de milhares 8 4 5 3" xfId="3950" xr:uid="{00000000-0005-0000-0000-000070120000}"/>
    <cellStyle name="Separador de milhares 8 4 6" xfId="2083" xr:uid="{00000000-0005-0000-0000-000071120000}"/>
    <cellStyle name="Separador de milhares 8 4 6 2" xfId="4779" xr:uid="{00000000-0005-0000-0000-000072120000}"/>
    <cellStyle name="Separador de milhares 8 4 7" xfId="3183" xr:uid="{00000000-0005-0000-0000-000073120000}"/>
    <cellStyle name="Separador de milhares 8 5" xfId="2029" xr:uid="{00000000-0005-0000-0000-000074120000}"/>
    <cellStyle name="Separador de milhares 8 5 2" xfId="4725" xr:uid="{00000000-0005-0000-0000-000075120000}"/>
    <cellStyle name="Separador de milhares 8 6" xfId="3128" xr:uid="{00000000-0005-0000-0000-000076120000}"/>
    <cellStyle name="Separador de milhares 9" xfId="420" xr:uid="{00000000-0005-0000-0000-000077120000}"/>
    <cellStyle name="Separador de milhares 9 2" xfId="421" xr:uid="{00000000-0005-0000-0000-000078120000}"/>
    <cellStyle name="Separador de milhares 9 2 2" xfId="487" xr:uid="{00000000-0005-0000-0000-000079120000}"/>
    <cellStyle name="Separador de milhares 9 2 2 2" xfId="552" xr:uid="{00000000-0005-0000-0000-00007A120000}"/>
    <cellStyle name="Separador de milhares 9 2 2 2 2" xfId="726" xr:uid="{00000000-0005-0000-0000-00007B120000}"/>
    <cellStyle name="Separador de milhares 9 2 2 2 2 2" xfId="1063" xr:uid="{00000000-0005-0000-0000-00007C120000}"/>
    <cellStyle name="Separador de milhares 9 2 2 2 2 2 2" xfId="1830" xr:uid="{00000000-0005-0000-0000-00007D120000}"/>
    <cellStyle name="Separador de milhares 9 2 2 2 2 2 2 2" xfId="3023" xr:uid="{00000000-0005-0000-0000-00007E120000}"/>
    <cellStyle name="Separador de milhares 9 2 2 2 2 2 2 2 2" xfId="5719" xr:uid="{00000000-0005-0000-0000-00007F120000}"/>
    <cellStyle name="Separador de milhares 9 2 2 2 2 2 2 3" xfId="4526" xr:uid="{00000000-0005-0000-0000-000080120000}"/>
    <cellStyle name="Separador de milhares 9 2 2 2 2 2 3" xfId="2523" xr:uid="{00000000-0005-0000-0000-000081120000}"/>
    <cellStyle name="Separador de milhares 9 2 2 2 2 2 3 2" xfId="5219" xr:uid="{00000000-0005-0000-0000-000082120000}"/>
    <cellStyle name="Separador de milhares 9 2 2 2 2 2 4" xfId="3760" xr:uid="{00000000-0005-0000-0000-000083120000}"/>
    <cellStyle name="Separador de milhares 9 2 2 2 2 3" xfId="1493" xr:uid="{00000000-0005-0000-0000-000084120000}"/>
    <cellStyle name="Separador de milhares 9 2 2 2 2 3 2" xfId="2773" xr:uid="{00000000-0005-0000-0000-000085120000}"/>
    <cellStyle name="Separador de milhares 9 2 2 2 2 3 2 2" xfId="5469" xr:uid="{00000000-0005-0000-0000-000086120000}"/>
    <cellStyle name="Separador de milhares 9 2 2 2 2 3 3" xfId="4189" xr:uid="{00000000-0005-0000-0000-000087120000}"/>
    <cellStyle name="Separador de milhares 9 2 2 2 2 4" xfId="2273" xr:uid="{00000000-0005-0000-0000-000088120000}"/>
    <cellStyle name="Separador de milhares 9 2 2 2 2 4 2" xfId="4969" xr:uid="{00000000-0005-0000-0000-000089120000}"/>
    <cellStyle name="Separador de milhares 9 2 2 2 2 5" xfId="3423" xr:uid="{00000000-0005-0000-0000-00008A120000}"/>
    <cellStyle name="Separador de milhares 9 2 2 2 3" xfId="890" xr:uid="{00000000-0005-0000-0000-00008B120000}"/>
    <cellStyle name="Separador de milhares 9 2 2 2 3 2" xfId="1657" xr:uid="{00000000-0005-0000-0000-00008C120000}"/>
    <cellStyle name="Separador de milhares 9 2 2 2 3 2 2" xfId="2898" xr:uid="{00000000-0005-0000-0000-00008D120000}"/>
    <cellStyle name="Separador de milhares 9 2 2 2 3 2 2 2" xfId="5594" xr:uid="{00000000-0005-0000-0000-00008E120000}"/>
    <cellStyle name="Separador de milhares 9 2 2 2 3 2 3" xfId="4353" xr:uid="{00000000-0005-0000-0000-00008F120000}"/>
    <cellStyle name="Separador de milhares 9 2 2 2 3 3" xfId="2398" xr:uid="{00000000-0005-0000-0000-000090120000}"/>
    <cellStyle name="Separador de milhares 9 2 2 2 3 3 2" xfId="5094" xr:uid="{00000000-0005-0000-0000-000091120000}"/>
    <cellStyle name="Separador de milhares 9 2 2 2 3 4" xfId="3587" xr:uid="{00000000-0005-0000-0000-000092120000}"/>
    <cellStyle name="Separador de milhares 9 2 2 2 4" xfId="1320" xr:uid="{00000000-0005-0000-0000-000093120000}"/>
    <cellStyle name="Separador de milhares 9 2 2 2 4 2" xfId="2648" xr:uid="{00000000-0005-0000-0000-000094120000}"/>
    <cellStyle name="Separador de milhares 9 2 2 2 4 2 2" xfId="5344" xr:uid="{00000000-0005-0000-0000-000095120000}"/>
    <cellStyle name="Separador de milhares 9 2 2 2 4 3" xfId="4016" xr:uid="{00000000-0005-0000-0000-000096120000}"/>
    <cellStyle name="Separador de milhares 9 2 2 2 5" xfId="2148" xr:uid="{00000000-0005-0000-0000-000097120000}"/>
    <cellStyle name="Separador de milhares 9 2 2 2 5 2" xfId="4844" xr:uid="{00000000-0005-0000-0000-000098120000}"/>
    <cellStyle name="Separador de milhares 9 2 2 2 6" xfId="3250" xr:uid="{00000000-0005-0000-0000-000099120000}"/>
    <cellStyle name="Separador de milhares 9 2 2 3" xfId="663" xr:uid="{00000000-0005-0000-0000-00009A120000}"/>
    <cellStyle name="Separador de milhares 9 2 2 3 2" xfId="1000" xr:uid="{00000000-0005-0000-0000-00009B120000}"/>
    <cellStyle name="Separador de milhares 9 2 2 3 2 2" xfId="1767" xr:uid="{00000000-0005-0000-0000-00009C120000}"/>
    <cellStyle name="Separador de milhares 9 2 2 3 2 2 2" xfId="2961" xr:uid="{00000000-0005-0000-0000-00009D120000}"/>
    <cellStyle name="Separador de milhares 9 2 2 3 2 2 2 2" xfId="5657" xr:uid="{00000000-0005-0000-0000-00009E120000}"/>
    <cellStyle name="Separador de milhares 9 2 2 3 2 2 3" xfId="4463" xr:uid="{00000000-0005-0000-0000-00009F120000}"/>
    <cellStyle name="Separador de milhares 9 2 2 3 2 3" xfId="2461" xr:uid="{00000000-0005-0000-0000-0000A0120000}"/>
    <cellStyle name="Separador de milhares 9 2 2 3 2 3 2" xfId="5157" xr:uid="{00000000-0005-0000-0000-0000A1120000}"/>
    <cellStyle name="Separador de milhares 9 2 2 3 2 4" xfId="3697" xr:uid="{00000000-0005-0000-0000-0000A2120000}"/>
    <cellStyle name="Separador de milhares 9 2 2 3 3" xfId="1430" xr:uid="{00000000-0005-0000-0000-0000A3120000}"/>
    <cellStyle name="Separador de milhares 9 2 2 3 3 2" xfId="2711" xr:uid="{00000000-0005-0000-0000-0000A4120000}"/>
    <cellStyle name="Separador de milhares 9 2 2 3 3 2 2" xfId="5407" xr:uid="{00000000-0005-0000-0000-0000A5120000}"/>
    <cellStyle name="Separador de milhares 9 2 2 3 3 3" xfId="4126" xr:uid="{00000000-0005-0000-0000-0000A6120000}"/>
    <cellStyle name="Separador de milhares 9 2 2 3 4" xfId="2211" xr:uid="{00000000-0005-0000-0000-0000A7120000}"/>
    <cellStyle name="Separador de milhares 9 2 2 3 4 2" xfId="4907" xr:uid="{00000000-0005-0000-0000-0000A8120000}"/>
    <cellStyle name="Separador de milhares 9 2 2 3 5" xfId="3360" xr:uid="{00000000-0005-0000-0000-0000A9120000}"/>
    <cellStyle name="Separador de milhares 9 2 2 4" xfId="826" xr:uid="{00000000-0005-0000-0000-0000AA120000}"/>
    <cellStyle name="Separador de milhares 9 2 2 4 2" xfId="1593" xr:uid="{00000000-0005-0000-0000-0000AB120000}"/>
    <cellStyle name="Separador de milhares 9 2 2 4 2 2" xfId="2836" xr:uid="{00000000-0005-0000-0000-0000AC120000}"/>
    <cellStyle name="Separador de milhares 9 2 2 4 2 2 2" xfId="5532" xr:uid="{00000000-0005-0000-0000-0000AD120000}"/>
    <cellStyle name="Separador de milhares 9 2 2 4 2 3" xfId="4289" xr:uid="{00000000-0005-0000-0000-0000AE120000}"/>
    <cellStyle name="Separador de milhares 9 2 2 4 3" xfId="2336" xr:uid="{00000000-0005-0000-0000-0000AF120000}"/>
    <cellStyle name="Separador de milhares 9 2 2 4 3 2" xfId="5032" xr:uid="{00000000-0005-0000-0000-0000B0120000}"/>
    <cellStyle name="Separador de milhares 9 2 2 4 4" xfId="3523" xr:uid="{00000000-0005-0000-0000-0000B1120000}"/>
    <cellStyle name="Separador de milhares 9 2 2 5" xfId="1257" xr:uid="{00000000-0005-0000-0000-0000B2120000}"/>
    <cellStyle name="Separador de milhares 9 2 2 5 2" xfId="2586" xr:uid="{00000000-0005-0000-0000-0000B3120000}"/>
    <cellStyle name="Separador de milhares 9 2 2 5 2 2" xfId="5282" xr:uid="{00000000-0005-0000-0000-0000B4120000}"/>
    <cellStyle name="Separador de milhares 9 2 2 5 3" xfId="3953" xr:uid="{00000000-0005-0000-0000-0000B5120000}"/>
    <cellStyle name="Separador de milhares 9 2 2 6" xfId="2086" xr:uid="{00000000-0005-0000-0000-0000B6120000}"/>
    <cellStyle name="Separador de milhares 9 2 2 6 2" xfId="4782" xr:uid="{00000000-0005-0000-0000-0000B7120000}"/>
    <cellStyle name="Separador de milhares 9 2 2 7" xfId="3186" xr:uid="{00000000-0005-0000-0000-0000B8120000}"/>
    <cellStyle name="Separador de milhares 9 2 3" xfId="2032" xr:uid="{00000000-0005-0000-0000-0000B9120000}"/>
    <cellStyle name="Separador de milhares 9 2 3 2" xfId="4728" xr:uid="{00000000-0005-0000-0000-0000BA120000}"/>
    <cellStyle name="Separador de milhares 9 2 4" xfId="3131" xr:uid="{00000000-0005-0000-0000-0000BB120000}"/>
    <cellStyle name="Separador de milhares 9 3" xfId="422" xr:uid="{00000000-0005-0000-0000-0000BC120000}"/>
    <cellStyle name="Separador de milhares 9 3 2" xfId="488" xr:uid="{00000000-0005-0000-0000-0000BD120000}"/>
    <cellStyle name="Separador de milhares 9 3 2 2" xfId="553" xr:uid="{00000000-0005-0000-0000-0000BE120000}"/>
    <cellStyle name="Separador de milhares 9 3 2 2 2" xfId="727" xr:uid="{00000000-0005-0000-0000-0000BF120000}"/>
    <cellStyle name="Separador de milhares 9 3 2 2 2 2" xfId="1064" xr:uid="{00000000-0005-0000-0000-0000C0120000}"/>
    <cellStyle name="Separador de milhares 9 3 2 2 2 2 2" xfId="1831" xr:uid="{00000000-0005-0000-0000-0000C1120000}"/>
    <cellStyle name="Separador de milhares 9 3 2 2 2 2 2 2" xfId="3024" xr:uid="{00000000-0005-0000-0000-0000C2120000}"/>
    <cellStyle name="Separador de milhares 9 3 2 2 2 2 2 2 2" xfId="5720" xr:uid="{00000000-0005-0000-0000-0000C3120000}"/>
    <cellStyle name="Separador de milhares 9 3 2 2 2 2 2 3" xfId="4527" xr:uid="{00000000-0005-0000-0000-0000C4120000}"/>
    <cellStyle name="Separador de milhares 9 3 2 2 2 2 3" xfId="2524" xr:uid="{00000000-0005-0000-0000-0000C5120000}"/>
    <cellStyle name="Separador de milhares 9 3 2 2 2 2 3 2" xfId="5220" xr:uid="{00000000-0005-0000-0000-0000C6120000}"/>
    <cellStyle name="Separador de milhares 9 3 2 2 2 2 4" xfId="3761" xr:uid="{00000000-0005-0000-0000-0000C7120000}"/>
    <cellStyle name="Separador de milhares 9 3 2 2 2 3" xfId="1494" xr:uid="{00000000-0005-0000-0000-0000C8120000}"/>
    <cellStyle name="Separador de milhares 9 3 2 2 2 3 2" xfId="2774" xr:uid="{00000000-0005-0000-0000-0000C9120000}"/>
    <cellStyle name="Separador de milhares 9 3 2 2 2 3 2 2" xfId="5470" xr:uid="{00000000-0005-0000-0000-0000CA120000}"/>
    <cellStyle name="Separador de milhares 9 3 2 2 2 3 3" xfId="4190" xr:uid="{00000000-0005-0000-0000-0000CB120000}"/>
    <cellStyle name="Separador de milhares 9 3 2 2 2 4" xfId="2274" xr:uid="{00000000-0005-0000-0000-0000CC120000}"/>
    <cellStyle name="Separador de milhares 9 3 2 2 2 4 2" xfId="4970" xr:uid="{00000000-0005-0000-0000-0000CD120000}"/>
    <cellStyle name="Separador de milhares 9 3 2 2 2 5" xfId="3424" xr:uid="{00000000-0005-0000-0000-0000CE120000}"/>
    <cellStyle name="Separador de milhares 9 3 2 2 3" xfId="891" xr:uid="{00000000-0005-0000-0000-0000CF120000}"/>
    <cellStyle name="Separador de milhares 9 3 2 2 3 2" xfId="1658" xr:uid="{00000000-0005-0000-0000-0000D0120000}"/>
    <cellStyle name="Separador de milhares 9 3 2 2 3 2 2" xfId="2899" xr:uid="{00000000-0005-0000-0000-0000D1120000}"/>
    <cellStyle name="Separador de milhares 9 3 2 2 3 2 2 2" xfId="5595" xr:uid="{00000000-0005-0000-0000-0000D2120000}"/>
    <cellStyle name="Separador de milhares 9 3 2 2 3 2 3" xfId="4354" xr:uid="{00000000-0005-0000-0000-0000D3120000}"/>
    <cellStyle name="Separador de milhares 9 3 2 2 3 3" xfId="2399" xr:uid="{00000000-0005-0000-0000-0000D4120000}"/>
    <cellStyle name="Separador de milhares 9 3 2 2 3 3 2" xfId="5095" xr:uid="{00000000-0005-0000-0000-0000D5120000}"/>
    <cellStyle name="Separador de milhares 9 3 2 2 3 4" xfId="3588" xr:uid="{00000000-0005-0000-0000-0000D6120000}"/>
    <cellStyle name="Separador de milhares 9 3 2 2 4" xfId="1321" xr:uid="{00000000-0005-0000-0000-0000D7120000}"/>
    <cellStyle name="Separador de milhares 9 3 2 2 4 2" xfId="2649" xr:uid="{00000000-0005-0000-0000-0000D8120000}"/>
    <cellStyle name="Separador de milhares 9 3 2 2 4 2 2" xfId="5345" xr:uid="{00000000-0005-0000-0000-0000D9120000}"/>
    <cellStyle name="Separador de milhares 9 3 2 2 4 3" xfId="4017" xr:uid="{00000000-0005-0000-0000-0000DA120000}"/>
    <cellStyle name="Separador de milhares 9 3 2 2 5" xfId="2149" xr:uid="{00000000-0005-0000-0000-0000DB120000}"/>
    <cellStyle name="Separador de milhares 9 3 2 2 5 2" xfId="4845" xr:uid="{00000000-0005-0000-0000-0000DC120000}"/>
    <cellStyle name="Separador de milhares 9 3 2 2 6" xfId="3251" xr:uid="{00000000-0005-0000-0000-0000DD120000}"/>
    <cellStyle name="Separador de milhares 9 3 2 3" xfId="664" xr:uid="{00000000-0005-0000-0000-0000DE120000}"/>
    <cellStyle name="Separador de milhares 9 3 2 3 2" xfId="1001" xr:uid="{00000000-0005-0000-0000-0000DF120000}"/>
    <cellStyle name="Separador de milhares 9 3 2 3 2 2" xfId="1768" xr:uid="{00000000-0005-0000-0000-0000E0120000}"/>
    <cellStyle name="Separador de milhares 9 3 2 3 2 2 2" xfId="2962" xr:uid="{00000000-0005-0000-0000-0000E1120000}"/>
    <cellStyle name="Separador de milhares 9 3 2 3 2 2 2 2" xfId="5658" xr:uid="{00000000-0005-0000-0000-0000E2120000}"/>
    <cellStyle name="Separador de milhares 9 3 2 3 2 2 3" xfId="4464" xr:uid="{00000000-0005-0000-0000-0000E3120000}"/>
    <cellStyle name="Separador de milhares 9 3 2 3 2 3" xfId="2462" xr:uid="{00000000-0005-0000-0000-0000E4120000}"/>
    <cellStyle name="Separador de milhares 9 3 2 3 2 3 2" xfId="5158" xr:uid="{00000000-0005-0000-0000-0000E5120000}"/>
    <cellStyle name="Separador de milhares 9 3 2 3 2 4" xfId="3698" xr:uid="{00000000-0005-0000-0000-0000E6120000}"/>
    <cellStyle name="Separador de milhares 9 3 2 3 3" xfId="1431" xr:uid="{00000000-0005-0000-0000-0000E7120000}"/>
    <cellStyle name="Separador de milhares 9 3 2 3 3 2" xfId="2712" xr:uid="{00000000-0005-0000-0000-0000E8120000}"/>
    <cellStyle name="Separador de milhares 9 3 2 3 3 2 2" xfId="5408" xr:uid="{00000000-0005-0000-0000-0000E9120000}"/>
    <cellStyle name="Separador de milhares 9 3 2 3 3 3" xfId="4127" xr:uid="{00000000-0005-0000-0000-0000EA120000}"/>
    <cellStyle name="Separador de milhares 9 3 2 3 4" xfId="2212" xr:uid="{00000000-0005-0000-0000-0000EB120000}"/>
    <cellStyle name="Separador de milhares 9 3 2 3 4 2" xfId="4908" xr:uid="{00000000-0005-0000-0000-0000EC120000}"/>
    <cellStyle name="Separador de milhares 9 3 2 3 5" xfId="3361" xr:uid="{00000000-0005-0000-0000-0000ED120000}"/>
    <cellStyle name="Separador de milhares 9 3 2 4" xfId="827" xr:uid="{00000000-0005-0000-0000-0000EE120000}"/>
    <cellStyle name="Separador de milhares 9 3 2 4 2" xfId="1594" xr:uid="{00000000-0005-0000-0000-0000EF120000}"/>
    <cellStyle name="Separador de milhares 9 3 2 4 2 2" xfId="2837" xr:uid="{00000000-0005-0000-0000-0000F0120000}"/>
    <cellStyle name="Separador de milhares 9 3 2 4 2 2 2" xfId="5533" xr:uid="{00000000-0005-0000-0000-0000F1120000}"/>
    <cellStyle name="Separador de milhares 9 3 2 4 2 3" xfId="4290" xr:uid="{00000000-0005-0000-0000-0000F2120000}"/>
    <cellStyle name="Separador de milhares 9 3 2 4 3" xfId="2337" xr:uid="{00000000-0005-0000-0000-0000F3120000}"/>
    <cellStyle name="Separador de milhares 9 3 2 4 3 2" xfId="5033" xr:uid="{00000000-0005-0000-0000-0000F4120000}"/>
    <cellStyle name="Separador de milhares 9 3 2 4 4" xfId="3524" xr:uid="{00000000-0005-0000-0000-0000F5120000}"/>
    <cellStyle name="Separador de milhares 9 3 2 5" xfId="1258" xr:uid="{00000000-0005-0000-0000-0000F6120000}"/>
    <cellStyle name="Separador de milhares 9 3 2 5 2" xfId="2587" xr:uid="{00000000-0005-0000-0000-0000F7120000}"/>
    <cellStyle name="Separador de milhares 9 3 2 5 2 2" xfId="5283" xr:uid="{00000000-0005-0000-0000-0000F8120000}"/>
    <cellStyle name="Separador de milhares 9 3 2 5 3" xfId="3954" xr:uid="{00000000-0005-0000-0000-0000F9120000}"/>
    <cellStyle name="Separador de milhares 9 3 2 6" xfId="2087" xr:uid="{00000000-0005-0000-0000-0000FA120000}"/>
    <cellStyle name="Separador de milhares 9 3 2 6 2" xfId="4783" xr:uid="{00000000-0005-0000-0000-0000FB120000}"/>
    <cellStyle name="Separador de milhares 9 3 2 7" xfId="3187" xr:uid="{00000000-0005-0000-0000-0000FC120000}"/>
    <cellStyle name="Separador de milhares 9 3 3" xfId="2033" xr:uid="{00000000-0005-0000-0000-0000FD120000}"/>
    <cellStyle name="Separador de milhares 9 3 3 2" xfId="4729" xr:uid="{00000000-0005-0000-0000-0000FE120000}"/>
    <cellStyle name="Separador de milhares 9 3 4" xfId="3132" xr:uid="{00000000-0005-0000-0000-0000FF120000}"/>
    <cellStyle name="Separador de milhares 9 4" xfId="423" xr:uid="{00000000-0005-0000-0000-000000130000}"/>
    <cellStyle name="Separador de milhares 9 4 2" xfId="489" xr:uid="{00000000-0005-0000-0000-000001130000}"/>
    <cellStyle name="Separador de milhares 9 4 2 2" xfId="554" xr:uid="{00000000-0005-0000-0000-000002130000}"/>
    <cellStyle name="Separador de milhares 9 4 2 2 2" xfId="728" xr:uid="{00000000-0005-0000-0000-000003130000}"/>
    <cellStyle name="Separador de milhares 9 4 2 2 2 2" xfId="1065" xr:uid="{00000000-0005-0000-0000-000004130000}"/>
    <cellStyle name="Separador de milhares 9 4 2 2 2 2 2" xfId="1832" xr:uid="{00000000-0005-0000-0000-000005130000}"/>
    <cellStyle name="Separador de milhares 9 4 2 2 2 2 2 2" xfId="3025" xr:uid="{00000000-0005-0000-0000-000006130000}"/>
    <cellStyle name="Separador de milhares 9 4 2 2 2 2 2 2 2" xfId="5721" xr:uid="{00000000-0005-0000-0000-000007130000}"/>
    <cellStyle name="Separador de milhares 9 4 2 2 2 2 2 3" xfId="4528" xr:uid="{00000000-0005-0000-0000-000008130000}"/>
    <cellStyle name="Separador de milhares 9 4 2 2 2 2 3" xfId="2525" xr:uid="{00000000-0005-0000-0000-000009130000}"/>
    <cellStyle name="Separador de milhares 9 4 2 2 2 2 3 2" xfId="5221" xr:uid="{00000000-0005-0000-0000-00000A130000}"/>
    <cellStyle name="Separador de milhares 9 4 2 2 2 2 4" xfId="3762" xr:uid="{00000000-0005-0000-0000-00000B130000}"/>
    <cellStyle name="Separador de milhares 9 4 2 2 2 3" xfId="1495" xr:uid="{00000000-0005-0000-0000-00000C130000}"/>
    <cellStyle name="Separador de milhares 9 4 2 2 2 3 2" xfId="2775" xr:uid="{00000000-0005-0000-0000-00000D130000}"/>
    <cellStyle name="Separador de milhares 9 4 2 2 2 3 2 2" xfId="5471" xr:uid="{00000000-0005-0000-0000-00000E130000}"/>
    <cellStyle name="Separador de milhares 9 4 2 2 2 3 3" xfId="4191" xr:uid="{00000000-0005-0000-0000-00000F130000}"/>
    <cellStyle name="Separador de milhares 9 4 2 2 2 4" xfId="2275" xr:uid="{00000000-0005-0000-0000-000010130000}"/>
    <cellStyle name="Separador de milhares 9 4 2 2 2 4 2" xfId="4971" xr:uid="{00000000-0005-0000-0000-000011130000}"/>
    <cellStyle name="Separador de milhares 9 4 2 2 2 5" xfId="3425" xr:uid="{00000000-0005-0000-0000-000012130000}"/>
    <cellStyle name="Separador de milhares 9 4 2 2 3" xfId="892" xr:uid="{00000000-0005-0000-0000-000013130000}"/>
    <cellStyle name="Separador de milhares 9 4 2 2 3 2" xfId="1659" xr:uid="{00000000-0005-0000-0000-000014130000}"/>
    <cellStyle name="Separador de milhares 9 4 2 2 3 2 2" xfId="2900" xr:uid="{00000000-0005-0000-0000-000015130000}"/>
    <cellStyle name="Separador de milhares 9 4 2 2 3 2 2 2" xfId="5596" xr:uid="{00000000-0005-0000-0000-000016130000}"/>
    <cellStyle name="Separador de milhares 9 4 2 2 3 2 3" xfId="4355" xr:uid="{00000000-0005-0000-0000-000017130000}"/>
    <cellStyle name="Separador de milhares 9 4 2 2 3 3" xfId="2400" xr:uid="{00000000-0005-0000-0000-000018130000}"/>
    <cellStyle name="Separador de milhares 9 4 2 2 3 3 2" xfId="5096" xr:uid="{00000000-0005-0000-0000-000019130000}"/>
    <cellStyle name="Separador de milhares 9 4 2 2 3 4" xfId="3589" xr:uid="{00000000-0005-0000-0000-00001A130000}"/>
    <cellStyle name="Separador de milhares 9 4 2 2 4" xfId="1322" xr:uid="{00000000-0005-0000-0000-00001B130000}"/>
    <cellStyle name="Separador de milhares 9 4 2 2 4 2" xfId="2650" xr:uid="{00000000-0005-0000-0000-00001C130000}"/>
    <cellStyle name="Separador de milhares 9 4 2 2 4 2 2" xfId="5346" xr:uid="{00000000-0005-0000-0000-00001D130000}"/>
    <cellStyle name="Separador de milhares 9 4 2 2 4 3" xfId="4018" xr:uid="{00000000-0005-0000-0000-00001E130000}"/>
    <cellStyle name="Separador de milhares 9 4 2 2 5" xfId="2150" xr:uid="{00000000-0005-0000-0000-00001F130000}"/>
    <cellStyle name="Separador de milhares 9 4 2 2 5 2" xfId="4846" xr:uid="{00000000-0005-0000-0000-000020130000}"/>
    <cellStyle name="Separador de milhares 9 4 2 2 6" xfId="3252" xr:uid="{00000000-0005-0000-0000-000021130000}"/>
    <cellStyle name="Separador de milhares 9 4 2 3" xfId="665" xr:uid="{00000000-0005-0000-0000-000022130000}"/>
    <cellStyle name="Separador de milhares 9 4 2 3 2" xfId="1002" xr:uid="{00000000-0005-0000-0000-000023130000}"/>
    <cellStyle name="Separador de milhares 9 4 2 3 2 2" xfId="1769" xr:uid="{00000000-0005-0000-0000-000024130000}"/>
    <cellStyle name="Separador de milhares 9 4 2 3 2 2 2" xfId="2963" xr:uid="{00000000-0005-0000-0000-000025130000}"/>
    <cellStyle name="Separador de milhares 9 4 2 3 2 2 2 2" xfId="5659" xr:uid="{00000000-0005-0000-0000-000026130000}"/>
    <cellStyle name="Separador de milhares 9 4 2 3 2 2 3" xfId="4465" xr:uid="{00000000-0005-0000-0000-000027130000}"/>
    <cellStyle name="Separador de milhares 9 4 2 3 2 3" xfId="2463" xr:uid="{00000000-0005-0000-0000-000028130000}"/>
    <cellStyle name="Separador de milhares 9 4 2 3 2 3 2" xfId="5159" xr:uid="{00000000-0005-0000-0000-000029130000}"/>
    <cellStyle name="Separador de milhares 9 4 2 3 2 4" xfId="3699" xr:uid="{00000000-0005-0000-0000-00002A130000}"/>
    <cellStyle name="Separador de milhares 9 4 2 3 3" xfId="1432" xr:uid="{00000000-0005-0000-0000-00002B130000}"/>
    <cellStyle name="Separador de milhares 9 4 2 3 3 2" xfId="2713" xr:uid="{00000000-0005-0000-0000-00002C130000}"/>
    <cellStyle name="Separador de milhares 9 4 2 3 3 2 2" xfId="5409" xr:uid="{00000000-0005-0000-0000-00002D130000}"/>
    <cellStyle name="Separador de milhares 9 4 2 3 3 3" xfId="4128" xr:uid="{00000000-0005-0000-0000-00002E130000}"/>
    <cellStyle name="Separador de milhares 9 4 2 3 4" xfId="2213" xr:uid="{00000000-0005-0000-0000-00002F130000}"/>
    <cellStyle name="Separador de milhares 9 4 2 3 4 2" xfId="4909" xr:uid="{00000000-0005-0000-0000-000030130000}"/>
    <cellStyle name="Separador de milhares 9 4 2 3 5" xfId="3362" xr:uid="{00000000-0005-0000-0000-000031130000}"/>
    <cellStyle name="Separador de milhares 9 4 2 4" xfId="828" xr:uid="{00000000-0005-0000-0000-000032130000}"/>
    <cellStyle name="Separador de milhares 9 4 2 4 2" xfId="1595" xr:uid="{00000000-0005-0000-0000-000033130000}"/>
    <cellStyle name="Separador de milhares 9 4 2 4 2 2" xfId="2838" xr:uid="{00000000-0005-0000-0000-000034130000}"/>
    <cellStyle name="Separador de milhares 9 4 2 4 2 2 2" xfId="5534" xr:uid="{00000000-0005-0000-0000-000035130000}"/>
    <cellStyle name="Separador de milhares 9 4 2 4 2 3" xfId="4291" xr:uid="{00000000-0005-0000-0000-000036130000}"/>
    <cellStyle name="Separador de milhares 9 4 2 4 3" xfId="2338" xr:uid="{00000000-0005-0000-0000-000037130000}"/>
    <cellStyle name="Separador de milhares 9 4 2 4 3 2" xfId="5034" xr:uid="{00000000-0005-0000-0000-000038130000}"/>
    <cellStyle name="Separador de milhares 9 4 2 4 4" xfId="3525" xr:uid="{00000000-0005-0000-0000-000039130000}"/>
    <cellStyle name="Separador de milhares 9 4 2 5" xfId="1259" xr:uid="{00000000-0005-0000-0000-00003A130000}"/>
    <cellStyle name="Separador de milhares 9 4 2 5 2" xfId="2588" xr:uid="{00000000-0005-0000-0000-00003B130000}"/>
    <cellStyle name="Separador de milhares 9 4 2 5 2 2" xfId="5284" xr:uid="{00000000-0005-0000-0000-00003C130000}"/>
    <cellStyle name="Separador de milhares 9 4 2 5 3" xfId="3955" xr:uid="{00000000-0005-0000-0000-00003D130000}"/>
    <cellStyle name="Separador de milhares 9 4 2 6" xfId="2088" xr:uid="{00000000-0005-0000-0000-00003E130000}"/>
    <cellStyle name="Separador de milhares 9 4 2 6 2" xfId="4784" xr:uid="{00000000-0005-0000-0000-00003F130000}"/>
    <cellStyle name="Separador de milhares 9 4 2 7" xfId="3188" xr:uid="{00000000-0005-0000-0000-000040130000}"/>
    <cellStyle name="Separador de milhares 9 4 3" xfId="2034" xr:uid="{00000000-0005-0000-0000-000041130000}"/>
    <cellStyle name="Separador de milhares 9 4 3 2" xfId="4730" xr:uid="{00000000-0005-0000-0000-000042130000}"/>
    <cellStyle name="Separador de milhares 9 4 4" xfId="3133" xr:uid="{00000000-0005-0000-0000-000043130000}"/>
    <cellStyle name="Separador de milhares 9 5" xfId="424" xr:uid="{00000000-0005-0000-0000-000044130000}"/>
    <cellStyle name="Separador de milhares 9 5 2" xfId="490" xr:uid="{00000000-0005-0000-0000-000045130000}"/>
    <cellStyle name="Separador de milhares 9 5 2 2" xfId="555" xr:uid="{00000000-0005-0000-0000-000046130000}"/>
    <cellStyle name="Separador de milhares 9 5 2 2 2" xfId="729" xr:uid="{00000000-0005-0000-0000-000047130000}"/>
    <cellStyle name="Separador de milhares 9 5 2 2 2 2" xfId="1066" xr:uid="{00000000-0005-0000-0000-000048130000}"/>
    <cellStyle name="Separador de milhares 9 5 2 2 2 2 2" xfId="1833" xr:uid="{00000000-0005-0000-0000-000049130000}"/>
    <cellStyle name="Separador de milhares 9 5 2 2 2 2 2 2" xfId="3026" xr:uid="{00000000-0005-0000-0000-00004A130000}"/>
    <cellStyle name="Separador de milhares 9 5 2 2 2 2 2 2 2" xfId="5722" xr:uid="{00000000-0005-0000-0000-00004B130000}"/>
    <cellStyle name="Separador de milhares 9 5 2 2 2 2 2 3" xfId="4529" xr:uid="{00000000-0005-0000-0000-00004C130000}"/>
    <cellStyle name="Separador de milhares 9 5 2 2 2 2 3" xfId="2526" xr:uid="{00000000-0005-0000-0000-00004D130000}"/>
    <cellStyle name="Separador de milhares 9 5 2 2 2 2 3 2" xfId="5222" xr:uid="{00000000-0005-0000-0000-00004E130000}"/>
    <cellStyle name="Separador de milhares 9 5 2 2 2 2 4" xfId="3763" xr:uid="{00000000-0005-0000-0000-00004F130000}"/>
    <cellStyle name="Separador de milhares 9 5 2 2 2 3" xfId="1496" xr:uid="{00000000-0005-0000-0000-000050130000}"/>
    <cellStyle name="Separador de milhares 9 5 2 2 2 3 2" xfId="2776" xr:uid="{00000000-0005-0000-0000-000051130000}"/>
    <cellStyle name="Separador de milhares 9 5 2 2 2 3 2 2" xfId="5472" xr:uid="{00000000-0005-0000-0000-000052130000}"/>
    <cellStyle name="Separador de milhares 9 5 2 2 2 3 3" xfId="4192" xr:uid="{00000000-0005-0000-0000-000053130000}"/>
    <cellStyle name="Separador de milhares 9 5 2 2 2 4" xfId="2276" xr:uid="{00000000-0005-0000-0000-000054130000}"/>
    <cellStyle name="Separador de milhares 9 5 2 2 2 4 2" xfId="4972" xr:uid="{00000000-0005-0000-0000-000055130000}"/>
    <cellStyle name="Separador de milhares 9 5 2 2 2 5" xfId="3426" xr:uid="{00000000-0005-0000-0000-000056130000}"/>
    <cellStyle name="Separador de milhares 9 5 2 2 3" xfId="893" xr:uid="{00000000-0005-0000-0000-000057130000}"/>
    <cellStyle name="Separador de milhares 9 5 2 2 3 2" xfId="1660" xr:uid="{00000000-0005-0000-0000-000058130000}"/>
    <cellStyle name="Separador de milhares 9 5 2 2 3 2 2" xfId="2901" xr:uid="{00000000-0005-0000-0000-000059130000}"/>
    <cellStyle name="Separador de milhares 9 5 2 2 3 2 2 2" xfId="5597" xr:uid="{00000000-0005-0000-0000-00005A130000}"/>
    <cellStyle name="Separador de milhares 9 5 2 2 3 2 3" xfId="4356" xr:uid="{00000000-0005-0000-0000-00005B130000}"/>
    <cellStyle name="Separador de milhares 9 5 2 2 3 3" xfId="2401" xr:uid="{00000000-0005-0000-0000-00005C130000}"/>
    <cellStyle name="Separador de milhares 9 5 2 2 3 3 2" xfId="5097" xr:uid="{00000000-0005-0000-0000-00005D130000}"/>
    <cellStyle name="Separador de milhares 9 5 2 2 3 4" xfId="3590" xr:uid="{00000000-0005-0000-0000-00005E130000}"/>
    <cellStyle name="Separador de milhares 9 5 2 2 4" xfId="1323" xr:uid="{00000000-0005-0000-0000-00005F130000}"/>
    <cellStyle name="Separador de milhares 9 5 2 2 4 2" xfId="2651" xr:uid="{00000000-0005-0000-0000-000060130000}"/>
    <cellStyle name="Separador de milhares 9 5 2 2 4 2 2" xfId="5347" xr:uid="{00000000-0005-0000-0000-000061130000}"/>
    <cellStyle name="Separador de milhares 9 5 2 2 4 3" xfId="4019" xr:uid="{00000000-0005-0000-0000-000062130000}"/>
    <cellStyle name="Separador de milhares 9 5 2 2 5" xfId="2151" xr:uid="{00000000-0005-0000-0000-000063130000}"/>
    <cellStyle name="Separador de milhares 9 5 2 2 5 2" xfId="4847" xr:uid="{00000000-0005-0000-0000-000064130000}"/>
    <cellStyle name="Separador de milhares 9 5 2 2 6" xfId="3253" xr:uid="{00000000-0005-0000-0000-000065130000}"/>
    <cellStyle name="Separador de milhares 9 5 2 3" xfId="666" xr:uid="{00000000-0005-0000-0000-000066130000}"/>
    <cellStyle name="Separador de milhares 9 5 2 3 2" xfId="1003" xr:uid="{00000000-0005-0000-0000-000067130000}"/>
    <cellStyle name="Separador de milhares 9 5 2 3 2 2" xfId="1770" xr:uid="{00000000-0005-0000-0000-000068130000}"/>
    <cellStyle name="Separador de milhares 9 5 2 3 2 2 2" xfId="2964" xr:uid="{00000000-0005-0000-0000-000069130000}"/>
    <cellStyle name="Separador de milhares 9 5 2 3 2 2 2 2" xfId="5660" xr:uid="{00000000-0005-0000-0000-00006A130000}"/>
    <cellStyle name="Separador de milhares 9 5 2 3 2 2 3" xfId="4466" xr:uid="{00000000-0005-0000-0000-00006B130000}"/>
    <cellStyle name="Separador de milhares 9 5 2 3 2 3" xfId="2464" xr:uid="{00000000-0005-0000-0000-00006C130000}"/>
    <cellStyle name="Separador de milhares 9 5 2 3 2 3 2" xfId="5160" xr:uid="{00000000-0005-0000-0000-00006D130000}"/>
    <cellStyle name="Separador de milhares 9 5 2 3 2 4" xfId="3700" xr:uid="{00000000-0005-0000-0000-00006E130000}"/>
    <cellStyle name="Separador de milhares 9 5 2 3 3" xfId="1433" xr:uid="{00000000-0005-0000-0000-00006F130000}"/>
    <cellStyle name="Separador de milhares 9 5 2 3 3 2" xfId="2714" xr:uid="{00000000-0005-0000-0000-000070130000}"/>
    <cellStyle name="Separador de milhares 9 5 2 3 3 2 2" xfId="5410" xr:uid="{00000000-0005-0000-0000-000071130000}"/>
    <cellStyle name="Separador de milhares 9 5 2 3 3 3" xfId="4129" xr:uid="{00000000-0005-0000-0000-000072130000}"/>
    <cellStyle name="Separador de milhares 9 5 2 3 4" xfId="2214" xr:uid="{00000000-0005-0000-0000-000073130000}"/>
    <cellStyle name="Separador de milhares 9 5 2 3 4 2" xfId="4910" xr:uid="{00000000-0005-0000-0000-000074130000}"/>
    <cellStyle name="Separador de milhares 9 5 2 3 5" xfId="3363" xr:uid="{00000000-0005-0000-0000-000075130000}"/>
    <cellStyle name="Separador de milhares 9 5 2 4" xfId="829" xr:uid="{00000000-0005-0000-0000-000076130000}"/>
    <cellStyle name="Separador de milhares 9 5 2 4 2" xfId="1596" xr:uid="{00000000-0005-0000-0000-000077130000}"/>
    <cellStyle name="Separador de milhares 9 5 2 4 2 2" xfId="2839" xr:uid="{00000000-0005-0000-0000-000078130000}"/>
    <cellStyle name="Separador de milhares 9 5 2 4 2 2 2" xfId="5535" xr:uid="{00000000-0005-0000-0000-000079130000}"/>
    <cellStyle name="Separador de milhares 9 5 2 4 2 3" xfId="4292" xr:uid="{00000000-0005-0000-0000-00007A130000}"/>
    <cellStyle name="Separador de milhares 9 5 2 4 3" xfId="2339" xr:uid="{00000000-0005-0000-0000-00007B130000}"/>
    <cellStyle name="Separador de milhares 9 5 2 4 3 2" xfId="5035" xr:uid="{00000000-0005-0000-0000-00007C130000}"/>
    <cellStyle name="Separador de milhares 9 5 2 4 4" xfId="3526" xr:uid="{00000000-0005-0000-0000-00007D130000}"/>
    <cellStyle name="Separador de milhares 9 5 2 5" xfId="1260" xr:uid="{00000000-0005-0000-0000-00007E130000}"/>
    <cellStyle name="Separador de milhares 9 5 2 5 2" xfId="2589" xr:uid="{00000000-0005-0000-0000-00007F130000}"/>
    <cellStyle name="Separador de milhares 9 5 2 5 2 2" xfId="5285" xr:uid="{00000000-0005-0000-0000-000080130000}"/>
    <cellStyle name="Separador de milhares 9 5 2 5 3" xfId="3956" xr:uid="{00000000-0005-0000-0000-000081130000}"/>
    <cellStyle name="Separador de milhares 9 5 2 6" xfId="2089" xr:uid="{00000000-0005-0000-0000-000082130000}"/>
    <cellStyle name="Separador de milhares 9 5 2 6 2" xfId="4785" xr:uid="{00000000-0005-0000-0000-000083130000}"/>
    <cellStyle name="Separador de milhares 9 5 2 7" xfId="3189" xr:uid="{00000000-0005-0000-0000-000084130000}"/>
    <cellStyle name="Separador de milhares 9 5 3" xfId="2035" xr:uid="{00000000-0005-0000-0000-000085130000}"/>
    <cellStyle name="Separador de milhares 9 5 3 2" xfId="4731" xr:uid="{00000000-0005-0000-0000-000086130000}"/>
    <cellStyle name="Separador de milhares 9 5 4" xfId="3134" xr:uid="{00000000-0005-0000-0000-000087130000}"/>
    <cellStyle name="Separador de milhares 9 6" xfId="425" xr:uid="{00000000-0005-0000-0000-000088130000}"/>
    <cellStyle name="Separador de milhares 9 6 2" xfId="491" xr:uid="{00000000-0005-0000-0000-000089130000}"/>
    <cellStyle name="Separador de milhares 9 6 2 2" xfId="556" xr:uid="{00000000-0005-0000-0000-00008A130000}"/>
    <cellStyle name="Separador de milhares 9 6 2 2 2" xfId="730" xr:uid="{00000000-0005-0000-0000-00008B130000}"/>
    <cellStyle name="Separador de milhares 9 6 2 2 2 2" xfId="1067" xr:uid="{00000000-0005-0000-0000-00008C130000}"/>
    <cellStyle name="Separador de milhares 9 6 2 2 2 2 2" xfId="1834" xr:uid="{00000000-0005-0000-0000-00008D130000}"/>
    <cellStyle name="Separador de milhares 9 6 2 2 2 2 2 2" xfId="3027" xr:uid="{00000000-0005-0000-0000-00008E130000}"/>
    <cellStyle name="Separador de milhares 9 6 2 2 2 2 2 2 2" xfId="5723" xr:uid="{00000000-0005-0000-0000-00008F130000}"/>
    <cellStyle name="Separador de milhares 9 6 2 2 2 2 2 3" xfId="4530" xr:uid="{00000000-0005-0000-0000-000090130000}"/>
    <cellStyle name="Separador de milhares 9 6 2 2 2 2 3" xfId="2527" xr:uid="{00000000-0005-0000-0000-000091130000}"/>
    <cellStyle name="Separador de milhares 9 6 2 2 2 2 3 2" xfId="5223" xr:uid="{00000000-0005-0000-0000-000092130000}"/>
    <cellStyle name="Separador de milhares 9 6 2 2 2 2 4" xfId="3764" xr:uid="{00000000-0005-0000-0000-000093130000}"/>
    <cellStyle name="Separador de milhares 9 6 2 2 2 3" xfId="1497" xr:uid="{00000000-0005-0000-0000-000094130000}"/>
    <cellStyle name="Separador de milhares 9 6 2 2 2 3 2" xfId="2777" xr:uid="{00000000-0005-0000-0000-000095130000}"/>
    <cellStyle name="Separador de milhares 9 6 2 2 2 3 2 2" xfId="5473" xr:uid="{00000000-0005-0000-0000-000096130000}"/>
    <cellStyle name="Separador de milhares 9 6 2 2 2 3 3" xfId="4193" xr:uid="{00000000-0005-0000-0000-000097130000}"/>
    <cellStyle name="Separador de milhares 9 6 2 2 2 4" xfId="2277" xr:uid="{00000000-0005-0000-0000-000098130000}"/>
    <cellStyle name="Separador de milhares 9 6 2 2 2 4 2" xfId="4973" xr:uid="{00000000-0005-0000-0000-000099130000}"/>
    <cellStyle name="Separador de milhares 9 6 2 2 2 5" xfId="3427" xr:uid="{00000000-0005-0000-0000-00009A130000}"/>
    <cellStyle name="Separador de milhares 9 6 2 2 3" xfId="894" xr:uid="{00000000-0005-0000-0000-00009B130000}"/>
    <cellStyle name="Separador de milhares 9 6 2 2 3 2" xfId="1661" xr:uid="{00000000-0005-0000-0000-00009C130000}"/>
    <cellStyle name="Separador de milhares 9 6 2 2 3 2 2" xfId="2902" xr:uid="{00000000-0005-0000-0000-00009D130000}"/>
    <cellStyle name="Separador de milhares 9 6 2 2 3 2 2 2" xfId="5598" xr:uid="{00000000-0005-0000-0000-00009E130000}"/>
    <cellStyle name="Separador de milhares 9 6 2 2 3 2 3" xfId="4357" xr:uid="{00000000-0005-0000-0000-00009F130000}"/>
    <cellStyle name="Separador de milhares 9 6 2 2 3 3" xfId="2402" xr:uid="{00000000-0005-0000-0000-0000A0130000}"/>
    <cellStyle name="Separador de milhares 9 6 2 2 3 3 2" xfId="5098" xr:uid="{00000000-0005-0000-0000-0000A1130000}"/>
    <cellStyle name="Separador de milhares 9 6 2 2 3 4" xfId="3591" xr:uid="{00000000-0005-0000-0000-0000A2130000}"/>
    <cellStyle name="Separador de milhares 9 6 2 2 4" xfId="1324" xr:uid="{00000000-0005-0000-0000-0000A3130000}"/>
    <cellStyle name="Separador de milhares 9 6 2 2 4 2" xfId="2652" xr:uid="{00000000-0005-0000-0000-0000A4130000}"/>
    <cellStyle name="Separador de milhares 9 6 2 2 4 2 2" xfId="5348" xr:uid="{00000000-0005-0000-0000-0000A5130000}"/>
    <cellStyle name="Separador de milhares 9 6 2 2 4 3" xfId="4020" xr:uid="{00000000-0005-0000-0000-0000A6130000}"/>
    <cellStyle name="Separador de milhares 9 6 2 2 5" xfId="2152" xr:uid="{00000000-0005-0000-0000-0000A7130000}"/>
    <cellStyle name="Separador de milhares 9 6 2 2 5 2" xfId="4848" xr:uid="{00000000-0005-0000-0000-0000A8130000}"/>
    <cellStyle name="Separador de milhares 9 6 2 2 6" xfId="3254" xr:uid="{00000000-0005-0000-0000-0000A9130000}"/>
    <cellStyle name="Separador de milhares 9 6 2 3" xfId="667" xr:uid="{00000000-0005-0000-0000-0000AA130000}"/>
    <cellStyle name="Separador de milhares 9 6 2 3 2" xfId="1004" xr:uid="{00000000-0005-0000-0000-0000AB130000}"/>
    <cellStyle name="Separador de milhares 9 6 2 3 2 2" xfId="1771" xr:uid="{00000000-0005-0000-0000-0000AC130000}"/>
    <cellStyle name="Separador de milhares 9 6 2 3 2 2 2" xfId="2965" xr:uid="{00000000-0005-0000-0000-0000AD130000}"/>
    <cellStyle name="Separador de milhares 9 6 2 3 2 2 2 2" xfId="5661" xr:uid="{00000000-0005-0000-0000-0000AE130000}"/>
    <cellStyle name="Separador de milhares 9 6 2 3 2 2 3" xfId="4467" xr:uid="{00000000-0005-0000-0000-0000AF130000}"/>
    <cellStyle name="Separador de milhares 9 6 2 3 2 3" xfId="2465" xr:uid="{00000000-0005-0000-0000-0000B0130000}"/>
    <cellStyle name="Separador de milhares 9 6 2 3 2 3 2" xfId="5161" xr:uid="{00000000-0005-0000-0000-0000B1130000}"/>
    <cellStyle name="Separador de milhares 9 6 2 3 2 4" xfId="3701" xr:uid="{00000000-0005-0000-0000-0000B2130000}"/>
    <cellStyle name="Separador de milhares 9 6 2 3 3" xfId="1434" xr:uid="{00000000-0005-0000-0000-0000B3130000}"/>
    <cellStyle name="Separador de milhares 9 6 2 3 3 2" xfId="2715" xr:uid="{00000000-0005-0000-0000-0000B4130000}"/>
    <cellStyle name="Separador de milhares 9 6 2 3 3 2 2" xfId="5411" xr:uid="{00000000-0005-0000-0000-0000B5130000}"/>
    <cellStyle name="Separador de milhares 9 6 2 3 3 3" xfId="4130" xr:uid="{00000000-0005-0000-0000-0000B6130000}"/>
    <cellStyle name="Separador de milhares 9 6 2 3 4" xfId="2215" xr:uid="{00000000-0005-0000-0000-0000B7130000}"/>
    <cellStyle name="Separador de milhares 9 6 2 3 4 2" xfId="4911" xr:uid="{00000000-0005-0000-0000-0000B8130000}"/>
    <cellStyle name="Separador de milhares 9 6 2 3 5" xfId="3364" xr:uid="{00000000-0005-0000-0000-0000B9130000}"/>
    <cellStyle name="Separador de milhares 9 6 2 4" xfId="830" xr:uid="{00000000-0005-0000-0000-0000BA130000}"/>
    <cellStyle name="Separador de milhares 9 6 2 4 2" xfId="1597" xr:uid="{00000000-0005-0000-0000-0000BB130000}"/>
    <cellStyle name="Separador de milhares 9 6 2 4 2 2" xfId="2840" xr:uid="{00000000-0005-0000-0000-0000BC130000}"/>
    <cellStyle name="Separador de milhares 9 6 2 4 2 2 2" xfId="5536" xr:uid="{00000000-0005-0000-0000-0000BD130000}"/>
    <cellStyle name="Separador de milhares 9 6 2 4 2 3" xfId="4293" xr:uid="{00000000-0005-0000-0000-0000BE130000}"/>
    <cellStyle name="Separador de milhares 9 6 2 4 3" xfId="2340" xr:uid="{00000000-0005-0000-0000-0000BF130000}"/>
    <cellStyle name="Separador de milhares 9 6 2 4 3 2" xfId="5036" xr:uid="{00000000-0005-0000-0000-0000C0130000}"/>
    <cellStyle name="Separador de milhares 9 6 2 4 4" xfId="3527" xr:uid="{00000000-0005-0000-0000-0000C1130000}"/>
    <cellStyle name="Separador de milhares 9 6 2 5" xfId="1261" xr:uid="{00000000-0005-0000-0000-0000C2130000}"/>
    <cellStyle name="Separador de milhares 9 6 2 5 2" xfId="2590" xr:uid="{00000000-0005-0000-0000-0000C3130000}"/>
    <cellStyle name="Separador de milhares 9 6 2 5 2 2" xfId="5286" xr:uid="{00000000-0005-0000-0000-0000C4130000}"/>
    <cellStyle name="Separador de milhares 9 6 2 5 3" xfId="3957" xr:uid="{00000000-0005-0000-0000-0000C5130000}"/>
    <cellStyle name="Separador de milhares 9 6 2 6" xfId="2090" xr:uid="{00000000-0005-0000-0000-0000C6130000}"/>
    <cellStyle name="Separador de milhares 9 6 2 6 2" xfId="4786" xr:uid="{00000000-0005-0000-0000-0000C7130000}"/>
    <cellStyle name="Separador de milhares 9 6 2 7" xfId="3190" xr:uid="{00000000-0005-0000-0000-0000C8130000}"/>
    <cellStyle name="Separador de milhares 9 6 3" xfId="2036" xr:uid="{00000000-0005-0000-0000-0000C9130000}"/>
    <cellStyle name="Separador de milhares 9 6 3 2" xfId="4732" xr:uid="{00000000-0005-0000-0000-0000CA130000}"/>
    <cellStyle name="Separador de milhares 9 6 4" xfId="3135" xr:uid="{00000000-0005-0000-0000-0000CB130000}"/>
    <cellStyle name="Separador de milhares 9 7" xfId="426" xr:uid="{00000000-0005-0000-0000-0000CC130000}"/>
    <cellStyle name="Status 18" xfId="5843" xr:uid="{00000000-0005-0000-0000-0000CD130000}"/>
    <cellStyle name="Status 20" xfId="5844" xr:uid="{00000000-0005-0000-0000-0000CE130000}"/>
    <cellStyle name="SUMA PARCIAL" xfId="156" xr:uid="{00000000-0005-0000-0000-0000CF130000}"/>
    <cellStyle name="Text 19" xfId="5845" xr:uid="{00000000-0005-0000-0000-0000D0130000}"/>
    <cellStyle name="Text 21" xfId="5846" xr:uid="{00000000-0005-0000-0000-0000D1130000}"/>
    <cellStyle name="Texto de Aviso 2" xfId="249" xr:uid="{00000000-0005-0000-0000-0000D2130000}"/>
    <cellStyle name="Texto Explicativo 2" xfId="250" xr:uid="{00000000-0005-0000-0000-0000D3130000}"/>
    <cellStyle name="Title" xfId="53" xr:uid="{00000000-0005-0000-0000-0000D4130000}"/>
    <cellStyle name="Título 1 1" xfId="54" xr:uid="{00000000-0005-0000-0000-0000D5130000}"/>
    <cellStyle name="Título 1 1 1" xfId="55" xr:uid="{00000000-0005-0000-0000-0000D6130000}"/>
    <cellStyle name="Título 1 2" xfId="251" xr:uid="{00000000-0005-0000-0000-0000D7130000}"/>
    <cellStyle name="Título 2 2" xfId="252" xr:uid="{00000000-0005-0000-0000-0000D8130000}"/>
    <cellStyle name="Título 3 2" xfId="253" xr:uid="{00000000-0005-0000-0000-0000D9130000}"/>
    <cellStyle name="Título 4 2" xfId="254" xr:uid="{00000000-0005-0000-0000-0000DA130000}"/>
    <cellStyle name="Título 5" xfId="255" xr:uid="{00000000-0005-0000-0000-0000DB130000}"/>
    <cellStyle name="Titulo1" xfId="256" xr:uid="{00000000-0005-0000-0000-0000DC130000}"/>
    <cellStyle name="Titulo2" xfId="257" xr:uid="{00000000-0005-0000-0000-0000DD130000}"/>
    <cellStyle name="Total 2" xfId="258" xr:uid="{00000000-0005-0000-0000-0000DE130000}"/>
    <cellStyle name="Total 2 2" xfId="3101" xr:uid="{00000000-0005-0000-0000-0000DF130000}"/>
    <cellStyle name="Total 3" xfId="259" xr:uid="{00000000-0005-0000-0000-0000E0130000}"/>
    <cellStyle name="Vírgula" xfId="1" builtinId="3"/>
    <cellStyle name="Vírgula 10" xfId="777" xr:uid="{00000000-0005-0000-0000-0000E2130000}"/>
    <cellStyle name="Vírgula 10 2" xfId="1544" xr:uid="{00000000-0005-0000-0000-0000E3130000}"/>
    <cellStyle name="Vírgula 10 2 2" xfId="2788" xr:uid="{00000000-0005-0000-0000-0000E4130000}"/>
    <cellStyle name="Vírgula 10 2 2 2" xfId="5484" xr:uid="{00000000-0005-0000-0000-0000E5130000}"/>
    <cellStyle name="Vírgula 10 2 3" xfId="4240" xr:uid="{00000000-0005-0000-0000-0000E6130000}"/>
    <cellStyle name="Vírgula 10 3" xfId="2288" xr:uid="{00000000-0005-0000-0000-0000E7130000}"/>
    <cellStyle name="Vírgula 10 3 2" xfId="4984" xr:uid="{00000000-0005-0000-0000-0000E8130000}"/>
    <cellStyle name="Vírgula 10 4" xfId="3474" xr:uid="{00000000-0005-0000-0000-0000E9130000}"/>
    <cellStyle name="Vírgula 11" xfId="1209" xr:uid="{00000000-0005-0000-0000-0000EA130000}"/>
    <cellStyle name="Vírgula 11 2" xfId="2538" xr:uid="{00000000-0005-0000-0000-0000EB130000}"/>
    <cellStyle name="Vírgula 11 2 2" xfId="5234" xr:uid="{00000000-0005-0000-0000-0000EC130000}"/>
    <cellStyle name="Vírgula 11 3" xfId="3905" xr:uid="{00000000-0005-0000-0000-0000ED130000}"/>
    <cellStyle name="Vírgula 12" xfId="1967" xr:uid="{00000000-0005-0000-0000-0000EE130000}"/>
    <cellStyle name="Vírgula 12 2" xfId="4663" xr:uid="{00000000-0005-0000-0000-0000EF130000}"/>
    <cellStyle name="Vírgula 13" xfId="3053" xr:uid="{00000000-0005-0000-0000-0000F0130000}"/>
    <cellStyle name="Vírgula 14" xfId="3038" xr:uid="{00000000-0005-0000-0000-0000F1130000}"/>
    <cellStyle name="Vírgula 14 2" xfId="5733" xr:uid="{00000000-0005-0000-0000-0000F2130000}"/>
    <cellStyle name="Vírgula 15" xfId="3039" xr:uid="{00000000-0005-0000-0000-0000F3130000}"/>
    <cellStyle name="Vírgula 15 2" xfId="5734" xr:uid="{00000000-0005-0000-0000-0000F4130000}"/>
    <cellStyle name="Vírgula 16" xfId="5877" xr:uid="{00000000-0005-0000-0000-0000F5130000}"/>
    <cellStyle name="Vírgula 17" xfId="5880" xr:uid="{00000000-0005-0000-0000-0000F6130000}"/>
    <cellStyle name="Vírgula 18" xfId="5898" xr:uid="{00000000-0005-0000-0000-0000F7130000}"/>
    <cellStyle name="Vírgula 19" xfId="5901" xr:uid="{00000000-0005-0000-0000-0000F8130000}"/>
    <cellStyle name="Vírgula 2" xfId="57" xr:uid="{00000000-0005-0000-0000-0000F9130000}"/>
    <cellStyle name="Vírgula 2 10" xfId="3062" xr:uid="{00000000-0005-0000-0000-0000FA130000}"/>
    <cellStyle name="Vírgula 2 10 2" xfId="3035" xr:uid="{00000000-0005-0000-0000-0000FB130000}"/>
    <cellStyle name="Vírgula 2 10 2 2" xfId="5730" xr:uid="{00000000-0005-0000-0000-0000FC130000}"/>
    <cellStyle name="Vírgula 2 10 2 2 2" xfId="5897" xr:uid="{00000000-0005-0000-0000-0000FD130000}"/>
    <cellStyle name="Vírgula 2 10 2 2 3" xfId="5911" xr:uid="{00000000-0005-0000-0000-0000FE130000}"/>
    <cellStyle name="Vírgula 2 10 2 3" xfId="5890" xr:uid="{00000000-0005-0000-0000-0000FF130000}"/>
    <cellStyle name="Vírgula 2 10 2 4" xfId="5904" xr:uid="{00000000-0005-0000-0000-000000140000}"/>
    <cellStyle name="Vírgula 2 11" xfId="5847" xr:uid="{00000000-0005-0000-0000-000001140000}"/>
    <cellStyle name="Vírgula 2 12" xfId="5881" xr:uid="{00000000-0005-0000-0000-000002140000}"/>
    <cellStyle name="Vírgula 2 13" xfId="5902" xr:uid="{00000000-0005-0000-0000-000003140000}"/>
    <cellStyle name="Vírgula 2 2" xfId="72" xr:uid="{00000000-0005-0000-0000-000004140000}"/>
    <cellStyle name="Vírgula 2 2 2" xfId="460" xr:uid="{00000000-0005-0000-0000-000005140000}"/>
    <cellStyle name="Vírgula 2 2 2 2" xfId="525" xr:uid="{00000000-0005-0000-0000-000006140000}"/>
    <cellStyle name="Vírgula 2 2 2 2 2" xfId="699" xr:uid="{00000000-0005-0000-0000-000007140000}"/>
    <cellStyle name="Vírgula 2 2 2 2 2 2" xfId="1036" xr:uid="{00000000-0005-0000-0000-000008140000}"/>
    <cellStyle name="Vírgula 2 2 2 2 2 2 2" xfId="1803" xr:uid="{00000000-0005-0000-0000-000009140000}"/>
    <cellStyle name="Vírgula 2 2 2 2 2 2 2 2" xfId="2996" xr:uid="{00000000-0005-0000-0000-00000A140000}"/>
    <cellStyle name="Vírgula 2 2 2 2 2 2 2 2 2" xfId="5692" xr:uid="{00000000-0005-0000-0000-00000B140000}"/>
    <cellStyle name="Vírgula 2 2 2 2 2 2 2 3" xfId="4499" xr:uid="{00000000-0005-0000-0000-00000C140000}"/>
    <cellStyle name="Vírgula 2 2 2 2 2 2 3" xfId="2496" xr:uid="{00000000-0005-0000-0000-00000D140000}"/>
    <cellStyle name="Vírgula 2 2 2 2 2 2 3 2" xfId="5192" xr:uid="{00000000-0005-0000-0000-00000E140000}"/>
    <cellStyle name="Vírgula 2 2 2 2 2 2 4" xfId="3733" xr:uid="{00000000-0005-0000-0000-00000F140000}"/>
    <cellStyle name="Vírgula 2 2 2 2 2 3" xfId="1466" xr:uid="{00000000-0005-0000-0000-000010140000}"/>
    <cellStyle name="Vírgula 2 2 2 2 2 3 2" xfId="2746" xr:uid="{00000000-0005-0000-0000-000011140000}"/>
    <cellStyle name="Vírgula 2 2 2 2 2 3 2 2" xfId="5442" xr:uid="{00000000-0005-0000-0000-000012140000}"/>
    <cellStyle name="Vírgula 2 2 2 2 2 3 3" xfId="4162" xr:uid="{00000000-0005-0000-0000-000013140000}"/>
    <cellStyle name="Vírgula 2 2 2 2 2 4" xfId="2246" xr:uid="{00000000-0005-0000-0000-000014140000}"/>
    <cellStyle name="Vírgula 2 2 2 2 2 4 2" xfId="4942" xr:uid="{00000000-0005-0000-0000-000015140000}"/>
    <cellStyle name="Vírgula 2 2 2 2 2 5" xfId="3396" xr:uid="{00000000-0005-0000-0000-000016140000}"/>
    <cellStyle name="Vírgula 2 2 2 2 3" xfId="863" xr:uid="{00000000-0005-0000-0000-000017140000}"/>
    <cellStyle name="Vírgula 2 2 2 2 3 2" xfId="1630" xr:uid="{00000000-0005-0000-0000-000018140000}"/>
    <cellStyle name="Vírgula 2 2 2 2 3 2 2" xfId="2871" xr:uid="{00000000-0005-0000-0000-000019140000}"/>
    <cellStyle name="Vírgula 2 2 2 2 3 2 2 2" xfId="5567" xr:uid="{00000000-0005-0000-0000-00001A140000}"/>
    <cellStyle name="Vírgula 2 2 2 2 3 2 3" xfId="4326" xr:uid="{00000000-0005-0000-0000-00001B140000}"/>
    <cellStyle name="Vírgula 2 2 2 2 3 3" xfId="2371" xr:uid="{00000000-0005-0000-0000-00001C140000}"/>
    <cellStyle name="Vírgula 2 2 2 2 3 3 2" xfId="5067" xr:uid="{00000000-0005-0000-0000-00001D140000}"/>
    <cellStyle name="Vírgula 2 2 2 2 3 4" xfId="3560" xr:uid="{00000000-0005-0000-0000-00001E140000}"/>
    <cellStyle name="Vírgula 2 2 2 2 4" xfId="1293" xr:uid="{00000000-0005-0000-0000-00001F140000}"/>
    <cellStyle name="Vírgula 2 2 2 2 4 2" xfId="2621" xr:uid="{00000000-0005-0000-0000-000020140000}"/>
    <cellStyle name="Vírgula 2 2 2 2 4 2 2" xfId="5317" xr:uid="{00000000-0005-0000-0000-000021140000}"/>
    <cellStyle name="Vírgula 2 2 2 2 4 3" xfId="3989" xr:uid="{00000000-0005-0000-0000-000022140000}"/>
    <cellStyle name="Vírgula 2 2 2 2 5" xfId="2121" xr:uid="{00000000-0005-0000-0000-000023140000}"/>
    <cellStyle name="Vírgula 2 2 2 2 5 2" xfId="4817" xr:uid="{00000000-0005-0000-0000-000024140000}"/>
    <cellStyle name="Vírgula 2 2 2 2 6" xfId="3223" xr:uid="{00000000-0005-0000-0000-000025140000}"/>
    <cellStyle name="Vírgula 2 2 2 3" xfId="636" xr:uid="{00000000-0005-0000-0000-000026140000}"/>
    <cellStyle name="Vírgula 2 2 2 3 2" xfId="973" xr:uid="{00000000-0005-0000-0000-000027140000}"/>
    <cellStyle name="Vírgula 2 2 2 3 2 2" xfId="1740" xr:uid="{00000000-0005-0000-0000-000028140000}"/>
    <cellStyle name="Vírgula 2 2 2 3 2 2 2" xfId="2934" xr:uid="{00000000-0005-0000-0000-000029140000}"/>
    <cellStyle name="Vírgula 2 2 2 3 2 2 2 2" xfId="5630" xr:uid="{00000000-0005-0000-0000-00002A140000}"/>
    <cellStyle name="Vírgula 2 2 2 3 2 2 3" xfId="4436" xr:uid="{00000000-0005-0000-0000-00002B140000}"/>
    <cellStyle name="Vírgula 2 2 2 3 2 3" xfId="2434" xr:uid="{00000000-0005-0000-0000-00002C140000}"/>
    <cellStyle name="Vírgula 2 2 2 3 2 3 2" xfId="5130" xr:uid="{00000000-0005-0000-0000-00002D140000}"/>
    <cellStyle name="Vírgula 2 2 2 3 2 4" xfId="3670" xr:uid="{00000000-0005-0000-0000-00002E140000}"/>
    <cellStyle name="Vírgula 2 2 2 3 3" xfId="1403" xr:uid="{00000000-0005-0000-0000-00002F140000}"/>
    <cellStyle name="Vírgula 2 2 2 3 3 2" xfId="2684" xr:uid="{00000000-0005-0000-0000-000030140000}"/>
    <cellStyle name="Vírgula 2 2 2 3 3 2 2" xfId="5380" xr:uid="{00000000-0005-0000-0000-000031140000}"/>
    <cellStyle name="Vírgula 2 2 2 3 3 3" xfId="4099" xr:uid="{00000000-0005-0000-0000-000032140000}"/>
    <cellStyle name="Vírgula 2 2 2 3 4" xfId="2184" xr:uid="{00000000-0005-0000-0000-000033140000}"/>
    <cellStyle name="Vírgula 2 2 2 3 4 2" xfId="4880" xr:uid="{00000000-0005-0000-0000-000034140000}"/>
    <cellStyle name="Vírgula 2 2 2 3 5" xfId="3333" xr:uid="{00000000-0005-0000-0000-000035140000}"/>
    <cellStyle name="Vírgula 2 2 2 4" xfId="799" xr:uid="{00000000-0005-0000-0000-000036140000}"/>
    <cellStyle name="Vírgula 2 2 2 4 2" xfId="1566" xr:uid="{00000000-0005-0000-0000-000037140000}"/>
    <cellStyle name="Vírgula 2 2 2 4 2 2" xfId="2809" xr:uid="{00000000-0005-0000-0000-000038140000}"/>
    <cellStyle name="Vírgula 2 2 2 4 2 2 2" xfId="5505" xr:uid="{00000000-0005-0000-0000-000039140000}"/>
    <cellStyle name="Vírgula 2 2 2 4 2 3" xfId="4262" xr:uid="{00000000-0005-0000-0000-00003A140000}"/>
    <cellStyle name="Vírgula 2 2 2 4 3" xfId="2309" xr:uid="{00000000-0005-0000-0000-00003B140000}"/>
    <cellStyle name="Vírgula 2 2 2 4 3 2" xfId="5005" xr:uid="{00000000-0005-0000-0000-00003C140000}"/>
    <cellStyle name="Vírgula 2 2 2 4 4" xfId="3496" xr:uid="{00000000-0005-0000-0000-00003D140000}"/>
    <cellStyle name="Vírgula 2 2 2 5" xfId="1230" xr:uid="{00000000-0005-0000-0000-00003E140000}"/>
    <cellStyle name="Vírgula 2 2 2 5 2" xfId="2559" xr:uid="{00000000-0005-0000-0000-00003F140000}"/>
    <cellStyle name="Vírgula 2 2 2 5 2 2" xfId="5255" xr:uid="{00000000-0005-0000-0000-000040140000}"/>
    <cellStyle name="Vírgula 2 2 2 5 3" xfId="3926" xr:uid="{00000000-0005-0000-0000-000041140000}"/>
    <cellStyle name="Vírgula 2 2 2 6" xfId="2059" xr:uid="{00000000-0005-0000-0000-000042140000}"/>
    <cellStyle name="Vírgula 2 2 2 6 2" xfId="4755" xr:uid="{00000000-0005-0000-0000-000043140000}"/>
    <cellStyle name="Vírgula 2 2 2 7" xfId="3159" xr:uid="{00000000-0005-0000-0000-000044140000}"/>
    <cellStyle name="Vírgula 2 2 3" xfId="260" xr:uid="{00000000-0005-0000-0000-000045140000}"/>
    <cellStyle name="Vírgula 2 2 3 2" xfId="2003" xr:uid="{00000000-0005-0000-0000-000046140000}"/>
    <cellStyle name="Vírgula 2 2 3 2 2" xfId="4699" xr:uid="{00000000-0005-0000-0000-000047140000}"/>
    <cellStyle name="Vírgula 2 2 3 3" xfId="3102" xr:uid="{00000000-0005-0000-0000-000048140000}"/>
    <cellStyle name="Vírgula 2 2 4" xfId="1977" xr:uid="{00000000-0005-0000-0000-000049140000}"/>
    <cellStyle name="Vírgula 2 2 4 2" xfId="4673" xr:uid="{00000000-0005-0000-0000-00004A140000}"/>
    <cellStyle name="Vírgula 2 2 5" xfId="3046" xr:uid="{00000000-0005-0000-0000-00004B140000}"/>
    <cellStyle name="Vírgula 2 2 5 2" xfId="5735" xr:uid="{00000000-0005-0000-0000-00004C140000}"/>
    <cellStyle name="Vírgula 2 2 6" xfId="3069" xr:uid="{00000000-0005-0000-0000-00004D140000}"/>
    <cellStyle name="Vírgula 2 2 7" xfId="5848" xr:uid="{00000000-0005-0000-0000-00004E140000}"/>
    <cellStyle name="Vírgula 2 2 8" xfId="5892" xr:uid="{00000000-0005-0000-0000-00004F140000}"/>
    <cellStyle name="Vírgula 2 2 9" xfId="5906" xr:uid="{00000000-0005-0000-0000-000050140000}"/>
    <cellStyle name="Vírgula 2 3" xfId="427" xr:uid="{00000000-0005-0000-0000-000051140000}"/>
    <cellStyle name="Vírgula 2 3 2" xfId="3037" xr:uid="{00000000-0005-0000-0000-000052140000}"/>
    <cellStyle name="Vírgula 2 3 2 2" xfId="5732" xr:uid="{00000000-0005-0000-0000-000053140000}"/>
    <cellStyle name="Vírgula 2 3 2 3" xfId="5878" xr:uid="{00000000-0005-0000-0000-000054140000}"/>
    <cellStyle name="Vírgula 2 3 2 4" xfId="5899" xr:uid="{00000000-0005-0000-0000-000055140000}"/>
    <cellStyle name="Vírgula 2 3 3" xfId="5849" xr:uid="{00000000-0005-0000-0000-000056140000}"/>
    <cellStyle name="Vírgula 2 4" xfId="449" xr:uid="{00000000-0005-0000-0000-000057140000}"/>
    <cellStyle name="Vírgula 2 4 2" xfId="513" xr:uid="{00000000-0005-0000-0000-000058140000}"/>
    <cellStyle name="Vírgula 2 4 2 2" xfId="687" xr:uid="{00000000-0005-0000-0000-000059140000}"/>
    <cellStyle name="Vírgula 2 4 2 2 2" xfId="1024" xr:uid="{00000000-0005-0000-0000-00005A140000}"/>
    <cellStyle name="Vírgula 2 4 2 2 2 2" xfId="1791" xr:uid="{00000000-0005-0000-0000-00005B140000}"/>
    <cellStyle name="Vírgula 2 4 2 2 2 2 2" xfId="2984" xr:uid="{00000000-0005-0000-0000-00005C140000}"/>
    <cellStyle name="Vírgula 2 4 2 2 2 2 2 2" xfId="5680" xr:uid="{00000000-0005-0000-0000-00005D140000}"/>
    <cellStyle name="Vírgula 2 4 2 2 2 2 3" xfId="4487" xr:uid="{00000000-0005-0000-0000-00005E140000}"/>
    <cellStyle name="Vírgula 2 4 2 2 2 3" xfId="2484" xr:uid="{00000000-0005-0000-0000-00005F140000}"/>
    <cellStyle name="Vírgula 2 4 2 2 2 3 2" xfId="5180" xr:uid="{00000000-0005-0000-0000-000060140000}"/>
    <cellStyle name="Vírgula 2 4 2 2 2 4" xfId="3721" xr:uid="{00000000-0005-0000-0000-000061140000}"/>
    <cellStyle name="Vírgula 2 4 2 2 3" xfId="1454" xr:uid="{00000000-0005-0000-0000-000062140000}"/>
    <cellStyle name="Vírgula 2 4 2 2 3 2" xfId="2734" xr:uid="{00000000-0005-0000-0000-000063140000}"/>
    <cellStyle name="Vírgula 2 4 2 2 3 2 2" xfId="5430" xr:uid="{00000000-0005-0000-0000-000064140000}"/>
    <cellStyle name="Vírgula 2 4 2 2 3 3" xfId="4150" xr:uid="{00000000-0005-0000-0000-000065140000}"/>
    <cellStyle name="Vírgula 2 4 2 2 4" xfId="2234" xr:uid="{00000000-0005-0000-0000-000066140000}"/>
    <cellStyle name="Vírgula 2 4 2 2 4 2" xfId="4930" xr:uid="{00000000-0005-0000-0000-000067140000}"/>
    <cellStyle name="Vírgula 2 4 2 2 5" xfId="3384" xr:uid="{00000000-0005-0000-0000-000068140000}"/>
    <cellStyle name="Vírgula 2 4 2 3" xfId="851" xr:uid="{00000000-0005-0000-0000-000069140000}"/>
    <cellStyle name="Vírgula 2 4 2 3 2" xfId="1618" xr:uid="{00000000-0005-0000-0000-00006A140000}"/>
    <cellStyle name="Vírgula 2 4 2 3 2 2" xfId="2859" xr:uid="{00000000-0005-0000-0000-00006B140000}"/>
    <cellStyle name="Vírgula 2 4 2 3 2 2 2" xfId="5555" xr:uid="{00000000-0005-0000-0000-00006C140000}"/>
    <cellStyle name="Vírgula 2 4 2 3 2 3" xfId="4314" xr:uid="{00000000-0005-0000-0000-00006D140000}"/>
    <cellStyle name="Vírgula 2 4 2 3 3" xfId="2359" xr:uid="{00000000-0005-0000-0000-00006E140000}"/>
    <cellStyle name="Vírgula 2 4 2 3 3 2" xfId="5055" xr:uid="{00000000-0005-0000-0000-00006F140000}"/>
    <cellStyle name="Vírgula 2 4 2 3 4" xfId="3548" xr:uid="{00000000-0005-0000-0000-000070140000}"/>
    <cellStyle name="Vírgula 2 4 2 4" xfId="1281" xr:uid="{00000000-0005-0000-0000-000071140000}"/>
    <cellStyle name="Vírgula 2 4 2 4 2" xfId="2609" xr:uid="{00000000-0005-0000-0000-000072140000}"/>
    <cellStyle name="Vírgula 2 4 2 4 2 2" xfId="5305" xr:uid="{00000000-0005-0000-0000-000073140000}"/>
    <cellStyle name="Vírgula 2 4 2 4 3" xfId="3977" xr:uid="{00000000-0005-0000-0000-000074140000}"/>
    <cellStyle name="Vírgula 2 4 2 5" xfId="2109" xr:uid="{00000000-0005-0000-0000-000075140000}"/>
    <cellStyle name="Vírgula 2 4 2 5 2" xfId="4805" xr:uid="{00000000-0005-0000-0000-000076140000}"/>
    <cellStyle name="Vírgula 2 4 2 6" xfId="3211" xr:uid="{00000000-0005-0000-0000-000077140000}"/>
    <cellStyle name="Vírgula 2 4 3" xfId="624" xr:uid="{00000000-0005-0000-0000-000078140000}"/>
    <cellStyle name="Vírgula 2 4 3 2" xfId="961" xr:uid="{00000000-0005-0000-0000-000079140000}"/>
    <cellStyle name="Vírgula 2 4 3 2 2" xfId="1728" xr:uid="{00000000-0005-0000-0000-00007A140000}"/>
    <cellStyle name="Vírgula 2 4 3 2 2 2" xfId="2922" xr:uid="{00000000-0005-0000-0000-00007B140000}"/>
    <cellStyle name="Vírgula 2 4 3 2 2 2 2" xfId="5618" xr:uid="{00000000-0005-0000-0000-00007C140000}"/>
    <cellStyle name="Vírgula 2 4 3 2 2 3" xfId="4424" xr:uid="{00000000-0005-0000-0000-00007D140000}"/>
    <cellStyle name="Vírgula 2 4 3 2 3" xfId="2422" xr:uid="{00000000-0005-0000-0000-00007E140000}"/>
    <cellStyle name="Vírgula 2 4 3 2 3 2" xfId="5118" xr:uid="{00000000-0005-0000-0000-00007F140000}"/>
    <cellStyle name="Vírgula 2 4 3 2 4" xfId="3658" xr:uid="{00000000-0005-0000-0000-000080140000}"/>
    <cellStyle name="Vírgula 2 4 3 3" xfId="1391" xr:uid="{00000000-0005-0000-0000-000081140000}"/>
    <cellStyle name="Vírgula 2 4 3 3 2" xfId="2672" xr:uid="{00000000-0005-0000-0000-000082140000}"/>
    <cellStyle name="Vírgula 2 4 3 3 2 2" xfId="5368" xr:uid="{00000000-0005-0000-0000-000083140000}"/>
    <cellStyle name="Vírgula 2 4 3 3 3" xfId="4087" xr:uid="{00000000-0005-0000-0000-000084140000}"/>
    <cellStyle name="Vírgula 2 4 3 4" xfId="2172" xr:uid="{00000000-0005-0000-0000-000085140000}"/>
    <cellStyle name="Vírgula 2 4 3 4 2" xfId="4868" xr:uid="{00000000-0005-0000-0000-000086140000}"/>
    <cellStyle name="Vírgula 2 4 3 5" xfId="3321" xr:uid="{00000000-0005-0000-0000-000087140000}"/>
    <cellStyle name="Vírgula 2 4 4" xfId="787" xr:uid="{00000000-0005-0000-0000-000088140000}"/>
    <cellStyle name="Vírgula 2 4 4 2" xfId="1554" xr:uid="{00000000-0005-0000-0000-000089140000}"/>
    <cellStyle name="Vírgula 2 4 4 2 2" xfId="2797" xr:uid="{00000000-0005-0000-0000-00008A140000}"/>
    <cellStyle name="Vírgula 2 4 4 2 2 2" xfId="5493" xr:uid="{00000000-0005-0000-0000-00008B140000}"/>
    <cellStyle name="Vírgula 2 4 4 2 3" xfId="4250" xr:uid="{00000000-0005-0000-0000-00008C140000}"/>
    <cellStyle name="Vírgula 2 4 4 3" xfId="2297" xr:uid="{00000000-0005-0000-0000-00008D140000}"/>
    <cellStyle name="Vírgula 2 4 4 3 2" xfId="4993" xr:uid="{00000000-0005-0000-0000-00008E140000}"/>
    <cellStyle name="Vírgula 2 4 4 4" xfId="3484" xr:uid="{00000000-0005-0000-0000-00008F140000}"/>
    <cellStyle name="Vírgula 2 4 5" xfId="1218" xr:uid="{00000000-0005-0000-0000-000090140000}"/>
    <cellStyle name="Vírgula 2 4 5 2" xfId="2547" xr:uid="{00000000-0005-0000-0000-000091140000}"/>
    <cellStyle name="Vírgula 2 4 5 2 2" xfId="5243" xr:uid="{00000000-0005-0000-0000-000092140000}"/>
    <cellStyle name="Vírgula 2 4 5 3" xfId="3914" xr:uid="{00000000-0005-0000-0000-000093140000}"/>
    <cellStyle name="Vírgula 2 4 6" xfId="2048" xr:uid="{00000000-0005-0000-0000-000094140000}"/>
    <cellStyle name="Vírgula 2 4 6 2" xfId="4744" xr:uid="{00000000-0005-0000-0000-000095140000}"/>
    <cellStyle name="Vírgula 2 4 7" xfId="3148" xr:uid="{00000000-0005-0000-0000-000096140000}"/>
    <cellStyle name="Vírgula 2 4 8" xfId="5850" xr:uid="{00000000-0005-0000-0000-000097140000}"/>
    <cellStyle name="Vírgula 2 5" xfId="498" xr:uid="{00000000-0005-0000-0000-000098140000}"/>
    <cellStyle name="Vírgula 2 5 2" xfId="673" xr:uid="{00000000-0005-0000-0000-000099140000}"/>
    <cellStyle name="Vírgula 2 5 2 2" xfId="1010" xr:uid="{00000000-0005-0000-0000-00009A140000}"/>
    <cellStyle name="Vírgula 2 5 2 2 2" xfId="1777" xr:uid="{00000000-0005-0000-0000-00009B140000}"/>
    <cellStyle name="Vírgula 2 5 2 2 2 2" xfId="2970" xr:uid="{00000000-0005-0000-0000-00009C140000}"/>
    <cellStyle name="Vírgula 2 5 2 2 2 2 2" xfId="5666" xr:uid="{00000000-0005-0000-0000-00009D140000}"/>
    <cellStyle name="Vírgula 2 5 2 2 2 3" xfId="4473" xr:uid="{00000000-0005-0000-0000-00009E140000}"/>
    <cellStyle name="Vírgula 2 5 2 2 3" xfId="2470" xr:uid="{00000000-0005-0000-0000-00009F140000}"/>
    <cellStyle name="Vírgula 2 5 2 2 3 2" xfId="5166" xr:uid="{00000000-0005-0000-0000-0000A0140000}"/>
    <cellStyle name="Vírgula 2 5 2 2 4" xfId="3707" xr:uid="{00000000-0005-0000-0000-0000A1140000}"/>
    <cellStyle name="Vírgula 2 5 2 3" xfId="1440" xr:uid="{00000000-0005-0000-0000-0000A2140000}"/>
    <cellStyle name="Vírgula 2 5 2 3 2" xfId="2720" xr:uid="{00000000-0005-0000-0000-0000A3140000}"/>
    <cellStyle name="Vírgula 2 5 2 3 2 2" xfId="5416" xr:uid="{00000000-0005-0000-0000-0000A4140000}"/>
    <cellStyle name="Vírgula 2 5 2 3 3" xfId="4136" xr:uid="{00000000-0005-0000-0000-0000A5140000}"/>
    <cellStyle name="Vírgula 2 5 2 4" xfId="2220" xr:uid="{00000000-0005-0000-0000-0000A6140000}"/>
    <cellStyle name="Vírgula 2 5 2 4 2" xfId="4916" xr:uid="{00000000-0005-0000-0000-0000A7140000}"/>
    <cellStyle name="Vírgula 2 5 2 5" xfId="3370" xr:uid="{00000000-0005-0000-0000-0000A8140000}"/>
    <cellStyle name="Vírgula 2 5 3" xfId="836" xr:uid="{00000000-0005-0000-0000-0000A9140000}"/>
    <cellStyle name="Vírgula 2 5 3 2" xfId="1603" xr:uid="{00000000-0005-0000-0000-0000AA140000}"/>
    <cellStyle name="Vírgula 2 5 3 2 2" xfId="2845" xr:uid="{00000000-0005-0000-0000-0000AB140000}"/>
    <cellStyle name="Vírgula 2 5 3 2 2 2" xfId="5541" xr:uid="{00000000-0005-0000-0000-0000AC140000}"/>
    <cellStyle name="Vírgula 2 5 3 2 3" xfId="4299" xr:uid="{00000000-0005-0000-0000-0000AD140000}"/>
    <cellStyle name="Vírgula 2 5 3 3" xfId="2345" xr:uid="{00000000-0005-0000-0000-0000AE140000}"/>
    <cellStyle name="Vírgula 2 5 3 3 2" xfId="5041" xr:uid="{00000000-0005-0000-0000-0000AF140000}"/>
    <cellStyle name="Vírgula 2 5 3 4" xfId="3533" xr:uid="{00000000-0005-0000-0000-0000B0140000}"/>
    <cellStyle name="Vírgula 2 5 4" xfId="1266" xr:uid="{00000000-0005-0000-0000-0000B1140000}"/>
    <cellStyle name="Vírgula 2 5 4 2" xfId="2595" xr:uid="{00000000-0005-0000-0000-0000B2140000}"/>
    <cellStyle name="Vírgula 2 5 4 2 2" xfId="5291" xr:uid="{00000000-0005-0000-0000-0000B3140000}"/>
    <cellStyle name="Vírgula 2 5 4 3" xfId="3962" xr:uid="{00000000-0005-0000-0000-0000B4140000}"/>
    <cellStyle name="Vírgula 2 5 5" xfId="2095" xr:uid="{00000000-0005-0000-0000-0000B5140000}"/>
    <cellStyle name="Vírgula 2 5 5 2" xfId="4791" xr:uid="{00000000-0005-0000-0000-0000B6140000}"/>
    <cellStyle name="Vírgula 2 5 6" xfId="3196" xr:uid="{00000000-0005-0000-0000-0000B7140000}"/>
    <cellStyle name="Vírgula 2 5 7" xfId="5851" xr:uid="{00000000-0005-0000-0000-0000B8140000}"/>
    <cellStyle name="Vírgula 2 6" xfId="575" xr:uid="{00000000-0005-0000-0000-0000B9140000}"/>
    <cellStyle name="Vírgula 2 6 2" xfId="912" xr:uid="{00000000-0005-0000-0000-0000BA140000}"/>
    <cellStyle name="Vírgula 2 6 2 2" xfId="1679" xr:uid="{00000000-0005-0000-0000-0000BB140000}"/>
    <cellStyle name="Vírgula 2 6 2 2 2" xfId="2908" xr:uid="{00000000-0005-0000-0000-0000BC140000}"/>
    <cellStyle name="Vírgula 2 6 2 2 2 2" xfId="5604" xr:uid="{00000000-0005-0000-0000-0000BD140000}"/>
    <cellStyle name="Vírgula 2 6 2 2 3" xfId="4375" xr:uid="{00000000-0005-0000-0000-0000BE140000}"/>
    <cellStyle name="Vírgula 2 6 2 3" xfId="2408" xr:uid="{00000000-0005-0000-0000-0000BF140000}"/>
    <cellStyle name="Vírgula 2 6 2 3 2" xfId="5104" xr:uid="{00000000-0005-0000-0000-0000C0140000}"/>
    <cellStyle name="Vírgula 2 6 2 4" xfId="3609" xr:uid="{00000000-0005-0000-0000-0000C1140000}"/>
    <cellStyle name="Vírgula 2 6 3" xfId="1342" xr:uid="{00000000-0005-0000-0000-0000C2140000}"/>
    <cellStyle name="Vírgula 2 6 3 2" xfId="2658" xr:uid="{00000000-0005-0000-0000-0000C3140000}"/>
    <cellStyle name="Vírgula 2 6 3 2 2" xfId="5354" xr:uid="{00000000-0005-0000-0000-0000C4140000}"/>
    <cellStyle name="Vírgula 2 6 3 3" xfId="4038" xr:uid="{00000000-0005-0000-0000-0000C5140000}"/>
    <cellStyle name="Vírgula 2 6 4" xfId="2158" xr:uid="{00000000-0005-0000-0000-0000C6140000}"/>
    <cellStyle name="Vírgula 2 6 4 2" xfId="4854" xr:uid="{00000000-0005-0000-0000-0000C7140000}"/>
    <cellStyle name="Vírgula 2 6 5" xfId="3272" xr:uid="{00000000-0005-0000-0000-0000C8140000}"/>
    <cellStyle name="Vírgula 2 7" xfId="769" xr:uid="{00000000-0005-0000-0000-0000C9140000}"/>
    <cellStyle name="Vírgula 2 7 2" xfId="1536" xr:uid="{00000000-0005-0000-0000-0000CA140000}"/>
    <cellStyle name="Vírgula 2 7 2 2" xfId="2783" xr:uid="{00000000-0005-0000-0000-0000CB140000}"/>
    <cellStyle name="Vírgula 2 7 2 2 2" xfId="5479" xr:uid="{00000000-0005-0000-0000-0000CC140000}"/>
    <cellStyle name="Vírgula 2 7 2 3" xfId="4232" xr:uid="{00000000-0005-0000-0000-0000CD140000}"/>
    <cellStyle name="Vírgula 2 7 3" xfId="2283" xr:uid="{00000000-0005-0000-0000-0000CE140000}"/>
    <cellStyle name="Vírgula 2 7 3 2" xfId="4979" xr:uid="{00000000-0005-0000-0000-0000CF140000}"/>
    <cellStyle name="Vírgula 2 7 4" xfId="3466" xr:uid="{00000000-0005-0000-0000-0000D0140000}"/>
    <cellStyle name="Vírgula 2 8" xfId="1202" xr:uid="{00000000-0005-0000-0000-0000D1140000}"/>
    <cellStyle name="Vírgula 2 8 2" xfId="2533" xr:uid="{00000000-0005-0000-0000-0000D2140000}"/>
    <cellStyle name="Vírgula 2 8 2 2" xfId="5229" xr:uid="{00000000-0005-0000-0000-0000D3140000}"/>
    <cellStyle name="Vírgula 2 8 3" xfId="3898" xr:uid="{00000000-0005-0000-0000-0000D4140000}"/>
    <cellStyle name="Vírgula 2 9" xfId="1971" xr:uid="{00000000-0005-0000-0000-0000D5140000}"/>
    <cellStyle name="Vírgula 2 9 2" xfId="4667" xr:uid="{00000000-0005-0000-0000-0000D6140000}"/>
    <cellStyle name="Vírgula 3" xfId="60" xr:uid="{00000000-0005-0000-0000-0000D7140000}"/>
    <cellStyle name="Vírgula 3 2" xfId="74" xr:uid="{00000000-0005-0000-0000-0000D8140000}"/>
    <cellStyle name="Vírgula 3 2 2" xfId="514" xr:uid="{00000000-0005-0000-0000-0000D9140000}"/>
    <cellStyle name="Vírgula 3 2 2 2" xfId="688" xr:uid="{00000000-0005-0000-0000-0000DA140000}"/>
    <cellStyle name="Vírgula 3 2 2 2 2" xfId="1025" xr:uid="{00000000-0005-0000-0000-0000DB140000}"/>
    <cellStyle name="Vírgula 3 2 2 2 2 2" xfId="1792" xr:uid="{00000000-0005-0000-0000-0000DC140000}"/>
    <cellStyle name="Vírgula 3 2 2 2 2 2 2" xfId="2985" xr:uid="{00000000-0005-0000-0000-0000DD140000}"/>
    <cellStyle name="Vírgula 3 2 2 2 2 2 2 2" xfId="5681" xr:uid="{00000000-0005-0000-0000-0000DE140000}"/>
    <cellStyle name="Vírgula 3 2 2 2 2 2 3" xfId="4488" xr:uid="{00000000-0005-0000-0000-0000DF140000}"/>
    <cellStyle name="Vírgula 3 2 2 2 2 3" xfId="2485" xr:uid="{00000000-0005-0000-0000-0000E0140000}"/>
    <cellStyle name="Vírgula 3 2 2 2 2 3 2" xfId="5181" xr:uid="{00000000-0005-0000-0000-0000E1140000}"/>
    <cellStyle name="Vírgula 3 2 2 2 2 4" xfId="3722" xr:uid="{00000000-0005-0000-0000-0000E2140000}"/>
    <cellStyle name="Vírgula 3 2 2 2 3" xfId="1455" xr:uid="{00000000-0005-0000-0000-0000E3140000}"/>
    <cellStyle name="Vírgula 3 2 2 2 3 2" xfId="2735" xr:uid="{00000000-0005-0000-0000-0000E4140000}"/>
    <cellStyle name="Vírgula 3 2 2 2 3 2 2" xfId="5431" xr:uid="{00000000-0005-0000-0000-0000E5140000}"/>
    <cellStyle name="Vírgula 3 2 2 2 3 3" xfId="4151" xr:uid="{00000000-0005-0000-0000-0000E6140000}"/>
    <cellStyle name="Vírgula 3 2 2 2 4" xfId="2235" xr:uid="{00000000-0005-0000-0000-0000E7140000}"/>
    <cellStyle name="Vírgula 3 2 2 2 4 2" xfId="4931" xr:uid="{00000000-0005-0000-0000-0000E8140000}"/>
    <cellStyle name="Vírgula 3 2 2 2 5" xfId="3385" xr:uid="{00000000-0005-0000-0000-0000E9140000}"/>
    <cellStyle name="Vírgula 3 2 2 3" xfId="852" xr:uid="{00000000-0005-0000-0000-0000EA140000}"/>
    <cellStyle name="Vírgula 3 2 2 3 2" xfId="1619" xr:uid="{00000000-0005-0000-0000-0000EB140000}"/>
    <cellStyle name="Vírgula 3 2 2 3 2 2" xfId="2860" xr:uid="{00000000-0005-0000-0000-0000EC140000}"/>
    <cellStyle name="Vírgula 3 2 2 3 2 2 2" xfId="5556" xr:uid="{00000000-0005-0000-0000-0000ED140000}"/>
    <cellStyle name="Vírgula 3 2 2 3 2 3" xfId="4315" xr:uid="{00000000-0005-0000-0000-0000EE140000}"/>
    <cellStyle name="Vírgula 3 2 2 3 3" xfId="2360" xr:uid="{00000000-0005-0000-0000-0000EF140000}"/>
    <cellStyle name="Vírgula 3 2 2 3 3 2" xfId="5056" xr:uid="{00000000-0005-0000-0000-0000F0140000}"/>
    <cellStyle name="Vírgula 3 2 2 3 4" xfId="3549" xr:uid="{00000000-0005-0000-0000-0000F1140000}"/>
    <cellStyle name="Vírgula 3 2 2 4" xfId="1282" xr:uid="{00000000-0005-0000-0000-0000F2140000}"/>
    <cellStyle name="Vírgula 3 2 2 4 2" xfId="2610" xr:uid="{00000000-0005-0000-0000-0000F3140000}"/>
    <cellStyle name="Vírgula 3 2 2 4 2 2" xfId="5306" xr:uid="{00000000-0005-0000-0000-0000F4140000}"/>
    <cellStyle name="Vírgula 3 2 2 4 3" xfId="3978" xr:uid="{00000000-0005-0000-0000-0000F5140000}"/>
    <cellStyle name="Vírgula 3 2 2 5" xfId="2110" xr:uid="{00000000-0005-0000-0000-0000F6140000}"/>
    <cellStyle name="Vírgula 3 2 2 5 2" xfId="4806" xr:uid="{00000000-0005-0000-0000-0000F7140000}"/>
    <cellStyle name="Vírgula 3 2 2 6" xfId="3212" xr:uid="{00000000-0005-0000-0000-0000F8140000}"/>
    <cellStyle name="Vírgula 3 2 3" xfId="625" xr:uid="{00000000-0005-0000-0000-0000F9140000}"/>
    <cellStyle name="Vírgula 3 2 3 2" xfId="962" xr:uid="{00000000-0005-0000-0000-0000FA140000}"/>
    <cellStyle name="Vírgula 3 2 3 2 2" xfId="1729" xr:uid="{00000000-0005-0000-0000-0000FB140000}"/>
    <cellStyle name="Vírgula 3 2 3 2 2 2" xfId="2923" xr:uid="{00000000-0005-0000-0000-0000FC140000}"/>
    <cellStyle name="Vírgula 3 2 3 2 2 2 2" xfId="5619" xr:uid="{00000000-0005-0000-0000-0000FD140000}"/>
    <cellStyle name="Vírgula 3 2 3 2 2 3" xfId="4425" xr:uid="{00000000-0005-0000-0000-0000FE140000}"/>
    <cellStyle name="Vírgula 3 2 3 2 3" xfId="2423" xr:uid="{00000000-0005-0000-0000-0000FF140000}"/>
    <cellStyle name="Vírgula 3 2 3 2 3 2" xfId="5119" xr:uid="{00000000-0005-0000-0000-000000150000}"/>
    <cellStyle name="Vírgula 3 2 3 2 4" xfId="3659" xr:uid="{00000000-0005-0000-0000-000001150000}"/>
    <cellStyle name="Vírgula 3 2 3 3" xfId="1392" xr:uid="{00000000-0005-0000-0000-000002150000}"/>
    <cellStyle name="Vírgula 3 2 3 3 2" xfId="2673" xr:uid="{00000000-0005-0000-0000-000003150000}"/>
    <cellStyle name="Vírgula 3 2 3 3 2 2" xfId="5369" xr:uid="{00000000-0005-0000-0000-000004150000}"/>
    <cellStyle name="Vírgula 3 2 3 3 3" xfId="4088" xr:uid="{00000000-0005-0000-0000-000005150000}"/>
    <cellStyle name="Vírgula 3 2 3 4" xfId="2173" xr:uid="{00000000-0005-0000-0000-000006150000}"/>
    <cellStyle name="Vírgula 3 2 3 4 2" xfId="4869" xr:uid="{00000000-0005-0000-0000-000007150000}"/>
    <cellStyle name="Vírgula 3 2 3 5" xfId="3322" xr:uid="{00000000-0005-0000-0000-000008150000}"/>
    <cellStyle name="Vírgula 3 2 4" xfId="788" xr:uid="{00000000-0005-0000-0000-000009150000}"/>
    <cellStyle name="Vírgula 3 2 4 2" xfId="1555" xr:uid="{00000000-0005-0000-0000-00000A150000}"/>
    <cellStyle name="Vírgula 3 2 4 2 2" xfId="2798" xr:uid="{00000000-0005-0000-0000-00000B150000}"/>
    <cellStyle name="Vírgula 3 2 4 2 2 2" xfId="5494" xr:uid="{00000000-0005-0000-0000-00000C150000}"/>
    <cellStyle name="Vírgula 3 2 4 2 3" xfId="4251" xr:uid="{00000000-0005-0000-0000-00000D150000}"/>
    <cellStyle name="Vírgula 3 2 4 3" xfId="2298" xr:uid="{00000000-0005-0000-0000-00000E150000}"/>
    <cellStyle name="Vírgula 3 2 4 3 2" xfId="4994" xr:uid="{00000000-0005-0000-0000-00000F150000}"/>
    <cellStyle name="Vírgula 3 2 4 4" xfId="3485" xr:uid="{00000000-0005-0000-0000-000010150000}"/>
    <cellStyle name="Vírgula 3 2 5" xfId="1219" xr:uid="{00000000-0005-0000-0000-000011150000}"/>
    <cellStyle name="Vírgula 3 2 5 2" xfId="2548" xr:uid="{00000000-0005-0000-0000-000012150000}"/>
    <cellStyle name="Vírgula 3 2 5 2 2" xfId="5244" xr:uid="{00000000-0005-0000-0000-000013150000}"/>
    <cellStyle name="Vírgula 3 2 5 3" xfId="3915" xr:uid="{00000000-0005-0000-0000-000014150000}"/>
    <cellStyle name="Vírgula 3 2 6" xfId="1979" xr:uid="{00000000-0005-0000-0000-000015150000}"/>
    <cellStyle name="Vírgula 3 2 6 2" xfId="4675" xr:uid="{00000000-0005-0000-0000-000016150000}"/>
    <cellStyle name="Vírgula 3 2 7" xfId="3071" xr:uid="{00000000-0005-0000-0000-000017150000}"/>
    <cellStyle name="Vírgula 3 3" xfId="1973" xr:uid="{00000000-0005-0000-0000-000018150000}"/>
    <cellStyle name="Vírgula 3 3 2" xfId="4669" xr:uid="{00000000-0005-0000-0000-000019150000}"/>
    <cellStyle name="Vírgula 3 4" xfId="3064" xr:uid="{00000000-0005-0000-0000-00001A150000}"/>
    <cellStyle name="Vírgula 3 5" xfId="5891" xr:uid="{00000000-0005-0000-0000-00001B150000}"/>
    <cellStyle name="Vírgula 3 6" xfId="5905" xr:uid="{00000000-0005-0000-0000-00001C150000}"/>
    <cellStyle name="Vírgula 4" xfId="62" xr:uid="{00000000-0005-0000-0000-00001D150000}"/>
    <cellStyle name="Vírgula 4 2" xfId="450" xr:uid="{00000000-0005-0000-0000-00001E150000}"/>
    <cellStyle name="Vírgula 4 2 2" xfId="515" xr:uid="{00000000-0005-0000-0000-00001F150000}"/>
    <cellStyle name="Vírgula 4 2 2 2" xfId="689" xr:uid="{00000000-0005-0000-0000-000020150000}"/>
    <cellStyle name="Vírgula 4 2 2 2 2" xfId="1026" xr:uid="{00000000-0005-0000-0000-000021150000}"/>
    <cellStyle name="Vírgula 4 2 2 2 2 2" xfId="1793" xr:uid="{00000000-0005-0000-0000-000022150000}"/>
    <cellStyle name="Vírgula 4 2 2 2 2 2 2" xfId="2986" xr:uid="{00000000-0005-0000-0000-000023150000}"/>
    <cellStyle name="Vírgula 4 2 2 2 2 2 2 2" xfId="5682" xr:uid="{00000000-0005-0000-0000-000024150000}"/>
    <cellStyle name="Vírgula 4 2 2 2 2 2 3" xfId="4489" xr:uid="{00000000-0005-0000-0000-000025150000}"/>
    <cellStyle name="Vírgula 4 2 2 2 2 3" xfId="2486" xr:uid="{00000000-0005-0000-0000-000026150000}"/>
    <cellStyle name="Vírgula 4 2 2 2 2 3 2" xfId="5182" xr:uid="{00000000-0005-0000-0000-000027150000}"/>
    <cellStyle name="Vírgula 4 2 2 2 2 4" xfId="3723" xr:uid="{00000000-0005-0000-0000-000028150000}"/>
    <cellStyle name="Vírgula 4 2 2 2 3" xfId="1456" xr:uid="{00000000-0005-0000-0000-000029150000}"/>
    <cellStyle name="Vírgula 4 2 2 2 3 2" xfId="2736" xr:uid="{00000000-0005-0000-0000-00002A150000}"/>
    <cellStyle name="Vírgula 4 2 2 2 3 2 2" xfId="5432" xr:uid="{00000000-0005-0000-0000-00002B150000}"/>
    <cellStyle name="Vírgula 4 2 2 2 3 3" xfId="4152" xr:uid="{00000000-0005-0000-0000-00002C150000}"/>
    <cellStyle name="Vírgula 4 2 2 2 4" xfId="2236" xr:uid="{00000000-0005-0000-0000-00002D150000}"/>
    <cellStyle name="Vírgula 4 2 2 2 4 2" xfId="4932" xr:uid="{00000000-0005-0000-0000-00002E150000}"/>
    <cellStyle name="Vírgula 4 2 2 2 5" xfId="3386" xr:uid="{00000000-0005-0000-0000-00002F150000}"/>
    <cellStyle name="Vírgula 4 2 2 3" xfId="853" xr:uid="{00000000-0005-0000-0000-000030150000}"/>
    <cellStyle name="Vírgula 4 2 2 3 2" xfId="1620" xr:uid="{00000000-0005-0000-0000-000031150000}"/>
    <cellStyle name="Vírgula 4 2 2 3 2 2" xfId="2861" xr:uid="{00000000-0005-0000-0000-000032150000}"/>
    <cellStyle name="Vírgula 4 2 2 3 2 2 2" xfId="5557" xr:uid="{00000000-0005-0000-0000-000033150000}"/>
    <cellStyle name="Vírgula 4 2 2 3 2 3" xfId="4316" xr:uid="{00000000-0005-0000-0000-000034150000}"/>
    <cellStyle name="Vírgula 4 2 2 3 3" xfId="2361" xr:uid="{00000000-0005-0000-0000-000035150000}"/>
    <cellStyle name="Vírgula 4 2 2 3 3 2" xfId="5057" xr:uid="{00000000-0005-0000-0000-000036150000}"/>
    <cellStyle name="Vírgula 4 2 2 3 4" xfId="3550" xr:uid="{00000000-0005-0000-0000-000037150000}"/>
    <cellStyle name="Vírgula 4 2 2 4" xfId="1283" xr:uid="{00000000-0005-0000-0000-000038150000}"/>
    <cellStyle name="Vírgula 4 2 2 4 2" xfId="2611" xr:uid="{00000000-0005-0000-0000-000039150000}"/>
    <cellStyle name="Vírgula 4 2 2 4 2 2" xfId="5307" xr:uid="{00000000-0005-0000-0000-00003A150000}"/>
    <cellStyle name="Vírgula 4 2 2 4 3" xfId="3979" xr:uid="{00000000-0005-0000-0000-00003B150000}"/>
    <cellStyle name="Vírgula 4 2 2 5" xfId="2111" xr:uid="{00000000-0005-0000-0000-00003C150000}"/>
    <cellStyle name="Vírgula 4 2 2 5 2" xfId="4807" xr:uid="{00000000-0005-0000-0000-00003D150000}"/>
    <cellStyle name="Vírgula 4 2 2 6" xfId="3213" xr:uid="{00000000-0005-0000-0000-00003E150000}"/>
    <cellStyle name="Vírgula 4 2 3" xfId="626" xr:uid="{00000000-0005-0000-0000-00003F150000}"/>
    <cellStyle name="Vírgula 4 2 3 2" xfId="963" xr:uid="{00000000-0005-0000-0000-000040150000}"/>
    <cellStyle name="Vírgula 4 2 3 2 2" xfId="1730" xr:uid="{00000000-0005-0000-0000-000041150000}"/>
    <cellStyle name="Vírgula 4 2 3 2 2 2" xfId="2924" xr:uid="{00000000-0005-0000-0000-000042150000}"/>
    <cellStyle name="Vírgula 4 2 3 2 2 2 2" xfId="5620" xr:uid="{00000000-0005-0000-0000-000043150000}"/>
    <cellStyle name="Vírgula 4 2 3 2 2 3" xfId="4426" xr:uid="{00000000-0005-0000-0000-000044150000}"/>
    <cellStyle name="Vírgula 4 2 3 2 3" xfId="2424" xr:uid="{00000000-0005-0000-0000-000045150000}"/>
    <cellStyle name="Vírgula 4 2 3 2 3 2" xfId="5120" xr:uid="{00000000-0005-0000-0000-000046150000}"/>
    <cellStyle name="Vírgula 4 2 3 2 4" xfId="3660" xr:uid="{00000000-0005-0000-0000-000047150000}"/>
    <cellStyle name="Vírgula 4 2 3 3" xfId="1393" xr:uid="{00000000-0005-0000-0000-000048150000}"/>
    <cellStyle name="Vírgula 4 2 3 3 2" xfId="2674" xr:uid="{00000000-0005-0000-0000-000049150000}"/>
    <cellStyle name="Vírgula 4 2 3 3 2 2" xfId="5370" xr:uid="{00000000-0005-0000-0000-00004A150000}"/>
    <cellStyle name="Vírgula 4 2 3 3 3" xfId="4089" xr:uid="{00000000-0005-0000-0000-00004B150000}"/>
    <cellStyle name="Vírgula 4 2 3 4" xfId="2174" xr:uid="{00000000-0005-0000-0000-00004C150000}"/>
    <cellStyle name="Vírgula 4 2 3 4 2" xfId="4870" xr:uid="{00000000-0005-0000-0000-00004D150000}"/>
    <cellStyle name="Vírgula 4 2 3 5" xfId="3323" xr:uid="{00000000-0005-0000-0000-00004E150000}"/>
    <cellStyle name="Vírgula 4 2 4" xfId="789" xr:uid="{00000000-0005-0000-0000-00004F150000}"/>
    <cellStyle name="Vírgula 4 2 4 2" xfId="1556" xr:uid="{00000000-0005-0000-0000-000050150000}"/>
    <cellStyle name="Vírgula 4 2 4 2 2" xfId="2799" xr:uid="{00000000-0005-0000-0000-000051150000}"/>
    <cellStyle name="Vírgula 4 2 4 2 2 2" xfId="5495" xr:uid="{00000000-0005-0000-0000-000052150000}"/>
    <cellStyle name="Vírgula 4 2 4 2 3" xfId="4252" xr:uid="{00000000-0005-0000-0000-000053150000}"/>
    <cellStyle name="Vírgula 4 2 4 3" xfId="2299" xr:uid="{00000000-0005-0000-0000-000054150000}"/>
    <cellStyle name="Vírgula 4 2 4 3 2" xfId="4995" xr:uid="{00000000-0005-0000-0000-000055150000}"/>
    <cellStyle name="Vírgula 4 2 4 4" xfId="3486" xr:uid="{00000000-0005-0000-0000-000056150000}"/>
    <cellStyle name="Vírgula 4 2 5" xfId="1220" xr:uid="{00000000-0005-0000-0000-000057150000}"/>
    <cellStyle name="Vírgula 4 2 5 2" xfId="2549" xr:uid="{00000000-0005-0000-0000-000058150000}"/>
    <cellStyle name="Vírgula 4 2 5 2 2" xfId="5245" xr:uid="{00000000-0005-0000-0000-000059150000}"/>
    <cellStyle name="Vírgula 4 2 5 3" xfId="3916" xr:uid="{00000000-0005-0000-0000-00005A150000}"/>
    <cellStyle name="Vírgula 4 2 6" xfId="2049" xr:uid="{00000000-0005-0000-0000-00005B150000}"/>
    <cellStyle name="Vírgula 4 2 6 2" xfId="4745" xr:uid="{00000000-0005-0000-0000-00005C150000}"/>
    <cellStyle name="Vírgula 4 2 7" xfId="3149" xr:uid="{00000000-0005-0000-0000-00005D150000}"/>
    <cellStyle name="Vírgula 4 2 8" xfId="5852" xr:uid="{00000000-0005-0000-0000-00005E150000}"/>
    <cellStyle name="Vírgula 4 3" xfId="158" xr:uid="{00000000-0005-0000-0000-00005F150000}"/>
    <cellStyle name="Vírgula 4 3 2" xfId="1993" xr:uid="{00000000-0005-0000-0000-000060150000}"/>
    <cellStyle name="Vírgula 4 3 2 2" xfId="4689" xr:uid="{00000000-0005-0000-0000-000061150000}"/>
    <cellStyle name="Vírgula 4 3 3" xfId="3086" xr:uid="{00000000-0005-0000-0000-000062150000}"/>
    <cellStyle name="Vírgula 4 4" xfId="1974" xr:uid="{00000000-0005-0000-0000-000063150000}"/>
    <cellStyle name="Vírgula 4 4 2" xfId="4670" xr:uid="{00000000-0005-0000-0000-000064150000}"/>
    <cellStyle name="Vírgula 4 5" xfId="3065" xr:uid="{00000000-0005-0000-0000-000065150000}"/>
    <cellStyle name="Vírgula 5" xfId="97" xr:uid="{00000000-0005-0000-0000-000066150000}"/>
    <cellStyle name="Vírgula 5 2" xfId="82" xr:uid="{00000000-0005-0000-0000-000067150000}"/>
    <cellStyle name="Vírgula 5 2 2" xfId="492" xr:uid="{00000000-0005-0000-0000-000068150000}"/>
    <cellStyle name="Vírgula 5 2 2 2" xfId="557" xr:uid="{00000000-0005-0000-0000-000069150000}"/>
    <cellStyle name="Vírgula 5 2 2 2 2" xfId="731" xr:uid="{00000000-0005-0000-0000-00006A150000}"/>
    <cellStyle name="Vírgula 5 2 2 2 2 2" xfId="1068" xr:uid="{00000000-0005-0000-0000-00006B150000}"/>
    <cellStyle name="Vírgula 5 2 2 2 2 2 2" xfId="1835" xr:uid="{00000000-0005-0000-0000-00006C150000}"/>
    <cellStyle name="Vírgula 5 2 2 2 2 2 2 2" xfId="3028" xr:uid="{00000000-0005-0000-0000-00006D150000}"/>
    <cellStyle name="Vírgula 5 2 2 2 2 2 2 2 2" xfId="5724" xr:uid="{00000000-0005-0000-0000-00006E150000}"/>
    <cellStyle name="Vírgula 5 2 2 2 2 2 2 3" xfId="4531" xr:uid="{00000000-0005-0000-0000-00006F150000}"/>
    <cellStyle name="Vírgula 5 2 2 2 2 2 3" xfId="2528" xr:uid="{00000000-0005-0000-0000-000070150000}"/>
    <cellStyle name="Vírgula 5 2 2 2 2 2 3 2" xfId="5224" xr:uid="{00000000-0005-0000-0000-000071150000}"/>
    <cellStyle name="Vírgula 5 2 2 2 2 2 4" xfId="3765" xr:uid="{00000000-0005-0000-0000-000072150000}"/>
    <cellStyle name="Vírgula 5 2 2 2 2 3" xfId="1498" xr:uid="{00000000-0005-0000-0000-000073150000}"/>
    <cellStyle name="Vírgula 5 2 2 2 2 3 2" xfId="2778" xr:uid="{00000000-0005-0000-0000-000074150000}"/>
    <cellStyle name="Vírgula 5 2 2 2 2 3 2 2" xfId="5474" xr:uid="{00000000-0005-0000-0000-000075150000}"/>
    <cellStyle name="Vírgula 5 2 2 2 2 3 3" xfId="4194" xr:uid="{00000000-0005-0000-0000-000076150000}"/>
    <cellStyle name="Vírgula 5 2 2 2 2 4" xfId="2278" xr:uid="{00000000-0005-0000-0000-000077150000}"/>
    <cellStyle name="Vírgula 5 2 2 2 2 4 2" xfId="4974" xr:uid="{00000000-0005-0000-0000-000078150000}"/>
    <cellStyle name="Vírgula 5 2 2 2 2 5" xfId="3428" xr:uid="{00000000-0005-0000-0000-000079150000}"/>
    <cellStyle name="Vírgula 5 2 2 2 3" xfId="895" xr:uid="{00000000-0005-0000-0000-00007A150000}"/>
    <cellStyle name="Vírgula 5 2 2 2 3 2" xfId="1662" xr:uid="{00000000-0005-0000-0000-00007B150000}"/>
    <cellStyle name="Vírgula 5 2 2 2 3 2 2" xfId="2903" xr:uid="{00000000-0005-0000-0000-00007C150000}"/>
    <cellStyle name="Vírgula 5 2 2 2 3 2 2 2" xfId="5599" xr:uid="{00000000-0005-0000-0000-00007D150000}"/>
    <cellStyle name="Vírgula 5 2 2 2 3 2 3" xfId="4358" xr:uid="{00000000-0005-0000-0000-00007E150000}"/>
    <cellStyle name="Vírgula 5 2 2 2 3 3" xfId="2403" xr:uid="{00000000-0005-0000-0000-00007F150000}"/>
    <cellStyle name="Vírgula 5 2 2 2 3 3 2" xfId="5099" xr:uid="{00000000-0005-0000-0000-000080150000}"/>
    <cellStyle name="Vírgula 5 2 2 2 3 4" xfId="3592" xr:uid="{00000000-0005-0000-0000-000081150000}"/>
    <cellStyle name="Vírgula 5 2 2 2 4" xfId="1325" xr:uid="{00000000-0005-0000-0000-000082150000}"/>
    <cellStyle name="Vírgula 5 2 2 2 4 2" xfId="2653" xr:uid="{00000000-0005-0000-0000-000083150000}"/>
    <cellStyle name="Vírgula 5 2 2 2 4 2 2" xfId="5349" xr:uid="{00000000-0005-0000-0000-000084150000}"/>
    <cellStyle name="Vírgula 5 2 2 2 4 3" xfId="4021" xr:uid="{00000000-0005-0000-0000-000085150000}"/>
    <cellStyle name="Vírgula 5 2 2 2 5" xfId="2153" xr:uid="{00000000-0005-0000-0000-000086150000}"/>
    <cellStyle name="Vírgula 5 2 2 2 5 2" xfId="4849" xr:uid="{00000000-0005-0000-0000-000087150000}"/>
    <cellStyle name="Vírgula 5 2 2 2 6" xfId="3255" xr:uid="{00000000-0005-0000-0000-000088150000}"/>
    <cellStyle name="Vírgula 5 2 2 3" xfId="668" xr:uid="{00000000-0005-0000-0000-000089150000}"/>
    <cellStyle name="Vírgula 5 2 2 3 2" xfId="1005" xr:uid="{00000000-0005-0000-0000-00008A150000}"/>
    <cellStyle name="Vírgula 5 2 2 3 2 2" xfId="1772" xr:uid="{00000000-0005-0000-0000-00008B150000}"/>
    <cellStyle name="Vírgula 5 2 2 3 2 2 2" xfId="2966" xr:uid="{00000000-0005-0000-0000-00008C150000}"/>
    <cellStyle name="Vírgula 5 2 2 3 2 2 2 2" xfId="5662" xr:uid="{00000000-0005-0000-0000-00008D150000}"/>
    <cellStyle name="Vírgula 5 2 2 3 2 2 3" xfId="4468" xr:uid="{00000000-0005-0000-0000-00008E150000}"/>
    <cellStyle name="Vírgula 5 2 2 3 2 3" xfId="2466" xr:uid="{00000000-0005-0000-0000-00008F150000}"/>
    <cellStyle name="Vírgula 5 2 2 3 2 3 2" xfId="5162" xr:uid="{00000000-0005-0000-0000-000090150000}"/>
    <cellStyle name="Vírgula 5 2 2 3 2 4" xfId="3702" xr:uid="{00000000-0005-0000-0000-000091150000}"/>
    <cellStyle name="Vírgula 5 2 2 3 3" xfId="1435" xr:uid="{00000000-0005-0000-0000-000092150000}"/>
    <cellStyle name="Vírgula 5 2 2 3 3 2" xfId="2716" xr:uid="{00000000-0005-0000-0000-000093150000}"/>
    <cellStyle name="Vírgula 5 2 2 3 3 2 2" xfId="5412" xr:uid="{00000000-0005-0000-0000-000094150000}"/>
    <cellStyle name="Vírgula 5 2 2 3 3 3" xfId="4131" xr:uid="{00000000-0005-0000-0000-000095150000}"/>
    <cellStyle name="Vírgula 5 2 2 3 4" xfId="2216" xr:uid="{00000000-0005-0000-0000-000096150000}"/>
    <cellStyle name="Vírgula 5 2 2 3 4 2" xfId="4912" xr:uid="{00000000-0005-0000-0000-000097150000}"/>
    <cellStyle name="Vírgula 5 2 2 3 5" xfId="3365" xr:uid="{00000000-0005-0000-0000-000098150000}"/>
    <cellStyle name="Vírgula 5 2 2 4" xfId="831" xr:uid="{00000000-0005-0000-0000-000099150000}"/>
    <cellStyle name="Vírgula 5 2 2 4 2" xfId="1598" xr:uid="{00000000-0005-0000-0000-00009A150000}"/>
    <cellStyle name="Vírgula 5 2 2 4 2 2" xfId="2841" xr:uid="{00000000-0005-0000-0000-00009B150000}"/>
    <cellStyle name="Vírgula 5 2 2 4 2 2 2" xfId="5537" xr:uid="{00000000-0005-0000-0000-00009C150000}"/>
    <cellStyle name="Vírgula 5 2 2 4 2 3" xfId="4294" xr:uid="{00000000-0005-0000-0000-00009D150000}"/>
    <cellStyle name="Vírgula 5 2 2 4 3" xfId="2341" xr:uid="{00000000-0005-0000-0000-00009E150000}"/>
    <cellStyle name="Vírgula 5 2 2 4 3 2" xfId="5037" xr:uid="{00000000-0005-0000-0000-00009F150000}"/>
    <cellStyle name="Vírgula 5 2 2 4 4" xfId="3528" xr:uid="{00000000-0005-0000-0000-0000A0150000}"/>
    <cellStyle name="Vírgula 5 2 2 5" xfId="1262" xr:uid="{00000000-0005-0000-0000-0000A1150000}"/>
    <cellStyle name="Vírgula 5 2 2 5 2" xfId="2591" xr:uid="{00000000-0005-0000-0000-0000A2150000}"/>
    <cellStyle name="Vírgula 5 2 2 5 2 2" xfId="5287" xr:uid="{00000000-0005-0000-0000-0000A3150000}"/>
    <cellStyle name="Vírgula 5 2 2 5 3" xfId="3958" xr:uid="{00000000-0005-0000-0000-0000A4150000}"/>
    <cellStyle name="Vírgula 5 2 2 6" xfId="2091" xr:uid="{00000000-0005-0000-0000-0000A5150000}"/>
    <cellStyle name="Vírgula 5 2 2 6 2" xfId="4787" xr:uid="{00000000-0005-0000-0000-0000A6150000}"/>
    <cellStyle name="Vírgula 5 2 2 7" xfId="3191" xr:uid="{00000000-0005-0000-0000-0000A7150000}"/>
    <cellStyle name="Vírgula 5 2 3" xfId="502" xr:uid="{00000000-0005-0000-0000-0000A8150000}"/>
    <cellStyle name="Vírgula 5 2 3 2" xfId="677" xr:uid="{00000000-0005-0000-0000-0000A9150000}"/>
    <cellStyle name="Vírgula 5 2 3 2 2" xfId="1014" xr:uid="{00000000-0005-0000-0000-0000AA150000}"/>
    <cellStyle name="Vírgula 5 2 3 2 2 2" xfId="1781" xr:uid="{00000000-0005-0000-0000-0000AB150000}"/>
    <cellStyle name="Vírgula 5 2 3 2 2 2 2" xfId="2974" xr:uid="{00000000-0005-0000-0000-0000AC150000}"/>
    <cellStyle name="Vírgula 5 2 3 2 2 2 2 2" xfId="5670" xr:uid="{00000000-0005-0000-0000-0000AD150000}"/>
    <cellStyle name="Vírgula 5 2 3 2 2 2 3" xfId="4477" xr:uid="{00000000-0005-0000-0000-0000AE150000}"/>
    <cellStyle name="Vírgula 5 2 3 2 2 3" xfId="2474" xr:uid="{00000000-0005-0000-0000-0000AF150000}"/>
    <cellStyle name="Vírgula 5 2 3 2 2 3 2" xfId="5170" xr:uid="{00000000-0005-0000-0000-0000B0150000}"/>
    <cellStyle name="Vírgula 5 2 3 2 2 4" xfId="3711" xr:uid="{00000000-0005-0000-0000-0000B1150000}"/>
    <cellStyle name="Vírgula 5 2 3 2 3" xfId="1444" xr:uid="{00000000-0005-0000-0000-0000B2150000}"/>
    <cellStyle name="Vírgula 5 2 3 2 3 2" xfId="2724" xr:uid="{00000000-0005-0000-0000-0000B3150000}"/>
    <cellStyle name="Vírgula 5 2 3 2 3 2 2" xfId="5420" xr:uid="{00000000-0005-0000-0000-0000B4150000}"/>
    <cellStyle name="Vírgula 5 2 3 2 3 3" xfId="4140" xr:uid="{00000000-0005-0000-0000-0000B5150000}"/>
    <cellStyle name="Vírgula 5 2 3 2 4" xfId="2224" xr:uid="{00000000-0005-0000-0000-0000B6150000}"/>
    <cellStyle name="Vírgula 5 2 3 2 4 2" xfId="4920" xr:uid="{00000000-0005-0000-0000-0000B7150000}"/>
    <cellStyle name="Vírgula 5 2 3 2 5" xfId="3374" xr:uid="{00000000-0005-0000-0000-0000B8150000}"/>
    <cellStyle name="Vírgula 5 2 3 3" xfId="840" xr:uid="{00000000-0005-0000-0000-0000B9150000}"/>
    <cellStyle name="Vírgula 5 2 3 3 2" xfId="1607" xr:uid="{00000000-0005-0000-0000-0000BA150000}"/>
    <cellStyle name="Vírgula 5 2 3 3 2 2" xfId="2849" xr:uid="{00000000-0005-0000-0000-0000BB150000}"/>
    <cellStyle name="Vírgula 5 2 3 3 2 2 2" xfId="5545" xr:uid="{00000000-0005-0000-0000-0000BC150000}"/>
    <cellStyle name="Vírgula 5 2 3 3 2 3" xfId="4303" xr:uid="{00000000-0005-0000-0000-0000BD150000}"/>
    <cellStyle name="Vírgula 5 2 3 3 3" xfId="2349" xr:uid="{00000000-0005-0000-0000-0000BE150000}"/>
    <cellStyle name="Vírgula 5 2 3 3 3 2" xfId="5045" xr:uid="{00000000-0005-0000-0000-0000BF150000}"/>
    <cellStyle name="Vírgula 5 2 3 3 4" xfId="3537" xr:uid="{00000000-0005-0000-0000-0000C0150000}"/>
    <cellStyle name="Vírgula 5 2 3 4" xfId="1270" xr:uid="{00000000-0005-0000-0000-0000C1150000}"/>
    <cellStyle name="Vírgula 5 2 3 4 2" xfId="2599" xr:uid="{00000000-0005-0000-0000-0000C2150000}"/>
    <cellStyle name="Vírgula 5 2 3 4 2 2" xfId="5295" xr:uid="{00000000-0005-0000-0000-0000C3150000}"/>
    <cellStyle name="Vírgula 5 2 3 4 3" xfId="3966" xr:uid="{00000000-0005-0000-0000-0000C4150000}"/>
    <cellStyle name="Vírgula 5 2 3 5" xfId="2099" xr:uid="{00000000-0005-0000-0000-0000C5150000}"/>
    <cellStyle name="Vírgula 5 2 3 5 2" xfId="4795" xr:uid="{00000000-0005-0000-0000-0000C6150000}"/>
    <cellStyle name="Vírgula 5 2 3 6" xfId="3200" xr:uid="{00000000-0005-0000-0000-0000C7150000}"/>
    <cellStyle name="Vírgula 5 2 4" xfId="614" xr:uid="{00000000-0005-0000-0000-0000C8150000}"/>
    <cellStyle name="Vírgula 5 2 4 2" xfId="951" xr:uid="{00000000-0005-0000-0000-0000C9150000}"/>
    <cellStyle name="Vírgula 5 2 4 2 2" xfId="1718" xr:uid="{00000000-0005-0000-0000-0000CA150000}"/>
    <cellStyle name="Vírgula 5 2 4 2 2 2" xfId="2912" xr:uid="{00000000-0005-0000-0000-0000CB150000}"/>
    <cellStyle name="Vírgula 5 2 4 2 2 2 2" xfId="5608" xr:uid="{00000000-0005-0000-0000-0000CC150000}"/>
    <cellStyle name="Vírgula 5 2 4 2 2 3" xfId="4414" xr:uid="{00000000-0005-0000-0000-0000CD150000}"/>
    <cellStyle name="Vírgula 5 2 4 2 3" xfId="2412" xr:uid="{00000000-0005-0000-0000-0000CE150000}"/>
    <cellStyle name="Vírgula 5 2 4 2 3 2" xfId="5108" xr:uid="{00000000-0005-0000-0000-0000CF150000}"/>
    <cellStyle name="Vírgula 5 2 4 2 4" xfId="3648" xr:uid="{00000000-0005-0000-0000-0000D0150000}"/>
    <cellStyle name="Vírgula 5 2 4 3" xfId="1381" xr:uid="{00000000-0005-0000-0000-0000D1150000}"/>
    <cellStyle name="Vírgula 5 2 4 3 2" xfId="2662" xr:uid="{00000000-0005-0000-0000-0000D2150000}"/>
    <cellStyle name="Vírgula 5 2 4 3 2 2" xfId="5358" xr:uid="{00000000-0005-0000-0000-0000D3150000}"/>
    <cellStyle name="Vírgula 5 2 4 3 3" xfId="4077" xr:uid="{00000000-0005-0000-0000-0000D4150000}"/>
    <cellStyle name="Vírgula 5 2 4 4" xfId="2162" xr:uid="{00000000-0005-0000-0000-0000D5150000}"/>
    <cellStyle name="Vírgula 5 2 4 4 2" xfId="4858" xr:uid="{00000000-0005-0000-0000-0000D6150000}"/>
    <cellStyle name="Vírgula 5 2 4 5" xfId="3311" xr:uid="{00000000-0005-0000-0000-0000D7150000}"/>
    <cellStyle name="Vírgula 5 2 5" xfId="776" xr:uid="{00000000-0005-0000-0000-0000D8150000}"/>
    <cellStyle name="Vírgula 5 2 5 2" xfId="1543" xr:uid="{00000000-0005-0000-0000-0000D9150000}"/>
    <cellStyle name="Vírgula 5 2 5 2 2" xfId="2787" xr:uid="{00000000-0005-0000-0000-0000DA150000}"/>
    <cellStyle name="Vírgula 5 2 5 2 2 2" xfId="5483" xr:uid="{00000000-0005-0000-0000-0000DB150000}"/>
    <cellStyle name="Vírgula 5 2 5 2 3" xfId="4239" xr:uid="{00000000-0005-0000-0000-0000DC150000}"/>
    <cellStyle name="Vírgula 5 2 5 3" xfId="2287" xr:uid="{00000000-0005-0000-0000-0000DD150000}"/>
    <cellStyle name="Vírgula 5 2 5 3 2" xfId="4983" xr:uid="{00000000-0005-0000-0000-0000DE150000}"/>
    <cellStyle name="Vírgula 5 2 5 4" xfId="3473" xr:uid="{00000000-0005-0000-0000-0000DF150000}"/>
    <cellStyle name="Vírgula 5 2 6" xfId="1208" xr:uid="{00000000-0005-0000-0000-0000E0150000}"/>
    <cellStyle name="Vírgula 5 2 6 2" xfId="2537" xr:uid="{00000000-0005-0000-0000-0000E1150000}"/>
    <cellStyle name="Vírgula 5 2 6 2 2" xfId="5233" xr:uid="{00000000-0005-0000-0000-0000E2150000}"/>
    <cellStyle name="Vírgula 5 2 6 3" xfId="3904" xr:uid="{00000000-0005-0000-0000-0000E3150000}"/>
    <cellStyle name="Vírgula 5 2 7" xfId="428" xr:uid="{00000000-0005-0000-0000-0000E4150000}"/>
    <cellStyle name="Vírgula 5 2 7 2" xfId="2037" xr:uid="{00000000-0005-0000-0000-0000E5150000}"/>
    <cellStyle name="Vírgula 5 2 7 2 2" xfId="4733" xr:uid="{00000000-0005-0000-0000-0000E6150000}"/>
    <cellStyle name="Vírgula 5 2 7 3" xfId="3136" xr:uid="{00000000-0005-0000-0000-0000E7150000}"/>
    <cellStyle name="Vírgula 5 2 8" xfId="1980" xr:uid="{00000000-0005-0000-0000-0000E8150000}"/>
    <cellStyle name="Vírgula 5 2 8 2" xfId="4676" xr:uid="{00000000-0005-0000-0000-0000E9150000}"/>
    <cellStyle name="Vírgula 5 2 9" xfId="3072" xr:uid="{00000000-0005-0000-0000-0000EA150000}"/>
    <cellStyle name="Vírgula 5 3" xfId="448" xr:uid="{00000000-0005-0000-0000-0000EB150000}"/>
    <cellStyle name="Vírgula 5 3 2" xfId="512" xr:uid="{00000000-0005-0000-0000-0000EC150000}"/>
    <cellStyle name="Vírgula 5 3 2 2" xfId="686" xr:uid="{00000000-0005-0000-0000-0000ED150000}"/>
    <cellStyle name="Vírgula 5 3 2 2 2" xfId="1023" xr:uid="{00000000-0005-0000-0000-0000EE150000}"/>
    <cellStyle name="Vírgula 5 3 2 2 2 2" xfId="1790" xr:uid="{00000000-0005-0000-0000-0000EF150000}"/>
    <cellStyle name="Vírgula 5 3 2 2 2 2 2" xfId="2983" xr:uid="{00000000-0005-0000-0000-0000F0150000}"/>
    <cellStyle name="Vírgula 5 3 2 2 2 2 2 2" xfId="5679" xr:uid="{00000000-0005-0000-0000-0000F1150000}"/>
    <cellStyle name="Vírgula 5 3 2 2 2 2 3" xfId="4486" xr:uid="{00000000-0005-0000-0000-0000F2150000}"/>
    <cellStyle name="Vírgula 5 3 2 2 2 3" xfId="2483" xr:uid="{00000000-0005-0000-0000-0000F3150000}"/>
    <cellStyle name="Vírgula 5 3 2 2 2 3 2" xfId="5179" xr:uid="{00000000-0005-0000-0000-0000F4150000}"/>
    <cellStyle name="Vírgula 5 3 2 2 2 4" xfId="3720" xr:uid="{00000000-0005-0000-0000-0000F5150000}"/>
    <cellStyle name="Vírgula 5 3 2 2 3" xfId="1453" xr:uid="{00000000-0005-0000-0000-0000F6150000}"/>
    <cellStyle name="Vírgula 5 3 2 2 3 2" xfId="2733" xr:uid="{00000000-0005-0000-0000-0000F7150000}"/>
    <cellStyle name="Vírgula 5 3 2 2 3 2 2" xfId="5429" xr:uid="{00000000-0005-0000-0000-0000F8150000}"/>
    <cellStyle name="Vírgula 5 3 2 2 3 3" xfId="4149" xr:uid="{00000000-0005-0000-0000-0000F9150000}"/>
    <cellStyle name="Vírgula 5 3 2 2 4" xfId="2233" xr:uid="{00000000-0005-0000-0000-0000FA150000}"/>
    <cellStyle name="Vírgula 5 3 2 2 4 2" xfId="4929" xr:uid="{00000000-0005-0000-0000-0000FB150000}"/>
    <cellStyle name="Vírgula 5 3 2 2 5" xfId="3383" xr:uid="{00000000-0005-0000-0000-0000FC150000}"/>
    <cellStyle name="Vírgula 5 3 2 3" xfId="850" xr:uid="{00000000-0005-0000-0000-0000FD150000}"/>
    <cellStyle name="Vírgula 5 3 2 3 2" xfId="1617" xr:uid="{00000000-0005-0000-0000-0000FE150000}"/>
    <cellStyle name="Vírgula 5 3 2 3 2 2" xfId="2858" xr:uid="{00000000-0005-0000-0000-0000FF150000}"/>
    <cellStyle name="Vírgula 5 3 2 3 2 2 2" xfId="5554" xr:uid="{00000000-0005-0000-0000-000000160000}"/>
    <cellStyle name="Vírgula 5 3 2 3 2 3" xfId="4313" xr:uid="{00000000-0005-0000-0000-000001160000}"/>
    <cellStyle name="Vírgula 5 3 2 3 3" xfId="2358" xr:uid="{00000000-0005-0000-0000-000002160000}"/>
    <cellStyle name="Vírgula 5 3 2 3 3 2" xfId="5054" xr:uid="{00000000-0005-0000-0000-000003160000}"/>
    <cellStyle name="Vírgula 5 3 2 3 4" xfId="3547" xr:uid="{00000000-0005-0000-0000-000004160000}"/>
    <cellStyle name="Vírgula 5 3 2 4" xfId="1280" xr:uid="{00000000-0005-0000-0000-000005160000}"/>
    <cellStyle name="Vírgula 5 3 2 4 2" xfId="2608" xr:uid="{00000000-0005-0000-0000-000006160000}"/>
    <cellStyle name="Vírgula 5 3 2 4 2 2" xfId="5304" xr:uid="{00000000-0005-0000-0000-000007160000}"/>
    <cellStyle name="Vírgula 5 3 2 4 3" xfId="3976" xr:uid="{00000000-0005-0000-0000-000008160000}"/>
    <cellStyle name="Vírgula 5 3 2 5" xfId="2108" xr:uid="{00000000-0005-0000-0000-000009160000}"/>
    <cellStyle name="Vírgula 5 3 2 5 2" xfId="4804" xr:uid="{00000000-0005-0000-0000-00000A160000}"/>
    <cellStyle name="Vírgula 5 3 2 6" xfId="3210" xr:uid="{00000000-0005-0000-0000-00000B160000}"/>
    <cellStyle name="Vírgula 5 3 3" xfId="623" xr:uid="{00000000-0005-0000-0000-00000C160000}"/>
    <cellStyle name="Vírgula 5 3 3 2" xfId="960" xr:uid="{00000000-0005-0000-0000-00000D160000}"/>
    <cellStyle name="Vírgula 5 3 3 2 2" xfId="1727" xr:uid="{00000000-0005-0000-0000-00000E160000}"/>
    <cellStyle name="Vírgula 5 3 3 2 2 2" xfId="2921" xr:uid="{00000000-0005-0000-0000-00000F160000}"/>
    <cellStyle name="Vírgula 5 3 3 2 2 2 2" xfId="5617" xr:uid="{00000000-0005-0000-0000-000010160000}"/>
    <cellStyle name="Vírgula 5 3 3 2 2 3" xfId="4423" xr:uid="{00000000-0005-0000-0000-000011160000}"/>
    <cellStyle name="Vírgula 5 3 3 2 3" xfId="2421" xr:uid="{00000000-0005-0000-0000-000012160000}"/>
    <cellStyle name="Vírgula 5 3 3 2 3 2" xfId="5117" xr:uid="{00000000-0005-0000-0000-000013160000}"/>
    <cellStyle name="Vírgula 5 3 3 2 4" xfId="3657" xr:uid="{00000000-0005-0000-0000-000014160000}"/>
    <cellStyle name="Vírgula 5 3 3 3" xfId="1390" xr:uid="{00000000-0005-0000-0000-000015160000}"/>
    <cellStyle name="Vírgula 5 3 3 3 2" xfId="2671" xr:uid="{00000000-0005-0000-0000-000016160000}"/>
    <cellStyle name="Vírgula 5 3 3 3 2 2" xfId="5367" xr:uid="{00000000-0005-0000-0000-000017160000}"/>
    <cellStyle name="Vírgula 5 3 3 3 3" xfId="4086" xr:uid="{00000000-0005-0000-0000-000018160000}"/>
    <cellStyle name="Vírgula 5 3 3 4" xfId="2171" xr:uid="{00000000-0005-0000-0000-000019160000}"/>
    <cellStyle name="Vírgula 5 3 3 4 2" xfId="4867" xr:uid="{00000000-0005-0000-0000-00001A160000}"/>
    <cellStyle name="Vírgula 5 3 3 5" xfId="3320" xr:uid="{00000000-0005-0000-0000-00001B160000}"/>
    <cellStyle name="Vírgula 5 3 4" xfId="786" xr:uid="{00000000-0005-0000-0000-00001C160000}"/>
    <cellStyle name="Vírgula 5 3 4 2" xfId="1553" xr:uid="{00000000-0005-0000-0000-00001D160000}"/>
    <cellStyle name="Vírgula 5 3 4 2 2" xfId="2796" xr:uid="{00000000-0005-0000-0000-00001E160000}"/>
    <cellStyle name="Vírgula 5 3 4 2 2 2" xfId="5492" xr:uid="{00000000-0005-0000-0000-00001F160000}"/>
    <cellStyle name="Vírgula 5 3 4 2 3" xfId="4249" xr:uid="{00000000-0005-0000-0000-000020160000}"/>
    <cellStyle name="Vírgula 5 3 4 3" xfId="2296" xr:uid="{00000000-0005-0000-0000-000021160000}"/>
    <cellStyle name="Vírgula 5 3 4 3 2" xfId="4992" xr:uid="{00000000-0005-0000-0000-000022160000}"/>
    <cellStyle name="Vírgula 5 3 4 4" xfId="3483" xr:uid="{00000000-0005-0000-0000-000023160000}"/>
    <cellStyle name="Vírgula 5 3 5" xfId="1217" xr:uid="{00000000-0005-0000-0000-000024160000}"/>
    <cellStyle name="Vírgula 5 3 5 2" xfId="2546" xr:uid="{00000000-0005-0000-0000-000025160000}"/>
    <cellStyle name="Vírgula 5 3 5 2 2" xfId="5242" xr:uid="{00000000-0005-0000-0000-000026160000}"/>
    <cellStyle name="Vírgula 5 3 5 3" xfId="3913" xr:uid="{00000000-0005-0000-0000-000027160000}"/>
    <cellStyle name="Vírgula 5 3 6" xfId="2047" xr:uid="{00000000-0005-0000-0000-000028160000}"/>
    <cellStyle name="Vírgula 5 3 6 2" xfId="4743" xr:uid="{00000000-0005-0000-0000-000029160000}"/>
    <cellStyle name="Vírgula 5 3 7" xfId="3147" xr:uid="{00000000-0005-0000-0000-00002A160000}"/>
    <cellStyle name="Vírgula 5 4" xfId="563" xr:uid="{00000000-0005-0000-0000-00002B160000}"/>
    <cellStyle name="Vírgula 5 4 2" xfId="734" xr:uid="{00000000-0005-0000-0000-00002C160000}"/>
    <cellStyle name="Vírgula 5 4 2 2" xfId="1071" xr:uid="{00000000-0005-0000-0000-00002D160000}"/>
    <cellStyle name="Vírgula 5 4 2 2 2" xfId="1838" xr:uid="{00000000-0005-0000-0000-00002E160000}"/>
    <cellStyle name="Vírgula 5 4 2 2 2 2" xfId="3031" xr:uid="{00000000-0005-0000-0000-00002F160000}"/>
    <cellStyle name="Vírgula 5 4 2 2 2 2 2" xfId="5727" xr:uid="{00000000-0005-0000-0000-000030160000}"/>
    <cellStyle name="Vírgula 5 4 2 2 2 3" xfId="4534" xr:uid="{00000000-0005-0000-0000-000031160000}"/>
    <cellStyle name="Vírgula 5 4 2 2 3" xfId="2531" xr:uid="{00000000-0005-0000-0000-000032160000}"/>
    <cellStyle name="Vírgula 5 4 2 2 3 2" xfId="5227" xr:uid="{00000000-0005-0000-0000-000033160000}"/>
    <cellStyle name="Vírgula 5 4 2 2 4" xfId="3768" xr:uid="{00000000-0005-0000-0000-000034160000}"/>
    <cellStyle name="Vírgula 5 4 2 3" xfId="1501" xr:uid="{00000000-0005-0000-0000-000035160000}"/>
    <cellStyle name="Vírgula 5 4 2 3 2" xfId="2781" xr:uid="{00000000-0005-0000-0000-000036160000}"/>
    <cellStyle name="Vírgula 5 4 2 3 2 2" xfId="5477" xr:uid="{00000000-0005-0000-0000-000037160000}"/>
    <cellStyle name="Vírgula 5 4 2 3 3" xfId="4197" xr:uid="{00000000-0005-0000-0000-000038160000}"/>
    <cellStyle name="Vírgula 5 4 2 4" xfId="2281" xr:uid="{00000000-0005-0000-0000-000039160000}"/>
    <cellStyle name="Vírgula 5 4 2 4 2" xfId="4977" xr:uid="{00000000-0005-0000-0000-00003A160000}"/>
    <cellStyle name="Vírgula 5 4 2 5" xfId="3431" xr:uid="{00000000-0005-0000-0000-00003B160000}"/>
    <cellStyle name="Vírgula 5 4 3" xfId="900" xr:uid="{00000000-0005-0000-0000-00003C160000}"/>
    <cellStyle name="Vírgula 5 4 3 2" xfId="1667" xr:uid="{00000000-0005-0000-0000-00003D160000}"/>
    <cellStyle name="Vírgula 5 4 3 2 2" xfId="2906" xr:uid="{00000000-0005-0000-0000-00003E160000}"/>
    <cellStyle name="Vírgula 5 4 3 2 2 2" xfId="5602" xr:uid="{00000000-0005-0000-0000-00003F160000}"/>
    <cellStyle name="Vírgula 5 4 3 2 3" xfId="4363" xr:uid="{00000000-0005-0000-0000-000040160000}"/>
    <cellStyle name="Vírgula 5 4 3 3" xfId="2406" xr:uid="{00000000-0005-0000-0000-000041160000}"/>
    <cellStyle name="Vírgula 5 4 3 3 2" xfId="5102" xr:uid="{00000000-0005-0000-0000-000042160000}"/>
    <cellStyle name="Vírgula 5 4 3 4" xfId="3597" xr:uid="{00000000-0005-0000-0000-000043160000}"/>
    <cellStyle name="Vírgula 5 4 4" xfId="1330" xr:uid="{00000000-0005-0000-0000-000044160000}"/>
    <cellStyle name="Vírgula 5 4 4 2" xfId="2656" xr:uid="{00000000-0005-0000-0000-000045160000}"/>
    <cellStyle name="Vírgula 5 4 4 2 2" xfId="5352" xr:uid="{00000000-0005-0000-0000-000046160000}"/>
    <cellStyle name="Vírgula 5 4 4 3" xfId="4026" xr:uid="{00000000-0005-0000-0000-000047160000}"/>
    <cellStyle name="Vírgula 5 4 5" xfId="2156" xr:uid="{00000000-0005-0000-0000-000048160000}"/>
    <cellStyle name="Vírgula 5 4 5 2" xfId="4852" xr:uid="{00000000-0005-0000-0000-000049160000}"/>
    <cellStyle name="Vírgula 5 4 6" xfId="3260" xr:uid="{00000000-0005-0000-0000-00004A160000}"/>
    <cellStyle name="Vírgula 5 5" xfId="157" xr:uid="{00000000-0005-0000-0000-00004B160000}"/>
    <cellStyle name="Vírgula 5 5 2" xfId="1992" xr:uid="{00000000-0005-0000-0000-00004C160000}"/>
    <cellStyle name="Vírgula 5 5 2 2" xfId="4688" xr:uid="{00000000-0005-0000-0000-00004D160000}"/>
    <cellStyle name="Vírgula 5 5 3" xfId="3085" xr:uid="{00000000-0005-0000-0000-00004E160000}"/>
    <cellStyle name="Vírgula 5 6" xfId="1984" xr:uid="{00000000-0005-0000-0000-00004F160000}"/>
    <cellStyle name="Vírgula 5 6 2" xfId="4680" xr:uid="{00000000-0005-0000-0000-000050160000}"/>
    <cellStyle name="Vírgula 5 7" xfId="3076" xr:uid="{00000000-0005-0000-0000-000051160000}"/>
    <cellStyle name="Vírgula 5 8" xfId="5853" xr:uid="{00000000-0005-0000-0000-000052160000}"/>
    <cellStyle name="Vírgula 6" xfId="98" xr:uid="{00000000-0005-0000-0000-000053160000}"/>
    <cellStyle name="Vírgula 6 2" xfId="493" xr:uid="{00000000-0005-0000-0000-000054160000}"/>
    <cellStyle name="Vírgula 6 2 2" xfId="558" xr:uid="{00000000-0005-0000-0000-000055160000}"/>
    <cellStyle name="Vírgula 6 2 2 2" xfId="732" xr:uid="{00000000-0005-0000-0000-000056160000}"/>
    <cellStyle name="Vírgula 6 2 2 2 2" xfId="1069" xr:uid="{00000000-0005-0000-0000-000057160000}"/>
    <cellStyle name="Vírgula 6 2 2 2 2 2" xfId="1836" xr:uid="{00000000-0005-0000-0000-000058160000}"/>
    <cellStyle name="Vírgula 6 2 2 2 2 2 2" xfId="3029" xr:uid="{00000000-0005-0000-0000-000059160000}"/>
    <cellStyle name="Vírgula 6 2 2 2 2 2 2 2" xfId="5725" xr:uid="{00000000-0005-0000-0000-00005A160000}"/>
    <cellStyle name="Vírgula 6 2 2 2 2 2 3" xfId="4532" xr:uid="{00000000-0005-0000-0000-00005B160000}"/>
    <cellStyle name="Vírgula 6 2 2 2 2 3" xfId="2529" xr:uid="{00000000-0005-0000-0000-00005C160000}"/>
    <cellStyle name="Vírgula 6 2 2 2 2 3 2" xfId="5225" xr:uid="{00000000-0005-0000-0000-00005D160000}"/>
    <cellStyle name="Vírgula 6 2 2 2 2 4" xfId="3766" xr:uid="{00000000-0005-0000-0000-00005E160000}"/>
    <cellStyle name="Vírgula 6 2 2 2 3" xfId="1499" xr:uid="{00000000-0005-0000-0000-00005F160000}"/>
    <cellStyle name="Vírgula 6 2 2 2 3 2" xfId="2779" xr:uid="{00000000-0005-0000-0000-000060160000}"/>
    <cellStyle name="Vírgula 6 2 2 2 3 2 2" xfId="5475" xr:uid="{00000000-0005-0000-0000-000061160000}"/>
    <cellStyle name="Vírgula 6 2 2 2 3 3" xfId="4195" xr:uid="{00000000-0005-0000-0000-000062160000}"/>
    <cellStyle name="Vírgula 6 2 2 2 4" xfId="2279" xr:uid="{00000000-0005-0000-0000-000063160000}"/>
    <cellStyle name="Vírgula 6 2 2 2 4 2" xfId="4975" xr:uid="{00000000-0005-0000-0000-000064160000}"/>
    <cellStyle name="Vírgula 6 2 2 2 5" xfId="3429" xr:uid="{00000000-0005-0000-0000-000065160000}"/>
    <cellStyle name="Vírgula 6 2 2 3" xfId="896" xr:uid="{00000000-0005-0000-0000-000066160000}"/>
    <cellStyle name="Vírgula 6 2 2 3 2" xfId="1663" xr:uid="{00000000-0005-0000-0000-000067160000}"/>
    <cellStyle name="Vírgula 6 2 2 3 2 2" xfId="2904" xr:uid="{00000000-0005-0000-0000-000068160000}"/>
    <cellStyle name="Vírgula 6 2 2 3 2 2 2" xfId="5600" xr:uid="{00000000-0005-0000-0000-000069160000}"/>
    <cellStyle name="Vírgula 6 2 2 3 2 3" xfId="4359" xr:uid="{00000000-0005-0000-0000-00006A160000}"/>
    <cellStyle name="Vírgula 6 2 2 3 3" xfId="2404" xr:uid="{00000000-0005-0000-0000-00006B160000}"/>
    <cellStyle name="Vírgula 6 2 2 3 3 2" xfId="5100" xr:uid="{00000000-0005-0000-0000-00006C160000}"/>
    <cellStyle name="Vírgula 6 2 2 3 4" xfId="3593" xr:uid="{00000000-0005-0000-0000-00006D160000}"/>
    <cellStyle name="Vírgula 6 2 2 4" xfId="1326" xr:uid="{00000000-0005-0000-0000-00006E160000}"/>
    <cellStyle name="Vírgula 6 2 2 4 2" xfId="2654" xr:uid="{00000000-0005-0000-0000-00006F160000}"/>
    <cellStyle name="Vírgula 6 2 2 4 2 2" xfId="5350" xr:uid="{00000000-0005-0000-0000-000070160000}"/>
    <cellStyle name="Vírgula 6 2 2 4 3" xfId="4022" xr:uid="{00000000-0005-0000-0000-000071160000}"/>
    <cellStyle name="Vírgula 6 2 2 5" xfId="2154" xr:uid="{00000000-0005-0000-0000-000072160000}"/>
    <cellStyle name="Vírgula 6 2 2 5 2" xfId="4850" xr:uid="{00000000-0005-0000-0000-000073160000}"/>
    <cellStyle name="Vírgula 6 2 2 6" xfId="3256" xr:uid="{00000000-0005-0000-0000-000074160000}"/>
    <cellStyle name="Vírgula 6 2 3" xfId="669" xr:uid="{00000000-0005-0000-0000-000075160000}"/>
    <cellStyle name="Vírgula 6 2 3 2" xfId="1006" xr:uid="{00000000-0005-0000-0000-000076160000}"/>
    <cellStyle name="Vírgula 6 2 3 2 2" xfId="1773" xr:uid="{00000000-0005-0000-0000-000077160000}"/>
    <cellStyle name="Vírgula 6 2 3 2 2 2" xfId="2967" xr:uid="{00000000-0005-0000-0000-000078160000}"/>
    <cellStyle name="Vírgula 6 2 3 2 2 2 2" xfId="5663" xr:uid="{00000000-0005-0000-0000-000079160000}"/>
    <cellStyle name="Vírgula 6 2 3 2 2 3" xfId="4469" xr:uid="{00000000-0005-0000-0000-00007A160000}"/>
    <cellStyle name="Vírgula 6 2 3 2 3" xfId="2467" xr:uid="{00000000-0005-0000-0000-00007B160000}"/>
    <cellStyle name="Vírgula 6 2 3 2 3 2" xfId="5163" xr:uid="{00000000-0005-0000-0000-00007C160000}"/>
    <cellStyle name="Vírgula 6 2 3 2 4" xfId="3703" xr:uid="{00000000-0005-0000-0000-00007D160000}"/>
    <cellStyle name="Vírgula 6 2 3 3" xfId="1436" xr:uid="{00000000-0005-0000-0000-00007E160000}"/>
    <cellStyle name="Vírgula 6 2 3 3 2" xfId="2717" xr:uid="{00000000-0005-0000-0000-00007F160000}"/>
    <cellStyle name="Vírgula 6 2 3 3 2 2" xfId="5413" xr:uid="{00000000-0005-0000-0000-000080160000}"/>
    <cellStyle name="Vírgula 6 2 3 3 3" xfId="4132" xr:uid="{00000000-0005-0000-0000-000081160000}"/>
    <cellStyle name="Vírgula 6 2 3 4" xfId="2217" xr:uid="{00000000-0005-0000-0000-000082160000}"/>
    <cellStyle name="Vírgula 6 2 3 4 2" xfId="4913" xr:uid="{00000000-0005-0000-0000-000083160000}"/>
    <cellStyle name="Vírgula 6 2 3 5" xfId="3366" xr:uid="{00000000-0005-0000-0000-000084160000}"/>
    <cellStyle name="Vírgula 6 2 4" xfId="832" xr:uid="{00000000-0005-0000-0000-000085160000}"/>
    <cellStyle name="Vírgula 6 2 4 2" xfId="1599" xr:uid="{00000000-0005-0000-0000-000086160000}"/>
    <cellStyle name="Vírgula 6 2 4 2 2" xfId="2842" xr:uid="{00000000-0005-0000-0000-000087160000}"/>
    <cellStyle name="Vírgula 6 2 4 2 2 2" xfId="5538" xr:uid="{00000000-0005-0000-0000-000088160000}"/>
    <cellStyle name="Vírgula 6 2 4 2 3" xfId="4295" xr:uid="{00000000-0005-0000-0000-000089160000}"/>
    <cellStyle name="Vírgula 6 2 4 3" xfId="2342" xr:uid="{00000000-0005-0000-0000-00008A160000}"/>
    <cellStyle name="Vírgula 6 2 4 3 2" xfId="5038" xr:uid="{00000000-0005-0000-0000-00008B160000}"/>
    <cellStyle name="Vírgula 6 2 4 4" xfId="3529" xr:uid="{00000000-0005-0000-0000-00008C160000}"/>
    <cellStyle name="Vírgula 6 2 5" xfId="1263" xr:uid="{00000000-0005-0000-0000-00008D160000}"/>
    <cellStyle name="Vírgula 6 2 5 2" xfId="2592" xr:uid="{00000000-0005-0000-0000-00008E160000}"/>
    <cellStyle name="Vírgula 6 2 5 2 2" xfId="5288" xr:uid="{00000000-0005-0000-0000-00008F160000}"/>
    <cellStyle name="Vírgula 6 2 5 3" xfId="3959" xr:uid="{00000000-0005-0000-0000-000090160000}"/>
    <cellStyle name="Vírgula 6 2 6" xfId="2092" xr:uid="{00000000-0005-0000-0000-000091160000}"/>
    <cellStyle name="Vírgula 6 2 6 2" xfId="4788" xr:uid="{00000000-0005-0000-0000-000092160000}"/>
    <cellStyle name="Vírgula 6 2 7" xfId="3192" xr:uid="{00000000-0005-0000-0000-000093160000}"/>
    <cellStyle name="Vírgula 6 3" xfId="429" xr:uid="{00000000-0005-0000-0000-000094160000}"/>
    <cellStyle name="Vírgula 6 3 2" xfId="2038" xr:uid="{00000000-0005-0000-0000-000095160000}"/>
    <cellStyle name="Vírgula 6 3 2 2" xfId="4734" xr:uid="{00000000-0005-0000-0000-000096160000}"/>
    <cellStyle name="Vírgula 6 3 3" xfId="3137" xr:uid="{00000000-0005-0000-0000-000097160000}"/>
    <cellStyle name="Vírgula 6 4" xfId="1985" xr:uid="{00000000-0005-0000-0000-000098160000}"/>
    <cellStyle name="Vírgula 6 4 2" xfId="4681" xr:uid="{00000000-0005-0000-0000-000099160000}"/>
    <cellStyle name="Vírgula 6 5" xfId="3077" xr:uid="{00000000-0005-0000-0000-00009A160000}"/>
    <cellStyle name="Vírgula 7" xfId="106" xr:uid="{00000000-0005-0000-0000-00009B160000}"/>
    <cellStyle name="Vírgula 7 2" xfId="559" xr:uid="{00000000-0005-0000-0000-00009C160000}"/>
    <cellStyle name="Vírgula 7 2 2" xfId="733" xr:uid="{00000000-0005-0000-0000-00009D160000}"/>
    <cellStyle name="Vírgula 7 2 2 2" xfId="1070" xr:uid="{00000000-0005-0000-0000-00009E160000}"/>
    <cellStyle name="Vírgula 7 2 2 2 2" xfId="1837" xr:uid="{00000000-0005-0000-0000-00009F160000}"/>
    <cellStyle name="Vírgula 7 2 2 2 2 2" xfId="3030" xr:uid="{00000000-0005-0000-0000-0000A0160000}"/>
    <cellStyle name="Vírgula 7 2 2 2 2 2 2" xfId="5726" xr:uid="{00000000-0005-0000-0000-0000A1160000}"/>
    <cellStyle name="Vírgula 7 2 2 2 2 3" xfId="4533" xr:uid="{00000000-0005-0000-0000-0000A2160000}"/>
    <cellStyle name="Vírgula 7 2 2 2 3" xfId="2530" xr:uid="{00000000-0005-0000-0000-0000A3160000}"/>
    <cellStyle name="Vírgula 7 2 2 2 3 2" xfId="5226" xr:uid="{00000000-0005-0000-0000-0000A4160000}"/>
    <cellStyle name="Vírgula 7 2 2 2 4" xfId="3767" xr:uid="{00000000-0005-0000-0000-0000A5160000}"/>
    <cellStyle name="Vírgula 7 2 2 3" xfId="1500" xr:uid="{00000000-0005-0000-0000-0000A6160000}"/>
    <cellStyle name="Vírgula 7 2 2 3 2" xfId="2780" xr:uid="{00000000-0005-0000-0000-0000A7160000}"/>
    <cellStyle name="Vírgula 7 2 2 3 2 2" xfId="5476" xr:uid="{00000000-0005-0000-0000-0000A8160000}"/>
    <cellStyle name="Vírgula 7 2 2 3 3" xfId="4196" xr:uid="{00000000-0005-0000-0000-0000A9160000}"/>
    <cellStyle name="Vírgula 7 2 2 4" xfId="2280" xr:uid="{00000000-0005-0000-0000-0000AA160000}"/>
    <cellStyle name="Vírgula 7 2 2 4 2" xfId="4976" xr:uid="{00000000-0005-0000-0000-0000AB160000}"/>
    <cellStyle name="Vírgula 7 2 2 5" xfId="3430" xr:uid="{00000000-0005-0000-0000-0000AC160000}"/>
    <cellStyle name="Vírgula 7 2 3" xfId="897" xr:uid="{00000000-0005-0000-0000-0000AD160000}"/>
    <cellStyle name="Vírgula 7 2 3 2" xfId="1664" xr:uid="{00000000-0005-0000-0000-0000AE160000}"/>
    <cellStyle name="Vírgula 7 2 3 2 2" xfId="2905" xr:uid="{00000000-0005-0000-0000-0000AF160000}"/>
    <cellStyle name="Vírgula 7 2 3 2 2 2" xfId="5601" xr:uid="{00000000-0005-0000-0000-0000B0160000}"/>
    <cellStyle name="Vírgula 7 2 3 2 3" xfId="4360" xr:uid="{00000000-0005-0000-0000-0000B1160000}"/>
    <cellStyle name="Vírgula 7 2 3 3" xfId="2405" xr:uid="{00000000-0005-0000-0000-0000B2160000}"/>
    <cellStyle name="Vírgula 7 2 3 3 2" xfId="5101" xr:uid="{00000000-0005-0000-0000-0000B3160000}"/>
    <cellStyle name="Vírgula 7 2 3 4" xfId="3594" xr:uid="{00000000-0005-0000-0000-0000B4160000}"/>
    <cellStyle name="Vírgula 7 2 4" xfId="1327" xr:uid="{00000000-0005-0000-0000-0000B5160000}"/>
    <cellStyle name="Vírgula 7 2 4 2" xfId="2655" xr:uid="{00000000-0005-0000-0000-0000B6160000}"/>
    <cellStyle name="Vírgula 7 2 4 2 2" xfId="5351" xr:uid="{00000000-0005-0000-0000-0000B7160000}"/>
    <cellStyle name="Vírgula 7 2 4 3" xfId="4023" xr:uid="{00000000-0005-0000-0000-0000B8160000}"/>
    <cellStyle name="Vírgula 7 2 5" xfId="2155" xr:uid="{00000000-0005-0000-0000-0000B9160000}"/>
    <cellStyle name="Vírgula 7 2 5 2" xfId="4851" xr:uid="{00000000-0005-0000-0000-0000BA160000}"/>
    <cellStyle name="Vírgula 7 2 6" xfId="3257" xr:uid="{00000000-0005-0000-0000-0000BB160000}"/>
    <cellStyle name="Vírgula 7 3" xfId="670" xr:uid="{00000000-0005-0000-0000-0000BC160000}"/>
    <cellStyle name="Vírgula 7 3 2" xfId="1007" xr:uid="{00000000-0005-0000-0000-0000BD160000}"/>
    <cellStyle name="Vírgula 7 3 2 2" xfId="1774" xr:uid="{00000000-0005-0000-0000-0000BE160000}"/>
    <cellStyle name="Vírgula 7 3 2 2 2" xfId="2968" xr:uid="{00000000-0005-0000-0000-0000BF160000}"/>
    <cellStyle name="Vírgula 7 3 2 2 2 2" xfId="5664" xr:uid="{00000000-0005-0000-0000-0000C0160000}"/>
    <cellStyle name="Vírgula 7 3 2 2 3" xfId="4470" xr:uid="{00000000-0005-0000-0000-0000C1160000}"/>
    <cellStyle name="Vírgula 7 3 2 3" xfId="2468" xr:uid="{00000000-0005-0000-0000-0000C2160000}"/>
    <cellStyle name="Vírgula 7 3 2 3 2" xfId="5164" xr:uid="{00000000-0005-0000-0000-0000C3160000}"/>
    <cellStyle name="Vírgula 7 3 2 4" xfId="3704" xr:uid="{00000000-0005-0000-0000-0000C4160000}"/>
    <cellStyle name="Vírgula 7 3 3" xfId="1437" xr:uid="{00000000-0005-0000-0000-0000C5160000}"/>
    <cellStyle name="Vírgula 7 3 3 2" xfId="2718" xr:uid="{00000000-0005-0000-0000-0000C6160000}"/>
    <cellStyle name="Vírgula 7 3 3 2 2" xfId="5414" xr:uid="{00000000-0005-0000-0000-0000C7160000}"/>
    <cellStyle name="Vírgula 7 3 3 3" xfId="4133" xr:uid="{00000000-0005-0000-0000-0000C8160000}"/>
    <cellStyle name="Vírgula 7 3 4" xfId="2218" xr:uid="{00000000-0005-0000-0000-0000C9160000}"/>
    <cellStyle name="Vírgula 7 3 4 2" xfId="4914" xr:uid="{00000000-0005-0000-0000-0000CA160000}"/>
    <cellStyle name="Vírgula 7 3 5" xfId="3367" xr:uid="{00000000-0005-0000-0000-0000CB160000}"/>
    <cellStyle name="Vírgula 7 4" xfId="833" xr:uid="{00000000-0005-0000-0000-0000CC160000}"/>
    <cellStyle name="Vírgula 7 4 2" xfId="1600" xr:uid="{00000000-0005-0000-0000-0000CD160000}"/>
    <cellStyle name="Vírgula 7 4 2 2" xfId="2843" xr:uid="{00000000-0005-0000-0000-0000CE160000}"/>
    <cellStyle name="Vírgula 7 4 2 2 2" xfId="5539" xr:uid="{00000000-0005-0000-0000-0000CF160000}"/>
    <cellStyle name="Vírgula 7 4 2 3" xfId="4296" xr:uid="{00000000-0005-0000-0000-0000D0160000}"/>
    <cellStyle name="Vírgula 7 4 3" xfId="2343" xr:uid="{00000000-0005-0000-0000-0000D1160000}"/>
    <cellStyle name="Vírgula 7 4 3 2" xfId="5039" xr:uid="{00000000-0005-0000-0000-0000D2160000}"/>
    <cellStyle name="Vírgula 7 4 4" xfId="3530" xr:uid="{00000000-0005-0000-0000-0000D3160000}"/>
    <cellStyle name="Vírgula 7 5" xfId="1264" xr:uid="{00000000-0005-0000-0000-0000D4160000}"/>
    <cellStyle name="Vírgula 7 5 2" xfId="2593" xr:uid="{00000000-0005-0000-0000-0000D5160000}"/>
    <cellStyle name="Vírgula 7 5 2 2" xfId="5289" xr:uid="{00000000-0005-0000-0000-0000D6160000}"/>
    <cellStyle name="Vírgula 7 5 3" xfId="3960" xr:uid="{00000000-0005-0000-0000-0000D7160000}"/>
    <cellStyle name="Vírgula 7 6" xfId="494" xr:uid="{00000000-0005-0000-0000-0000D8160000}"/>
    <cellStyle name="Vírgula 7 6 2" xfId="2093" xr:uid="{00000000-0005-0000-0000-0000D9160000}"/>
    <cellStyle name="Vírgula 7 6 2 2" xfId="4789" xr:uid="{00000000-0005-0000-0000-0000DA160000}"/>
    <cellStyle name="Vírgula 7 6 3" xfId="3193" xr:uid="{00000000-0005-0000-0000-0000DB160000}"/>
    <cellStyle name="Vírgula 7 7" xfId="1986" xr:uid="{00000000-0005-0000-0000-0000DC160000}"/>
    <cellStyle name="Vírgula 7 7 2" xfId="4682" xr:uid="{00000000-0005-0000-0000-0000DD160000}"/>
    <cellStyle name="Vírgula 7 8" xfId="3078" xr:uid="{00000000-0005-0000-0000-0000DE160000}"/>
    <cellStyle name="Vírgula 8" xfId="115" xr:uid="{00000000-0005-0000-0000-0000DF160000}"/>
    <cellStyle name="Vírgula 8 2" xfId="678" xr:uid="{00000000-0005-0000-0000-0000E0160000}"/>
    <cellStyle name="Vírgula 8 2 2" xfId="1015" xr:uid="{00000000-0005-0000-0000-0000E1160000}"/>
    <cellStyle name="Vírgula 8 2 2 2" xfId="1782" xr:uid="{00000000-0005-0000-0000-0000E2160000}"/>
    <cellStyle name="Vírgula 8 2 2 2 2" xfId="2975" xr:uid="{00000000-0005-0000-0000-0000E3160000}"/>
    <cellStyle name="Vírgula 8 2 2 2 2 2" xfId="5671" xr:uid="{00000000-0005-0000-0000-0000E4160000}"/>
    <cellStyle name="Vírgula 8 2 2 2 3" xfId="4478" xr:uid="{00000000-0005-0000-0000-0000E5160000}"/>
    <cellStyle name="Vírgula 8 2 2 3" xfId="2475" xr:uid="{00000000-0005-0000-0000-0000E6160000}"/>
    <cellStyle name="Vírgula 8 2 2 3 2" xfId="5171" xr:uid="{00000000-0005-0000-0000-0000E7160000}"/>
    <cellStyle name="Vírgula 8 2 2 4" xfId="3712" xr:uid="{00000000-0005-0000-0000-0000E8160000}"/>
    <cellStyle name="Vírgula 8 2 3" xfId="1445" xr:uid="{00000000-0005-0000-0000-0000E9160000}"/>
    <cellStyle name="Vírgula 8 2 3 2" xfId="2725" xr:uid="{00000000-0005-0000-0000-0000EA160000}"/>
    <cellStyle name="Vírgula 8 2 3 2 2" xfId="5421" xr:uid="{00000000-0005-0000-0000-0000EB160000}"/>
    <cellStyle name="Vírgula 8 2 3 3" xfId="4141" xr:uid="{00000000-0005-0000-0000-0000EC160000}"/>
    <cellStyle name="Vírgula 8 2 4" xfId="2225" xr:uid="{00000000-0005-0000-0000-0000ED160000}"/>
    <cellStyle name="Vírgula 8 2 4 2" xfId="4921" xr:uid="{00000000-0005-0000-0000-0000EE160000}"/>
    <cellStyle name="Vírgula 8 2 5" xfId="3375" xr:uid="{00000000-0005-0000-0000-0000EF160000}"/>
    <cellStyle name="Vírgula 8 3" xfId="841" xr:uid="{00000000-0005-0000-0000-0000F0160000}"/>
    <cellStyle name="Vírgula 8 3 2" xfId="1608" xr:uid="{00000000-0005-0000-0000-0000F1160000}"/>
    <cellStyle name="Vírgula 8 3 2 2" xfId="2850" xr:uid="{00000000-0005-0000-0000-0000F2160000}"/>
    <cellStyle name="Vírgula 8 3 2 2 2" xfId="5546" xr:uid="{00000000-0005-0000-0000-0000F3160000}"/>
    <cellStyle name="Vírgula 8 3 2 3" xfId="4304" xr:uid="{00000000-0005-0000-0000-0000F4160000}"/>
    <cellStyle name="Vírgula 8 3 3" xfId="2350" xr:uid="{00000000-0005-0000-0000-0000F5160000}"/>
    <cellStyle name="Vírgula 8 3 3 2" xfId="5046" xr:uid="{00000000-0005-0000-0000-0000F6160000}"/>
    <cellStyle name="Vírgula 8 3 4" xfId="3538" xr:uid="{00000000-0005-0000-0000-0000F7160000}"/>
    <cellStyle name="Vírgula 8 4" xfId="1271" xr:uid="{00000000-0005-0000-0000-0000F8160000}"/>
    <cellStyle name="Vírgula 8 4 2" xfId="2600" xr:uid="{00000000-0005-0000-0000-0000F9160000}"/>
    <cellStyle name="Vírgula 8 4 2 2" xfId="5296" xr:uid="{00000000-0005-0000-0000-0000FA160000}"/>
    <cellStyle name="Vírgula 8 4 3" xfId="3967" xr:uid="{00000000-0005-0000-0000-0000FB160000}"/>
    <cellStyle name="Vírgula 8 5" xfId="503" xr:uid="{00000000-0005-0000-0000-0000FC160000}"/>
    <cellStyle name="Vírgula 8 5 2" xfId="2100" xr:uid="{00000000-0005-0000-0000-0000FD160000}"/>
    <cellStyle name="Vírgula 8 5 2 2" xfId="4796" xr:uid="{00000000-0005-0000-0000-0000FE160000}"/>
    <cellStyle name="Vírgula 8 5 3" xfId="3201" xr:uid="{00000000-0005-0000-0000-0000FF160000}"/>
    <cellStyle name="Vírgula 9" xfId="3" xr:uid="{00000000-0005-0000-0000-000000170000}"/>
    <cellStyle name="Vírgula 9 2" xfId="952" xr:uid="{00000000-0005-0000-0000-000001170000}"/>
    <cellStyle name="Vírgula 9 2 2" xfId="1719" xr:uid="{00000000-0005-0000-0000-000002170000}"/>
    <cellStyle name="Vírgula 9 2 2 2" xfId="2913" xr:uid="{00000000-0005-0000-0000-000003170000}"/>
    <cellStyle name="Vírgula 9 2 2 2 2" xfId="5609" xr:uid="{00000000-0005-0000-0000-000004170000}"/>
    <cellStyle name="Vírgula 9 2 2 3" xfId="4415" xr:uid="{00000000-0005-0000-0000-000005170000}"/>
    <cellStyle name="Vírgula 9 2 3" xfId="2413" xr:uid="{00000000-0005-0000-0000-000006170000}"/>
    <cellStyle name="Vírgula 9 2 3 2" xfId="5109" xr:uid="{00000000-0005-0000-0000-000007170000}"/>
    <cellStyle name="Vírgula 9 2 4" xfId="3649" xr:uid="{00000000-0005-0000-0000-000008170000}"/>
    <cellStyle name="Vírgula 9 3" xfId="1382" xr:uid="{00000000-0005-0000-0000-000009170000}"/>
    <cellStyle name="Vírgula 9 3 2" xfId="2663" xr:uid="{00000000-0005-0000-0000-00000A170000}"/>
    <cellStyle name="Vírgula 9 3 2 2" xfId="5359" xr:uid="{00000000-0005-0000-0000-00000B170000}"/>
    <cellStyle name="Vírgula 9 3 3" xfId="4078" xr:uid="{00000000-0005-0000-0000-00000C170000}"/>
    <cellStyle name="Vírgula 9 4" xfId="615" xr:uid="{00000000-0005-0000-0000-00000D170000}"/>
    <cellStyle name="Vírgula 9 4 2" xfId="2163" xr:uid="{00000000-0005-0000-0000-00000E170000}"/>
    <cellStyle name="Vírgula 9 4 2 2" xfId="4859" xr:uid="{00000000-0005-0000-0000-00000F170000}"/>
    <cellStyle name="Vírgula 9 4 3" xfId="3312" xr:uid="{00000000-0005-0000-0000-000010170000}"/>
    <cellStyle name="Vírgula 9 5" xfId="1968" xr:uid="{00000000-0005-0000-0000-000011170000}"/>
    <cellStyle name="Vírgula 9 5 2" xfId="4664" xr:uid="{00000000-0005-0000-0000-000012170000}"/>
    <cellStyle name="Vírgula 9 6" xfId="3054" xr:uid="{00000000-0005-0000-0000-000013170000}"/>
    <cellStyle name="Vírgula0" xfId="261" xr:uid="{00000000-0005-0000-0000-000014170000}"/>
    <cellStyle name="Währung" xfId="262" xr:uid="{00000000-0005-0000-0000-000015170000}"/>
    <cellStyle name="Warning 20" xfId="5854" xr:uid="{00000000-0005-0000-0000-000016170000}"/>
    <cellStyle name="Warning 22" xfId="5855" xr:uid="{00000000-0005-0000-0000-000017170000}"/>
    <cellStyle name="Warning Text" xfId="56" xr:uid="{00000000-0005-0000-0000-000018170000}"/>
  </cellStyles>
  <dxfs count="870"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</dxfs>
  <tableStyles count="0" defaultTableStyle="TableStyleMedium2" defaultPivotStyle="PivotStyleLight16"/>
  <colors>
    <mruColors>
      <color rgb="FF0000FF"/>
      <color rgb="FF365F91"/>
      <color rgb="FF446A2C"/>
      <color rgb="FF334F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AVANÇO FINANCEIRO</a:t>
            </a:r>
          </a:p>
        </c:rich>
      </c:tx>
      <c:layout>
        <c:manualLayout>
          <c:xMode val="edge"/>
          <c:yMode val="edge"/>
          <c:x val="0.46126909792792931"/>
          <c:y val="1.07408310285307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24327708640913E-2"/>
          <c:y val="3.7693315667959422E-2"/>
          <c:w val="0.87260150643655054"/>
          <c:h val="0.69131019841911501"/>
        </c:manualLayout>
      </c:layout>
      <c:barChart>
        <c:barDir val="col"/>
        <c:grouping val="clustered"/>
        <c:varyColors val="0"/>
        <c:ser>
          <c:idx val="0"/>
          <c:order val="0"/>
          <c:tx>
            <c:v>Previsto</c:v>
          </c:tx>
          <c:spPr>
            <a:gradFill rotWithShape="0">
              <a:gsLst>
                <a:gs pos="0">
                  <a:srgbClr val="0000FF"/>
                </a:gs>
                <a:gs pos="50000">
                  <a:srgbClr val="0000FF">
                    <a:gamma/>
                    <a:tint val="0"/>
                    <a:invGamma/>
                  </a:srgbClr>
                </a:gs>
                <a:gs pos="100000">
                  <a:srgbClr val="0000FF"/>
                </a:gs>
              </a:gsLst>
              <a:lin ang="27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'8.2 - CURVA'!$D$127:$AN$127</c:f>
              <c:numCache>
                <c:formatCode>[$-416]mmm\-yy;@</c:formatCode>
                <c:ptCount val="37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44471</c:v>
                </c:pt>
                <c:pt idx="4">
                  <c:v>44501</c:v>
                </c:pt>
                <c:pt idx="5">
                  <c:v>44532</c:v>
                </c:pt>
                <c:pt idx="6">
                  <c:v>44562</c:v>
                </c:pt>
                <c:pt idx="7">
                  <c:v>44593</c:v>
                </c:pt>
                <c:pt idx="8">
                  <c:v>44624</c:v>
                </c:pt>
                <c:pt idx="9">
                  <c:v>44654</c:v>
                </c:pt>
                <c:pt idx="10">
                  <c:v>44685</c:v>
                </c:pt>
                <c:pt idx="11">
                  <c:v>44715</c:v>
                </c:pt>
                <c:pt idx="12">
                  <c:v>44746</c:v>
                </c:pt>
                <c:pt idx="13">
                  <c:v>44777</c:v>
                </c:pt>
                <c:pt idx="14">
                  <c:v>44808</c:v>
                </c:pt>
                <c:pt idx="15">
                  <c:v>44839</c:v>
                </c:pt>
                <c:pt idx="16">
                  <c:v>44870</c:v>
                </c:pt>
                <c:pt idx="17">
                  <c:v>44901</c:v>
                </c:pt>
                <c:pt idx="18">
                  <c:v>44932</c:v>
                </c:pt>
                <c:pt idx="19">
                  <c:v>44963</c:v>
                </c:pt>
                <c:pt idx="20">
                  <c:v>44994</c:v>
                </c:pt>
                <c:pt idx="21">
                  <c:v>45025</c:v>
                </c:pt>
                <c:pt idx="22">
                  <c:v>45056</c:v>
                </c:pt>
                <c:pt idx="23">
                  <c:v>45087</c:v>
                </c:pt>
                <c:pt idx="24">
                  <c:v>45118</c:v>
                </c:pt>
                <c:pt idx="25">
                  <c:v>45149</c:v>
                </c:pt>
                <c:pt idx="26">
                  <c:v>45180</c:v>
                </c:pt>
                <c:pt idx="27">
                  <c:v>45211</c:v>
                </c:pt>
                <c:pt idx="28">
                  <c:v>45242</c:v>
                </c:pt>
                <c:pt idx="29">
                  <c:v>45273</c:v>
                </c:pt>
                <c:pt idx="30">
                  <c:v>45304</c:v>
                </c:pt>
                <c:pt idx="31">
                  <c:v>45335</c:v>
                </c:pt>
                <c:pt idx="32">
                  <c:v>45366</c:v>
                </c:pt>
                <c:pt idx="33">
                  <c:v>45397</c:v>
                </c:pt>
                <c:pt idx="34">
                  <c:v>45428</c:v>
                </c:pt>
                <c:pt idx="35">
                  <c:v>45459</c:v>
                </c:pt>
                <c:pt idx="36">
                  <c:v>45490</c:v>
                </c:pt>
              </c:numCache>
            </c:numRef>
          </c:cat>
          <c:val>
            <c:numRef>
              <c:f>'8.2 - CURVA'!$D$129:$AN$129</c:f>
              <c:numCache>
                <c:formatCode>0.00%</c:formatCode>
                <c:ptCount val="37"/>
                <c:pt idx="0">
                  <c:v>1.8501713029862304E-3</c:v>
                </c:pt>
                <c:pt idx="1">
                  <c:v>1.9983067655424086E-3</c:v>
                </c:pt>
                <c:pt idx="2">
                  <c:v>2.9827322716229678E-4</c:v>
                </c:pt>
                <c:pt idx="3">
                  <c:v>2.6658119942684078E-3</c:v>
                </c:pt>
                <c:pt idx="4">
                  <c:v>0</c:v>
                </c:pt>
                <c:pt idx="5">
                  <c:v>5.4358835145548325E-2</c:v>
                </c:pt>
                <c:pt idx="6">
                  <c:v>1.0371813021239788E-2</c:v>
                </c:pt>
                <c:pt idx="7">
                  <c:v>6.0855787695715327E-3</c:v>
                </c:pt>
                <c:pt idx="8">
                  <c:v>5.8208858611780382E-3</c:v>
                </c:pt>
                <c:pt idx="9">
                  <c:v>0</c:v>
                </c:pt>
                <c:pt idx="10">
                  <c:v>8.8195206264502723E-2</c:v>
                </c:pt>
                <c:pt idx="11">
                  <c:v>7.5331105490521216E-2</c:v>
                </c:pt>
                <c:pt idx="12">
                  <c:v>2.4721875459954913E-3</c:v>
                </c:pt>
                <c:pt idx="13">
                  <c:v>1.522674120149821E-3</c:v>
                </c:pt>
                <c:pt idx="14">
                  <c:v>3.72933595877294E-4</c:v>
                </c:pt>
                <c:pt idx="15">
                  <c:v>3.7902191798467812E-3</c:v>
                </c:pt>
                <c:pt idx="16">
                  <c:v>7.4065986821117476E-3</c:v>
                </c:pt>
                <c:pt idx="17">
                  <c:v>3.1607464586343587E-3</c:v>
                </c:pt>
                <c:pt idx="18">
                  <c:v>8.5421529477382879E-3</c:v>
                </c:pt>
                <c:pt idx="19">
                  <c:v>2.7307279936170561E-2</c:v>
                </c:pt>
                <c:pt idx="20">
                  <c:v>5.8804967757028558E-2</c:v>
                </c:pt>
                <c:pt idx="21">
                  <c:v>1.1280882287550409E-3</c:v>
                </c:pt>
                <c:pt idx="22">
                  <c:v>1.4188528829717354E-3</c:v>
                </c:pt>
                <c:pt idx="23">
                  <c:v>9.6175884467912601E-3</c:v>
                </c:pt>
                <c:pt idx="24">
                  <c:v>1.9162297065812038E-2</c:v>
                </c:pt>
                <c:pt idx="25">
                  <c:v>2.189456498479489E-2</c:v>
                </c:pt>
                <c:pt idx="26">
                  <c:v>0.20861033230035395</c:v>
                </c:pt>
                <c:pt idx="27">
                  <c:v>0.26323359916368344</c:v>
                </c:pt>
                <c:pt idx="28">
                  <c:v>9.809154889874494E-2</c:v>
                </c:pt>
                <c:pt idx="29">
                  <c:v>8.8854455910352577E-3</c:v>
                </c:pt>
                <c:pt idx="30">
                  <c:v>1.2669890618306229E-3</c:v>
                </c:pt>
                <c:pt idx="31">
                  <c:v>1.2669890618306229E-3</c:v>
                </c:pt>
                <c:pt idx="32">
                  <c:v>1.2669890618306229E-3</c:v>
                </c:pt>
                <c:pt idx="33">
                  <c:v>1.2669890618306229E-3</c:v>
                </c:pt>
                <c:pt idx="34">
                  <c:v>1.2669890618306229E-3</c:v>
                </c:pt>
                <c:pt idx="35">
                  <c:v>1.2669890618306229E-3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C-49DF-BCE0-19F3A89145C1}"/>
            </c:ext>
          </c:extLst>
        </c:ser>
        <c:ser>
          <c:idx val="4"/>
          <c:order val="2"/>
          <c:tx>
            <c:v>Realizado</c:v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0"/>
                    <a:invGamma/>
                  </a:srgbClr>
                </a:gs>
              </a:gsLst>
              <a:lin ang="270000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'8.2 - CURVA'!$D$127:$AN$127</c:f>
              <c:numCache>
                <c:formatCode>[$-416]mmm\-yy;@</c:formatCode>
                <c:ptCount val="37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44471</c:v>
                </c:pt>
                <c:pt idx="4">
                  <c:v>44501</c:v>
                </c:pt>
                <c:pt idx="5">
                  <c:v>44532</c:v>
                </c:pt>
                <c:pt idx="6">
                  <c:v>44562</c:v>
                </c:pt>
                <c:pt idx="7">
                  <c:v>44593</c:v>
                </c:pt>
                <c:pt idx="8">
                  <c:v>44624</c:v>
                </c:pt>
                <c:pt idx="9">
                  <c:v>44654</c:v>
                </c:pt>
                <c:pt idx="10">
                  <c:v>44685</c:v>
                </c:pt>
                <c:pt idx="11">
                  <c:v>44715</c:v>
                </c:pt>
                <c:pt idx="12">
                  <c:v>44746</c:v>
                </c:pt>
                <c:pt idx="13">
                  <c:v>44777</c:v>
                </c:pt>
                <c:pt idx="14">
                  <c:v>44808</c:v>
                </c:pt>
                <c:pt idx="15">
                  <c:v>44839</c:v>
                </c:pt>
                <c:pt idx="16">
                  <c:v>44870</c:v>
                </c:pt>
                <c:pt idx="17">
                  <c:v>44901</c:v>
                </c:pt>
                <c:pt idx="18">
                  <c:v>44932</c:v>
                </c:pt>
                <c:pt idx="19">
                  <c:v>44963</c:v>
                </c:pt>
                <c:pt idx="20">
                  <c:v>44994</c:v>
                </c:pt>
                <c:pt idx="21">
                  <c:v>45025</c:v>
                </c:pt>
                <c:pt idx="22">
                  <c:v>45056</c:v>
                </c:pt>
                <c:pt idx="23">
                  <c:v>45087</c:v>
                </c:pt>
                <c:pt idx="24">
                  <c:v>45118</c:v>
                </c:pt>
                <c:pt idx="25">
                  <c:v>45149</c:v>
                </c:pt>
                <c:pt idx="26">
                  <c:v>45180</c:v>
                </c:pt>
                <c:pt idx="27">
                  <c:v>45211</c:v>
                </c:pt>
                <c:pt idx="28">
                  <c:v>45242</c:v>
                </c:pt>
                <c:pt idx="29">
                  <c:v>45273</c:v>
                </c:pt>
                <c:pt idx="30">
                  <c:v>45304</c:v>
                </c:pt>
                <c:pt idx="31">
                  <c:v>45335</c:v>
                </c:pt>
                <c:pt idx="32">
                  <c:v>45366</c:v>
                </c:pt>
                <c:pt idx="33">
                  <c:v>45397</c:v>
                </c:pt>
                <c:pt idx="34">
                  <c:v>45428</c:v>
                </c:pt>
                <c:pt idx="35">
                  <c:v>45459</c:v>
                </c:pt>
                <c:pt idx="36">
                  <c:v>45490</c:v>
                </c:pt>
              </c:numCache>
            </c:numRef>
          </c:cat>
          <c:val>
            <c:numRef>
              <c:f>'8.2 - CURVA'!$D$128:$AN$128</c:f>
              <c:numCache>
                <c:formatCode>0.00%</c:formatCode>
                <c:ptCount val="37"/>
                <c:pt idx="0">
                  <c:v>1.8501713029862304E-3</c:v>
                </c:pt>
                <c:pt idx="1">
                  <c:v>1.9983067655424086E-3</c:v>
                </c:pt>
                <c:pt idx="2">
                  <c:v>2.9827322716229678E-4</c:v>
                </c:pt>
                <c:pt idx="3">
                  <c:v>2.6658119942684078E-3</c:v>
                </c:pt>
                <c:pt idx="4">
                  <c:v>0</c:v>
                </c:pt>
                <c:pt idx="5">
                  <c:v>5.4358835145548325E-2</c:v>
                </c:pt>
                <c:pt idx="6">
                  <c:v>1.0371813021239788E-2</c:v>
                </c:pt>
                <c:pt idx="7">
                  <c:v>6.0855787695715327E-3</c:v>
                </c:pt>
                <c:pt idx="8">
                  <c:v>5.8208858611780382E-3</c:v>
                </c:pt>
                <c:pt idx="9">
                  <c:v>0</c:v>
                </c:pt>
                <c:pt idx="10">
                  <c:v>8.8195206264502723E-2</c:v>
                </c:pt>
                <c:pt idx="11">
                  <c:v>7.5331105490521216E-2</c:v>
                </c:pt>
                <c:pt idx="12">
                  <c:v>2.4721875459954913E-3</c:v>
                </c:pt>
                <c:pt idx="13">
                  <c:v>1.522674120149821E-3</c:v>
                </c:pt>
                <c:pt idx="14">
                  <c:v>3.72933595877294E-4</c:v>
                </c:pt>
                <c:pt idx="15">
                  <c:v>3.7902191798467812E-3</c:v>
                </c:pt>
                <c:pt idx="16">
                  <c:v>7.4065986821117476E-3</c:v>
                </c:pt>
                <c:pt idx="17">
                  <c:v>3.1607464586343587E-3</c:v>
                </c:pt>
                <c:pt idx="18">
                  <c:v>8.5421529477382879E-3</c:v>
                </c:pt>
                <c:pt idx="19">
                  <c:v>2.7307279936170561E-2</c:v>
                </c:pt>
                <c:pt idx="20">
                  <c:v>5.8804967757028558E-2</c:v>
                </c:pt>
                <c:pt idx="21">
                  <c:v>1.1280882287550409E-3</c:v>
                </c:pt>
                <c:pt idx="22">
                  <c:v>1.4188528829717354E-3</c:v>
                </c:pt>
                <c:pt idx="23">
                  <c:v>0</c:v>
                </c:pt>
                <c:pt idx="24">
                  <c:v>0.14216306630562064</c:v>
                </c:pt>
                <c:pt idx="25">
                  <c:v>1.0426818378186363E-2</c:v>
                </c:pt>
                <c:pt idx="26">
                  <c:v>1.3482745435701526E-3</c:v>
                </c:pt>
                <c:pt idx="27">
                  <c:v>3.5938198740522384E-2</c:v>
                </c:pt>
                <c:pt idx="28">
                  <c:v>0.22487042839735075</c:v>
                </c:pt>
                <c:pt idx="29">
                  <c:v>4.6602702009715408E-3</c:v>
                </c:pt>
                <c:pt idx="30">
                  <c:v>7.154677922970433E-2</c:v>
                </c:pt>
                <c:pt idx="31">
                  <c:v>2.6824657275589667E-2</c:v>
                </c:pt>
                <c:pt idx="32">
                  <c:v>1.3736002592263055E-2</c:v>
                </c:pt>
                <c:pt idx="33">
                  <c:v>4.8635716061023572E-3</c:v>
                </c:pt>
                <c:pt idx="34">
                  <c:v>4.7136802161726315E-3</c:v>
                </c:pt>
                <c:pt idx="35">
                  <c:v>1.9007505185592512E-3</c:v>
                </c:pt>
                <c:pt idx="36">
                  <c:v>6.5351253311384091E-4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C-49DF-BCE0-19F3A8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5327248"/>
        <c:axId val="18653326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Replanejado</c:v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'8.2 - CURVA'!$D$127:$AN$127</c15:sqref>
                        </c15:formulaRef>
                      </c:ext>
                    </c:extLst>
                    <c:numCache>
                      <c:formatCode>[$-416]mmm\-yy;@</c:formatCode>
                      <c:ptCount val="37"/>
                      <c:pt idx="0">
                        <c:v>44378</c:v>
                      </c:pt>
                      <c:pt idx="1">
                        <c:v>44409</c:v>
                      </c:pt>
                      <c:pt idx="2">
                        <c:v>44440</c:v>
                      </c:pt>
                      <c:pt idx="3">
                        <c:v>44471</c:v>
                      </c:pt>
                      <c:pt idx="4">
                        <c:v>44501</c:v>
                      </c:pt>
                      <c:pt idx="5">
                        <c:v>44532</c:v>
                      </c:pt>
                      <c:pt idx="6">
                        <c:v>44562</c:v>
                      </c:pt>
                      <c:pt idx="7">
                        <c:v>44593</c:v>
                      </c:pt>
                      <c:pt idx="8">
                        <c:v>44624</c:v>
                      </c:pt>
                      <c:pt idx="9">
                        <c:v>44654</c:v>
                      </c:pt>
                      <c:pt idx="10">
                        <c:v>44685</c:v>
                      </c:pt>
                      <c:pt idx="11">
                        <c:v>44715</c:v>
                      </c:pt>
                      <c:pt idx="12">
                        <c:v>44746</c:v>
                      </c:pt>
                      <c:pt idx="13">
                        <c:v>44777</c:v>
                      </c:pt>
                      <c:pt idx="14">
                        <c:v>44808</c:v>
                      </c:pt>
                      <c:pt idx="15">
                        <c:v>44839</c:v>
                      </c:pt>
                      <c:pt idx="16">
                        <c:v>44870</c:v>
                      </c:pt>
                      <c:pt idx="17">
                        <c:v>44901</c:v>
                      </c:pt>
                      <c:pt idx="18">
                        <c:v>44932</c:v>
                      </c:pt>
                      <c:pt idx="19">
                        <c:v>44963</c:v>
                      </c:pt>
                      <c:pt idx="20">
                        <c:v>44994</c:v>
                      </c:pt>
                      <c:pt idx="21">
                        <c:v>45025</c:v>
                      </c:pt>
                      <c:pt idx="22">
                        <c:v>45056</c:v>
                      </c:pt>
                      <c:pt idx="23">
                        <c:v>45087</c:v>
                      </c:pt>
                      <c:pt idx="24">
                        <c:v>45118</c:v>
                      </c:pt>
                      <c:pt idx="25">
                        <c:v>45149</c:v>
                      </c:pt>
                      <c:pt idx="26">
                        <c:v>45180</c:v>
                      </c:pt>
                      <c:pt idx="27">
                        <c:v>45211</c:v>
                      </c:pt>
                      <c:pt idx="28">
                        <c:v>45242</c:v>
                      </c:pt>
                      <c:pt idx="29">
                        <c:v>45273</c:v>
                      </c:pt>
                      <c:pt idx="30">
                        <c:v>45304</c:v>
                      </c:pt>
                      <c:pt idx="31">
                        <c:v>45335</c:v>
                      </c:pt>
                      <c:pt idx="32">
                        <c:v>45366</c:v>
                      </c:pt>
                      <c:pt idx="33">
                        <c:v>45397</c:v>
                      </c:pt>
                      <c:pt idx="34">
                        <c:v>45428</c:v>
                      </c:pt>
                      <c:pt idx="35">
                        <c:v>45459</c:v>
                      </c:pt>
                      <c:pt idx="36">
                        <c:v>45490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'8.2 - CURVA'!#REF!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7-30FC-49DF-BCE0-19F3A89145C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3"/>
          <c:tx>
            <c:v>Prev. Acumulado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pPr>
              <a:solidFill>
                <a:srgbClr val="0000FF"/>
              </a:solidFill>
              <a:ln w="25400">
                <a:solidFill>
                  <a:srgbClr val="0000FF"/>
                </a:solidFill>
              </a:ln>
            </c:spPr>
          </c:marker>
          <c:dLbls>
            <c:dLbl>
              <c:idx val="1"/>
              <c:layout>
                <c:manualLayout>
                  <c:x val="-3.1872539209961241E-2"/>
                  <c:y val="-1.819421381916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C-49DF-BCE0-19F3A89145C1}"/>
                </c:ext>
              </c:extLst>
            </c:dLbl>
            <c:dLbl>
              <c:idx val="2"/>
              <c:layout>
                <c:manualLayout>
                  <c:x val="-2.5158580725744506E-2"/>
                  <c:y val="-1.2165027151898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C-49DF-BCE0-19F3A89145C1}"/>
                </c:ext>
              </c:extLst>
            </c:dLbl>
            <c:dLbl>
              <c:idx val="4"/>
              <c:layout>
                <c:manualLayout>
                  <c:x val="-2.2037090481015691E-2"/>
                  <c:y val="-1.4334326831596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C-49DF-BCE0-19F3A89145C1}"/>
                </c:ext>
              </c:extLst>
            </c:dLbl>
            <c:dLbl>
              <c:idx val="7"/>
              <c:layout>
                <c:manualLayout>
                  <c:x val="9.4899662725459431E-3"/>
                  <c:y val="4.10890271873462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FC-49DF-BCE0-19F3A89145C1}"/>
                </c:ext>
              </c:extLst>
            </c:dLbl>
            <c:dLbl>
              <c:idx val="8"/>
              <c:layout>
                <c:manualLayout>
                  <c:x val="-2.5842256756266682E-3"/>
                  <c:y val="6.72630074892620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FC-49DF-BCE0-19F3A89145C1}"/>
                </c:ext>
              </c:extLst>
            </c:dLbl>
            <c:dLbl>
              <c:idx val="9"/>
              <c:layout>
                <c:manualLayout>
                  <c:x val="7.6971653219911468E-4"/>
                  <c:y val="5.41152195100439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FC-49DF-BCE0-19F3A89145C1}"/>
                </c:ext>
              </c:extLst>
            </c:dLbl>
            <c:dLbl>
              <c:idx val="10"/>
              <c:layout>
                <c:manualLayout>
                  <c:x val="-3.4105578086535387E-2"/>
                  <c:y val="-6.38186716142474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FC-49DF-BCE0-19F3A89145C1}"/>
                </c:ext>
              </c:extLst>
            </c:dLbl>
            <c:dLbl>
              <c:idx val="11"/>
              <c:layout>
                <c:manualLayout>
                  <c:x val="-3.8136013078578911E-2"/>
                  <c:y val="4.09982866141308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FC-49DF-BCE0-19F3A89145C1}"/>
                </c:ext>
              </c:extLst>
            </c:dLbl>
            <c:dLbl>
              <c:idx val="12"/>
              <c:layout>
                <c:manualLayout>
                  <c:x val="-1.1304475415973401E-2"/>
                  <c:y val="1.1961111738014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FC-49DF-BCE0-19F3A8914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00FF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'[45]9.2 - CURVA'!$D$135:$O$135</c:f>
              <c:numCache>
                <c:formatCode>General</c:formatCode>
                <c:ptCount val="12"/>
                <c:pt idx="0">
                  <c:v>43221</c:v>
                </c:pt>
                <c:pt idx="1">
                  <c:v>43272</c:v>
                </c:pt>
                <c:pt idx="2">
                  <c:v>43302</c:v>
                </c:pt>
                <c:pt idx="3">
                  <c:v>43333</c:v>
                </c:pt>
                <c:pt idx="4">
                  <c:v>43364</c:v>
                </c:pt>
                <c:pt idx="5">
                  <c:v>43394</c:v>
                </c:pt>
                <c:pt idx="6">
                  <c:v>43425</c:v>
                </c:pt>
                <c:pt idx="7">
                  <c:v>43455</c:v>
                </c:pt>
                <c:pt idx="8">
                  <c:v>43486</c:v>
                </c:pt>
                <c:pt idx="9">
                  <c:v>43517</c:v>
                </c:pt>
                <c:pt idx="10">
                  <c:v>43545</c:v>
                </c:pt>
                <c:pt idx="11">
                  <c:v>43576</c:v>
                </c:pt>
              </c:numCache>
            </c:numRef>
          </c:cat>
          <c:val>
            <c:numRef>
              <c:f>'8.2 - CURVA'!$D$131:$AN$131</c:f>
              <c:numCache>
                <c:formatCode>0.00%</c:formatCode>
                <c:ptCount val="37"/>
                <c:pt idx="0">
                  <c:v>1.8501713029862304E-3</c:v>
                </c:pt>
                <c:pt idx="1">
                  <c:v>3.8484780685286392E-3</c:v>
                </c:pt>
                <c:pt idx="2">
                  <c:v>4.1467512956909359E-3</c:v>
                </c:pt>
                <c:pt idx="3">
                  <c:v>6.8125632899593436E-3</c:v>
                </c:pt>
                <c:pt idx="4">
                  <c:v>6.8125632899593436E-3</c:v>
                </c:pt>
                <c:pt idx="5">
                  <c:v>6.1171398435507666E-2</c:v>
                </c:pt>
                <c:pt idx="6">
                  <c:v>7.1543211456747455E-2</c:v>
                </c:pt>
                <c:pt idx="7">
                  <c:v>7.7628790226318994E-2</c:v>
                </c:pt>
                <c:pt idx="8">
                  <c:v>8.3449676087497038E-2</c:v>
                </c:pt>
                <c:pt idx="9">
                  <c:v>8.3449676087497038E-2</c:v>
                </c:pt>
                <c:pt idx="10">
                  <c:v>0.17164488235199976</c:v>
                </c:pt>
                <c:pt idx="11">
                  <c:v>0.24697598784252098</c:v>
                </c:pt>
                <c:pt idx="12">
                  <c:v>0.24944817538851646</c:v>
                </c:pt>
                <c:pt idx="13">
                  <c:v>0.25097084950866627</c:v>
                </c:pt>
                <c:pt idx="14">
                  <c:v>0.25134378310454358</c:v>
                </c:pt>
                <c:pt idx="15">
                  <c:v>0.25513400228439037</c:v>
                </c:pt>
                <c:pt idx="16">
                  <c:v>0.26254060096650211</c:v>
                </c:pt>
                <c:pt idx="17">
                  <c:v>0.26570134742513646</c:v>
                </c:pt>
                <c:pt idx="18">
                  <c:v>0.27424350037287476</c:v>
                </c:pt>
                <c:pt idx="19">
                  <c:v>0.30155078030904531</c:v>
                </c:pt>
                <c:pt idx="20">
                  <c:v>0.36035574806607384</c:v>
                </c:pt>
                <c:pt idx="21">
                  <c:v>0.36148383629482889</c:v>
                </c:pt>
                <c:pt idx="22">
                  <c:v>0.36290268917780061</c:v>
                </c:pt>
                <c:pt idx="23">
                  <c:v>0.37252027762459189</c:v>
                </c:pt>
                <c:pt idx="24">
                  <c:v>0.39168257469040391</c:v>
                </c:pt>
                <c:pt idx="25">
                  <c:v>0.41357713967519882</c:v>
                </c:pt>
                <c:pt idx="26">
                  <c:v>0.6221874719755528</c:v>
                </c:pt>
                <c:pt idx="27">
                  <c:v>0.88542107113923629</c:v>
                </c:pt>
                <c:pt idx="28">
                  <c:v>0.98351262003798123</c:v>
                </c:pt>
                <c:pt idx="29">
                  <c:v>0.99239806562901645</c:v>
                </c:pt>
                <c:pt idx="30">
                  <c:v>0.99366505469084709</c:v>
                </c:pt>
                <c:pt idx="31">
                  <c:v>0.99493204375267774</c:v>
                </c:pt>
                <c:pt idx="32">
                  <c:v>0.99619903281450839</c:v>
                </c:pt>
                <c:pt idx="33">
                  <c:v>0.99746602187633904</c:v>
                </c:pt>
                <c:pt idx="34">
                  <c:v>0.99873301093816969</c:v>
                </c:pt>
                <c:pt idx="35">
                  <c:v>1.0000000000000002</c:v>
                </c:pt>
                <c:pt idx="36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FC-49DF-BCE0-19F3A89145C1}"/>
            </c:ext>
          </c:extLst>
        </c:ser>
        <c:ser>
          <c:idx val="3"/>
          <c:order val="5"/>
          <c:tx>
            <c:v>Realizado Acumulado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1.5768949962211991E-2"/>
                  <c:y val="-4.019713256799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FC-49DF-BCE0-19F3A89145C1}"/>
                </c:ext>
              </c:extLst>
            </c:dLbl>
            <c:dLbl>
              <c:idx val="1"/>
              <c:layout>
                <c:manualLayout>
                  <c:x val="-5.4552334285414544E-3"/>
                  <c:y val="-3.6427691015371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FC-49DF-BCE0-19F3A89145C1}"/>
                </c:ext>
              </c:extLst>
            </c:dLbl>
            <c:dLbl>
              <c:idx val="2"/>
              <c:layout>
                <c:manualLayout>
                  <c:x val="8.2951256582202966E-4"/>
                  <c:y val="-2.661365773597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FC-49DF-BCE0-19F3A89145C1}"/>
                </c:ext>
              </c:extLst>
            </c:dLbl>
            <c:dLbl>
              <c:idx val="3"/>
              <c:layout>
                <c:manualLayout>
                  <c:x val="-1.687059339530135E-3"/>
                  <c:y val="1.5662696260180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FC-49DF-BCE0-19F3A89145C1}"/>
                </c:ext>
              </c:extLst>
            </c:dLbl>
            <c:dLbl>
              <c:idx val="4"/>
              <c:layout>
                <c:manualLayout>
                  <c:x val="-1.3316840740668821E-2"/>
                  <c:y val="1.1961111738014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FC-49DF-BCE0-19F3A89145C1}"/>
                </c:ext>
              </c:extLst>
            </c:dLbl>
            <c:dLbl>
              <c:idx val="5"/>
              <c:layout>
                <c:manualLayout>
                  <c:x val="-1.4658417623799058E-2"/>
                  <c:y val="1.1961111738014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FC-49DF-BCE0-19F3A89145C1}"/>
                </c:ext>
              </c:extLst>
            </c:dLbl>
            <c:dLbl>
              <c:idx val="6"/>
              <c:layout>
                <c:manualLayout>
                  <c:x val="-1.3987629182233901E-2"/>
                  <c:y val="1.3275883666495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FC-49DF-BCE0-19F3A89145C1}"/>
                </c:ext>
              </c:extLst>
            </c:dLbl>
            <c:dLbl>
              <c:idx val="7"/>
              <c:layout>
                <c:manualLayout>
                  <c:x val="-1.2646052299103623E-2"/>
                  <c:y val="1.583196057332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FC-49DF-BCE0-19F3A89145C1}"/>
                </c:ext>
              </c:extLst>
            </c:dLbl>
            <c:dLbl>
              <c:idx val="8"/>
              <c:layout>
                <c:manualLayout>
                  <c:x val="-5.938167883452381E-3"/>
                  <c:y val="1.321456254313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FC-49DF-BCE0-19F3A89145C1}"/>
                </c:ext>
              </c:extLst>
            </c:dLbl>
            <c:dLbl>
              <c:idx val="9"/>
              <c:layout>
                <c:manualLayout>
                  <c:x val="-1.1975263857538479E-2"/>
                  <c:y val="1.1905863528042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FC-49DF-BCE0-19F3A89145C1}"/>
                </c:ext>
              </c:extLst>
            </c:dLbl>
            <c:dLbl>
              <c:idx val="10"/>
              <c:layout>
                <c:manualLayout>
                  <c:x val="-1.3316840740668781E-2"/>
                  <c:y val="1.191962767695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FC-49DF-BCE0-19F3A89145C1}"/>
                </c:ext>
              </c:extLst>
            </c:dLbl>
            <c:dLbl>
              <c:idx val="11"/>
              <c:layout>
                <c:manualLayout>
                  <c:x val="-1.4658417623799118E-2"/>
                  <c:y val="1.454005163266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FC-49DF-BCE0-19F3A89145C1}"/>
                </c:ext>
              </c:extLst>
            </c:dLbl>
            <c:dLbl>
              <c:idx val="12"/>
              <c:layout>
                <c:manualLayout>
                  <c:x val="-1.100600096847072E-2"/>
                  <c:y val="1.454005163266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FC-49DF-BCE0-19F3A8914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'8.2 - CURVA'!$D$127:$AN$127</c:f>
              <c:numCache>
                <c:formatCode>[$-416]mmm\-yy;@</c:formatCode>
                <c:ptCount val="37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44471</c:v>
                </c:pt>
                <c:pt idx="4">
                  <c:v>44501</c:v>
                </c:pt>
                <c:pt idx="5">
                  <c:v>44532</c:v>
                </c:pt>
                <c:pt idx="6">
                  <c:v>44562</c:v>
                </c:pt>
                <c:pt idx="7">
                  <c:v>44593</c:v>
                </c:pt>
                <c:pt idx="8">
                  <c:v>44624</c:v>
                </c:pt>
                <c:pt idx="9">
                  <c:v>44654</c:v>
                </c:pt>
                <c:pt idx="10">
                  <c:v>44685</c:v>
                </c:pt>
                <c:pt idx="11">
                  <c:v>44715</c:v>
                </c:pt>
                <c:pt idx="12">
                  <c:v>44746</c:v>
                </c:pt>
                <c:pt idx="13">
                  <c:v>44777</c:v>
                </c:pt>
                <c:pt idx="14">
                  <c:v>44808</c:v>
                </c:pt>
                <c:pt idx="15">
                  <c:v>44839</c:v>
                </c:pt>
                <c:pt idx="16">
                  <c:v>44870</c:v>
                </c:pt>
                <c:pt idx="17">
                  <c:v>44901</c:v>
                </c:pt>
                <c:pt idx="18">
                  <c:v>44932</c:v>
                </c:pt>
                <c:pt idx="19">
                  <c:v>44963</c:v>
                </c:pt>
                <c:pt idx="20">
                  <c:v>44994</c:v>
                </c:pt>
                <c:pt idx="21">
                  <c:v>45025</c:v>
                </c:pt>
                <c:pt idx="22">
                  <c:v>45056</c:v>
                </c:pt>
                <c:pt idx="23">
                  <c:v>45087</c:v>
                </c:pt>
                <c:pt idx="24">
                  <c:v>45118</c:v>
                </c:pt>
                <c:pt idx="25">
                  <c:v>45149</c:v>
                </c:pt>
                <c:pt idx="26">
                  <c:v>45180</c:v>
                </c:pt>
                <c:pt idx="27">
                  <c:v>45211</c:v>
                </c:pt>
                <c:pt idx="28">
                  <c:v>45242</c:v>
                </c:pt>
                <c:pt idx="29">
                  <c:v>45273</c:v>
                </c:pt>
                <c:pt idx="30">
                  <c:v>45304</c:v>
                </c:pt>
                <c:pt idx="31">
                  <c:v>45335</c:v>
                </c:pt>
                <c:pt idx="32">
                  <c:v>45366</c:v>
                </c:pt>
                <c:pt idx="33">
                  <c:v>45397</c:v>
                </c:pt>
                <c:pt idx="34">
                  <c:v>45428</c:v>
                </c:pt>
                <c:pt idx="35">
                  <c:v>45459</c:v>
                </c:pt>
                <c:pt idx="36">
                  <c:v>45490</c:v>
                </c:pt>
              </c:numCache>
            </c:numRef>
          </c:cat>
          <c:val>
            <c:numRef>
              <c:f>'8.2 - CURVA'!$D$130:$AN$130</c:f>
              <c:numCache>
                <c:formatCode>0.00%</c:formatCode>
                <c:ptCount val="37"/>
                <c:pt idx="0">
                  <c:v>1.8501713029862304E-3</c:v>
                </c:pt>
                <c:pt idx="1">
                  <c:v>3.8484780685286392E-3</c:v>
                </c:pt>
                <c:pt idx="2">
                  <c:v>4.1467512956909359E-3</c:v>
                </c:pt>
                <c:pt idx="3">
                  <c:v>6.8125632899593436E-3</c:v>
                </c:pt>
                <c:pt idx="4">
                  <c:v>6.8125632899593436E-3</c:v>
                </c:pt>
                <c:pt idx="5">
                  <c:v>6.1171398435507666E-2</c:v>
                </c:pt>
                <c:pt idx="6">
                  <c:v>7.1543211456747455E-2</c:v>
                </c:pt>
                <c:pt idx="7">
                  <c:v>7.7628790226318994E-2</c:v>
                </c:pt>
                <c:pt idx="8">
                  <c:v>8.3449676087497038E-2</c:v>
                </c:pt>
                <c:pt idx="9">
                  <c:v>8.3449676087497038E-2</c:v>
                </c:pt>
                <c:pt idx="10">
                  <c:v>0.17164488235199976</c:v>
                </c:pt>
                <c:pt idx="11">
                  <c:v>0.24697598784252098</c:v>
                </c:pt>
                <c:pt idx="12">
                  <c:v>0.24944817538851646</c:v>
                </c:pt>
                <c:pt idx="13">
                  <c:v>0.25097084950866627</c:v>
                </c:pt>
                <c:pt idx="14">
                  <c:v>0.25134378310454358</c:v>
                </c:pt>
                <c:pt idx="15">
                  <c:v>0.25513400228439037</c:v>
                </c:pt>
                <c:pt idx="16">
                  <c:v>0.26254060096650211</c:v>
                </c:pt>
                <c:pt idx="17">
                  <c:v>0.26570134742513646</c:v>
                </c:pt>
                <c:pt idx="18">
                  <c:v>0.27424350037287476</c:v>
                </c:pt>
                <c:pt idx="19">
                  <c:v>0.30155078030904531</c:v>
                </c:pt>
                <c:pt idx="20">
                  <c:v>0.36035574806607384</c:v>
                </c:pt>
                <c:pt idx="21">
                  <c:v>0.36148383629482889</c:v>
                </c:pt>
                <c:pt idx="22">
                  <c:v>0.36290268917780061</c:v>
                </c:pt>
                <c:pt idx="23">
                  <c:v>0.36290268917780061</c:v>
                </c:pt>
                <c:pt idx="24">
                  <c:v>0.50506575548342125</c:v>
                </c:pt>
                <c:pt idx="25">
                  <c:v>0.51549257386160763</c:v>
                </c:pt>
                <c:pt idx="26">
                  <c:v>0.51684084840517774</c:v>
                </c:pt>
                <c:pt idx="27">
                  <c:v>0.55277904714570014</c:v>
                </c:pt>
                <c:pt idx="28">
                  <c:v>0.77764947554305086</c:v>
                </c:pt>
                <c:pt idx="29">
                  <c:v>0.78230974574402246</c:v>
                </c:pt>
                <c:pt idx="30">
                  <c:v>0.85385652497372677</c:v>
                </c:pt>
                <c:pt idx="31">
                  <c:v>0.88068118224931646</c:v>
                </c:pt>
                <c:pt idx="32">
                  <c:v>0.8944171848415795</c:v>
                </c:pt>
                <c:pt idx="33">
                  <c:v>0.89928075644768191</c:v>
                </c:pt>
                <c:pt idx="34">
                  <c:v>0.90399443666385448</c:v>
                </c:pt>
                <c:pt idx="35">
                  <c:v>0.90589518718241369</c:v>
                </c:pt>
                <c:pt idx="36">
                  <c:v>0.90654869971552754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0FC-49DF-BCE0-19F3A8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327248"/>
        <c:axId val="1865332688"/>
        <c:extLst>
          <c:ext xmlns:c15="http://schemas.microsoft.com/office/drawing/2012/chart" uri="{02D57815-91ED-43cb-92C2-25804820EDAC}">
            <c15:filteredLineSeries>
              <c15:ser>
                <c:idx val="5"/>
                <c:order val="4"/>
                <c:tx>
                  <c:v>Replanejado Acum.</c:v>
                </c:tx>
                <c:marker>
                  <c:spPr>
                    <a:solidFill>
                      <a:srgbClr val="008000"/>
                    </a:solidFill>
                    <a:ln w="25400">
                      <a:solidFill>
                        <a:srgbClr val="008000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'8.2 - CURVA'!$D$127:$AN$127</c15:sqref>
                        </c15:formulaRef>
                      </c:ext>
                    </c:extLst>
                    <c:numCache>
                      <c:formatCode>[$-416]mmm\-yy;@</c:formatCode>
                      <c:ptCount val="37"/>
                      <c:pt idx="0">
                        <c:v>44378</c:v>
                      </c:pt>
                      <c:pt idx="1">
                        <c:v>44409</c:v>
                      </c:pt>
                      <c:pt idx="2">
                        <c:v>44440</c:v>
                      </c:pt>
                      <c:pt idx="3">
                        <c:v>44471</c:v>
                      </c:pt>
                      <c:pt idx="4">
                        <c:v>44501</c:v>
                      </c:pt>
                      <c:pt idx="5">
                        <c:v>44532</c:v>
                      </c:pt>
                      <c:pt idx="6">
                        <c:v>44562</c:v>
                      </c:pt>
                      <c:pt idx="7">
                        <c:v>44593</c:v>
                      </c:pt>
                      <c:pt idx="8">
                        <c:v>44624</c:v>
                      </c:pt>
                      <c:pt idx="9">
                        <c:v>44654</c:v>
                      </c:pt>
                      <c:pt idx="10">
                        <c:v>44685</c:v>
                      </c:pt>
                      <c:pt idx="11">
                        <c:v>44715</c:v>
                      </c:pt>
                      <c:pt idx="12">
                        <c:v>44746</c:v>
                      </c:pt>
                      <c:pt idx="13">
                        <c:v>44777</c:v>
                      </c:pt>
                      <c:pt idx="14">
                        <c:v>44808</c:v>
                      </c:pt>
                      <c:pt idx="15">
                        <c:v>44839</c:v>
                      </c:pt>
                      <c:pt idx="16">
                        <c:v>44870</c:v>
                      </c:pt>
                      <c:pt idx="17">
                        <c:v>44901</c:v>
                      </c:pt>
                      <c:pt idx="18">
                        <c:v>44932</c:v>
                      </c:pt>
                      <c:pt idx="19">
                        <c:v>44963</c:v>
                      </c:pt>
                      <c:pt idx="20">
                        <c:v>44994</c:v>
                      </c:pt>
                      <c:pt idx="21">
                        <c:v>45025</c:v>
                      </c:pt>
                      <c:pt idx="22">
                        <c:v>45056</c:v>
                      </c:pt>
                      <c:pt idx="23">
                        <c:v>45087</c:v>
                      </c:pt>
                      <c:pt idx="24">
                        <c:v>45118</c:v>
                      </c:pt>
                      <c:pt idx="25">
                        <c:v>45149</c:v>
                      </c:pt>
                      <c:pt idx="26">
                        <c:v>45180</c:v>
                      </c:pt>
                      <c:pt idx="27">
                        <c:v>45211</c:v>
                      </c:pt>
                      <c:pt idx="28">
                        <c:v>45242</c:v>
                      </c:pt>
                      <c:pt idx="29">
                        <c:v>45273</c:v>
                      </c:pt>
                      <c:pt idx="30">
                        <c:v>45304</c:v>
                      </c:pt>
                      <c:pt idx="31">
                        <c:v>45335</c:v>
                      </c:pt>
                      <c:pt idx="32">
                        <c:v>45366</c:v>
                      </c:pt>
                      <c:pt idx="33">
                        <c:v>45397</c:v>
                      </c:pt>
                      <c:pt idx="34">
                        <c:v>45428</c:v>
                      </c:pt>
                      <c:pt idx="35">
                        <c:v>45459</c:v>
                      </c:pt>
                      <c:pt idx="36">
                        <c:v>45490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'8.2 - CURVA'!#REF!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0FC-49DF-BCE0-19F3A89145C1}"/>
                  </c:ext>
                </c:extLst>
              </c15:ser>
            </c15:filteredLineSeries>
          </c:ext>
        </c:extLst>
      </c:lineChart>
      <c:catAx>
        <c:axId val="1865327248"/>
        <c:scaling>
          <c:orientation val="minMax"/>
        </c:scaling>
        <c:delete val="0"/>
        <c:axPos val="b"/>
        <c:majorGridlines>
          <c:spPr>
            <a:ln w="3175">
              <a:solidFill>
                <a:srgbClr val="333399"/>
              </a:solidFill>
              <a:prstDash val="sysDash"/>
            </a:ln>
          </c:spPr>
        </c:majorGridlines>
        <c:numFmt formatCode="[$-416]mmm\-yy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65332688"/>
        <c:crossesAt val="0"/>
        <c:auto val="0"/>
        <c:lblAlgn val="ctr"/>
        <c:lblOffset val="100"/>
        <c:tickMarkSkip val="1"/>
        <c:noMultiLvlLbl val="0"/>
      </c:catAx>
      <c:valAx>
        <c:axId val="18653326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pt-BR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VALORES</a:t>
                </a:r>
              </a:p>
            </c:rich>
          </c:tx>
          <c:layout>
            <c:manualLayout>
              <c:xMode val="edge"/>
              <c:yMode val="edge"/>
              <c:x val="5.3304675498239903E-3"/>
              <c:y val="0.306884535433072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%" sourceLinked="1"/>
        <c:majorTickMark val="out"/>
        <c:minorTickMark val="none"/>
        <c:tickLblPos val="nextTo"/>
        <c:spPr>
          <a:ln w="12700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65327248"/>
        <c:crosses val="autoZero"/>
        <c:crossBetween val="between"/>
        <c:majorUnit val="0.1"/>
        <c:minorUnit val="0.05"/>
      </c:valAx>
      <c:dTable>
        <c:showHorzBorder val="1"/>
        <c:showVertBorder val="1"/>
        <c:showOutline val="1"/>
        <c:showKeys val="1"/>
      </c:dTable>
    </c:plotArea>
    <c:plotVisOnly val="0"/>
    <c:dispBlanksAs val="gap"/>
    <c:showDLblsOverMax val="0"/>
  </c:chart>
  <c:spPr>
    <a:solidFill>
      <a:schemeClr val="accent1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" l="0.39370078740157488" r="0.39370078740157488" t="0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0</xdr:colOff>
      <xdr:row>511</xdr:row>
      <xdr:rowOff>0</xdr:rowOff>
    </xdr:from>
    <xdr:ext cx="304800" cy="304800"/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689490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517</xdr:row>
      <xdr:rowOff>0</xdr:rowOff>
    </xdr:from>
    <xdr:ext cx="304800" cy="304800"/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700920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37</xdr:col>
      <xdr:colOff>2274095</xdr:colOff>
      <xdr:row>161</xdr:row>
      <xdr:rowOff>11907</xdr:rowOff>
    </xdr:from>
    <xdr:to>
      <xdr:col>69</xdr:col>
      <xdr:colOff>0</xdr:colOff>
      <xdr:row>186</xdr:row>
      <xdr:rowOff>23813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1275220" y="26967657"/>
          <a:ext cx="7715250" cy="4964906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50</xdr:col>
      <xdr:colOff>107158</xdr:colOff>
      <xdr:row>157</xdr:row>
      <xdr:rowOff>119062</xdr:rowOff>
    </xdr:from>
    <xdr:ext cx="2197718" cy="461024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4216064" y="26312812"/>
          <a:ext cx="2197718" cy="4610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50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PREENCHER</a:t>
          </a:r>
        </a:p>
      </xdr:txBody>
    </xdr:sp>
    <xdr:clientData/>
  </xdr:oneCellAnchor>
  <xdr:oneCellAnchor>
    <xdr:from>
      <xdr:col>37</xdr:col>
      <xdr:colOff>0</xdr:colOff>
      <xdr:row>530</xdr:row>
      <xdr:rowOff>0</xdr:rowOff>
    </xdr:from>
    <xdr:ext cx="304800" cy="304800"/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9749118" y="821167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536</xdr:row>
      <xdr:rowOff>0</xdr:rowOff>
    </xdr:from>
    <xdr:ext cx="304800" cy="304800"/>
    <xdr:sp macro="" textlink="">
      <xdr:nvSpPr>
        <xdr:cNvPr id="56" name="AutoShape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9749118" y="832597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404</xdr:row>
      <xdr:rowOff>0</xdr:rowOff>
    </xdr:from>
    <xdr:ext cx="304800" cy="304800"/>
    <xdr:sp macro="" textlink="">
      <xdr:nvSpPr>
        <xdr:cNvPr id="64" name="AutoShape 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9749118" y="7050741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445</xdr:row>
      <xdr:rowOff>0</xdr:rowOff>
    </xdr:from>
    <xdr:ext cx="304800" cy="304800"/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9782175" y="10306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37</xdr:col>
      <xdr:colOff>0</xdr:colOff>
      <xdr:row>464</xdr:row>
      <xdr:rowOff>0</xdr:rowOff>
    </xdr:from>
    <xdr:ext cx="304800" cy="304800"/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782175" y="10668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25087</xdr:colOff>
      <xdr:row>379</xdr:row>
      <xdr:rowOff>16094</xdr:rowOff>
    </xdr:from>
    <xdr:to>
      <xdr:col>17</xdr:col>
      <xdr:colOff>0</xdr:colOff>
      <xdr:row>390</xdr:row>
      <xdr:rowOff>185058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1DC0E78-8F61-1D20-0DC5-24A6F4B6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58" y="68802923"/>
          <a:ext cx="3730485" cy="2324335"/>
        </a:xfrm>
        <a:prstGeom prst="rect">
          <a:avLst/>
        </a:prstGeom>
      </xdr:spPr>
    </xdr:pic>
    <xdr:clientData/>
  </xdr:twoCellAnchor>
  <xdr:twoCellAnchor editAs="oneCell">
    <xdr:from>
      <xdr:col>2</xdr:col>
      <xdr:colOff>26741</xdr:colOff>
      <xdr:row>398</xdr:row>
      <xdr:rowOff>21771</xdr:rowOff>
    </xdr:from>
    <xdr:to>
      <xdr:col>17</xdr:col>
      <xdr:colOff>0</xdr:colOff>
      <xdr:row>409</xdr:row>
      <xdr:rowOff>185947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99385559-A84F-5448-C0CA-ACB33156F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12" y="72531514"/>
          <a:ext cx="3728831" cy="2319547"/>
        </a:xfrm>
        <a:prstGeom prst="rect">
          <a:avLst/>
        </a:prstGeom>
      </xdr:spPr>
    </xdr:pic>
    <xdr:clientData/>
  </xdr:twoCellAnchor>
  <xdr:twoCellAnchor editAs="oneCell">
    <xdr:from>
      <xdr:col>18</xdr:col>
      <xdr:colOff>13458</xdr:colOff>
      <xdr:row>398</xdr:row>
      <xdr:rowOff>21771</xdr:rowOff>
    </xdr:from>
    <xdr:to>
      <xdr:col>33</xdr:col>
      <xdr:colOff>0</xdr:colOff>
      <xdr:row>410</xdr:row>
      <xdr:rowOff>1755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D5651D1E-6838-7403-A5FA-02B0A8ACE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9372" y="72531514"/>
          <a:ext cx="3742114" cy="2331298"/>
        </a:xfrm>
        <a:prstGeom prst="rect">
          <a:avLst/>
        </a:prstGeom>
      </xdr:spPr>
    </xdr:pic>
    <xdr:clientData/>
  </xdr:twoCellAnchor>
  <xdr:twoCellAnchor editAs="oneCell">
    <xdr:from>
      <xdr:col>18</xdr:col>
      <xdr:colOff>21771</xdr:colOff>
      <xdr:row>379</xdr:row>
      <xdr:rowOff>19050</xdr:rowOff>
    </xdr:from>
    <xdr:to>
      <xdr:col>33</xdr:col>
      <xdr:colOff>10884</xdr:colOff>
      <xdr:row>391</xdr:row>
      <xdr:rowOff>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26673164-3467-B3F0-6E49-052083904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85" y="68805879"/>
          <a:ext cx="3744685" cy="2326821"/>
        </a:xfrm>
        <a:prstGeom prst="rect">
          <a:avLst/>
        </a:prstGeom>
      </xdr:spPr>
    </xdr:pic>
    <xdr:clientData/>
  </xdr:twoCellAnchor>
  <xdr:twoCellAnchor editAs="oneCell">
    <xdr:from>
      <xdr:col>2</xdr:col>
      <xdr:colOff>12543</xdr:colOff>
      <xdr:row>360</xdr:row>
      <xdr:rowOff>21772</xdr:rowOff>
    </xdr:from>
    <xdr:to>
      <xdr:col>17</xdr:col>
      <xdr:colOff>0</xdr:colOff>
      <xdr:row>371</xdr:row>
      <xdr:rowOff>190499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48905F71-D30B-BAA9-79E9-085D1B47B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514" y="65085686"/>
          <a:ext cx="3743029" cy="2329542"/>
        </a:xfrm>
        <a:prstGeom prst="rect">
          <a:avLst/>
        </a:prstGeom>
      </xdr:spPr>
    </xdr:pic>
    <xdr:clientData/>
  </xdr:twoCellAnchor>
  <xdr:twoCellAnchor editAs="oneCell">
    <xdr:from>
      <xdr:col>18</xdr:col>
      <xdr:colOff>6030</xdr:colOff>
      <xdr:row>360</xdr:row>
      <xdr:rowOff>21362</xdr:rowOff>
    </xdr:from>
    <xdr:to>
      <xdr:col>32</xdr:col>
      <xdr:colOff>239486</xdr:colOff>
      <xdr:row>372</xdr:row>
      <xdr:rowOff>3683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72390D91-C2D1-E64C-AE97-CA2922B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944" y="65085276"/>
          <a:ext cx="3738656" cy="2328193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13253</xdr:colOff>
      <xdr:row>297</xdr:row>
      <xdr:rowOff>13252</xdr:rowOff>
    </xdr:from>
    <xdr:to>
      <xdr:col>32</xdr:col>
      <xdr:colOff>245165</xdr:colOff>
      <xdr:row>308</xdr:row>
      <xdr:rowOff>185970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3096BA9-7D64-572C-F590-2D624D848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931" y="51656974"/>
          <a:ext cx="3756991" cy="2286439"/>
        </a:xfrm>
        <a:prstGeom prst="rect">
          <a:avLst/>
        </a:prstGeom>
      </xdr:spPr>
    </xdr:pic>
    <xdr:clientData/>
  </xdr:twoCellAnchor>
  <xdr:twoCellAnchor editAs="oneCell">
    <xdr:from>
      <xdr:col>2</xdr:col>
      <xdr:colOff>17988</xdr:colOff>
      <xdr:row>297</xdr:row>
      <xdr:rowOff>13252</xdr:rowOff>
    </xdr:from>
    <xdr:to>
      <xdr:col>16</xdr:col>
      <xdr:colOff>245165</xdr:colOff>
      <xdr:row>308</xdr:row>
      <xdr:rowOff>187942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81C098-A064-08CF-6DB6-02D11DFA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005" y="51656974"/>
          <a:ext cx="3752256" cy="2288411"/>
        </a:xfrm>
        <a:prstGeom prst="rect">
          <a:avLst/>
        </a:prstGeom>
      </xdr:spPr>
    </xdr:pic>
    <xdr:clientData/>
  </xdr:twoCellAnchor>
  <xdr:twoCellAnchor editAs="oneCell">
    <xdr:from>
      <xdr:col>2</xdr:col>
      <xdr:colOff>11420</xdr:colOff>
      <xdr:row>316</xdr:row>
      <xdr:rowOff>12424</xdr:rowOff>
    </xdr:from>
    <xdr:to>
      <xdr:col>16</xdr:col>
      <xdr:colOff>245165</xdr:colOff>
      <xdr:row>327</xdr:row>
      <xdr:rowOff>187447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0B31800-5879-918D-D69B-2922E12C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37" y="55307120"/>
          <a:ext cx="3758824" cy="2288744"/>
        </a:xfrm>
        <a:prstGeom prst="rect">
          <a:avLst/>
        </a:prstGeom>
      </xdr:spPr>
    </xdr:pic>
    <xdr:clientData/>
  </xdr:twoCellAnchor>
  <xdr:twoCellAnchor editAs="oneCell">
    <xdr:from>
      <xdr:col>18</xdr:col>
      <xdr:colOff>26893</xdr:colOff>
      <xdr:row>316</xdr:row>
      <xdr:rowOff>8966</xdr:rowOff>
    </xdr:from>
    <xdr:to>
      <xdr:col>32</xdr:col>
      <xdr:colOff>233083</xdr:colOff>
      <xdr:row>327</xdr:row>
      <xdr:rowOff>173379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669DAB5-2936-21D5-840F-16BA78E38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658" y="54290260"/>
          <a:ext cx="3720354" cy="2235260"/>
        </a:xfrm>
        <a:prstGeom prst="rect">
          <a:avLst/>
        </a:prstGeom>
      </xdr:spPr>
    </xdr:pic>
    <xdr:clientData/>
  </xdr:twoCellAnchor>
  <xdr:twoCellAnchor editAs="oneCell">
    <xdr:from>
      <xdr:col>18</xdr:col>
      <xdr:colOff>14825</xdr:colOff>
      <xdr:row>335</xdr:row>
      <xdr:rowOff>19016</xdr:rowOff>
    </xdr:from>
    <xdr:to>
      <xdr:col>32</xdr:col>
      <xdr:colOff>240322</xdr:colOff>
      <xdr:row>346</xdr:row>
      <xdr:rowOff>184639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0041428-BDE4-FDB3-CF98-989D851A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0933" y="59314339"/>
          <a:ext cx="3754143" cy="2293362"/>
        </a:xfrm>
        <a:prstGeom prst="rect">
          <a:avLst/>
        </a:prstGeom>
      </xdr:spPr>
    </xdr:pic>
    <xdr:clientData/>
  </xdr:twoCellAnchor>
  <xdr:twoCellAnchor editAs="oneCell">
    <xdr:from>
      <xdr:col>2</xdr:col>
      <xdr:colOff>19930</xdr:colOff>
      <xdr:row>335</xdr:row>
      <xdr:rowOff>29254</xdr:rowOff>
    </xdr:from>
    <xdr:to>
      <xdr:col>16</xdr:col>
      <xdr:colOff>233082</xdr:colOff>
      <xdr:row>346</xdr:row>
      <xdr:rowOff>179919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5C83A554-0CC8-B8D1-5DBB-9E72E2A3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506" y="57887466"/>
          <a:ext cx="3727317" cy="22215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103</xdr:row>
      <xdr:rowOff>1</xdr:rowOff>
    </xdr:from>
    <xdr:to>
      <xdr:col>47</xdr:col>
      <xdr:colOff>536864</xdr:colOff>
      <xdr:row>122</xdr:row>
      <xdr:rowOff>17319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47650" y="11096626"/>
          <a:ext cx="18891539" cy="182706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latin typeface="Arial" pitchFamily="34" charset="0"/>
              <a:cs typeface="Arial" pitchFamily="34" charset="0"/>
            </a:rPr>
            <a:t>OBSERVAÇÕES</a:t>
          </a:r>
        </a:p>
        <a:p>
          <a:endParaRPr lang="pt-BR" sz="1400" b="1" u="sng">
            <a:latin typeface="Arial" pitchFamily="34" charset="0"/>
            <a:cs typeface="Arial" pitchFamily="34" charset="0"/>
          </a:endParaRP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>
              <a:latin typeface="Arial" pitchFamily="34" charset="0"/>
              <a:cs typeface="Arial" pitchFamily="34" charset="0"/>
            </a:rPr>
            <a:t>O</a:t>
          </a:r>
          <a:r>
            <a:rPr lang="pt-BR" sz="1400" b="0" u="none" baseline="0">
              <a:latin typeface="Arial" pitchFamily="34" charset="0"/>
              <a:cs typeface="Arial" pitchFamily="34" charset="0"/>
            </a:rPr>
            <a:t> objetivo da curva "S" é a representação das informações gerenciais financeiras para acompanhamento do andamento dos contratos. </a:t>
          </a: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sua representação gráfica  permite a  comparação entre os serviços previstos e realizados.</a:t>
          </a: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Para a avaliação do bom andamento do contrato, é indispensável a apresentação por parte da empreiteira o Plano  de  Trabalho, que conste o cronograma previsto para conclusão das obras e que este seja atualizado trimestralmente.</a:t>
          </a:r>
        </a:p>
        <a:p>
          <a:pPr marL="285750" indent="-285750">
            <a:buFont typeface="Arial" pitchFamily="34" charset="0"/>
            <a:buChar char="•"/>
          </a:pPr>
          <a:endParaRPr lang="pt-BR" sz="1400" b="0" u="non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178128</xdr:colOff>
      <xdr:row>7</xdr:row>
      <xdr:rowOff>89647</xdr:rowOff>
    </xdr:from>
    <xdr:to>
      <xdr:col>47</xdr:col>
      <xdr:colOff>542925</xdr:colOff>
      <xdr:row>102</xdr:row>
      <xdr:rowOff>22412</xdr:rowOff>
    </xdr:to>
    <xdr:graphicFrame macro="">
      <xdr:nvGraphicFramePr>
        <xdr:cNvPr id="3" name="Chart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103</xdr:row>
      <xdr:rowOff>1</xdr:rowOff>
    </xdr:from>
    <xdr:to>
      <xdr:col>47</xdr:col>
      <xdr:colOff>536864</xdr:colOff>
      <xdr:row>122</xdr:row>
      <xdr:rowOff>17319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47650" y="11096626"/>
          <a:ext cx="18891539" cy="182706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latin typeface="Arial" pitchFamily="34" charset="0"/>
              <a:cs typeface="Arial" pitchFamily="34" charset="0"/>
            </a:rPr>
            <a:t>OBSERVAÇÕES</a:t>
          </a:r>
        </a:p>
        <a:p>
          <a:endParaRPr lang="pt-BR" sz="1400" b="1" u="sng">
            <a:latin typeface="Arial" pitchFamily="34" charset="0"/>
            <a:cs typeface="Arial" pitchFamily="34" charset="0"/>
          </a:endParaRP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>
              <a:latin typeface="Arial" pitchFamily="34" charset="0"/>
              <a:cs typeface="Arial" pitchFamily="34" charset="0"/>
            </a:rPr>
            <a:t>O</a:t>
          </a:r>
          <a:r>
            <a:rPr lang="pt-BR" sz="1400" b="0" u="none" baseline="0">
              <a:latin typeface="Arial" pitchFamily="34" charset="0"/>
              <a:cs typeface="Arial" pitchFamily="34" charset="0"/>
            </a:rPr>
            <a:t> objetivo da curva "S" é a representação das informações gerenciais financeiras para acompanhamento do andamento dos contratos. </a:t>
          </a: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sua representação gráfica  permite a  comparação entre os serviços previstos e realizados.</a:t>
          </a: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Para a avaliação do bom andamento do contrato, é indispensável a apresentação por parte da empreiteira o Plano  de  Trabalho, que conste o cronograma previsto para conclusão das obras e que este seja atualizado trimestralmente.</a:t>
          </a:r>
        </a:p>
        <a:p>
          <a:pPr marL="285750" indent="-285750">
            <a:buFont typeface="Arial" pitchFamily="34" charset="0"/>
            <a:buChar char="•"/>
          </a:pPr>
          <a:endParaRPr lang="pt-BR" sz="1400" b="0" u="non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0.24959</cdr:x>
      <cdr:y>0.64405</cdr:y>
    </cdr:from>
    <cdr:to>
      <cdr:x>0.24959</cdr:x>
      <cdr:y>0.64405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465473" y="5266652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95250</xdr:rowOff>
    </xdr:from>
    <xdr:to>
      <xdr:col>2</xdr:col>
      <xdr:colOff>161925</xdr:colOff>
      <xdr:row>5</xdr:row>
      <xdr:rowOff>53892</xdr:rowOff>
    </xdr:to>
    <xdr:pic>
      <xdr:nvPicPr>
        <xdr:cNvPr id="2" name="Imagem 1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screen">
          <a:lum contrast="1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95275"/>
          <a:ext cx="962025" cy="75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152401</xdr:colOff>
      <xdr:row>12</xdr:row>
      <xdr:rowOff>161925</xdr:rowOff>
    </xdr:from>
    <xdr:to>
      <xdr:col>8</xdr:col>
      <xdr:colOff>95251</xdr:colOff>
      <xdr:row>14</xdr:row>
      <xdr:rowOff>57150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277351" y="2590800"/>
          <a:ext cx="552450" cy="295275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104775</xdr:colOff>
      <xdr:row>12</xdr:row>
      <xdr:rowOff>180975</xdr:rowOff>
    </xdr:from>
    <xdr:to>
      <xdr:col>7</xdr:col>
      <xdr:colOff>38100</xdr:colOff>
      <xdr:row>14</xdr:row>
      <xdr:rowOff>76200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8610600" y="2609850"/>
          <a:ext cx="552450" cy="295275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238125</xdr:colOff>
      <xdr:row>13</xdr:row>
      <xdr:rowOff>123825</xdr:rowOff>
    </xdr:from>
    <xdr:to>
      <xdr:col>8</xdr:col>
      <xdr:colOff>600075</xdr:colOff>
      <xdr:row>13</xdr:row>
      <xdr:rowOff>152400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 flipH="1">
          <a:off x="9972675" y="2752725"/>
          <a:ext cx="361950" cy="28575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152400</xdr:colOff>
      <xdr:row>0</xdr:row>
      <xdr:rowOff>107578</xdr:rowOff>
    </xdr:from>
    <xdr:to>
      <xdr:col>4</xdr:col>
      <xdr:colOff>152400</xdr:colOff>
      <xdr:row>6</xdr:row>
      <xdr:rowOff>0</xdr:rowOff>
    </xdr:to>
    <xdr:pic>
      <xdr:nvPicPr>
        <xdr:cNvPr id="7" name="Imagem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9012" y="107578"/>
          <a:ext cx="788894" cy="107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526143</xdr:colOff>
      <xdr:row>1</xdr:row>
      <xdr:rowOff>36285</xdr:rowOff>
    </xdr:from>
    <xdr:to>
      <xdr:col>1</xdr:col>
      <xdr:colOff>185057</xdr:colOff>
      <xdr:row>3</xdr:row>
      <xdr:rowOff>417151</xdr:rowOff>
    </xdr:to>
    <xdr:pic>
      <xdr:nvPicPr>
        <xdr:cNvPr id="3" name="Imagem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3" y="232228"/>
          <a:ext cx="693057" cy="1404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589644</xdr:colOff>
      <xdr:row>1</xdr:row>
      <xdr:rowOff>76120</xdr:rowOff>
    </xdr:from>
    <xdr:to>
      <xdr:col>2</xdr:col>
      <xdr:colOff>751114</xdr:colOff>
      <xdr:row>3</xdr:row>
      <xdr:rowOff>478592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87" y="272063"/>
          <a:ext cx="1075870" cy="14257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233771</xdr:colOff>
      <xdr:row>0</xdr:row>
      <xdr:rowOff>67300</xdr:rowOff>
    </xdr:from>
    <xdr:to>
      <xdr:col>1</xdr:col>
      <xdr:colOff>785635</xdr:colOff>
      <xdr:row>0</xdr:row>
      <xdr:rowOff>641441</xdr:rowOff>
    </xdr:to>
    <xdr:pic>
      <xdr:nvPicPr>
        <xdr:cNvPr id="6" name="Imagem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91" y="67300"/>
          <a:ext cx="551864" cy="5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813161</xdr:colOff>
      <xdr:row>0</xdr:row>
      <xdr:rowOff>0</xdr:rowOff>
    </xdr:from>
    <xdr:to>
      <xdr:col>1</xdr:col>
      <xdr:colOff>821463</xdr:colOff>
      <xdr:row>0</xdr:row>
      <xdr:rowOff>165843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921" y="0"/>
          <a:ext cx="8302" cy="165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1128032</xdr:colOff>
      <xdr:row>0</xdr:row>
      <xdr:rowOff>72935</xdr:rowOff>
    </xdr:from>
    <xdr:to>
      <xdr:col>2</xdr:col>
      <xdr:colOff>539192</xdr:colOff>
      <xdr:row>0</xdr:row>
      <xdr:rowOff>670103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352" y="72935"/>
          <a:ext cx="615120" cy="5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368301</xdr:colOff>
      <xdr:row>0</xdr:row>
      <xdr:rowOff>0</xdr:rowOff>
    </xdr:from>
    <xdr:to>
      <xdr:col>0</xdr:col>
      <xdr:colOff>965201</xdr:colOff>
      <xdr:row>0</xdr:row>
      <xdr:rowOff>701619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1" y="0"/>
          <a:ext cx="596900" cy="701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78442</xdr:colOff>
      <xdr:row>11</xdr:row>
      <xdr:rowOff>44822</xdr:rowOff>
    </xdr:from>
    <xdr:to>
      <xdr:col>33</xdr:col>
      <xdr:colOff>616324</xdr:colOff>
      <xdr:row>22</xdr:row>
      <xdr:rowOff>33616</xdr:rowOff>
    </xdr:to>
    <xdr:sp macro="" textlink="">
      <xdr:nvSpPr>
        <xdr:cNvPr id="2" name="Chave Direit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407013" y="3705143"/>
          <a:ext cx="537882" cy="3934866"/>
        </a:xfrm>
        <a:prstGeom prst="rightBrace">
          <a:avLst>
            <a:gd name="adj1" fmla="val 8333"/>
            <a:gd name="adj2" fmla="val 15943"/>
          </a:avLst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5824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581024</xdr:rowOff>
    </xdr:from>
    <xdr:ext cx="3257550" cy="1457325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581024</xdr:rowOff>
    </xdr:from>
    <xdr:ext cx="3257550" cy="1457325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581024</xdr:rowOff>
    </xdr:from>
    <xdr:ext cx="3257550" cy="1457325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47625</xdr:colOff>
      <xdr:row>4</xdr:row>
      <xdr:rowOff>1133474</xdr:rowOff>
    </xdr:from>
    <xdr:ext cx="3257550" cy="1457325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\c\Soercel-2000\DTE\CST\Or&#231;amento\SISTEMA%20EL&#201;TRICO%20LTQ\TOSHIBA\Planejamento\FERROSTA\PL-AQUAC\MAP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TESE031\Usuarios\DOC\Micro_ASHFORD\PLANILHAS%202001%20(TUDO)\PROJETO%20ALVORADA%202\ALVORADA%20COMPLETO\E.E%20E.F.M.%20Napole&#227;o%20A.%20N&#243;brega%20-%20S.%20Mamede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CMFDM1%20292%2001%20-%20Unid.de%20Processamento%20de%20Res&#237;duos%20-%20Reservat&#243;rio%20Met&#225;lico.xls?BC4E410D" TargetMode="External"/><Relationship Id="rId1" Type="http://schemas.openxmlformats.org/officeDocument/2006/relationships/externalLinkPath" Target="file:///\\BC4E410D\CMFDM1%20292%2001%20-%20Unid.de%20Processamento%20de%20Res&#237;duos%20-%20Reservat&#243;rio%20Met&#225;lic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OLE\CONTROLE2\Se&#231;&#227;o%20T&#233;cnica\DIVERS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TESE031\Usuarios\DOC\Micro_ASHFORD\PLANILHAS%202001%20(TUDO)\PROJETO%20ALVORADA%202\ALVORADA%20COMPLETO\E.E%20E.F.M.%20de%20Alcantil%20-%20Alcant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liarde\shareddocs\OBRAS\Projeto%20da%20%20ES-381-NOVA%20VEN&#201;CIA\Medi&#231;&#245;es\7&#170;\Documents%20and%20Settings\Gustavo\Desktop\DERTES%202006\Construtora%20&#193;pia%20Ltda._Contrato%20015_2006\ES%20446%20-%20PLANILHA%20OBR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infra2\Meus%20documentos\Downloads\Laudo%20072-2014%20-%2059635061.xlsm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Documents%20and%20Settings/infra2/Meus%20documentos/Downloads/Laudo%20072-2014%20-%2059635061.xlsm" TargetMode="External"/><Relationship Id="rId1" Type="http://schemas.openxmlformats.org/officeDocument/2006/relationships/externalLinkPath" Target="/Documents%20and%20Settings/infra2/Meus%20documentos/Downloads/Laudo%20072-2014%20-%205963506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ACSP8%20010%2000%20-%20CAPTA&#199;&#195;O%20SERRA%20PELADA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CMFDM1%20313%2001%20-%20Unid.de%20Proc&#186;%20de%20Res&#237;duos%20-%20Cub&#237;culo%20do%20BIOG&#193;S%20e%20Queimador.xls?BC4E410D" TargetMode="External"/><Relationship Id="rId1" Type="http://schemas.openxmlformats.org/officeDocument/2006/relationships/externalLinkPath" Target="file:///\\BC4E410D\CMFDM1%20313%2001%20-%20Unid.de%20Proc&#186;%20de%20Res&#237;duos%20-%20Cub&#237;culo%20do%20BIOG&#193;S%20e%20Queimado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amento\MILPLAN%20(C)\DOCUME~1\Ricardo\LOCALS~1\Temp\Temporary%20Directory%201%20for%20Ata%20Eletronica%20-%20Prensa%20de%20Rolos%20-%20Sem%2046-06%20-%2013-11-06.zip\EAP%20-%20Prensa%20de%20Rolos%20-%20Sem%2045-06%20-%2006-11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\c\Keyloir%20Trabalhos\Zortea\Arquivos%20Oficiais\Completo\WINDOWS\TEMP\eap\Soercel-2000\DTE\CST\Or&#231;amento\SISTEMA%20EL&#201;TRICO%20LTQ\TOSHIBA\Planejamento\FERROSTA\PL-AQUAC\MAPA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L.ORC.AGU.005.R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96088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CB95571\15MP_09.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-bigossi\d\Andressa\Andressa\canal%20bigossi\BM_CHEIM\BM\16&#170;BM\16&#186;%20MP%20Cheim_o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CBSD1%20066%2002%20-%20TRAVESSIA%203%20%20-%20(%20SOBRE%20O%20RIO%2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haria01\D-eng01\Meus%20documentos_Eng%201D\PREFEITURAS%20MUNICIPAIS%20ENG.%201\Joao%20Pessoa\JO&#195;O%20PESSOA%202005\Al&#231;a%20Beira%20Rio_2004\relat&#243;rio\Der\DER\PB008norte\Pb008n-RelFinal01\Pb008n-RelFinal01-Dimens&amp;ComparaPavi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B66E0D9\11%20Med%20Lote6%20Mar&#231;o%2008%20APIA.xl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DADOS\GEPOP\Montage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_geral\Atrab\tecsan\MC-Calc\MC-E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lso\e\14%20Med%20Lote6%20Jun08%20Api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p-11207\c\Sergio\Amazonas\Dom%20eliseu\Bm%208-abr-dom%20elise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64B80\13&#170;%20Med%20Lote6%20maio%2008%20APIA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HD%201/Traco%20Forte/Pref.%20Guarapar&#237;/Creche/planilha%20cemei%20Maria%20Gama.xls" TargetMode="External"/><Relationship Id="rId1" Type="http://schemas.openxmlformats.org/officeDocument/2006/relationships/externalLinkPath" Target="/HD%201/Traco%20Forte/Pref.%20Guarapar&#237;/Creche/planilha%20cemei%20Maria%20Gam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ecucao\lobo%201\Renato%20Lobo\Or&#231;amento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NVSD8%20002%2001%20-%20rev1%20-%20ADUTORA%20DE%20&#193;GUA%20TRATADA%20DN%20250%20F&#186;F&#186;%20-%20GRAVIDADE.xls?BC4E410D" TargetMode="External"/><Relationship Id="rId1" Type="http://schemas.openxmlformats.org/officeDocument/2006/relationships/externalLinkPath" Target="file:///\\BC4E410D\NVSD8%20002%2001%20-%20rev1%20-%20ADUTORA%20DE%20&#193;GUA%20TRATADA%20DN%20250%20F&#186;F&#186;%20-%20GRAVIDAD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NVSD8%20002%2001%20-%20ADUTORA%20DE%20&#193;GUA%20TRATADA%20DN%20250%20F&#186;F&#186;%20-%20GRAVIDADE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sers/usuario/Desktop/PLANILHA_TJFES_AUTOMSEG_06_01_10_final.xls" TargetMode="External"/><Relationship Id="rId1" Type="http://schemas.openxmlformats.org/officeDocument/2006/relationships/externalLinkPath" Target="/Users/usuario/Desktop/PLANILHA_TJFES_AUTOMSEG_06_01_10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dos\Documents%20and%20Settings\Gustavo\Desktop\DERTES%202006\Construtora%20&#193;pia%20Ltda._Contrato%20015_2006\ES%20446%20-%20PLANILHA%20OB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80\Tecnico\Condominios\&#212;mega\Residencial%20Manac&#225;\Material%20CAIXA\Res.%20Manac&#225;%20Planilhas%20Caixa_1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Obras%202007-2008-2009\Obra%20195%20-%20Vale%20-%20Amplia&#231;&#227;o%20do%20p&#225;tio%20da%20moega%20de%20gusa\PLANEJAMENTO%20E%20CONTROLE%20195\Cronograma%20Obra%20195\Anexo%2001%20-%20EAP%20(Ok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NVSD1%20076%2001%20-%20SISTEMA%20DE%20DRENAGEM%20-%20NOVA%20VEN&#201;C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6dx2\c\FERROSTA\PL-AQUAC\MAPA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urb-db-01\PUB_GT\Emendas%20Parlamentares%202007-revisado%20SEDURB\TUCUM&#195;\MC\TEXTO\Or&#231;a%20e%20Compo%20CACHOEIRA%20DO%20COUT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Samarco%20-%20Planejamento\Outokumpu\1452Fverde_rev_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L.ORC.TODOS.R0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439e232c1509535a/OBRA/524%20-%20Constru&#231;&#227;o%20da%20Esta&#231;&#227;o%20de%20Bombeamento%20de%20&#193;guas%20Pluviais%20LARANJA/Medi&#231;&#227;o%20de%20Cliente/BM%20022-Cliente/BM%20022-%20SEDURB.xlsx" TargetMode="External"/><Relationship Id="rId1" Type="http://schemas.openxmlformats.org/officeDocument/2006/relationships/externalLinkPath" Target="/439e232c1509535a/OBRA/524%20-%20Constru&#231;&#227;o%20da%20Esta&#231;&#227;o%20de%20Bombeamento%20de%20&#193;guas%20Pluviais%20LARANJA/Medi&#231;&#227;o%20de%20Cliente/BM%20022-Cliente/BM%20022-%20SEDURB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00%20-%20CONS&#211;RCIO%20EPV\11%20-%20RELAT&#211;RIOS%20MARCELO\OBRA%2004%20-%20ES-080%20-%20ARUABA\04%20-%20MEDI&#199;&#213;ES\03%20-%20MEDI&#199;&#213;ES%20PROVIS&#211;RIAS\21%20-%2021&#176;%20MEDI&#199;&#195;O%20-%20MAR&#199;O\21&#170;%20Medi&#231;&#227;o%20Provis&#243;ria%20Aruaba%20(CONTRACTOR)%20rev%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%20-%20CONTRATO%20009.2017\14%20-%20OBRA%2013%20-%20SOB\03%20-%20REL\01%20-%20MAIO.2018\01%20-%20CMED\01%20-%20CMED%2001.13.01%20-%20Revis&#227;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PLA/Works/MATRIZ/EAP/Curva%201%20folh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Ideally\Downloads\Documents%20and%20Settings\ivan\Meus%20documentos\Adolfo\Planejamento\Procedimentos\Planejamento\Revisado\Cronograma%20Financei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Ideally\Downloads\Documents%20and%20Settings\ivan\Meus%20documentos\Adolfo\Planejamento\Procedimentos\Planejamento\Revisado\Cronograma%20Financei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DOCUME~1\LIDIAN~1\CONFIG~1\Temp\XPgrpwise\David%20Louren&#231;o\Painel%20de%20Controle%20-%20Nova%20Revis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EAP"/>
      <sheetName val="CURVA GERAL"/>
      <sheetName val="CURVAS - S"/>
      <sheetName val="9.1 - CURVA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 - 120 Dias"/>
      <sheetName val="Reforma"/>
      <sheetName val="Ciência da Natureza"/>
      <sheetName val="Informática"/>
      <sheetName val="Biblioteca"/>
      <sheetName val="CRONOGRAMA_-_120_Dias"/>
      <sheetName val="Ciência_da_Natureza"/>
      <sheetName val="10.0 - CRONOGRAMA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3ªCAT.F.C."/>
      <sheetName val="Replan"/>
      <sheetName val="Resumo"/>
      <sheetName val="Plan1"/>
      <sheetName val="PLANILHA"/>
      <sheetName val="EMERGÊNCIA"/>
      <sheetName val="MEDICA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DE QUANT_ E CUSTOS A"/>
      <sheetName val="ENTRADA DE DADOS (2)"/>
      <sheetName val="RESUMO GERAL (2)"/>
      <sheetName val="DISTRIBUICAO (2)"/>
      <sheetName val="FORMULAS NÃO MEXER (2)"/>
      <sheetName val="TERRAP EST 1871 A 2169 (2)"/>
      <sheetName val="ENTRADA DE DADOS"/>
      <sheetName val="RESUMO GERAL"/>
      <sheetName val="DISTRIBUICAO"/>
      <sheetName val="FORMULAS NÃO MEXER"/>
      <sheetName val="Plan1 (2)"/>
      <sheetName val="REL. EMP. LAT."/>
      <sheetName val="CORTE PISTA"/>
      <sheetName val=" EMPR. LE"/>
      <sheetName val=" EMPR. LD"/>
      <sheetName val=" ATERRO 100%"/>
      <sheetName val=" ATERRO 95%"/>
      <sheetName val="Plan4"/>
      <sheetName val="JUN. 01"/>
      <sheetName val="resumo"/>
      <sheetName val="Plan1"/>
      <sheetName val="Plan3"/>
      <sheetName val="Plan2"/>
      <sheetName val=" ATER. A 100%(SUB.)"/>
      <sheetName val="PLANILHA DE QUANT. E CUSTOS A"/>
      <sheetName val="SERVIÇOS"/>
      <sheetName val="Dados não apagar"/>
      <sheetName val="DISTRIBUIÇÃO VOLUMES"/>
      <sheetName val="PLANILHA"/>
      <sheetName val="LIMPEZA LD"/>
      <sheetName val="ATERRO 95% LD"/>
      <sheetName val="REBAIXO LD"/>
      <sheetName val="CORTE LD"/>
      <sheetName val="CORTE LE"/>
      <sheetName val="RACHÃO LD"/>
      <sheetName val="RACHÃO LE"/>
      <sheetName val="COLCHÃO LD"/>
      <sheetName val="ATERRO 100% LD "/>
      <sheetName val="ESCAVAÇAO VALA LD"/>
      <sheetName val="REMOÇÃO CERCA LD"/>
      <sheetName val="ATERRO 100% LE"/>
      <sheetName val="REMOÇÃO DE CERCA"/>
      <sheetName val="CUBAÇÃO CORTE EMPRESTIMO Km 397"/>
      <sheetName val="CUBAÇÃO CORTE EMPRESTIMO Km 401"/>
      <sheetName val="ATERRO 95% LE"/>
      <sheetName val="REBAIXO LE"/>
      <sheetName val="COLCHÃO LE"/>
      <sheetName val="EXECUÇÃO DE CERCA"/>
      <sheetName val="DESTOC. ARVORES"/>
      <sheetName val="DIVERSOS"/>
      <sheetName val="DADOS"/>
      <sheetName val="eq"/>
      <sheetName val="mo"/>
      <sheetName val="CUSTO HORÁRIO"/>
      <sheetName val="Mão de obra"/>
      <sheetName val="Material"/>
      <sheetName val="MEMORIAL"/>
      <sheetName val="Página 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or Out. 2001 - BDI=20% Ajust"/>
      <sheetName val="Biblioteca Out. 2001 - BDI=20%"/>
      <sheetName val=" Salas OUT 2001 COM BDI 20%"/>
      <sheetName val="Lab cienc nat BRASILIA"/>
      <sheetName val="CRONOGRAMA - 120 Dias"/>
      <sheetName val="Refor Out_ 2001 _ BDI_20_ Ajust"/>
      <sheetName val="Refor_Out__2001_-_BDI=20%_Ajust"/>
      <sheetName val="Biblioteca_Out__2001_-_BDI=20%"/>
      <sheetName val="_Salas_OUT_2001_COM_BDI_20%"/>
      <sheetName val="Lab_cienc_nat_BRASILIA"/>
      <sheetName val="CRONOGRAMA_-_120_Dias"/>
      <sheetName val="Refor_Out__2001___BDI_20__Aju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"/>
      <sheetName val="Plan1"/>
      <sheetName val="Resumo"/>
      <sheetName val="BAIXO GUANDU ITAIMBE"/>
      <sheetName val="cff1"/>
      <sheetName val="ITAIMBE ITAGUACU"/>
      <sheetName val="cff2"/>
      <sheetName val="BAIXO GUANDU AIMORES"/>
      <sheetName val="Tudo"/>
      <sheetName val="cff3"/>
      <sheetName val="abc ápia"/>
      <sheetName val="abc órgão"/>
      <sheetName val="consolidada"/>
      <sheetName val="MEMO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do"/>
      <sheetName val="Plan1"/>
      <sheetName val="LISTAS"/>
      <sheetName val="Plan2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audo"/>
      <sheetName val="Plan1"/>
      <sheetName val="LISTAS"/>
      <sheetName val="Plan2"/>
      <sheetName val="planilha"/>
    </sheetNames>
    <sheetDataSet>
      <sheetData sheetId="0"/>
      <sheetData sheetId="1">
        <row r="2">
          <cell r="A2" t="str">
            <v>OBJETIVO</v>
          </cell>
        </row>
        <row r="3">
          <cell r="A3" t="str">
            <v>Valor de Mercado</v>
          </cell>
        </row>
        <row r="4">
          <cell r="A4" t="str">
            <v>Liquidação Forçada</v>
          </cell>
        </row>
        <row r="5">
          <cell r="A5" t="str">
            <v>Valor de Desmonte</v>
          </cell>
        </row>
        <row r="6">
          <cell r="A6" t="str">
            <v>Valor em Risco</v>
          </cell>
        </row>
        <row r="7">
          <cell r="A7" t="str">
            <v>Outros</v>
          </cell>
        </row>
        <row r="8">
          <cell r="A8" t="str">
            <v>FINALIDADE</v>
          </cell>
        </row>
        <row r="9">
          <cell r="A9" t="str">
            <v>Alienação</v>
          </cell>
        </row>
        <row r="10">
          <cell r="A10" t="str">
            <v>Aquisição</v>
          </cell>
        </row>
        <row r="11">
          <cell r="A11" t="str">
            <v>Arrematação/Adjudicação</v>
          </cell>
        </row>
        <row r="12">
          <cell r="A12" t="str">
            <v>Doação</v>
          </cell>
        </row>
        <row r="13">
          <cell r="A13" t="str">
            <v>Dação em Pagamento</v>
          </cell>
        </row>
        <row r="14">
          <cell r="A14" t="str">
            <v>Garantia de Operação</v>
          </cell>
        </row>
        <row r="15">
          <cell r="A15" t="str">
            <v>Locação</v>
          </cell>
        </row>
        <row r="16">
          <cell r="A16" t="str">
            <v>Levantamento Patrimonial</v>
          </cell>
        </row>
        <row r="17">
          <cell r="A17" t="str">
            <v>Permuta</v>
          </cell>
        </row>
        <row r="18">
          <cell r="A18" t="str">
            <v>Taxa de Ocupação Funcional</v>
          </cell>
        </row>
        <row r="21">
          <cell r="A21" t="str">
            <v>PADRAO_CONST_PREDOM</v>
          </cell>
        </row>
        <row r="22">
          <cell r="A22" t="str">
            <v>Alto</v>
          </cell>
        </row>
        <row r="23">
          <cell r="A23" t="str">
            <v>Normal</v>
          </cell>
        </row>
        <row r="24">
          <cell r="A24" t="str">
            <v>Baixo</v>
          </cell>
        </row>
        <row r="25">
          <cell r="A25" t="str">
            <v>Proletário</v>
          </cell>
        </row>
        <row r="26">
          <cell r="A26" t="str">
            <v>CONDICOES_ACESSO</v>
          </cell>
        </row>
        <row r="27">
          <cell r="A27" t="str">
            <v>Bom/Satisfatório</v>
          </cell>
        </row>
        <row r="28">
          <cell r="A28" t="str">
            <v>Regular</v>
          </cell>
        </row>
        <row r="29">
          <cell r="A29" t="str">
            <v>Ruim/Insatisfatório</v>
          </cell>
        </row>
        <row r="30">
          <cell r="A30" t="str">
            <v>FACILID_ESTACIONAMENTO</v>
          </cell>
        </row>
        <row r="31">
          <cell r="A31" t="str">
            <v>Bom/Satisfatório</v>
          </cell>
        </row>
        <row r="32">
          <cell r="A32" t="str">
            <v>Regular</v>
          </cell>
        </row>
        <row r="33">
          <cell r="A33" t="str">
            <v>Ruim/Insatisfatório</v>
          </cell>
        </row>
        <row r="34">
          <cell r="A34" t="str">
            <v>DENSIDADE_HABITACIONAL</v>
          </cell>
        </row>
        <row r="35">
          <cell r="A35" t="str">
            <v>Alta</v>
          </cell>
        </row>
        <row r="36">
          <cell r="A36" t="str">
            <v>Média</v>
          </cell>
        </row>
        <row r="37">
          <cell r="A37" t="str">
            <v>Baixa</v>
          </cell>
        </row>
        <row r="38">
          <cell r="A38" t="str">
            <v>RESTRICOES</v>
          </cell>
        </row>
        <row r="39">
          <cell r="A39" t="str">
            <v>Físicas</v>
          </cell>
        </row>
        <row r="40">
          <cell r="A40" t="str">
            <v>Ambientais</v>
          </cell>
        </row>
        <row r="41">
          <cell r="A41" t="str">
            <v>Legais</v>
          </cell>
        </row>
        <row r="42">
          <cell r="A42" t="str">
            <v>Socioeconômicas</v>
          </cell>
        </row>
        <row r="43">
          <cell r="A43" t="str">
            <v>Nenhuma</v>
          </cell>
        </row>
        <row r="46">
          <cell r="A46" t="str">
            <v>FORMATO</v>
          </cell>
        </row>
        <row r="47">
          <cell r="A47" t="str">
            <v>Retangular</v>
          </cell>
        </row>
        <row r="48">
          <cell r="A48" t="str">
            <v>Trapezoidal</v>
          </cell>
        </row>
        <row r="49">
          <cell r="A49" t="str">
            <v>Triangular</v>
          </cell>
        </row>
        <row r="50">
          <cell r="A50" t="str">
            <v>Irregular</v>
          </cell>
        </row>
        <row r="51">
          <cell r="A51" t="str">
            <v>Outros</v>
          </cell>
        </row>
        <row r="52">
          <cell r="A52" t="str">
            <v>COTA_GREIDE</v>
          </cell>
        </row>
        <row r="53">
          <cell r="A53" t="str">
            <v>No Nível</v>
          </cell>
        </row>
        <row r="54">
          <cell r="A54" t="str">
            <v>Acima</v>
          </cell>
        </row>
        <row r="55">
          <cell r="A55" t="str">
            <v>Abaixo</v>
          </cell>
        </row>
        <row r="56">
          <cell r="A56" t="str">
            <v>INCLINACAO</v>
          </cell>
        </row>
        <row r="57">
          <cell r="A57" t="str">
            <v>Plano/Semi-plano</v>
          </cell>
        </row>
        <row r="58">
          <cell r="A58" t="str">
            <v>Aclive/Declive &gt; 10%</v>
          </cell>
        </row>
        <row r="59">
          <cell r="A59" t="str">
            <v>Acidentado</v>
          </cell>
        </row>
        <row r="60">
          <cell r="A60" t="str">
            <v>SITUACAO</v>
          </cell>
        </row>
        <row r="61">
          <cell r="A61" t="str">
            <v>Meio de Quadra</v>
          </cell>
        </row>
        <row r="62">
          <cell r="A62" t="str">
            <v>Esquina</v>
          </cell>
        </row>
        <row r="63">
          <cell r="A63" t="str">
            <v>Quadra Inteira</v>
          </cell>
        </row>
        <row r="64">
          <cell r="A64" t="str">
            <v>Outros</v>
          </cell>
        </row>
        <row r="65">
          <cell r="A65" t="str">
            <v>SUPERFICIE</v>
          </cell>
        </row>
        <row r="66">
          <cell r="A66" t="str">
            <v>Seco</v>
          </cell>
        </row>
        <row r="67">
          <cell r="A67" t="str">
            <v>Brejoso</v>
          </cell>
        </row>
        <row r="68">
          <cell r="A68" t="str">
            <v>Alagável</v>
          </cell>
        </row>
        <row r="69">
          <cell r="A69" t="str">
            <v>Outros</v>
          </cell>
        </row>
        <row r="73">
          <cell r="A73" t="str">
            <v>TIPO</v>
          </cell>
        </row>
        <row r="74">
          <cell r="A74" t="str">
            <v>Casa</v>
          </cell>
        </row>
        <row r="75">
          <cell r="A75" t="str">
            <v>Loja</v>
          </cell>
        </row>
        <row r="76">
          <cell r="A76" t="str">
            <v>Terreno</v>
          </cell>
        </row>
        <row r="77">
          <cell r="A77" t="str">
            <v>Prédio</v>
          </cell>
        </row>
        <row r="78">
          <cell r="A78" t="str">
            <v>Galpão</v>
          </cell>
        </row>
        <row r="79">
          <cell r="A79" t="str">
            <v>Outros</v>
          </cell>
        </row>
        <row r="80">
          <cell r="A80" t="str">
            <v>USO</v>
          </cell>
        </row>
        <row r="81">
          <cell r="A81" t="str">
            <v>Residencial</v>
          </cell>
        </row>
        <row r="82">
          <cell r="A82" t="str">
            <v>Comercial</v>
          </cell>
        </row>
        <row r="83">
          <cell r="A83" t="str">
            <v>Industrial</v>
          </cell>
        </row>
        <row r="84">
          <cell r="A84" t="str">
            <v>Institucional</v>
          </cell>
        </row>
        <row r="85">
          <cell r="A85" t="str">
            <v>Misto</v>
          </cell>
        </row>
        <row r="86">
          <cell r="A86" t="str">
            <v>Outros</v>
          </cell>
        </row>
        <row r="87">
          <cell r="A87" t="str">
            <v>POSICAO</v>
          </cell>
        </row>
        <row r="88">
          <cell r="A88" t="str">
            <v>Frente/Canto</v>
          </cell>
        </row>
        <row r="89">
          <cell r="A89" t="str">
            <v>Frente/Meio</v>
          </cell>
        </row>
        <row r="90">
          <cell r="A90" t="str">
            <v>Fundos/Canto</v>
          </cell>
        </row>
        <row r="91">
          <cell r="A91" t="str">
            <v xml:space="preserve">Fundos/Meio </v>
          </cell>
        </row>
        <row r="92">
          <cell r="A92" t="str">
            <v>Lateral</v>
          </cell>
        </row>
        <row r="93">
          <cell r="A93" t="str">
            <v>Outros</v>
          </cell>
        </row>
        <row r="94">
          <cell r="A94" t="str">
            <v>SISTEMA_ESTRUTURAL</v>
          </cell>
        </row>
        <row r="95">
          <cell r="A95" t="str">
            <v>Alvenaria Estrutural</v>
          </cell>
        </row>
        <row r="96">
          <cell r="A96" t="str">
            <v>Estrutura Metálica</v>
          </cell>
        </row>
        <row r="97">
          <cell r="A97" t="str">
            <v>Concreto Armado</v>
          </cell>
        </row>
        <row r="98">
          <cell r="A98" t="str">
            <v>Madeira</v>
          </cell>
        </row>
        <row r="99">
          <cell r="A99" t="str">
            <v>Misto</v>
          </cell>
        </row>
        <row r="100">
          <cell r="A100" t="str">
            <v>Outros</v>
          </cell>
        </row>
        <row r="101">
          <cell r="A101" t="str">
            <v>FECHAMENTO_PAREDES</v>
          </cell>
        </row>
        <row r="102">
          <cell r="A102" t="str">
            <v>Alvenaria</v>
          </cell>
        </row>
        <row r="103">
          <cell r="A103" t="str">
            <v>Madeira</v>
          </cell>
        </row>
        <row r="104">
          <cell r="A104" t="str">
            <v>Alvenaria/Madeira</v>
          </cell>
        </row>
        <row r="105">
          <cell r="A105" t="str">
            <v>Outros</v>
          </cell>
        </row>
        <row r="106">
          <cell r="A106" t="str">
            <v>TETOS</v>
          </cell>
        </row>
        <row r="107">
          <cell r="A107" t="str">
            <v>Forro</v>
          </cell>
        </row>
        <row r="108">
          <cell r="A108" t="str">
            <v>Laje</v>
          </cell>
        </row>
        <row r="109">
          <cell r="A109" t="str">
            <v>Telhado Aparente</v>
          </cell>
        </row>
        <row r="110">
          <cell r="A110" t="str">
            <v>Outros</v>
          </cell>
        </row>
        <row r="111">
          <cell r="A111" t="str">
            <v>PISOS</v>
          </cell>
        </row>
        <row r="112">
          <cell r="A112" t="str">
            <v>Cerâmica</v>
          </cell>
        </row>
        <row r="113">
          <cell r="A113" t="str">
            <v>Granito</v>
          </cell>
        </row>
        <row r="114">
          <cell r="A114" t="str">
            <v>Porcelanato</v>
          </cell>
        </row>
        <row r="115">
          <cell r="A115" t="str">
            <v>Madeira</v>
          </cell>
        </row>
        <row r="116">
          <cell r="A116" t="str">
            <v>Acrílico</v>
          </cell>
        </row>
        <row r="117">
          <cell r="A117" t="str">
            <v>Cimentado</v>
          </cell>
        </row>
        <row r="118">
          <cell r="A118" t="str">
            <v>Pedra</v>
          </cell>
        </row>
        <row r="119">
          <cell r="A119" t="str">
            <v>Diversos</v>
          </cell>
        </row>
        <row r="120">
          <cell r="A120" t="str">
            <v>Outros</v>
          </cell>
        </row>
        <row r="121">
          <cell r="A121" t="str">
            <v>ESQUADRIAS</v>
          </cell>
        </row>
        <row r="122">
          <cell r="A122" t="str">
            <v>Madeira</v>
          </cell>
        </row>
        <row r="123">
          <cell r="A123" t="str">
            <v>Alumínio</v>
          </cell>
        </row>
        <row r="124">
          <cell r="A124" t="str">
            <v>PVC</v>
          </cell>
        </row>
        <row r="125">
          <cell r="A125" t="str">
            <v>Outros</v>
          </cell>
        </row>
        <row r="126">
          <cell r="A126" t="str">
            <v>PADRAO_ACABAMENTO</v>
          </cell>
        </row>
        <row r="127">
          <cell r="A127" t="str">
            <v>Alto</v>
          </cell>
        </row>
        <row r="128">
          <cell r="A128" t="str">
            <v>Entre normal e alto</v>
          </cell>
        </row>
        <row r="129">
          <cell r="A129" t="str">
            <v>Normal</v>
          </cell>
        </row>
        <row r="130">
          <cell r="A130" t="str">
            <v>Entre normal e baixo</v>
          </cell>
        </row>
        <row r="131">
          <cell r="A131" t="str">
            <v>Baixo</v>
          </cell>
        </row>
        <row r="132">
          <cell r="A132" t="str">
            <v>Entre baixo e mínimo</v>
          </cell>
        </row>
        <row r="133">
          <cell r="A133" t="str">
            <v>Mínimo</v>
          </cell>
        </row>
        <row r="134">
          <cell r="A134" t="str">
            <v>ESTADO_CONSERVACAO</v>
          </cell>
        </row>
        <row r="135">
          <cell r="A135" t="str">
            <v>Novo</v>
          </cell>
        </row>
        <row r="136">
          <cell r="A136" t="str">
            <v>Bom</v>
          </cell>
        </row>
        <row r="137">
          <cell r="A137" t="str">
            <v>Regular</v>
          </cell>
        </row>
        <row r="138">
          <cell r="A138" t="str">
            <v>Necessita Reparos Simples</v>
          </cell>
        </row>
        <row r="139">
          <cell r="A139" t="str">
            <v>Necessita Reparos Importantes</v>
          </cell>
        </row>
        <row r="140">
          <cell r="A140" t="str">
            <v>Sem Valor</v>
          </cell>
        </row>
        <row r="141">
          <cell r="A141" t="str">
            <v>VENT_ILUM.NATURAL</v>
          </cell>
        </row>
        <row r="142">
          <cell r="A142" t="str">
            <v>Bom/Satistatório</v>
          </cell>
        </row>
        <row r="143">
          <cell r="A143" t="str">
            <v>Regular/Normal</v>
          </cell>
        </row>
        <row r="144">
          <cell r="A144" t="str">
            <v>Ruim/Insatisfatório</v>
          </cell>
        </row>
        <row r="145">
          <cell r="A145" t="str">
            <v>ASPECTO_ARQ</v>
          </cell>
        </row>
        <row r="146">
          <cell r="A146" t="str">
            <v>Bom/Satistatório</v>
          </cell>
        </row>
        <row r="147">
          <cell r="A147" t="str">
            <v>Regular/Normal</v>
          </cell>
        </row>
        <row r="148">
          <cell r="A148" t="str">
            <v>Ruim/Insatisfatório</v>
          </cell>
        </row>
        <row r="149">
          <cell r="A149" t="str">
            <v>REFORMA</v>
          </cell>
        </row>
        <row r="150">
          <cell r="A150" t="str">
            <v>Recente</v>
          </cell>
        </row>
        <row r="151">
          <cell r="A151" t="str">
            <v>Antiga/Parcial</v>
          </cell>
        </row>
        <row r="152">
          <cell r="A152" t="str">
            <v>Não Há</v>
          </cell>
        </row>
        <row r="153">
          <cell r="A153" t="str">
            <v>OCUPACAO</v>
          </cell>
        </row>
        <row r="154">
          <cell r="A154" t="str">
            <v>Pelo Proprietário</v>
          </cell>
        </row>
        <row r="155">
          <cell r="A155" t="str">
            <v>Alugado</v>
          </cell>
        </row>
        <row r="156">
          <cell r="A156" t="str">
            <v>Cedido/Comodato</v>
          </cell>
        </row>
        <row r="157">
          <cell r="A157" t="str">
            <v>Desocupado</v>
          </cell>
        </row>
        <row r="158">
          <cell r="A158" t="str">
            <v>Invasão</v>
          </cell>
        </row>
        <row r="159">
          <cell r="A159" t="str">
            <v>HABITABILIDADE</v>
          </cell>
        </row>
        <row r="160">
          <cell r="A160" t="str">
            <v>Sim</v>
          </cell>
        </row>
        <row r="161">
          <cell r="A161" t="str">
            <v>Não</v>
          </cell>
        </row>
        <row r="162">
          <cell r="A162" t="str">
            <v>Parcial</v>
          </cell>
        </row>
        <row r="163">
          <cell r="A163" t="str">
            <v>ESTABILIDADE</v>
          </cell>
        </row>
        <row r="164">
          <cell r="A164" t="str">
            <v>Sim</v>
          </cell>
        </row>
        <row r="165">
          <cell r="A165" t="str">
            <v>Não</v>
          </cell>
        </row>
        <row r="166">
          <cell r="A166" t="str">
            <v>VICIOS</v>
          </cell>
        </row>
        <row r="167">
          <cell r="A167" t="str">
            <v>Sim</v>
          </cell>
        </row>
        <row r="168">
          <cell r="A168" t="str">
            <v>Não</v>
          </cell>
        </row>
        <row r="171">
          <cell r="A171" t="str">
            <v>DEMANDA</v>
          </cell>
        </row>
        <row r="172">
          <cell r="A172" t="str">
            <v>Alta</v>
          </cell>
        </row>
        <row r="173">
          <cell r="A173" t="str">
            <v>Média</v>
          </cell>
        </row>
        <row r="174">
          <cell r="A174" t="str">
            <v>Baixa</v>
          </cell>
        </row>
        <row r="175">
          <cell r="A175" t="str">
            <v>OFERTAS</v>
          </cell>
        </row>
        <row r="176">
          <cell r="A176" t="str">
            <v>Alto</v>
          </cell>
        </row>
        <row r="177">
          <cell r="A177" t="str">
            <v>Médio</v>
          </cell>
        </row>
        <row r="178">
          <cell r="A178" t="str">
            <v>Baixo</v>
          </cell>
        </row>
        <row r="179">
          <cell r="A179" t="str">
            <v>Inexistente</v>
          </cell>
        </row>
        <row r="180">
          <cell r="A180" t="str">
            <v>DESEMPENHO</v>
          </cell>
        </row>
        <row r="181">
          <cell r="A181" t="str">
            <v>Aquecido</v>
          </cell>
        </row>
        <row r="182">
          <cell r="A182" t="str">
            <v>Normal</v>
          </cell>
        </row>
        <row r="183">
          <cell r="A183" t="str">
            <v>Recessivo</v>
          </cell>
        </row>
        <row r="184">
          <cell r="A184" t="str">
            <v>LIQUIDEZ</v>
          </cell>
        </row>
        <row r="185">
          <cell r="A185" t="str">
            <v>Alta</v>
          </cell>
        </row>
        <row r="186">
          <cell r="A186" t="str">
            <v>Normal</v>
          </cell>
        </row>
        <row r="187">
          <cell r="A187" t="str">
            <v>Baixa</v>
          </cell>
        </row>
        <row r="188">
          <cell r="A188" t="str">
            <v>VELOCIDADE</v>
          </cell>
        </row>
        <row r="189">
          <cell r="A189" t="str">
            <v>Até 06 meses</v>
          </cell>
        </row>
        <row r="190">
          <cell r="A190" t="str">
            <v>De 06 a 12 meses</v>
          </cell>
        </row>
        <row r="191">
          <cell r="A191" t="str">
            <v>De 12 a 24 meses</v>
          </cell>
        </row>
        <row r="192">
          <cell r="A192" t="str">
            <v>Superior a 24 meses</v>
          </cell>
        </row>
        <row r="195">
          <cell r="A195" t="str">
            <v>METODOLOGIA</v>
          </cell>
        </row>
        <row r="196">
          <cell r="A196" t="str">
            <v>Método Comparativo Direto de Dados de Mercado - Inferência Estatística</v>
          </cell>
        </row>
        <row r="197">
          <cell r="A197" t="str">
            <v>Método Comparativo Direto de Dados de Mercado - Tratamento por Fatores</v>
          </cell>
        </row>
        <row r="198">
          <cell r="A198" t="str">
            <v>Método Evolutivo</v>
          </cell>
        </row>
        <row r="199">
          <cell r="A199" t="str">
            <v>Método Involutivo</v>
          </cell>
        </row>
        <row r="200">
          <cell r="A200" t="str">
            <v>Método da Capitalização da Renda</v>
          </cell>
        </row>
        <row r="201">
          <cell r="A201" t="str">
            <v>Método Comparativo Direto de Custo</v>
          </cell>
        </row>
        <row r="202">
          <cell r="A202" t="str">
            <v>Método da Quantificação do Custo</v>
          </cell>
        </row>
        <row r="203">
          <cell r="A203" t="str">
            <v>Sem Metodologia Definida por Norma</v>
          </cell>
        </row>
        <row r="206">
          <cell r="A206" t="str">
            <v>FUNDAMENTACAO_PRECISAO</v>
          </cell>
        </row>
        <row r="207">
          <cell r="A207" t="str">
            <v>Grau III</v>
          </cell>
        </row>
        <row r="208">
          <cell r="A208" t="str">
            <v>Grau II</v>
          </cell>
        </row>
        <row r="209">
          <cell r="A209" t="str">
            <v>Grau I</v>
          </cell>
        </row>
        <row r="210">
          <cell r="A210" t="str">
            <v>Sem Classificação</v>
          </cell>
        </row>
        <row r="214">
          <cell r="A214" t="str">
            <v>VALOR_UNIT_ADOTADO</v>
          </cell>
        </row>
        <row r="215">
          <cell r="A215" t="str">
            <v>Mínimo do Campo de Arbítrio</v>
          </cell>
        </row>
        <row r="216">
          <cell r="A216" t="str">
            <v>Limite Inferior do Intervalo de Confiança</v>
          </cell>
        </row>
        <row r="217">
          <cell r="A217" t="str">
            <v>Estimativa de Tendência Central</v>
          </cell>
        </row>
        <row r="218">
          <cell r="A218" t="str">
            <v>Limite Supferior do Intervalo de Confiança</v>
          </cell>
        </row>
        <row r="219">
          <cell r="A219" t="str">
            <v>Maximo do Campo de Arbítrio</v>
          </cell>
        </row>
      </sheetData>
      <sheetData sheetId="2">
        <row r="1">
          <cell r="A1" t="str">
            <v>PROFISSIONAIS</v>
          </cell>
        </row>
        <row r="2">
          <cell r="A2" t="str">
            <v>Anderson Fonseca Figueiredo</v>
          </cell>
        </row>
        <row r="3">
          <cell r="A3" t="str">
            <v>Claudia Godoy da Rocha Micchi</v>
          </cell>
        </row>
        <row r="4">
          <cell r="A4" t="str">
            <v>Flávia Pulcheri Ribeiro</v>
          </cell>
        </row>
        <row r="5">
          <cell r="A5" t="str">
            <v>Henrique Gonçalves Pereira</v>
          </cell>
        </row>
        <row r="6">
          <cell r="A6" t="str">
            <v>Ismênia Schaeffer Freitas</v>
          </cell>
        </row>
        <row r="7">
          <cell r="A7" t="str">
            <v>João Paulo Mello Teixeira</v>
          </cell>
        </row>
        <row r="8">
          <cell r="A8" t="str">
            <v>Louise Bussolotti</v>
          </cell>
        </row>
        <row r="9">
          <cell r="A9" t="str">
            <v>Luiz Fernando Bonfim</v>
          </cell>
        </row>
        <row r="10">
          <cell r="A10" t="str">
            <v>Rodolpho Torezani Netto</v>
          </cell>
        </row>
        <row r="11">
          <cell r="A11" t="str">
            <v>Terezinha de Jesus Servino Ribeiro Vanzo</v>
          </cell>
        </row>
        <row r="12">
          <cell r="A12" t="str">
            <v>Thomas Felipe Dieter</v>
          </cell>
        </row>
        <row r="13">
          <cell r="A13" t="str">
            <v>Leandro Azevedo Terrao</v>
          </cell>
        </row>
      </sheetData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Planilha de Custo"/>
      <sheetName val="TOTAL"/>
      <sheetName val="(2,5 X1,5) PRIORIDADE 1 "/>
      <sheetName val="(2,5x1,5) PRIORIDADE 2 "/>
      <sheetName val="(2,5x1,5) PRIORIDADE 3 "/>
      <sheetName val="(1,5x1,5)"/>
      <sheetName val="Plan1"/>
      <sheetName val="BAIXO GUANDU ITAIMB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ESPELHO  "/>
      <sheetName val="Plan1"/>
      <sheetName val="BASE 5E"/>
      <sheetName val="MEDICAO"/>
      <sheetName val="Planilha"/>
      <sheetName val="CAPA -1"/>
      <sheetName val="Replan"/>
      <sheetName val="Resum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P"/>
      <sheetName val="Curva GERAL"/>
      <sheetName val="CURVA EPC"/>
      <sheetName val="CURVA METSO"/>
      <sheetName val="CURVA PAULINO"/>
      <sheetName val="CURVA MILPLAN"/>
      <sheetName val="CURVA SERV GERAIS"/>
      <sheetName val="CURVA ENGENHARIA"/>
      <sheetName val="CURVA FORNECIMENTO"/>
      <sheetName val="CURVA CIVIL"/>
      <sheetName val="CURVA MONTAGEM"/>
      <sheetName val="CRG"/>
      <sheetName val="DOC"/>
      <sheetName val="SEM"/>
      <sheetName val="MES"/>
      <sheetName val="DIS"/>
      <sheetName val="plani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EDT</v>
          </cell>
          <cell r="C1" t="str">
            <v>ÁREA</v>
          </cell>
          <cell r="D1" t="str">
            <v>NOME TAREFA</v>
          </cell>
          <cell r="E1" t="str">
            <v>DURACAO</v>
          </cell>
          <cell r="F1" t="str">
            <v>INICIO BASE</v>
          </cell>
          <cell r="G1" t="str">
            <v>INICIO</v>
          </cell>
          <cell r="H1" t="str">
            <v>INICIO REAL</v>
          </cell>
          <cell r="I1" t="str">
            <v>TERM BASE</v>
          </cell>
          <cell r="J1" t="str">
            <v>TERM</v>
          </cell>
          <cell r="K1" t="str">
            <v>TERM REAL</v>
          </cell>
          <cell r="L1" t="str">
            <v>A1EQ</v>
          </cell>
          <cell r="M1" t="str">
            <v>A1EQ AVF</v>
          </cell>
          <cell r="N1" t="str">
            <v>AVF ANT</v>
          </cell>
          <cell r="O1" t="str">
            <v>ANF ATU</v>
          </cell>
          <cell r="P1" t="str">
            <v>EQ</v>
          </cell>
          <cell r="Q1" t="str">
            <v>PREDEC</v>
          </cell>
          <cell r="R1" t="str">
            <v>SUCESS</v>
          </cell>
          <cell r="S1" t="str">
            <v>RECURSO</v>
          </cell>
          <cell r="T1" t="str">
            <v>DATA PREV</v>
          </cell>
        </row>
        <row r="2">
          <cell r="D2" t="str">
            <v>MMX - BENEFICIAMENTO DE ITABIRITOS - AMAPÁ</v>
          </cell>
          <cell r="E2" t="str">
            <v>232 dias</v>
          </cell>
          <cell r="F2">
            <v>38719.333333333336</v>
          </cell>
          <cell r="G2">
            <v>38719.333333333336</v>
          </cell>
          <cell r="H2">
            <v>38719.333333333336</v>
          </cell>
          <cell r="I2">
            <v>38989.729166666664</v>
          </cell>
          <cell r="J2">
            <v>39066.729166666664</v>
          </cell>
          <cell r="K2" t="str">
            <v>NA</v>
          </cell>
          <cell r="L2">
            <v>105.01</v>
          </cell>
          <cell r="M2">
            <v>2402.5</v>
          </cell>
          <cell r="N2">
            <v>473.38</v>
          </cell>
          <cell r="O2">
            <v>19.7</v>
          </cell>
          <cell r="P2">
            <v>19.7</v>
          </cell>
          <cell r="T2">
            <v>39066</v>
          </cell>
        </row>
        <row r="3">
          <cell r="D3" t="str">
            <v xml:space="preserve"> MILESTONES</v>
          </cell>
          <cell r="E3" t="str">
            <v>130 dias</v>
          </cell>
          <cell r="F3">
            <v>38719.375</v>
          </cell>
          <cell r="G3">
            <v>38719.333333333336</v>
          </cell>
          <cell r="H3">
            <v>38719.333333333336</v>
          </cell>
          <cell r="I3">
            <v>38719.375</v>
          </cell>
          <cell r="J3">
            <v>38912.333333333336</v>
          </cell>
          <cell r="K3">
            <v>38912.333333333336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#ERRO</v>
          </cell>
          <cell r="T3">
            <v>38912</v>
          </cell>
        </row>
        <row r="4">
          <cell r="D4" t="str">
            <v>Início do Projeto</v>
          </cell>
          <cell r="E4" t="str">
            <v>0 dias</v>
          </cell>
          <cell r="F4">
            <v>38719.333333333336</v>
          </cell>
          <cell r="G4">
            <v>38719.333333333336</v>
          </cell>
          <cell r="H4">
            <v>38719.333333333336</v>
          </cell>
          <cell r="I4">
            <v>38719.333333333336</v>
          </cell>
          <cell r="J4">
            <v>38719.333333333336</v>
          </cell>
          <cell r="K4">
            <v>38719.333333333336</v>
          </cell>
          <cell r="L4">
            <v>0</v>
          </cell>
          <cell r="M4">
            <v>0</v>
          </cell>
          <cell r="N4">
            <v>0</v>
          </cell>
          <cell r="O4">
            <v>100</v>
          </cell>
          <cell r="P4" t="str">
            <v>#ERRO</v>
          </cell>
          <cell r="R4" t="str">
            <v>3;4TI+79 dias;5TI+95 dias;6TI+84 dias;7TI+104 dias;8TI+130 dias</v>
          </cell>
          <cell r="T4">
            <v>38719</v>
          </cell>
        </row>
        <row r="5">
          <cell r="D5" t="str">
            <v>Recebimento Documentos de Referencia - ECM</v>
          </cell>
          <cell r="E5" t="str">
            <v>0 dias</v>
          </cell>
          <cell r="F5">
            <v>38719.333333333336</v>
          </cell>
          <cell r="G5">
            <v>38719.333333333336</v>
          </cell>
          <cell r="H5">
            <v>38719.333333333336</v>
          </cell>
          <cell r="I5">
            <v>38719.333333333336</v>
          </cell>
          <cell r="J5">
            <v>38719.333333333336</v>
          </cell>
          <cell r="K5">
            <v>38719.333333333336</v>
          </cell>
          <cell r="L5">
            <v>0</v>
          </cell>
          <cell r="M5">
            <v>0</v>
          </cell>
          <cell r="N5">
            <v>0</v>
          </cell>
          <cell r="O5">
            <v>100</v>
          </cell>
          <cell r="P5" t="str">
            <v>#ERRO</v>
          </cell>
          <cell r="Q5">
            <v>2</v>
          </cell>
          <cell r="R5" t="str">
            <v>14II;16II;20;21TI+34 dias;25;31;38;45;58;62II;582</v>
          </cell>
          <cell r="T5">
            <v>38719</v>
          </cell>
        </row>
        <row r="6">
          <cell r="D6" t="str">
            <v>Levantamento Topográfico GEOID</v>
          </cell>
          <cell r="E6" t="str">
            <v>0 dias</v>
          </cell>
          <cell r="F6">
            <v>38748.333333333336</v>
          </cell>
          <cell r="G6">
            <v>38839.333333333336</v>
          </cell>
          <cell r="H6">
            <v>38839.333333333336</v>
          </cell>
          <cell r="I6">
            <v>38748.333333333336</v>
          </cell>
          <cell r="J6">
            <v>38839.333333333336</v>
          </cell>
          <cell r="K6">
            <v>38839.333333333336</v>
          </cell>
          <cell r="L6">
            <v>0</v>
          </cell>
          <cell r="M6">
            <v>0</v>
          </cell>
          <cell r="N6">
            <v>0</v>
          </cell>
          <cell r="O6">
            <v>100</v>
          </cell>
          <cell r="P6" t="str">
            <v>#ERRO</v>
          </cell>
          <cell r="Q6" t="str">
            <v>2TI+79 dias</v>
          </cell>
          <cell r="R6" t="str">
            <v>16II</v>
          </cell>
          <cell r="T6">
            <v>38839</v>
          </cell>
        </row>
        <row r="7">
          <cell r="D7" t="str">
            <v>Distribuição Granuloquímica do ROM - Dados da Fundação Gorceix, UFMG e MMX</v>
          </cell>
          <cell r="E7" t="str">
            <v>0 dias</v>
          </cell>
          <cell r="F7">
            <v>38733.333333333336</v>
          </cell>
          <cell r="G7">
            <v>38861.333333333336</v>
          </cell>
          <cell r="H7">
            <v>38861.333333333336</v>
          </cell>
          <cell r="I7">
            <v>38733.333333333336</v>
          </cell>
          <cell r="J7">
            <v>38861.333333333336</v>
          </cell>
          <cell r="K7">
            <v>38861.333333333336</v>
          </cell>
          <cell r="L7">
            <v>0</v>
          </cell>
          <cell r="M7">
            <v>0</v>
          </cell>
          <cell r="N7">
            <v>0</v>
          </cell>
          <cell r="O7">
            <v>100</v>
          </cell>
          <cell r="P7" t="str">
            <v>#ERRO</v>
          </cell>
          <cell r="Q7" t="str">
            <v>2TI+95 dias</v>
          </cell>
          <cell r="R7" t="str">
            <v>14II</v>
          </cell>
          <cell r="T7">
            <v>38861</v>
          </cell>
        </row>
        <row r="8">
          <cell r="D8" t="str">
            <v>1ª Relocação da Usina (Platô e Barragem com Cotas Aproximadas)</v>
          </cell>
          <cell r="E8" t="str">
            <v>0 dias</v>
          </cell>
          <cell r="F8" t="str">
            <v>NA</v>
          </cell>
          <cell r="G8">
            <v>38846.333333333336</v>
          </cell>
          <cell r="H8">
            <v>38846.333333333336</v>
          </cell>
          <cell r="I8" t="str">
            <v>NA</v>
          </cell>
          <cell r="J8">
            <v>38846.333333333336</v>
          </cell>
          <cell r="K8">
            <v>38846.333333333336</v>
          </cell>
          <cell r="L8">
            <v>0</v>
          </cell>
          <cell r="M8">
            <v>0</v>
          </cell>
          <cell r="N8">
            <v>0</v>
          </cell>
          <cell r="O8">
            <v>100</v>
          </cell>
          <cell r="P8" t="str">
            <v>#ERRO</v>
          </cell>
          <cell r="Q8" t="str">
            <v>2TI+84 dias</v>
          </cell>
          <cell r="R8" t="str">
            <v>16II</v>
          </cell>
          <cell r="T8">
            <v>38846</v>
          </cell>
        </row>
        <row r="9">
          <cell r="D9" t="str">
            <v>2ª Relocação da Usina (Diminuição da Distância Entre o Platô e a Mina)</v>
          </cell>
          <cell r="E9" t="str">
            <v>0 dias</v>
          </cell>
          <cell r="F9" t="str">
            <v>NA</v>
          </cell>
          <cell r="G9">
            <v>38874.333333333336</v>
          </cell>
          <cell r="H9">
            <v>38874.333333333336</v>
          </cell>
          <cell r="I9" t="str">
            <v>NA</v>
          </cell>
          <cell r="J9">
            <v>38874.333333333336</v>
          </cell>
          <cell r="K9">
            <v>38874.333333333336</v>
          </cell>
          <cell r="L9">
            <v>0</v>
          </cell>
          <cell r="M9">
            <v>0</v>
          </cell>
          <cell r="N9">
            <v>0</v>
          </cell>
          <cell r="O9">
            <v>100</v>
          </cell>
          <cell r="P9" t="str">
            <v>#ERRO</v>
          </cell>
          <cell r="Q9" t="str">
            <v>2TI+104 dias</v>
          </cell>
          <cell r="R9" t="str">
            <v>16II</v>
          </cell>
          <cell r="T9">
            <v>38874</v>
          </cell>
        </row>
        <row r="10">
          <cell r="D10" t="str">
            <v>Revisão Geral do Layout da Planta Conforme Ata de Reunião E-PG-3625A-AR0036/06</v>
          </cell>
          <cell r="E10" t="str">
            <v>0 dias</v>
          </cell>
          <cell r="F10" t="str">
            <v>NA</v>
          </cell>
          <cell r="G10">
            <v>38912.333333333336</v>
          </cell>
          <cell r="H10">
            <v>38912.333333333336</v>
          </cell>
          <cell r="I10" t="str">
            <v>NA</v>
          </cell>
          <cell r="J10">
            <v>38912.333333333336</v>
          </cell>
          <cell r="K10">
            <v>38912.333333333336</v>
          </cell>
          <cell r="L10">
            <v>0</v>
          </cell>
          <cell r="M10">
            <v>0</v>
          </cell>
          <cell r="N10">
            <v>0</v>
          </cell>
          <cell r="O10">
            <v>100</v>
          </cell>
          <cell r="P10" t="str">
            <v>#ERRO</v>
          </cell>
          <cell r="Q10" t="str">
            <v>2TI+130 dias</v>
          </cell>
          <cell r="R10" t="str">
            <v>16II</v>
          </cell>
          <cell r="T10">
            <v>38912</v>
          </cell>
        </row>
        <row r="11">
          <cell r="B11">
            <v>1</v>
          </cell>
          <cell r="D11" t="str">
            <v>ENGENHARIA DE PROJETOS</v>
          </cell>
          <cell r="E11" t="str">
            <v>225 dias</v>
          </cell>
          <cell r="F11">
            <v>38719.375</v>
          </cell>
          <cell r="G11">
            <v>38728.333333333336</v>
          </cell>
          <cell r="H11">
            <v>38728.333333333336</v>
          </cell>
          <cell r="I11">
            <v>38988.604166666664</v>
          </cell>
          <cell r="J11">
            <v>39066.729166666664</v>
          </cell>
          <cell r="K11" t="str">
            <v>NA</v>
          </cell>
          <cell r="L11">
            <v>105.01</v>
          </cell>
          <cell r="M11">
            <v>2402.5</v>
          </cell>
          <cell r="N11">
            <v>473.38</v>
          </cell>
          <cell r="O11">
            <v>19.7</v>
          </cell>
          <cell r="P11">
            <v>19.7</v>
          </cell>
          <cell r="T11">
            <v>39066</v>
          </cell>
        </row>
        <row r="12">
          <cell r="B12" t="str">
            <v>1.1</v>
          </cell>
          <cell r="C12" t="str">
            <v>200A</v>
          </cell>
          <cell r="D12" t="str">
            <v>BENEFICIAMENTO</v>
          </cell>
          <cell r="E12" t="str">
            <v>225 dias</v>
          </cell>
          <cell r="F12">
            <v>38719.375</v>
          </cell>
          <cell r="G12">
            <v>38728.333333333336</v>
          </cell>
          <cell r="H12">
            <v>38728.333333333336</v>
          </cell>
          <cell r="I12">
            <v>38986.604166666664</v>
          </cell>
          <cell r="J12">
            <v>39066.729166666664</v>
          </cell>
          <cell r="K12" t="str">
            <v>NA</v>
          </cell>
          <cell r="L12">
            <v>75.48</v>
          </cell>
          <cell r="M12">
            <v>1726.88</v>
          </cell>
          <cell r="N12">
            <v>335.16</v>
          </cell>
          <cell r="O12">
            <v>19.41</v>
          </cell>
          <cell r="P12">
            <v>19.41</v>
          </cell>
          <cell r="T12">
            <v>39066</v>
          </cell>
        </row>
        <row r="13">
          <cell r="B13" t="str">
            <v>1.1.1</v>
          </cell>
          <cell r="C13" t="str">
            <v>205A</v>
          </cell>
          <cell r="D13" t="str">
            <v>Geral (0_)</v>
          </cell>
          <cell r="E13" t="str">
            <v>196 dias</v>
          </cell>
          <cell r="F13">
            <v>38728.333333333336</v>
          </cell>
          <cell r="G13">
            <v>38728.333333333336</v>
          </cell>
          <cell r="H13">
            <v>38728.333333333336</v>
          </cell>
          <cell r="I13">
            <v>38953.729166666664</v>
          </cell>
          <cell r="J13">
            <v>39022.729166666664</v>
          </cell>
          <cell r="K13" t="str">
            <v>NA</v>
          </cell>
          <cell r="L13">
            <v>14.04</v>
          </cell>
          <cell r="M13">
            <v>321.13</v>
          </cell>
          <cell r="N13">
            <v>135.54</v>
          </cell>
          <cell r="O13">
            <v>42.21</v>
          </cell>
          <cell r="P13">
            <v>42.21</v>
          </cell>
          <cell r="T13">
            <v>39022</v>
          </cell>
        </row>
        <row r="14">
          <cell r="D14" t="str">
            <v>Projeto Conceitual</v>
          </cell>
          <cell r="E14" t="str">
            <v>148 dias</v>
          </cell>
          <cell r="F14">
            <v>38728.333333333336</v>
          </cell>
          <cell r="G14">
            <v>38728.333333333336</v>
          </cell>
          <cell r="H14">
            <v>38728.333333333336</v>
          </cell>
          <cell r="I14">
            <v>38790.729166666664</v>
          </cell>
          <cell r="J14">
            <v>38950.729166666664</v>
          </cell>
          <cell r="K14" t="str">
            <v>NA</v>
          </cell>
          <cell r="L14">
            <v>0.61</v>
          </cell>
          <cell r="M14">
            <v>14</v>
          </cell>
          <cell r="N14">
            <v>12.6</v>
          </cell>
          <cell r="O14">
            <v>90</v>
          </cell>
          <cell r="P14">
            <v>90</v>
          </cell>
          <cell r="T14">
            <v>38950</v>
          </cell>
        </row>
        <row r="15">
          <cell r="D15" t="str">
            <v>Processo</v>
          </cell>
          <cell r="E15" t="str">
            <v>143 dias</v>
          </cell>
          <cell r="F15">
            <v>38728.333333333336</v>
          </cell>
          <cell r="G15">
            <v>38728.333333333336</v>
          </cell>
          <cell r="H15">
            <v>38728.333333333336</v>
          </cell>
          <cell r="I15">
            <v>38783.729166666664</v>
          </cell>
          <cell r="J15">
            <v>38939.729166666664</v>
          </cell>
          <cell r="K15" t="str">
            <v>NA</v>
          </cell>
          <cell r="L15">
            <v>0.52</v>
          </cell>
          <cell r="M15">
            <v>12</v>
          </cell>
          <cell r="N15">
            <v>10.8</v>
          </cell>
          <cell r="O15">
            <v>90</v>
          </cell>
          <cell r="P15">
            <v>90</v>
          </cell>
          <cell r="T15">
            <v>38939</v>
          </cell>
        </row>
        <row r="16">
          <cell r="B16" t="str">
            <v>BP.205.FP.01</v>
          </cell>
          <cell r="D16" t="str">
            <v>Fluxograma De Processo</v>
          </cell>
          <cell r="E16" t="str">
            <v>143 dias</v>
          </cell>
          <cell r="F16">
            <v>38728.333333333336</v>
          </cell>
          <cell r="G16">
            <v>38728.333333333336</v>
          </cell>
          <cell r="H16">
            <v>38728.333333333336</v>
          </cell>
          <cell r="I16">
            <v>38783.729166666664</v>
          </cell>
          <cell r="J16">
            <v>38939.729166666664</v>
          </cell>
          <cell r="K16" t="str">
            <v>NA</v>
          </cell>
          <cell r="L16">
            <v>0.52</v>
          </cell>
          <cell r="M16">
            <v>12</v>
          </cell>
          <cell r="N16">
            <v>10.8</v>
          </cell>
          <cell r="O16">
            <v>90</v>
          </cell>
          <cell r="P16">
            <v>90</v>
          </cell>
          <cell r="Q16" t="str">
            <v>3II;5II</v>
          </cell>
          <cell r="R16" t="str">
            <v>17;22II;26II;29II;30II;32II;33II;39II;59II;88II;90II;117II;138II;209II;235II;240II;335II;337II;341;382II;388II;390II;394II;306II;184II;186II;273II;275II;166II;167II;421II;584II</v>
          </cell>
          <cell r="S16" t="str">
            <v>EQUIPE PRO[18%]</v>
          </cell>
          <cell r="T16">
            <v>38939</v>
          </cell>
        </row>
        <row r="17">
          <cell r="D17" t="str">
            <v>Mecânica</v>
          </cell>
          <cell r="E17" t="str">
            <v>56 dias</v>
          </cell>
          <cell r="F17">
            <v>38769.333333333336</v>
          </cell>
          <cell r="G17">
            <v>38835.333333333336</v>
          </cell>
          <cell r="H17">
            <v>38835.333333333336</v>
          </cell>
          <cell r="I17">
            <v>38790.729166666664</v>
          </cell>
          <cell r="J17">
            <v>38917.729166666664</v>
          </cell>
          <cell r="K17" t="str">
            <v>NA</v>
          </cell>
          <cell r="L17">
            <v>0.09</v>
          </cell>
          <cell r="M17">
            <v>2</v>
          </cell>
          <cell r="N17">
            <v>1.8</v>
          </cell>
          <cell r="O17">
            <v>90</v>
          </cell>
          <cell r="P17">
            <v>90</v>
          </cell>
          <cell r="T17">
            <v>38917</v>
          </cell>
        </row>
        <row r="18">
          <cell r="B18" t="str">
            <v>BB.205.DB.02</v>
          </cell>
          <cell r="D18" t="str">
            <v>Desenho Básico (Arranjo Geral da Planta)</v>
          </cell>
          <cell r="E18" t="str">
            <v>56 dias</v>
          </cell>
          <cell r="F18">
            <v>38769.333333333336</v>
          </cell>
          <cell r="G18">
            <v>38835.333333333336</v>
          </cell>
          <cell r="H18">
            <v>38835.333333333336</v>
          </cell>
          <cell r="I18">
            <v>38783.729166666664</v>
          </cell>
          <cell r="J18">
            <v>38917.729166666664</v>
          </cell>
          <cell r="K18" t="str">
            <v>NA</v>
          </cell>
          <cell r="L18">
            <v>0.09</v>
          </cell>
          <cell r="M18">
            <v>2</v>
          </cell>
          <cell r="N18">
            <v>1.8</v>
          </cell>
          <cell r="O18">
            <v>90</v>
          </cell>
          <cell r="P18">
            <v>90</v>
          </cell>
          <cell r="Q18" t="str">
            <v>3II;4II;6II;7II;8II</v>
          </cell>
          <cell r="R18" t="str">
            <v>17;26II;29II;30II;32II;33II;49II;46II;50II;59II;579II;76II;75;714II;715II;431II;463;511II;514II;580II;631II;745II+77 dias</v>
          </cell>
          <cell r="S18" t="str">
            <v>EQUIPE MEC[15%]</v>
          </cell>
          <cell r="T18">
            <v>38917</v>
          </cell>
        </row>
        <row r="19">
          <cell r="D19" t="str">
            <v>APROVAÇÃO MMX</v>
          </cell>
          <cell r="E19" t="str">
            <v>5 dias</v>
          </cell>
          <cell r="F19">
            <v>38784.333333333336</v>
          </cell>
          <cell r="G19">
            <v>38940.333333333336</v>
          </cell>
          <cell r="H19" t="str">
            <v>NA</v>
          </cell>
          <cell r="I19">
            <v>38790.729166666664</v>
          </cell>
          <cell r="J19">
            <v>38950.729166666664</v>
          </cell>
          <cell r="K19" t="str">
            <v>NA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#ERRO</v>
          </cell>
          <cell r="Q19" t="str">
            <v>14;16</v>
          </cell>
          <cell r="T19">
            <v>38950</v>
          </cell>
        </row>
        <row r="20">
          <cell r="D20" t="str">
            <v>Projeto Básico</v>
          </cell>
          <cell r="E20" t="str">
            <v>145 dias</v>
          </cell>
          <cell r="F20">
            <v>38757.333333333336</v>
          </cell>
          <cell r="G20">
            <v>38757.333333333336</v>
          </cell>
          <cell r="H20">
            <v>38757.333333333336</v>
          </cell>
          <cell r="I20">
            <v>38868.729166666664</v>
          </cell>
          <cell r="J20">
            <v>38978.729166666664</v>
          </cell>
          <cell r="K20" t="str">
            <v>NA</v>
          </cell>
          <cell r="L20">
            <v>7.91</v>
          </cell>
          <cell r="M20">
            <v>181</v>
          </cell>
          <cell r="N20">
            <v>117.06</v>
          </cell>
          <cell r="O20">
            <v>64.680000000000007</v>
          </cell>
          <cell r="P20">
            <v>64.680000000000007</v>
          </cell>
          <cell r="T20">
            <v>38978</v>
          </cell>
        </row>
        <row r="21">
          <cell r="D21" t="str">
            <v>Processo</v>
          </cell>
          <cell r="E21" t="str">
            <v>124 dias</v>
          </cell>
          <cell r="F21">
            <v>38757.333333333336</v>
          </cell>
          <cell r="G21">
            <v>38757.333333333336</v>
          </cell>
          <cell r="H21">
            <v>38757.333333333336</v>
          </cell>
          <cell r="I21">
            <v>38792.729166666664</v>
          </cell>
          <cell r="J21">
            <v>38945.729166666664</v>
          </cell>
          <cell r="K21" t="str">
            <v>NA</v>
          </cell>
          <cell r="L21">
            <v>0.32</v>
          </cell>
          <cell r="M21">
            <v>7.38</v>
          </cell>
          <cell r="N21">
            <v>5.84</v>
          </cell>
          <cell r="O21">
            <v>79.150000000000006</v>
          </cell>
          <cell r="P21">
            <v>79.150000000000006</v>
          </cell>
          <cell r="T21">
            <v>38945</v>
          </cell>
        </row>
        <row r="22">
          <cell r="B22" t="str">
            <v>BP.205.CP.01</v>
          </cell>
          <cell r="D22" t="str">
            <v>Critério De Projeto De Processo</v>
          </cell>
          <cell r="E22" t="str">
            <v>33 dias</v>
          </cell>
          <cell r="F22">
            <v>38757.333333333336</v>
          </cell>
          <cell r="G22">
            <v>38757.333333333336</v>
          </cell>
          <cell r="H22">
            <v>38757.333333333336</v>
          </cell>
          <cell r="I22">
            <v>38783.729166666664</v>
          </cell>
          <cell r="J22">
            <v>38806.729166666664</v>
          </cell>
          <cell r="K22" t="str">
            <v>NA</v>
          </cell>
          <cell r="L22">
            <v>0.15</v>
          </cell>
          <cell r="M22">
            <v>3.5</v>
          </cell>
          <cell r="N22">
            <v>3.15</v>
          </cell>
          <cell r="O22">
            <v>90</v>
          </cell>
          <cell r="P22">
            <v>90</v>
          </cell>
          <cell r="Q22">
            <v>3</v>
          </cell>
          <cell r="R22">
            <v>23</v>
          </cell>
          <cell r="S22" t="str">
            <v>EQUIPE PRO[21%]</v>
          </cell>
          <cell r="T22">
            <v>38806</v>
          </cell>
        </row>
        <row r="23">
          <cell r="B23" t="str">
            <v>BP.205.MD.01</v>
          </cell>
          <cell r="D23" t="str">
            <v>Memorial Descritivo</v>
          </cell>
          <cell r="E23" t="str">
            <v>113 dias</v>
          </cell>
          <cell r="F23">
            <v>38765.333333333336</v>
          </cell>
          <cell r="G23">
            <v>38765.333333333336</v>
          </cell>
          <cell r="H23">
            <v>38765.333333333336</v>
          </cell>
          <cell r="I23">
            <v>38783.729166666664</v>
          </cell>
          <cell r="J23">
            <v>38936.729166666664</v>
          </cell>
          <cell r="K23" t="str">
            <v>NA</v>
          </cell>
          <cell r="L23">
            <v>0.08</v>
          </cell>
          <cell r="M23">
            <v>1.88</v>
          </cell>
          <cell r="N23">
            <v>1.69</v>
          </cell>
          <cell r="O23">
            <v>90</v>
          </cell>
          <cell r="P23">
            <v>90</v>
          </cell>
          <cell r="Q23" t="str">
            <v>3TI+34 dias</v>
          </cell>
          <cell r="R23">
            <v>23</v>
          </cell>
          <cell r="S23" t="str">
            <v>EQUIPE PRO[2%]</v>
          </cell>
          <cell r="T23">
            <v>38936</v>
          </cell>
        </row>
        <row r="24">
          <cell r="B24" t="str">
            <v>BP.205.FD.01</v>
          </cell>
          <cell r="D24" t="str">
            <v>Folha De Dados</v>
          </cell>
          <cell r="E24" t="str">
            <v>13 dias</v>
          </cell>
          <cell r="F24">
            <v>38784.333333333336</v>
          </cell>
          <cell r="G24">
            <v>38922.333333333336</v>
          </cell>
          <cell r="H24">
            <v>38922.333333333336</v>
          </cell>
          <cell r="I24">
            <v>38787.729166666664</v>
          </cell>
          <cell r="J24">
            <v>38938.729166666664</v>
          </cell>
          <cell r="K24" t="str">
            <v>NA</v>
          </cell>
          <cell r="L24">
            <v>0.09</v>
          </cell>
          <cell r="M24">
            <v>2</v>
          </cell>
          <cell r="N24">
            <v>1</v>
          </cell>
          <cell r="O24">
            <v>50</v>
          </cell>
          <cell r="P24">
            <v>50</v>
          </cell>
          <cell r="Q24" t="str">
            <v>14II</v>
          </cell>
          <cell r="S24" t="str">
            <v>EQUIPE PRO[15%]</v>
          </cell>
          <cell r="T24">
            <v>38938</v>
          </cell>
        </row>
        <row r="25">
          <cell r="D25" t="str">
            <v>APROVAÇÃO EBX</v>
          </cell>
          <cell r="E25" t="str">
            <v>5 dias</v>
          </cell>
          <cell r="F25">
            <v>38788.333333333336</v>
          </cell>
          <cell r="G25">
            <v>38937.333333333336</v>
          </cell>
          <cell r="H25" t="str">
            <v>NA</v>
          </cell>
          <cell r="I25">
            <v>38792.729166666664</v>
          </cell>
          <cell r="J25">
            <v>38945.729166666664</v>
          </cell>
          <cell r="K25" t="str">
            <v>NA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#ERRO</v>
          </cell>
          <cell r="Q25" t="str">
            <v>20;21</v>
          </cell>
          <cell r="T25">
            <v>38945</v>
          </cell>
        </row>
        <row r="26">
          <cell r="D26" t="str">
            <v>Mecânica</v>
          </cell>
          <cell r="E26" t="str">
            <v>131 dias</v>
          </cell>
          <cell r="F26">
            <v>38762.333333333336</v>
          </cell>
          <cell r="G26">
            <v>38762.333333333336</v>
          </cell>
          <cell r="H26">
            <v>38762.333333333336</v>
          </cell>
          <cell r="I26">
            <v>38854.729166666664</v>
          </cell>
          <cell r="J26">
            <v>38959.729166666664</v>
          </cell>
          <cell r="K26" t="str">
            <v>NA</v>
          </cell>
          <cell r="L26">
            <v>2.33</v>
          </cell>
          <cell r="M26">
            <v>53.25</v>
          </cell>
          <cell r="N26">
            <v>40.08</v>
          </cell>
          <cell r="O26">
            <v>75.260000000000005</v>
          </cell>
          <cell r="P26">
            <v>75.260000000000005</v>
          </cell>
          <cell r="T26">
            <v>38959</v>
          </cell>
        </row>
        <row r="27">
          <cell r="B27" t="str">
            <v>BB.205.CP.01</v>
          </cell>
          <cell r="D27" t="str">
            <v>Critério De Projeto</v>
          </cell>
          <cell r="E27" t="str">
            <v>85 dias</v>
          </cell>
          <cell r="F27">
            <v>38793.333333333336</v>
          </cell>
          <cell r="G27">
            <v>38793.333333333336</v>
          </cell>
          <cell r="H27">
            <v>38793.333333333336</v>
          </cell>
          <cell r="I27">
            <v>38806.729166666664</v>
          </cell>
          <cell r="J27">
            <v>38919.729166666664</v>
          </cell>
          <cell r="K27" t="str">
            <v>NA</v>
          </cell>
          <cell r="L27">
            <v>7.0000000000000007E-2</v>
          </cell>
          <cell r="M27">
            <v>1.63</v>
          </cell>
          <cell r="N27">
            <v>1.46</v>
          </cell>
          <cell r="O27">
            <v>90</v>
          </cell>
          <cell r="P27">
            <v>90</v>
          </cell>
          <cell r="Q27">
            <v>3</v>
          </cell>
          <cell r="S27" t="str">
            <v>EQUIPE MEC</v>
          </cell>
          <cell r="T27">
            <v>38919</v>
          </cell>
        </row>
        <row r="28">
          <cell r="B28" t="str">
            <v>BB.205.DB.01</v>
          </cell>
          <cell r="D28" t="str">
            <v>Desenho Básico (Arrajos Planta e Plano Diretor)</v>
          </cell>
          <cell r="E28" t="str">
            <v>72 dias</v>
          </cell>
          <cell r="F28">
            <v>38769.333333333336</v>
          </cell>
          <cell r="G28">
            <v>38835.333333333336</v>
          </cell>
          <cell r="H28">
            <v>38835.333333333336</v>
          </cell>
          <cell r="I28">
            <v>38786.729166666664</v>
          </cell>
          <cell r="J28">
            <v>38939.729166666664</v>
          </cell>
          <cell r="K28" t="str">
            <v>NA</v>
          </cell>
          <cell r="L28">
            <v>0.35</v>
          </cell>
          <cell r="M28">
            <v>8</v>
          </cell>
          <cell r="N28">
            <v>4.8</v>
          </cell>
          <cell r="O28">
            <v>60</v>
          </cell>
          <cell r="P28">
            <v>60</v>
          </cell>
          <cell r="Q28" t="str">
            <v>14II;16II</v>
          </cell>
          <cell r="R28" t="str">
            <v>27;40;471</v>
          </cell>
          <cell r="S28" t="str">
            <v>EQUIPE MEC[25%]</v>
          </cell>
          <cell r="T28">
            <v>38939</v>
          </cell>
        </row>
        <row r="29">
          <cell r="D29" t="str">
            <v>APROVAÇÃO EBX</v>
          </cell>
          <cell r="E29" t="str">
            <v>5 dias</v>
          </cell>
          <cell r="F29">
            <v>38807.333333333336</v>
          </cell>
          <cell r="G29">
            <v>38940.333333333336</v>
          </cell>
          <cell r="H29" t="str">
            <v>NA</v>
          </cell>
          <cell r="I29">
            <v>38814.729166666664</v>
          </cell>
          <cell r="J29">
            <v>38950.729166666664</v>
          </cell>
          <cell r="K29" t="str">
            <v>NA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#ERRO</v>
          </cell>
          <cell r="Q29">
            <v>26</v>
          </cell>
          <cell r="T29">
            <v>38950</v>
          </cell>
        </row>
        <row r="30">
          <cell r="D30" t="str">
            <v>Especificação Técnica</v>
          </cell>
          <cell r="E30" t="str">
            <v>117 dias</v>
          </cell>
          <cell r="F30">
            <v>38762.333333333336</v>
          </cell>
          <cell r="G30">
            <v>38762.333333333336</v>
          </cell>
          <cell r="H30">
            <v>38762.333333333336</v>
          </cell>
          <cell r="I30">
            <v>38854.375</v>
          </cell>
          <cell r="J30">
            <v>38937.729166666664</v>
          </cell>
          <cell r="K30" t="str">
            <v>NA</v>
          </cell>
          <cell r="L30">
            <v>0.77</v>
          </cell>
          <cell r="M30">
            <v>17.63</v>
          </cell>
          <cell r="N30">
            <v>14.46</v>
          </cell>
          <cell r="O30">
            <v>82.06</v>
          </cell>
          <cell r="P30">
            <v>82.06</v>
          </cell>
          <cell r="T30">
            <v>38937</v>
          </cell>
        </row>
        <row r="31">
          <cell r="B31" t="str">
            <v>BB.205.ET.01</v>
          </cell>
          <cell r="D31" t="str">
            <v>Talhas e Pontes Rolantes</v>
          </cell>
          <cell r="E31" t="str">
            <v>70 dias</v>
          </cell>
          <cell r="F31">
            <v>38806.333333333336</v>
          </cell>
          <cell r="G31">
            <v>38835.333333333336</v>
          </cell>
          <cell r="H31">
            <v>38835.333333333336</v>
          </cell>
          <cell r="I31">
            <v>38854.729166666664</v>
          </cell>
          <cell r="J31">
            <v>38937.729166666664</v>
          </cell>
          <cell r="K31" t="str">
            <v>NA</v>
          </cell>
          <cell r="L31">
            <v>0.35</v>
          </cell>
          <cell r="M31">
            <v>8</v>
          </cell>
          <cell r="N31">
            <v>6.4</v>
          </cell>
          <cell r="O31">
            <v>80</v>
          </cell>
          <cell r="P31">
            <v>80</v>
          </cell>
          <cell r="Q31" t="str">
            <v>14II;16II</v>
          </cell>
          <cell r="S31" t="str">
            <v>EQUIPE MEC[57%]</v>
          </cell>
          <cell r="T31">
            <v>38937</v>
          </cell>
        </row>
        <row r="32">
          <cell r="B32" t="str">
            <v>BB.205.ET.02</v>
          </cell>
          <cell r="D32" t="str">
            <v>Caldeiraria</v>
          </cell>
          <cell r="E32" t="str">
            <v>68 dias</v>
          </cell>
          <cell r="F32">
            <v>38832.333333333336</v>
          </cell>
          <cell r="G32">
            <v>38835.333333333336</v>
          </cell>
          <cell r="H32">
            <v>38835.333333333336</v>
          </cell>
          <cell r="I32">
            <v>38854.729166666664</v>
          </cell>
          <cell r="J32">
            <v>38933.729166666664</v>
          </cell>
          <cell r="K32" t="str">
            <v>NA</v>
          </cell>
          <cell r="L32">
            <v>0.13</v>
          </cell>
          <cell r="M32">
            <v>3</v>
          </cell>
          <cell r="N32">
            <v>2.1</v>
          </cell>
          <cell r="O32">
            <v>70</v>
          </cell>
          <cell r="P32">
            <v>70</v>
          </cell>
          <cell r="Q32" t="str">
            <v>14II;16II</v>
          </cell>
          <cell r="R32" t="str">
            <v>99TI+10 dias;126TI+10 dias;220TI+10 dias;250TI+10 dias;347TI+10 dias;400TI+10 dias;191TI+10 dias;283TI+15 dias;170TI+30 dias</v>
          </cell>
          <cell r="S32" t="str">
            <v>EQUIPE MEC[22%]</v>
          </cell>
          <cell r="T32">
            <v>38933</v>
          </cell>
        </row>
        <row r="33">
          <cell r="B33" t="str">
            <v>BB.205.ET.03</v>
          </cell>
          <cell r="D33" t="str">
            <v>Pintura</v>
          </cell>
          <cell r="E33" t="str">
            <v>15 dias</v>
          </cell>
          <cell r="F33">
            <v>38762.333333333336</v>
          </cell>
          <cell r="G33">
            <v>38762.333333333336</v>
          </cell>
          <cell r="H33">
            <v>38762.333333333336</v>
          </cell>
          <cell r="I33">
            <v>38786.729166666664</v>
          </cell>
          <cell r="J33">
            <v>38785.729166666664</v>
          </cell>
          <cell r="K33" t="str">
            <v>NA</v>
          </cell>
          <cell r="L33">
            <v>0.11</v>
          </cell>
          <cell r="M33">
            <v>2.63</v>
          </cell>
          <cell r="N33">
            <v>2.36</v>
          </cell>
          <cell r="O33">
            <v>90</v>
          </cell>
          <cell r="P33">
            <v>90</v>
          </cell>
          <cell r="Q33">
            <v>3</v>
          </cell>
          <cell r="S33" t="str">
            <v>EQUIPE MEC</v>
          </cell>
          <cell r="T33">
            <v>38785</v>
          </cell>
        </row>
        <row r="34">
          <cell r="B34" t="str">
            <v>BB.205.ET.04</v>
          </cell>
          <cell r="D34" t="str">
            <v>Transportadores e Alimentadores de Correia</v>
          </cell>
          <cell r="E34" t="str">
            <v>94 dias</v>
          </cell>
          <cell r="F34">
            <v>38786.333333333336</v>
          </cell>
          <cell r="G34">
            <v>38786.333333333336</v>
          </cell>
          <cell r="H34">
            <v>38786.333333333336</v>
          </cell>
          <cell r="I34">
            <v>38812.729166666664</v>
          </cell>
          <cell r="J34">
            <v>38925.729166666664</v>
          </cell>
          <cell r="K34" t="str">
            <v>NA</v>
          </cell>
          <cell r="L34">
            <v>0.17</v>
          </cell>
          <cell r="M34">
            <v>4</v>
          </cell>
          <cell r="N34">
            <v>3.6</v>
          </cell>
          <cell r="O34">
            <v>90</v>
          </cell>
          <cell r="P34">
            <v>90</v>
          </cell>
          <cell r="Q34" t="str">
            <v>14II;16II</v>
          </cell>
          <cell r="R34" t="str">
            <v>74TI+45 dias</v>
          </cell>
          <cell r="S34" t="str">
            <v>EQUIPE MEC[19%]</v>
          </cell>
          <cell r="T34">
            <v>38925</v>
          </cell>
        </row>
        <row r="35">
          <cell r="B35" t="str">
            <v>BB.205.LE.01</v>
          </cell>
          <cell r="D35" t="str">
            <v>Lista De Equipamentos</v>
          </cell>
          <cell r="E35" t="str">
            <v>33 dias</v>
          </cell>
          <cell r="F35">
            <v>38793.333333333336</v>
          </cell>
          <cell r="G35">
            <v>38863.333333333336</v>
          </cell>
          <cell r="H35">
            <v>38863.333333333336</v>
          </cell>
          <cell r="I35">
            <v>38803.375</v>
          </cell>
          <cell r="J35">
            <v>38911.729166666664</v>
          </cell>
          <cell r="K35" t="str">
            <v>NA</v>
          </cell>
          <cell r="L35">
            <v>0.14000000000000001</v>
          </cell>
          <cell r="M35">
            <v>3.25</v>
          </cell>
          <cell r="N35">
            <v>2.93</v>
          </cell>
          <cell r="O35">
            <v>90</v>
          </cell>
          <cell r="P35">
            <v>90</v>
          </cell>
          <cell r="Q35" t="str">
            <v>14II;16II</v>
          </cell>
          <cell r="R35" t="str">
            <v>34II;36;584II</v>
          </cell>
          <cell r="S35" t="str">
            <v>EQUIPE MEC[9%]</v>
          </cell>
          <cell r="T35">
            <v>38911</v>
          </cell>
        </row>
        <row r="36">
          <cell r="B36" t="str">
            <v>BB.205.PQ.01</v>
          </cell>
          <cell r="D36" t="str">
            <v>Planilha De Quantitativos</v>
          </cell>
          <cell r="E36" t="str">
            <v>26 dias</v>
          </cell>
          <cell r="F36">
            <v>38804.333333333336</v>
          </cell>
          <cell r="G36">
            <v>38891.333333333336</v>
          </cell>
          <cell r="H36">
            <v>38891.333333333336</v>
          </cell>
          <cell r="I36">
            <v>38812.375</v>
          </cell>
          <cell r="J36">
            <v>38926.729166666664</v>
          </cell>
          <cell r="K36" t="str">
            <v>NA</v>
          </cell>
          <cell r="L36">
            <v>0.11</v>
          </cell>
          <cell r="M36">
            <v>2.63</v>
          </cell>
          <cell r="N36">
            <v>2.36</v>
          </cell>
          <cell r="O36">
            <v>90</v>
          </cell>
          <cell r="P36">
            <v>90</v>
          </cell>
          <cell r="Q36" t="str">
            <v>33II</v>
          </cell>
          <cell r="R36" t="str">
            <v>35II;36;461II;509II;577II</v>
          </cell>
          <cell r="S36" t="str">
            <v>EQUIPE MEC[19%]</v>
          </cell>
          <cell r="T36">
            <v>38926</v>
          </cell>
        </row>
        <row r="37">
          <cell r="B37" t="str">
            <v>BB.205.OI.01</v>
          </cell>
          <cell r="D37" t="str">
            <v>Orçamento De Investimentos</v>
          </cell>
          <cell r="E37" t="str">
            <v>9 dias</v>
          </cell>
          <cell r="F37">
            <v>38812.333333333336</v>
          </cell>
          <cell r="G37">
            <v>38891.333333333336</v>
          </cell>
          <cell r="H37">
            <v>38891.333333333336</v>
          </cell>
          <cell r="I37">
            <v>38824.375</v>
          </cell>
          <cell r="J37">
            <v>38903.729166666664</v>
          </cell>
          <cell r="K37" t="str">
            <v>NA</v>
          </cell>
          <cell r="L37">
            <v>0.68</v>
          </cell>
          <cell r="M37">
            <v>15.63</v>
          </cell>
          <cell r="N37">
            <v>14.06</v>
          </cell>
          <cell r="O37">
            <v>90</v>
          </cell>
          <cell r="P37">
            <v>90</v>
          </cell>
          <cell r="Q37" t="str">
            <v>34II</v>
          </cell>
          <cell r="S37" t="str">
            <v>EQUIPE MEC</v>
          </cell>
          <cell r="T37">
            <v>38903</v>
          </cell>
        </row>
        <row r="38">
          <cell r="B38" t="str">
            <v>BB.205.MD.02</v>
          </cell>
          <cell r="D38" t="str">
            <v>Memorial Descr. Montagem (Mec/Tub/Met/Ele/TSA)</v>
          </cell>
          <cell r="E38" t="str">
            <v>21 dias</v>
          </cell>
          <cell r="F38">
            <v>38824.333333333336</v>
          </cell>
          <cell r="G38">
            <v>38929.333333333336</v>
          </cell>
          <cell r="H38" t="str">
            <v>NA</v>
          </cell>
          <cell r="I38">
            <v>38832.375</v>
          </cell>
          <cell r="J38">
            <v>38959.729166666664</v>
          </cell>
          <cell r="K38" t="str">
            <v>NA</v>
          </cell>
          <cell r="L38">
            <v>0.2</v>
          </cell>
          <cell r="M38">
            <v>4.5</v>
          </cell>
          <cell r="N38">
            <v>0</v>
          </cell>
          <cell r="O38">
            <v>0</v>
          </cell>
          <cell r="P38">
            <v>0</v>
          </cell>
          <cell r="Q38" t="str">
            <v>33;34</v>
          </cell>
          <cell r="R38">
            <v>69</v>
          </cell>
          <cell r="S38" t="str">
            <v>EQUIPE MEC[33%]</v>
          </cell>
          <cell r="T38">
            <v>38959</v>
          </cell>
        </row>
        <row r="39">
          <cell r="D39" t="str">
            <v>Tubulação</v>
          </cell>
          <cell r="E39" t="str">
            <v>111 dias</v>
          </cell>
          <cell r="F39">
            <v>38793.375</v>
          </cell>
          <cell r="G39">
            <v>38794.333333333336</v>
          </cell>
          <cell r="H39">
            <v>38794.333333333336</v>
          </cell>
          <cell r="I39">
            <v>38868.729166666664</v>
          </cell>
          <cell r="J39">
            <v>38960.729166666664</v>
          </cell>
          <cell r="K39" t="str">
            <v>NA</v>
          </cell>
          <cell r="L39">
            <v>2.29</v>
          </cell>
          <cell r="M39">
            <v>52.38</v>
          </cell>
          <cell r="N39">
            <v>44.44</v>
          </cell>
          <cell r="O39">
            <v>84.84</v>
          </cell>
          <cell r="P39">
            <v>84.84</v>
          </cell>
          <cell r="T39">
            <v>38960</v>
          </cell>
        </row>
        <row r="40">
          <cell r="B40" t="str">
            <v>BH.205.CP.01</v>
          </cell>
          <cell r="D40" t="str">
            <v>Critério De Projeto</v>
          </cell>
          <cell r="E40" t="str">
            <v>80 dias</v>
          </cell>
          <cell r="F40">
            <v>38793.333333333336</v>
          </cell>
          <cell r="G40">
            <v>38794.333333333336</v>
          </cell>
          <cell r="H40">
            <v>38794.333333333336</v>
          </cell>
          <cell r="I40">
            <v>38812.729166666664</v>
          </cell>
          <cell r="J40">
            <v>38915.729166666664</v>
          </cell>
          <cell r="K40" t="str">
            <v>NA</v>
          </cell>
          <cell r="L40">
            <v>0.04</v>
          </cell>
          <cell r="M40">
            <v>0.88</v>
          </cell>
          <cell r="N40">
            <v>0.79</v>
          </cell>
          <cell r="O40">
            <v>90</v>
          </cell>
          <cell r="P40">
            <v>90</v>
          </cell>
          <cell r="Q40">
            <v>3</v>
          </cell>
          <cell r="S40" t="str">
            <v>EQUIPE TUB</v>
          </cell>
          <cell r="T40">
            <v>38915</v>
          </cell>
        </row>
        <row r="41">
          <cell r="B41" t="str">
            <v>BH.205.FE.01</v>
          </cell>
          <cell r="D41" t="str">
            <v>Fluxograma De Engenharia</v>
          </cell>
          <cell r="E41" t="str">
            <v>63 dias</v>
          </cell>
          <cell r="F41">
            <v>38812.333333333336</v>
          </cell>
          <cell r="G41">
            <v>38852.333333333336</v>
          </cell>
          <cell r="H41">
            <v>38852.333333333336</v>
          </cell>
          <cell r="I41">
            <v>38846.729166666664</v>
          </cell>
          <cell r="J41">
            <v>38940.729166666664</v>
          </cell>
          <cell r="K41" t="str">
            <v>NA</v>
          </cell>
          <cell r="L41">
            <v>0.94</v>
          </cell>
          <cell r="M41">
            <v>21.5</v>
          </cell>
          <cell r="N41">
            <v>19.350000000000001</v>
          </cell>
          <cell r="O41">
            <v>90</v>
          </cell>
          <cell r="P41">
            <v>90</v>
          </cell>
          <cell r="Q41" t="str">
            <v>14II</v>
          </cell>
          <cell r="R41" t="str">
            <v>63;42II;43II;59II;40;65;68;69;214II;244II;245II;252II;341II;342II;349II;395II;394II;403II;312II;311II;370II;371II;279II;278II;286II;428II;429II;438II;674II+131 dias</v>
          </cell>
          <cell r="S41" t="str">
            <v>EQUIPE TUB[83%]</v>
          </cell>
          <cell r="T41">
            <v>38940</v>
          </cell>
        </row>
        <row r="42">
          <cell r="B42" t="str">
            <v>BH.205.DB.01</v>
          </cell>
          <cell r="D42" t="str">
            <v>Desenho Básico - Rota Básica de Tubulação</v>
          </cell>
          <cell r="E42" t="str">
            <v>7 dias</v>
          </cell>
          <cell r="F42" t="str">
            <v>NA</v>
          </cell>
          <cell r="G42">
            <v>38945.333333333336</v>
          </cell>
          <cell r="H42" t="str">
            <v>NA</v>
          </cell>
          <cell r="I42" t="str">
            <v>NA</v>
          </cell>
          <cell r="J42">
            <v>38953.729166666664</v>
          </cell>
          <cell r="K42" t="str">
            <v>NA</v>
          </cell>
          <cell r="L42">
            <v>0.13</v>
          </cell>
          <cell r="M42">
            <v>3</v>
          </cell>
          <cell r="N42">
            <v>0</v>
          </cell>
          <cell r="O42">
            <v>0</v>
          </cell>
          <cell r="P42">
            <v>0</v>
          </cell>
          <cell r="Q42" t="str">
            <v>26;39</v>
          </cell>
          <cell r="R42" t="str">
            <v>41;60</v>
          </cell>
          <cell r="S42" t="str">
            <v>EQUIPE TUB</v>
          </cell>
          <cell r="T42">
            <v>38953</v>
          </cell>
        </row>
        <row r="43">
          <cell r="D43" t="str">
            <v>APROVAÇÃO EBX</v>
          </cell>
          <cell r="E43" t="str">
            <v>5 dias</v>
          </cell>
          <cell r="F43">
            <v>38846.333333333336</v>
          </cell>
          <cell r="G43">
            <v>38954.333333333336</v>
          </cell>
          <cell r="H43" t="str">
            <v>NA</v>
          </cell>
          <cell r="I43">
            <v>38853.729166666664</v>
          </cell>
          <cell r="J43">
            <v>38960.729166666664</v>
          </cell>
          <cell r="K43" t="str">
            <v>NA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#ERRO</v>
          </cell>
          <cell r="Q43">
            <v>40</v>
          </cell>
          <cell r="T43">
            <v>38960</v>
          </cell>
        </row>
        <row r="44">
          <cell r="B44" t="str">
            <v>BH.205.ET.01</v>
          </cell>
          <cell r="D44" t="str">
            <v>Especificação Técnica - Bombas</v>
          </cell>
          <cell r="E44" t="str">
            <v>33 dias</v>
          </cell>
          <cell r="F44">
            <v>38846.333333333336</v>
          </cell>
          <cell r="G44">
            <v>38869.333333333336</v>
          </cell>
          <cell r="H44">
            <v>38869.333333333336</v>
          </cell>
          <cell r="I44">
            <v>38868.729166666664</v>
          </cell>
          <cell r="J44">
            <v>38917.729166666664</v>
          </cell>
          <cell r="K44" t="str">
            <v>NA</v>
          </cell>
          <cell r="L44">
            <v>0.91</v>
          </cell>
          <cell r="M44">
            <v>20.75</v>
          </cell>
          <cell r="N44">
            <v>18.68</v>
          </cell>
          <cell r="O44">
            <v>90</v>
          </cell>
          <cell r="P44">
            <v>90</v>
          </cell>
          <cell r="Q44" t="str">
            <v>39II</v>
          </cell>
          <cell r="R44" t="str">
            <v>72TI+45 dias</v>
          </cell>
          <cell r="S44" t="str">
            <v>EQUIPE TUB[155%]</v>
          </cell>
          <cell r="T44">
            <v>38917</v>
          </cell>
        </row>
        <row r="45">
          <cell r="B45" t="str">
            <v>BH.205.PQ.01</v>
          </cell>
          <cell r="D45" t="str">
            <v>Planilha De Quantitativos</v>
          </cell>
          <cell r="E45" t="str">
            <v>19 dias</v>
          </cell>
          <cell r="F45">
            <v>38862.333333333336</v>
          </cell>
          <cell r="G45">
            <v>38901.333333333336</v>
          </cell>
          <cell r="H45">
            <v>38901.333333333336</v>
          </cell>
          <cell r="I45">
            <v>38868.729166666664</v>
          </cell>
          <cell r="J45">
            <v>38925.729166666664</v>
          </cell>
          <cell r="K45" t="str">
            <v>NA</v>
          </cell>
          <cell r="L45">
            <v>0.27</v>
          </cell>
          <cell r="M45">
            <v>6.25</v>
          </cell>
          <cell r="N45">
            <v>5.63</v>
          </cell>
          <cell r="O45">
            <v>90</v>
          </cell>
          <cell r="P45">
            <v>90</v>
          </cell>
          <cell r="Q45" t="str">
            <v>39II</v>
          </cell>
          <cell r="S45" t="str">
            <v>EQUIPE TUB[21%]</v>
          </cell>
          <cell r="T45">
            <v>38925</v>
          </cell>
        </row>
        <row r="46">
          <cell r="D46" t="str">
            <v>Civil</v>
          </cell>
          <cell r="E46" t="str">
            <v>85 dias</v>
          </cell>
          <cell r="F46">
            <v>38789.333333333336</v>
          </cell>
          <cell r="G46">
            <v>38807.333333333336</v>
          </cell>
          <cell r="H46">
            <v>38807.333333333336</v>
          </cell>
          <cell r="I46">
            <v>38853.729166666664</v>
          </cell>
          <cell r="J46">
            <v>38933.729166666664</v>
          </cell>
          <cell r="K46" t="str">
            <v>NA</v>
          </cell>
          <cell r="L46">
            <v>0.97</v>
          </cell>
          <cell r="M46">
            <v>22.25</v>
          </cell>
          <cell r="N46">
            <v>20.64</v>
          </cell>
          <cell r="O46">
            <v>92.75</v>
          </cell>
          <cell r="P46">
            <v>92.75</v>
          </cell>
          <cell r="T46">
            <v>38933</v>
          </cell>
        </row>
        <row r="47">
          <cell r="B47" t="str">
            <v>BC.205.CP.01</v>
          </cell>
          <cell r="D47" t="str">
            <v>Critério De Projeto</v>
          </cell>
          <cell r="E47" t="str">
            <v>9 dias</v>
          </cell>
          <cell r="F47">
            <v>38806.333333333336</v>
          </cell>
          <cell r="G47">
            <v>38807.333333333336</v>
          </cell>
          <cell r="H47">
            <v>38807.333333333336</v>
          </cell>
          <cell r="I47">
            <v>38819.729166666664</v>
          </cell>
          <cell r="J47">
            <v>38819.729166666664</v>
          </cell>
          <cell r="K47" t="str">
            <v>NA</v>
          </cell>
          <cell r="L47">
            <v>0.08</v>
          </cell>
          <cell r="M47">
            <v>1.75</v>
          </cell>
          <cell r="N47">
            <v>1.58</v>
          </cell>
          <cell r="O47">
            <v>90</v>
          </cell>
          <cell r="P47">
            <v>90</v>
          </cell>
          <cell r="Q47">
            <v>3</v>
          </cell>
          <cell r="R47">
            <v>47</v>
          </cell>
          <cell r="S47" t="str">
            <v>EQUIPE CIV</v>
          </cell>
          <cell r="T47">
            <v>38819</v>
          </cell>
        </row>
        <row r="48">
          <cell r="B48" t="str">
            <v>BC.205.DB.01</v>
          </cell>
          <cell r="D48" t="str">
            <v>Desenho Básico - Locação De Sondagem</v>
          </cell>
          <cell r="E48" t="str">
            <v>63 dias</v>
          </cell>
          <cell r="F48">
            <v>38789.333333333336</v>
          </cell>
          <cell r="G48">
            <v>38835.333333333336</v>
          </cell>
          <cell r="H48">
            <v>38835.333333333336</v>
          </cell>
          <cell r="I48">
            <v>38796.729166666664</v>
          </cell>
          <cell r="J48">
            <v>38926.729166666664</v>
          </cell>
          <cell r="K48" t="str">
            <v>NA</v>
          </cell>
          <cell r="L48">
            <v>0.13</v>
          </cell>
          <cell r="M48">
            <v>3</v>
          </cell>
          <cell r="N48">
            <v>2.8</v>
          </cell>
          <cell r="O48">
            <v>93.33</v>
          </cell>
          <cell r="P48">
            <v>93.33</v>
          </cell>
          <cell r="Q48" t="str">
            <v>16II</v>
          </cell>
          <cell r="R48">
            <v>47</v>
          </cell>
          <cell r="S48" t="str">
            <v>EQUIPE CIV[16%]</v>
          </cell>
          <cell r="T48">
            <v>38926</v>
          </cell>
        </row>
        <row r="49">
          <cell r="D49" t="str">
            <v>APROVAÇÃO EBX</v>
          </cell>
          <cell r="E49" t="str">
            <v>5 dias</v>
          </cell>
          <cell r="F49">
            <v>38796.333333333336</v>
          </cell>
          <cell r="G49">
            <v>38929.333333333336</v>
          </cell>
          <cell r="H49" t="str">
            <v>NA</v>
          </cell>
          <cell r="I49">
            <v>38803.729166666664</v>
          </cell>
          <cell r="J49">
            <v>38933.729166666664</v>
          </cell>
          <cell r="K49" t="str">
            <v>NA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#ERRO</v>
          </cell>
          <cell r="Q49" t="str">
            <v>45;46</v>
          </cell>
          <cell r="T49">
            <v>38933</v>
          </cell>
        </row>
        <row r="50">
          <cell r="D50" t="str">
            <v>Memorial Descritivo</v>
          </cell>
          <cell r="E50" t="str">
            <v>54 dias</v>
          </cell>
          <cell r="F50">
            <v>38813.333333333336</v>
          </cell>
          <cell r="G50">
            <v>38813.333333333336</v>
          </cell>
          <cell r="H50">
            <v>38813.333333333336</v>
          </cell>
          <cell r="I50">
            <v>38853.729166666664</v>
          </cell>
          <cell r="J50">
            <v>38896.729166666664</v>
          </cell>
          <cell r="K50" t="str">
            <v>NA</v>
          </cell>
          <cell r="L50">
            <v>0.13</v>
          </cell>
          <cell r="M50">
            <v>2.88</v>
          </cell>
          <cell r="N50">
            <v>2.59</v>
          </cell>
          <cell r="O50">
            <v>90</v>
          </cell>
          <cell r="P50">
            <v>90</v>
          </cell>
          <cell r="T50">
            <v>38896</v>
          </cell>
        </row>
        <row r="51">
          <cell r="B51" t="str">
            <v>BC.205.MD.01</v>
          </cell>
          <cell r="D51" t="str">
            <v>Terraplenagem</v>
          </cell>
          <cell r="E51" t="str">
            <v>25 dias</v>
          </cell>
          <cell r="F51">
            <v>38813.333333333336</v>
          </cell>
          <cell r="G51">
            <v>38813.333333333336</v>
          </cell>
          <cell r="H51">
            <v>38813.333333333336</v>
          </cell>
          <cell r="I51">
            <v>38819.729166666664</v>
          </cell>
          <cell r="J51">
            <v>38853.729166666664</v>
          </cell>
          <cell r="K51" t="str">
            <v>NA</v>
          </cell>
          <cell r="L51">
            <v>0.02</v>
          </cell>
          <cell r="M51">
            <v>0.5</v>
          </cell>
          <cell r="N51">
            <v>0.45</v>
          </cell>
          <cell r="O51">
            <v>90</v>
          </cell>
          <cell r="P51">
            <v>90</v>
          </cell>
          <cell r="Q51" t="str">
            <v>16II</v>
          </cell>
          <cell r="R51" t="str">
            <v>52;579II</v>
          </cell>
          <cell r="S51" t="str">
            <v>EQUIPE CIV[20%]</v>
          </cell>
          <cell r="T51">
            <v>38853</v>
          </cell>
        </row>
        <row r="52">
          <cell r="B52" t="str">
            <v>BC.205.MD.02</v>
          </cell>
          <cell r="D52" t="str">
            <v>Obras Civis - Concreto</v>
          </cell>
          <cell r="E52" t="str">
            <v>14 dias</v>
          </cell>
          <cell r="F52">
            <v>38847.333333333336</v>
          </cell>
          <cell r="G52">
            <v>38875.333333333336</v>
          </cell>
          <cell r="H52">
            <v>38875.333333333336</v>
          </cell>
          <cell r="I52">
            <v>38853.729166666664</v>
          </cell>
          <cell r="J52">
            <v>38896.729166666664</v>
          </cell>
          <cell r="K52" t="str">
            <v>NA</v>
          </cell>
          <cell r="L52">
            <v>0.1</v>
          </cell>
          <cell r="M52">
            <v>2.38</v>
          </cell>
          <cell r="N52">
            <v>2.14</v>
          </cell>
          <cell r="O52">
            <v>90</v>
          </cell>
          <cell r="P52">
            <v>90</v>
          </cell>
          <cell r="Q52" t="str">
            <v>16II</v>
          </cell>
          <cell r="R52" t="str">
            <v>53II</v>
          </cell>
          <cell r="S52" t="str">
            <v>EQUIPE CIV[36%]</v>
          </cell>
          <cell r="T52">
            <v>38896</v>
          </cell>
        </row>
        <row r="53">
          <cell r="D53" t="str">
            <v>Critério De Medição De Serviço</v>
          </cell>
          <cell r="E53" t="str">
            <v>54 dias</v>
          </cell>
          <cell r="F53">
            <v>38810.333333333336</v>
          </cell>
          <cell r="G53">
            <v>38835.333333333336</v>
          </cell>
          <cell r="H53">
            <v>38835.333333333336</v>
          </cell>
          <cell r="I53">
            <v>38853.729166666664</v>
          </cell>
          <cell r="J53">
            <v>38915.729166666664</v>
          </cell>
          <cell r="K53" t="str">
            <v>NA</v>
          </cell>
          <cell r="L53">
            <v>0.18</v>
          </cell>
          <cell r="M53">
            <v>4.13</v>
          </cell>
          <cell r="N53">
            <v>3.71</v>
          </cell>
          <cell r="O53">
            <v>90</v>
          </cell>
          <cell r="P53">
            <v>90</v>
          </cell>
          <cell r="T53">
            <v>38915</v>
          </cell>
        </row>
        <row r="54">
          <cell r="B54" t="str">
            <v>BC.205.CM.01</v>
          </cell>
          <cell r="D54" t="str">
            <v>Terraplenagem</v>
          </cell>
          <cell r="E54" t="str">
            <v>54 dias</v>
          </cell>
          <cell r="F54">
            <v>38810.333333333336</v>
          </cell>
          <cell r="G54">
            <v>38835.333333333336</v>
          </cell>
          <cell r="H54">
            <v>38835.333333333336</v>
          </cell>
          <cell r="I54">
            <v>38819.729166666664</v>
          </cell>
          <cell r="J54">
            <v>38915.729166666664</v>
          </cell>
          <cell r="K54" t="str">
            <v>NA</v>
          </cell>
          <cell r="L54">
            <v>0.08</v>
          </cell>
          <cell r="M54">
            <v>1.88</v>
          </cell>
          <cell r="N54">
            <v>1.69</v>
          </cell>
          <cell r="O54">
            <v>90</v>
          </cell>
          <cell r="P54">
            <v>90</v>
          </cell>
          <cell r="Q54">
            <v>49</v>
          </cell>
          <cell r="R54" t="str">
            <v>55II</v>
          </cell>
          <cell r="S54" t="str">
            <v>EQUIPE CIV[15%]</v>
          </cell>
          <cell r="T54">
            <v>38915</v>
          </cell>
        </row>
        <row r="55">
          <cell r="B55" t="str">
            <v>BC.205.CM.02</v>
          </cell>
          <cell r="D55" t="str">
            <v>Obras Civis - Concreto</v>
          </cell>
          <cell r="E55" t="str">
            <v>5 dias</v>
          </cell>
          <cell r="F55">
            <v>38842.333333333336</v>
          </cell>
          <cell r="G55">
            <v>38875.333333333336</v>
          </cell>
          <cell r="H55">
            <v>38875.333333333336</v>
          </cell>
          <cell r="I55">
            <v>38853.729166666664</v>
          </cell>
          <cell r="J55">
            <v>38881.729166666664</v>
          </cell>
          <cell r="K55" t="str">
            <v>NA</v>
          </cell>
          <cell r="L55">
            <v>0.1</v>
          </cell>
          <cell r="M55">
            <v>2.25</v>
          </cell>
          <cell r="N55">
            <v>2.0299999999999998</v>
          </cell>
          <cell r="O55">
            <v>90</v>
          </cell>
          <cell r="P55">
            <v>90</v>
          </cell>
          <cell r="Q55" t="str">
            <v>50II</v>
          </cell>
          <cell r="R55" t="str">
            <v>56II</v>
          </cell>
          <cell r="S55" t="str">
            <v>EQUIPE CIV</v>
          </cell>
          <cell r="T55">
            <v>38881</v>
          </cell>
        </row>
        <row r="56">
          <cell r="D56" t="str">
            <v>Planilha De Quantitativos</v>
          </cell>
          <cell r="E56" t="str">
            <v>39 dias</v>
          </cell>
          <cell r="F56">
            <v>38803.333333333336</v>
          </cell>
          <cell r="G56">
            <v>38875.333333333336</v>
          </cell>
          <cell r="H56">
            <v>38875.333333333336</v>
          </cell>
          <cell r="I56">
            <v>38819.729166666664</v>
          </cell>
          <cell r="J56">
            <v>38931.729166666664</v>
          </cell>
          <cell r="K56" t="str">
            <v>NA</v>
          </cell>
          <cell r="L56">
            <v>0.46</v>
          </cell>
          <cell r="M56">
            <v>10.5</v>
          </cell>
          <cell r="N56">
            <v>9.9600000000000009</v>
          </cell>
          <cell r="O56">
            <v>94.88</v>
          </cell>
          <cell r="P56">
            <v>94.88</v>
          </cell>
          <cell r="T56">
            <v>38931</v>
          </cell>
        </row>
        <row r="57">
          <cell r="B57" t="str">
            <v>BC.205.PQ.01</v>
          </cell>
          <cell r="D57" t="str">
            <v>Terraplenagem</v>
          </cell>
          <cell r="E57" t="str">
            <v>38 dias</v>
          </cell>
          <cell r="F57">
            <v>38804.333333333336</v>
          </cell>
          <cell r="G57">
            <v>38875.333333333336</v>
          </cell>
          <cell r="H57">
            <v>38875.333333333336</v>
          </cell>
          <cell r="I57">
            <v>38819.729166666664</v>
          </cell>
          <cell r="J57">
            <v>38930.729166666664</v>
          </cell>
          <cell r="K57" t="str">
            <v>NA</v>
          </cell>
          <cell r="L57">
            <v>0.21</v>
          </cell>
          <cell r="M57">
            <v>4.88</v>
          </cell>
          <cell r="N57">
            <v>4.46</v>
          </cell>
          <cell r="O57">
            <v>91.54</v>
          </cell>
          <cell r="P57">
            <v>91.54</v>
          </cell>
          <cell r="Q57" t="str">
            <v>52II</v>
          </cell>
          <cell r="R57" t="str">
            <v>579II</v>
          </cell>
          <cell r="S57" t="str">
            <v>EQUIPE CIV[40%]</v>
          </cell>
          <cell r="T57">
            <v>38930</v>
          </cell>
        </row>
        <row r="58">
          <cell r="B58" t="str">
            <v>BC.205.PQ.02</v>
          </cell>
          <cell r="D58" t="str">
            <v>Obras Civis - Concreto</v>
          </cell>
          <cell r="E58" t="str">
            <v>18 dias</v>
          </cell>
          <cell r="F58">
            <v>38803.333333333336</v>
          </cell>
          <cell r="G58">
            <v>38908.333333333336</v>
          </cell>
          <cell r="H58">
            <v>38908.333333333336</v>
          </cell>
          <cell r="I58">
            <v>38819.729166666664</v>
          </cell>
          <cell r="J58">
            <v>38931.729166666664</v>
          </cell>
          <cell r="K58" t="str">
            <v>NA</v>
          </cell>
          <cell r="L58">
            <v>0.25</v>
          </cell>
          <cell r="M58">
            <v>5.63</v>
          </cell>
          <cell r="N58">
            <v>5.5</v>
          </cell>
          <cell r="O58">
            <v>97.78</v>
          </cell>
          <cell r="P58">
            <v>97.78</v>
          </cell>
          <cell r="Q58" t="str">
            <v>53II</v>
          </cell>
          <cell r="S58" t="str">
            <v>EQUIPE CIV</v>
          </cell>
          <cell r="T58">
            <v>38931</v>
          </cell>
        </row>
        <row r="59">
          <cell r="D59" t="str">
            <v>Estrutura Metálica</v>
          </cell>
          <cell r="E59" t="str">
            <v>117 dias</v>
          </cell>
          <cell r="F59">
            <v>38786.333333333336</v>
          </cell>
          <cell r="G59">
            <v>38790.333333333336</v>
          </cell>
          <cell r="H59">
            <v>38790.333333333336</v>
          </cell>
          <cell r="I59">
            <v>38805.729166666664</v>
          </cell>
          <cell r="J59">
            <v>38964.729166666664</v>
          </cell>
          <cell r="K59" t="str">
            <v>NA</v>
          </cell>
          <cell r="L59">
            <v>0.51</v>
          </cell>
          <cell r="M59">
            <v>11.63</v>
          </cell>
          <cell r="N59">
            <v>4.28</v>
          </cell>
          <cell r="O59">
            <v>36.770000000000003</v>
          </cell>
          <cell r="P59">
            <v>36.770000000000003</v>
          </cell>
          <cell r="T59">
            <v>38964</v>
          </cell>
        </row>
        <row r="60">
          <cell r="B60" t="str">
            <v>BD.205.CP.01</v>
          </cell>
          <cell r="D60" t="str">
            <v>Critério De Projeto</v>
          </cell>
          <cell r="E60" t="str">
            <v>16 dias</v>
          </cell>
          <cell r="F60">
            <v>38786.333333333336</v>
          </cell>
          <cell r="G60">
            <v>38790.333333333336</v>
          </cell>
          <cell r="H60">
            <v>38790.333333333336</v>
          </cell>
          <cell r="I60">
            <v>38810.729166666664</v>
          </cell>
          <cell r="J60">
            <v>38811.729166666664</v>
          </cell>
          <cell r="K60" t="str">
            <v>NA</v>
          </cell>
          <cell r="L60">
            <v>0.19</v>
          </cell>
          <cell r="M60">
            <v>4.25</v>
          </cell>
          <cell r="N60">
            <v>3.83</v>
          </cell>
          <cell r="O60">
            <v>90</v>
          </cell>
          <cell r="P60">
            <v>90</v>
          </cell>
          <cell r="Q60">
            <v>3</v>
          </cell>
          <cell r="S60" t="str">
            <v>EQUIPE MET</v>
          </cell>
          <cell r="T60">
            <v>38811</v>
          </cell>
        </row>
        <row r="61">
          <cell r="B61" t="str">
            <v>BD.205.PQ.01</v>
          </cell>
          <cell r="D61" t="str">
            <v>Planilha De Quantitativos</v>
          </cell>
          <cell r="E61" t="str">
            <v>2 dias</v>
          </cell>
          <cell r="F61">
            <v>38804.333333333336</v>
          </cell>
          <cell r="G61">
            <v>38925.333333333336</v>
          </cell>
          <cell r="H61">
            <v>38925.333333333336</v>
          </cell>
          <cell r="I61">
            <v>38805.729166666664</v>
          </cell>
          <cell r="J61">
            <v>38926.729166666664</v>
          </cell>
          <cell r="K61" t="str">
            <v>NA</v>
          </cell>
          <cell r="L61">
            <v>0.02</v>
          </cell>
          <cell r="M61">
            <v>0.5</v>
          </cell>
          <cell r="N61">
            <v>0.45</v>
          </cell>
          <cell r="O61">
            <v>90</v>
          </cell>
          <cell r="P61">
            <v>90</v>
          </cell>
          <cell r="Q61" t="str">
            <v>14II;16II;39II</v>
          </cell>
          <cell r="S61" t="str">
            <v>EQUIPE MET</v>
          </cell>
          <cell r="T61">
            <v>38926</v>
          </cell>
        </row>
        <row r="62">
          <cell r="B62" t="str">
            <v>BD.205.MC.01</v>
          </cell>
          <cell r="D62" t="str">
            <v>Memória De Cálculo - Pipe Rack</v>
          </cell>
          <cell r="E62" t="str">
            <v>7 dias</v>
          </cell>
          <cell r="F62">
            <v>38793.333333333336</v>
          </cell>
          <cell r="G62">
            <v>38954.333333333336</v>
          </cell>
          <cell r="H62" t="str">
            <v>NA</v>
          </cell>
          <cell r="I62">
            <v>38804.729166666664</v>
          </cell>
          <cell r="J62">
            <v>38964.729166666664</v>
          </cell>
          <cell r="K62" t="str">
            <v>NA</v>
          </cell>
          <cell r="L62">
            <v>0.3</v>
          </cell>
          <cell r="M62">
            <v>6.88</v>
          </cell>
          <cell r="N62">
            <v>0</v>
          </cell>
          <cell r="O62">
            <v>0</v>
          </cell>
          <cell r="P62">
            <v>0</v>
          </cell>
          <cell r="Q62">
            <v>40</v>
          </cell>
          <cell r="R62" t="str">
            <v>81;79</v>
          </cell>
          <cell r="S62" t="str">
            <v>EQUIPE MET</v>
          </cell>
          <cell r="T62">
            <v>38964</v>
          </cell>
        </row>
        <row r="63">
          <cell r="D63" t="str">
            <v>Instrumentação</v>
          </cell>
          <cell r="E63" t="str">
            <v>123 dias</v>
          </cell>
          <cell r="F63">
            <v>38793.333333333336</v>
          </cell>
          <cell r="G63">
            <v>38792.333333333336</v>
          </cell>
          <cell r="H63">
            <v>38792.333333333336</v>
          </cell>
          <cell r="I63">
            <v>38867.729166666664</v>
          </cell>
          <cell r="J63">
            <v>38978.729166666664</v>
          </cell>
          <cell r="K63" t="str">
            <v>NA</v>
          </cell>
          <cell r="L63">
            <v>1.49</v>
          </cell>
          <cell r="M63">
            <v>34.130000000000003</v>
          </cell>
          <cell r="N63">
            <v>1.8</v>
          </cell>
          <cell r="O63">
            <v>5.27</v>
          </cell>
          <cell r="P63">
            <v>5.27</v>
          </cell>
          <cell r="T63">
            <v>38978</v>
          </cell>
        </row>
        <row r="64">
          <cell r="B64" t="str">
            <v>BT.205.CP.01</v>
          </cell>
          <cell r="D64" t="str">
            <v>Critério De Projeto</v>
          </cell>
          <cell r="E64" t="str">
            <v>5 dias</v>
          </cell>
          <cell r="F64">
            <v>38793.333333333336</v>
          </cell>
          <cell r="G64">
            <v>38792.333333333336</v>
          </cell>
          <cell r="H64">
            <v>38792.333333333336</v>
          </cell>
          <cell r="I64">
            <v>38803.729166666664</v>
          </cell>
          <cell r="J64">
            <v>38798.729166666664</v>
          </cell>
          <cell r="K64" t="str">
            <v>NA</v>
          </cell>
          <cell r="L64">
            <v>0.09</v>
          </cell>
          <cell r="M64">
            <v>2</v>
          </cell>
          <cell r="N64">
            <v>1.8</v>
          </cell>
          <cell r="O64">
            <v>90</v>
          </cell>
          <cell r="P64">
            <v>90</v>
          </cell>
          <cell r="Q64" t="str">
            <v>3II</v>
          </cell>
          <cell r="S64" t="str">
            <v>EQUIPE TSA</v>
          </cell>
          <cell r="T64">
            <v>38798</v>
          </cell>
        </row>
        <row r="65">
          <cell r="B65" t="str">
            <v>BT.205.LE.01</v>
          </cell>
          <cell r="D65" t="str">
            <v>Lista De Instrumentos</v>
          </cell>
          <cell r="E65" t="str">
            <v>4 dias</v>
          </cell>
          <cell r="F65">
            <v>38846.333333333336</v>
          </cell>
          <cell r="G65">
            <v>38945.333333333336</v>
          </cell>
          <cell r="H65" t="str">
            <v>NA</v>
          </cell>
          <cell r="I65">
            <v>38852.729166666664</v>
          </cell>
          <cell r="J65">
            <v>38950.729166666664</v>
          </cell>
          <cell r="K65" t="str">
            <v>NA</v>
          </cell>
          <cell r="L65">
            <v>0.11</v>
          </cell>
          <cell r="M65">
            <v>2.5</v>
          </cell>
          <cell r="N65">
            <v>0</v>
          </cell>
          <cell r="O65">
            <v>0</v>
          </cell>
          <cell r="P65">
            <v>0</v>
          </cell>
          <cell r="Q65">
            <v>39</v>
          </cell>
          <cell r="R65" t="str">
            <v>64II;67;83</v>
          </cell>
          <cell r="S65" t="str">
            <v>EQUIPE TSA</v>
          </cell>
          <cell r="T65">
            <v>38950</v>
          </cell>
        </row>
        <row r="66">
          <cell r="B66" t="str">
            <v>BT.205.PQ.01</v>
          </cell>
          <cell r="D66" t="str">
            <v>Planilha De Quantitativos</v>
          </cell>
          <cell r="E66" t="str">
            <v>4 dias</v>
          </cell>
          <cell r="F66">
            <v>38861.333333333336</v>
          </cell>
          <cell r="G66">
            <v>38945.333333333336</v>
          </cell>
          <cell r="H66" t="str">
            <v>NA</v>
          </cell>
          <cell r="I66">
            <v>38867.729166666664</v>
          </cell>
          <cell r="J66">
            <v>38950.729166666664</v>
          </cell>
          <cell r="K66" t="str">
            <v>NA</v>
          </cell>
          <cell r="L66">
            <v>0.05</v>
          </cell>
          <cell r="M66">
            <v>1.25</v>
          </cell>
          <cell r="N66">
            <v>0</v>
          </cell>
          <cell r="O66">
            <v>0</v>
          </cell>
          <cell r="P66">
            <v>0</v>
          </cell>
          <cell r="Q66" t="str">
            <v>63II</v>
          </cell>
          <cell r="S66" t="str">
            <v>EQUIPE TSA</v>
          </cell>
          <cell r="T66">
            <v>38950</v>
          </cell>
        </row>
        <row r="67">
          <cell r="B67" t="str">
            <v>BT.205.DB.01</v>
          </cell>
          <cell r="D67" t="str">
            <v>Desenho Básico - Conf. Sistema Automação</v>
          </cell>
          <cell r="E67" t="str">
            <v>7 dias</v>
          </cell>
          <cell r="F67" t="str">
            <v>NA</v>
          </cell>
          <cell r="G67">
            <v>38945.333333333336</v>
          </cell>
          <cell r="H67" t="str">
            <v>NA</v>
          </cell>
          <cell r="I67" t="str">
            <v>NA</v>
          </cell>
          <cell r="J67">
            <v>38953.729166666664</v>
          </cell>
          <cell r="K67" t="str">
            <v>NA</v>
          </cell>
          <cell r="L67">
            <v>0.09</v>
          </cell>
          <cell r="M67">
            <v>2</v>
          </cell>
          <cell r="N67">
            <v>0</v>
          </cell>
          <cell r="O67">
            <v>0</v>
          </cell>
          <cell r="P67">
            <v>0</v>
          </cell>
          <cell r="Q67">
            <v>39</v>
          </cell>
          <cell r="R67">
            <v>83</v>
          </cell>
          <cell r="S67" t="str">
            <v>EQUIPE TSA</v>
          </cell>
          <cell r="T67">
            <v>38953</v>
          </cell>
        </row>
        <row r="68">
          <cell r="B68" t="str">
            <v>BT.205.ET.01</v>
          </cell>
          <cell r="D68" t="str">
            <v>Espec. Técnica - Instrumentos/ Equip. Automação</v>
          </cell>
          <cell r="E68" t="str">
            <v>6 dias</v>
          </cell>
          <cell r="F68" t="str">
            <v>NA</v>
          </cell>
          <cell r="G68">
            <v>38971.333333333336</v>
          </cell>
          <cell r="H68" t="str">
            <v>NA</v>
          </cell>
          <cell r="I68" t="str">
            <v>NA</v>
          </cell>
          <cell r="J68">
            <v>38978.729166666664</v>
          </cell>
          <cell r="K68" t="str">
            <v>NA</v>
          </cell>
          <cell r="L68">
            <v>0.11</v>
          </cell>
          <cell r="M68">
            <v>2.5</v>
          </cell>
          <cell r="N68">
            <v>0</v>
          </cell>
          <cell r="O68">
            <v>0</v>
          </cell>
          <cell r="P68">
            <v>0</v>
          </cell>
          <cell r="Q68" t="str">
            <v>67TT</v>
          </cell>
          <cell r="S68" t="str">
            <v>EQUIPE TSA</v>
          </cell>
          <cell r="T68">
            <v>38978</v>
          </cell>
        </row>
        <row r="69">
          <cell r="B69" t="str">
            <v>BT.205.FD.01</v>
          </cell>
          <cell r="D69" t="str">
            <v>Folha De Dados</v>
          </cell>
          <cell r="E69" t="str">
            <v>18 dias</v>
          </cell>
          <cell r="F69" t="str">
            <v>NA</v>
          </cell>
          <cell r="G69">
            <v>38951.333333333336</v>
          </cell>
          <cell r="H69" t="str">
            <v>NA</v>
          </cell>
          <cell r="I69" t="str">
            <v>NA</v>
          </cell>
          <cell r="J69">
            <v>38978.729166666664</v>
          </cell>
          <cell r="K69" t="str">
            <v>NA</v>
          </cell>
          <cell r="L69">
            <v>0.52</v>
          </cell>
          <cell r="M69">
            <v>12</v>
          </cell>
          <cell r="N69">
            <v>0</v>
          </cell>
          <cell r="O69">
            <v>0</v>
          </cell>
          <cell r="P69">
            <v>0</v>
          </cell>
          <cell r="Q69">
            <v>63</v>
          </cell>
          <cell r="R69" t="str">
            <v>66TT</v>
          </cell>
          <cell r="S69" t="str">
            <v>EQUIPE TSA</v>
          </cell>
          <cell r="T69">
            <v>38978</v>
          </cell>
        </row>
        <row r="70">
          <cell r="B70" t="str">
            <v>BT.205.ES.01</v>
          </cell>
          <cell r="D70" t="str">
            <v>Relação De Entradas/ Saídas</v>
          </cell>
          <cell r="E70" t="str">
            <v>20 dias</v>
          </cell>
          <cell r="F70" t="str">
            <v>NA</v>
          </cell>
          <cell r="G70">
            <v>38945.333333333336</v>
          </cell>
          <cell r="H70" t="str">
            <v>NA</v>
          </cell>
          <cell r="I70" t="str">
            <v>NA</v>
          </cell>
          <cell r="J70">
            <v>38974.729166666664</v>
          </cell>
          <cell r="K70" t="str">
            <v>NA</v>
          </cell>
          <cell r="L70">
            <v>0.44</v>
          </cell>
          <cell r="M70">
            <v>10</v>
          </cell>
          <cell r="N70">
            <v>0</v>
          </cell>
          <cell r="O70">
            <v>0</v>
          </cell>
          <cell r="P70">
            <v>0</v>
          </cell>
          <cell r="Q70">
            <v>39</v>
          </cell>
          <cell r="R70">
            <v>83</v>
          </cell>
          <cell r="S70" t="str">
            <v>EQUIPE TSA[125%]</v>
          </cell>
          <cell r="T70">
            <v>38974</v>
          </cell>
        </row>
        <row r="71">
          <cell r="B71" t="str">
            <v>BT.205.MD.01</v>
          </cell>
          <cell r="D71" t="str">
            <v>Memorial Descritivo</v>
          </cell>
          <cell r="E71" t="str">
            <v>7 dias</v>
          </cell>
          <cell r="F71">
            <v>38852.333333333336</v>
          </cell>
          <cell r="G71">
            <v>38960.333333333336</v>
          </cell>
          <cell r="H71" t="str">
            <v>NA</v>
          </cell>
          <cell r="I71">
            <v>38861.729166666664</v>
          </cell>
          <cell r="J71">
            <v>38972.729166666664</v>
          </cell>
          <cell r="K71" t="str">
            <v>NA</v>
          </cell>
          <cell r="L71">
            <v>0.08</v>
          </cell>
          <cell r="M71">
            <v>1.88</v>
          </cell>
          <cell r="N71">
            <v>0</v>
          </cell>
          <cell r="O71">
            <v>0</v>
          </cell>
          <cell r="P71">
            <v>0</v>
          </cell>
          <cell r="Q71" t="str">
            <v>36;39</v>
          </cell>
          <cell r="S71" t="str">
            <v>EQUIPE TSA</v>
          </cell>
          <cell r="T71">
            <v>38972</v>
          </cell>
        </row>
        <row r="72">
          <cell r="D72" t="str">
            <v>Projeto Detalhado</v>
          </cell>
          <cell r="E72" t="str">
            <v>105 dias</v>
          </cell>
          <cell r="F72">
            <v>38845.375</v>
          </cell>
          <cell r="G72">
            <v>38866.333333333336</v>
          </cell>
          <cell r="H72">
            <v>38866.333333333336</v>
          </cell>
          <cell r="I72">
            <v>38953.729166666664</v>
          </cell>
          <cell r="J72">
            <v>39022.729166666664</v>
          </cell>
          <cell r="K72" t="str">
            <v>NA</v>
          </cell>
          <cell r="L72">
            <v>5.51</v>
          </cell>
          <cell r="M72">
            <v>126.13</v>
          </cell>
          <cell r="N72">
            <v>5.88</v>
          </cell>
          <cell r="O72">
            <v>4.66</v>
          </cell>
          <cell r="P72">
            <v>4.66</v>
          </cell>
          <cell r="T72">
            <v>39022</v>
          </cell>
        </row>
        <row r="73">
          <cell r="D73" t="str">
            <v>Tubulação</v>
          </cell>
          <cell r="E73" t="str">
            <v>8 dias</v>
          </cell>
          <cell r="F73">
            <v>38911.333333333336</v>
          </cell>
          <cell r="G73">
            <v>38987.333333333336</v>
          </cell>
          <cell r="H73" t="str">
            <v>NA</v>
          </cell>
          <cell r="I73">
            <v>38923.729166666664</v>
          </cell>
          <cell r="J73">
            <v>38996.729166666664</v>
          </cell>
          <cell r="K73" t="str">
            <v>NA</v>
          </cell>
          <cell r="L73">
            <v>0.31</v>
          </cell>
          <cell r="M73">
            <v>7</v>
          </cell>
          <cell r="N73">
            <v>0</v>
          </cell>
          <cell r="O73">
            <v>0</v>
          </cell>
          <cell r="P73">
            <v>0</v>
          </cell>
          <cell r="T73">
            <v>38996</v>
          </cell>
        </row>
        <row r="74">
          <cell r="B74" t="str">
            <v>DH.205.RT.01</v>
          </cell>
          <cell r="D74" t="str">
            <v>Relatório Técnico - Proposta Técnica Bombas</v>
          </cell>
          <cell r="E74" t="str">
            <v>8 dias</v>
          </cell>
          <cell r="F74">
            <v>38911.333333333336</v>
          </cell>
          <cell r="G74">
            <v>38987.333333333336</v>
          </cell>
          <cell r="H74" t="str">
            <v>NA</v>
          </cell>
          <cell r="I74">
            <v>38923.729166666664</v>
          </cell>
          <cell r="J74">
            <v>38996.729166666664</v>
          </cell>
          <cell r="K74" t="str">
            <v>NA</v>
          </cell>
          <cell r="L74">
            <v>0.31</v>
          </cell>
          <cell r="M74">
            <v>7</v>
          </cell>
          <cell r="N74">
            <v>0</v>
          </cell>
          <cell r="O74">
            <v>0</v>
          </cell>
          <cell r="P74">
            <v>0</v>
          </cell>
          <cell r="Q74" t="str">
            <v>42TI+45 dias</v>
          </cell>
          <cell r="S74" t="str">
            <v>EQUIPE TUB</v>
          </cell>
          <cell r="T74">
            <v>38996</v>
          </cell>
        </row>
        <row r="75">
          <cell r="D75" t="str">
            <v>Civil</v>
          </cell>
          <cell r="E75" t="str">
            <v>105 dias</v>
          </cell>
          <cell r="F75">
            <v>38845.333333333336</v>
          </cell>
          <cell r="G75">
            <v>38866.333333333336</v>
          </cell>
          <cell r="H75">
            <v>38866.333333333336</v>
          </cell>
          <cell r="I75">
            <v>38894.729166666664</v>
          </cell>
          <cell r="J75">
            <v>39022.729166666664</v>
          </cell>
          <cell r="K75" t="str">
            <v>NA</v>
          </cell>
          <cell r="L75">
            <v>1.26</v>
          </cell>
          <cell r="M75">
            <v>28.88</v>
          </cell>
          <cell r="N75">
            <v>5.88</v>
          </cell>
          <cell r="O75">
            <v>20.350000000000001</v>
          </cell>
          <cell r="P75">
            <v>20.350000000000001</v>
          </cell>
          <cell r="T75">
            <v>39022</v>
          </cell>
        </row>
        <row r="76">
          <cell r="B76" t="str">
            <v>DC.205.DD.01</v>
          </cell>
          <cell r="D76" t="str">
            <v>Desenho De Detalhamento - Transportadores</v>
          </cell>
          <cell r="E76" t="str">
            <v>18 dias</v>
          </cell>
          <cell r="F76">
            <v>38866.333333333336</v>
          </cell>
          <cell r="G76">
            <v>38995.333333333336</v>
          </cell>
          <cell r="H76" t="str">
            <v>NA</v>
          </cell>
          <cell r="I76">
            <v>38894.729166666664</v>
          </cell>
          <cell r="J76">
            <v>39022.729166666664</v>
          </cell>
          <cell r="K76" t="str">
            <v>NA</v>
          </cell>
          <cell r="L76">
            <v>0.61</v>
          </cell>
          <cell r="M76">
            <v>14</v>
          </cell>
          <cell r="N76">
            <v>0</v>
          </cell>
          <cell r="O76">
            <v>0</v>
          </cell>
          <cell r="P76">
            <v>0</v>
          </cell>
          <cell r="Q76" t="str">
            <v>32TI+45 dias</v>
          </cell>
          <cell r="S76" t="str">
            <v>EQUIPE CIV</v>
          </cell>
          <cell r="T76">
            <v>39022</v>
          </cell>
        </row>
        <row r="77">
          <cell r="B77" t="str">
            <v>DC.205.NS.01</v>
          </cell>
          <cell r="D77" t="str">
            <v>Notas De Serviço - Terraplenagem</v>
          </cell>
          <cell r="E77" t="str">
            <v>15 dias</v>
          </cell>
          <cell r="F77">
            <v>38845.333333333336</v>
          </cell>
          <cell r="G77">
            <v>38918.333333333336</v>
          </cell>
          <cell r="H77" t="str">
            <v>NA</v>
          </cell>
          <cell r="I77">
            <v>38862.729166666664</v>
          </cell>
          <cell r="J77">
            <v>38938.729166666664</v>
          </cell>
          <cell r="K77" t="str">
            <v>NA</v>
          </cell>
          <cell r="L77">
            <v>0.22</v>
          </cell>
          <cell r="M77">
            <v>5</v>
          </cell>
          <cell r="N77">
            <v>0</v>
          </cell>
          <cell r="O77">
            <v>0</v>
          </cell>
          <cell r="P77">
            <v>0</v>
          </cell>
          <cell r="Q77" t="str">
            <v>16;579II</v>
          </cell>
          <cell r="S77" t="str">
            <v>EQUIPE CIV</v>
          </cell>
          <cell r="T77">
            <v>38938</v>
          </cell>
        </row>
        <row r="78">
          <cell r="B78" t="str">
            <v>DC.205.ET.01</v>
          </cell>
          <cell r="D78" t="str">
            <v>Especificação Técnica - Terraplenagem</v>
          </cell>
          <cell r="E78" t="str">
            <v>10 dias</v>
          </cell>
          <cell r="F78">
            <v>38852.333333333336</v>
          </cell>
          <cell r="G78">
            <v>38866.333333333336</v>
          </cell>
          <cell r="H78">
            <v>38866.333333333336</v>
          </cell>
          <cell r="I78">
            <v>38866.729166666664</v>
          </cell>
          <cell r="J78">
            <v>38877.729166666664</v>
          </cell>
          <cell r="K78">
            <v>38877.729166666664</v>
          </cell>
          <cell r="L78">
            <v>0.26</v>
          </cell>
          <cell r="M78">
            <v>5.88</v>
          </cell>
          <cell r="N78">
            <v>5.88</v>
          </cell>
          <cell r="O78">
            <v>100</v>
          </cell>
          <cell r="P78">
            <v>100</v>
          </cell>
          <cell r="Q78" t="str">
            <v>16II</v>
          </cell>
          <cell r="S78" t="str">
            <v>EQUIPE CIV</v>
          </cell>
          <cell r="T78">
            <v>38877</v>
          </cell>
        </row>
        <row r="79">
          <cell r="B79" t="str">
            <v>DC.205.MC.01</v>
          </cell>
          <cell r="D79" t="str">
            <v>Memória De Cálculo - Drenagem Pluvial</v>
          </cell>
          <cell r="E79" t="str">
            <v>2 dias</v>
          </cell>
          <cell r="F79">
            <v>38866.333333333336</v>
          </cell>
          <cell r="G79">
            <v>38951.333333333336</v>
          </cell>
          <cell r="H79" t="str">
            <v>NA</v>
          </cell>
          <cell r="I79">
            <v>38868.729166666664</v>
          </cell>
          <cell r="J79">
            <v>38952.729166666664</v>
          </cell>
          <cell r="K79" t="str">
            <v>NA</v>
          </cell>
          <cell r="L79">
            <v>0.17</v>
          </cell>
          <cell r="M79">
            <v>4</v>
          </cell>
          <cell r="N79">
            <v>0</v>
          </cell>
          <cell r="O79">
            <v>0</v>
          </cell>
          <cell r="P79">
            <v>0</v>
          </cell>
          <cell r="Q79">
            <v>690</v>
          </cell>
          <cell r="S79" t="str">
            <v>EQUIPE CIV</v>
          </cell>
          <cell r="T79">
            <v>38952</v>
          </cell>
        </row>
        <row r="80">
          <cell r="D80" t="str">
            <v>Estrutura Metálica</v>
          </cell>
          <cell r="E80" t="str">
            <v>12 dias</v>
          </cell>
          <cell r="F80">
            <v>38903.333333333336</v>
          </cell>
          <cell r="G80">
            <v>38965.333333333336</v>
          </cell>
          <cell r="H80" t="str">
            <v>NA</v>
          </cell>
          <cell r="I80">
            <v>38922.729166666664</v>
          </cell>
          <cell r="J80">
            <v>38982.729166666664</v>
          </cell>
          <cell r="K80" t="str">
            <v>NA</v>
          </cell>
          <cell r="L80">
            <v>0.99</v>
          </cell>
          <cell r="M80">
            <v>22.75</v>
          </cell>
          <cell r="N80">
            <v>0</v>
          </cell>
          <cell r="O80">
            <v>0</v>
          </cell>
          <cell r="P80">
            <v>0</v>
          </cell>
          <cell r="T80">
            <v>38982</v>
          </cell>
        </row>
        <row r="81">
          <cell r="B81" t="str">
            <v>DD.205.DP.01</v>
          </cell>
          <cell r="D81" t="str">
            <v>Desenho De Projeto - Pipe Rack</v>
          </cell>
          <cell r="E81" t="str">
            <v>12 dias</v>
          </cell>
          <cell r="F81">
            <v>38903.333333333336</v>
          </cell>
          <cell r="G81">
            <v>38965.333333333336</v>
          </cell>
          <cell r="H81" t="str">
            <v>NA</v>
          </cell>
          <cell r="I81">
            <v>38919.729166666664</v>
          </cell>
          <cell r="J81">
            <v>38982.729166666664</v>
          </cell>
          <cell r="K81" t="str">
            <v>NA</v>
          </cell>
          <cell r="L81">
            <v>0.44</v>
          </cell>
          <cell r="M81">
            <v>10</v>
          </cell>
          <cell r="N81">
            <v>0</v>
          </cell>
          <cell r="O81">
            <v>0</v>
          </cell>
          <cell r="P81">
            <v>0</v>
          </cell>
          <cell r="Q81">
            <v>60</v>
          </cell>
          <cell r="R81" t="str">
            <v>80TT</v>
          </cell>
          <cell r="S81" t="str">
            <v>EQUIPE MET</v>
          </cell>
          <cell r="T81">
            <v>38982</v>
          </cell>
        </row>
        <row r="82">
          <cell r="B82" t="str">
            <v>DD.205.LM.01</v>
          </cell>
          <cell r="D82" t="str">
            <v>Lista De Materiais - Pipe Rack</v>
          </cell>
          <cell r="E82" t="str">
            <v>1 dia</v>
          </cell>
          <cell r="F82">
            <v>38919.333333333336</v>
          </cell>
          <cell r="G82">
            <v>38982.333333333336</v>
          </cell>
          <cell r="H82" t="str">
            <v>NA</v>
          </cell>
          <cell r="I82">
            <v>38922.729166666664</v>
          </cell>
          <cell r="J82">
            <v>38982.729166666664</v>
          </cell>
          <cell r="K82" t="str">
            <v>NA</v>
          </cell>
          <cell r="L82">
            <v>0.01</v>
          </cell>
          <cell r="M82">
            <v>0.25</v>
          </cell>
          <cell r="N82">
            <v>0</v>
          </cell>
          <cell r="O82">
            <v>0</v>
          </cell>
          <cell r="P82">
            <v>0</v>
          </cell>
          <cell r="Q82" t="str">
            <v>79TT</v>
          </cell>
          <cell r="S82" t="str">
            <v>EQUIPE MET</v>
          </cell>
          <cell r="T82">
            <v>38982</v>
          </cell>
        </row>
        <row r="83">
          <cell r="B83" t="str">
            <v>DD.205.MC.01</v>
          </cell>
          <cell r="D83" t="str">
            <v>Memória De Cálculo - Pipe Rack</v>
          </cell>
          <cell r="E83" t="str">
            <v>12 dias</v>
          </cell>
          <cell r="F83">
            <v>38903.333333333336</v>
          </cell>
          <cell r="G83">
            <v>38965.333333333336</v>
          </cell>
          <cell r="H83" t="str">
            <v>NA</v>
          </cell>
          <cell r="I83">
            <v>38919.729166666664</v>
          </cell>
          <cell r="J83">
            <v>38982.729166666664</v>
          </cell>
          <cell r="K83" t="str">
            <v>NA</v>
          </cell>
          <cell r="L83">
            <v>0.55000000000000004</v>
          </cell>
          <cell r="M83">
            <v>12.5</v>
          </cell>
          <cell r="N83">
            <v>0</v>
          </cell>
          <cell r="O83">
            <v>0</v>
          </cell>
          <cell r="P83">
            <v>0</v>
          </cell>
          <cell r="Q83">
            <v>60</v>
          </cell>
          <cell r="S83" t="str">
            <v>EQUIPE MET</v>
          </cell>
          <cell r="T83">
            <v>38982</v>
          </cell>
        </row>
        <row r="84">
          <cell r="D84" t="str">
            <v>Instrumentação</v>
          </cell>
          <cell r="E84" t="str">
            <v>24 dias</v>
          </cell>
          <cell r="F84">
            <v>38911.333333333336</v>
          </cell>
          <cell r="G84">
            <v>38975.333333333336</v>
          </cell>
          <cell r="H84" t="str">
            <v>NA</v>
          </cell>
          <cell r="I84">
            <v>38953.729166666664</v>
          </cell>
          <cell r="J84">
            <v>39010.729166666664</v>
          </cell>
          <cell r="K84" t="str">
            <v>NA</v>
          </cell>
          <cell r="L84">
            <v>2.95</v>
          </cell>
          <cell r="M84">
            <v>67.5</v>
          </cell>
          <cell r="N84">
            <v>0</v>
          </cell>
          <cell r="O84">
            <v>0</v>
          </cell>
          <cell r="P84">
            <v>0</v>
          </cell>
          <cell r="R84" t="str">
            <v>113;134;157;230;269;417</v>
          </cell>
          <cell r="T84">
            <v>39010</v>
          </cell>
        </row>
        <row r="85">
          <cell r="B85" t="str">
            <v>DT.205.DE.01</v>
          </cell>
          <cell r="D85" t="str">
            <v>Detalhes Típicos</v>
          </cell>
          <cell r="E85" t="str">
            <v>6 dias</v>
          </cell>
          <cell r="F85">
            <v>38911.333333333336</v>
          </cell>
          <cell r="G85">
            <v>38975.333333333336</v>
          </cell>
          <cell r="H85" t="str">
            <v>NA</v>
          </cell>
          <cell r="I85">
            <v>38923.729166666664</v>
          </cell>
          <cell r="J85">
            <v>38982.729166666664</v>
          </cell>
          <cell r="K85" t="str">
            <v>NA</v>
          </cell>
          <cell r="L85">
            <v>0.22</v>
          </cell>
          <cell r="M85">
            <v>5</v>
          </cell>
          <cell r="N85">
            <v>0</v>
          </cell>
          <cell r="O85">
            <v>0</v>
          </cell>
          <cell r="P85">
            <v>0</v>
          </cell>
          <cell r="Q85" t="str">
            <v>63;65;68</v>
          </cell>
          <cell r="R85" t="str">
            <v>84II</v>
          </cell>
          <cell r="S85" t="str">
            <v>EQUIPE TSA</v>
          </cell>
          <cell r="T85">
            <v>38982</v>
          </cell>
        </row>
        <row r="86">
          <cell r="B86" t="str">
            <v>DT.205.DI.01</v>
          </cell>
          <cell r="D86" t="str">
            <v>Diagrama De Interligação</v>
          </cell>
          <cell r="E86" t="str">
            <v>24 dias</v>
          </cell>
          <cell r="F86">
            <v>38926.333333333336</v>
          </cell>
          <cell r="G86">
            <v>38975.333333333336</v>
          </cell>
          <cell r="H86" t="str">
            <v>NA</v>
          </cell>
          <cell r="I86">
            <v>38953.729166666664</v>
          </cell>
          <cell r="J86">
            <v>39010.729166666664</v>
          </cell>
          <cell r="K86" t="str">
            <v>NA</v>
          </cell>
          <cell r="L86">
            <v>2.73</v>
          </cell>
          <cell r="M86">
            <v>62.5</v>
          </cell>
          <cell r="N86">
            <v>0</v>
          </cell>
          <cell r="O86">
            <v>0</v>
          </cell>
          <cell r="P86">
            <v>0</v>
          </cell>
          <cell r="Q86" t="str">
            <v>83II</v>
          </cell>
          <cell r="S86" t="str">
            <v>EQUIPE TSA[200%]</v>
          </cell>
          <cell r="T86">
            <v>39010</v>
          </cell>
        </row>
        <row r="87">
          <cell r="B87" t="str">
            <v>1.1.2</v>
          </cell>
          <cell r="C87" t="str">
            <v>210A</v>
          </cell>
          <cell r="D87" t="str">
            <v>Britagem Primária (1A)</v>
          </cell>
          <cell r="E87" t="str">
            <v>107 dias</v>
          </cell>
          <cell r="F87">
            <v>38811.333333333336</v>
          </cell>
          <cell r="G87">
            <v>38862.333333333336</v>
          </cell>
          <cell r="H87">
            <v>38862.333333333336</v>
          </cell>
          <cell r="I87">
            <v>38945.729166666664</v>
          </cell>
          <cell r="J87">
            <v>39022.729166666664</v>
          </cell>
          <cell r="K87" t="str">
            <v>NA</v>
          </cell>
          <cell r="L87">
            <v>5.62</v>
          </cell>
          <cell r="M87">
            <v>128.5</v>
          </cell>
          <cell r="N87">
            <v>21.66</v>
          </cell>
          <cell r="O87">
            <v>16.86</v>
          </cell>
          <cell r="P87">
            <v>16.86</v>
          </cell>
          <cell r="T87">
            <v>39022</v>
          </cell>
        </row>
        <row r="88">
          <cell r="D88" t="str">
            <v>Projeto Básico</v>
          </cell>
          <cell r="E88" t="str">
            <v>59 dias</v>
          </cell>
          <cell r="F88">
            <v>38811.333333333336</v>
          </cell>
          <cell r="G88">
            <v>38862.333333333336</v>
          </cell>
          <cell r="H88">
            <v>38862.333333333336</v>
          </cell>
          <cell r="I88">
            <v>38845.729166666664</v>
          </cell>
          <cell r="J88">
            <v>38950.729166666664</v>
          </cell>
          <cell r="K88" t="str">
            <v>NA</v>
          </cell>
          <cell r="L88">
            <v>1.54</v>
          </cell>
          <cell r="M88">
            <v>35.130000000000003</v>
          </cell>
          <cell r="N88">
            <v>21.66</v>
          </cell>
          <cell r="O88">
            <v>61.67</v>
          </cell>
          <cell r="P88">
            <v>61.67</v>
          </cell>
          <cell r="T88">
            <v>38950</v>
          </cell>
        </row>
        <row r="89">
          <cell r="D89" t="str">
            <v>Processo</v>
          </cell>
          <cell r="E89" t="str">
            <v>14 dias</v>
          </cell>
          <cell r="F89">
            <v>38824.333333333336</v>
          </cell>
          <cell r="G89">
            <v>38908.333333333336</v>
          </cell>
          <cell r="H89">
            <v>38908.333333333336</v>
          </cell>
          <cell r="I89">
            <v>38825.729166666664</v>
          </cell>
          <cell r="J89">
            <v>38925.729166666664</v>
          </cell>
          <cell r="K89" t="str">
            <v>NA</v>
          </cell>
          <cell r="L89">
            <v>0.17</v>
          </cell>
          <cell r="M89">
            <v>3.88</v>
          </cell>
          <cell r="N89">
            <v>3.69</v>
          </cell>
          <cell r="O89">
            <v>95.16</v>
          </cell>
          <cell r="P89">
            <v>95.16</v>
          </cell>
          <cell r="T89">
            <v>38925</v>
          </cell>
        </row>
        <row r="90">
          <cell r="B90" t="str">
            <v>BP.210.FD.01</v>
          </cell>
          <cell r="D90" t="str">
            <v>Folha De Dados - Britador e Peneira</v>
          </cell>
          <cell r="E90" t="str">
            <v>14 dias</v>
          </cell>
          <cell r="F90">
            <v>38824.333333333336</v>
          </cell>
          <cell r="G90">
            <v>38908.333333333336</v>
          </cell>
          <cell r="H90">
            <v>38908.333333333336</v>
          </cell>
          <cell r="I90">
            <v>38825.729166666664</v>
          </cell>
          <cell r="J90">
            <v>38925.729166666664</v>
          </cell>
          <cell r="K90" t="str">
            <v>NA</v>
          </cell>
          <cell r="L90">
            <v>0.17</v>
          </cell>
          <cell r="M90">
            <v>3.88</v>
          </cell>
          <cell r="N90">
            <v>3.69</v>
          </cell>
          <cell r="O90">
            <v>95.16</v>
          </cell>
          <cell r="P90">
            <v>95.16</v>
          </cell>
          <cell r="Q90" t="str">
            <v>14II</v>
          </cell>
          <cell r="R90" t="str">
            <v>365II</v>
          </cell>
          <cell r="S90" t="str">
            <v>EQUIPE PRO[71%]</v>
          </cell>
          <cell r="T90">
            <v>38925</v>
          </cell>
        </row>
        <row r="91">
          <cell r="D91" t="str">
            <v>Mecânica</v>
          </cell>
          <cell r="E91" t="str">
            <v>59 dias</v>
          </cell>
          <cell r="F91">
            <v>38811.333333333336</v>
          </cell>
          <cell r="G91">
            <v>38862.333333333336</v>
          </cell>
          <cell r="H91">
            <v>38862.333333333336</v>
          </cell>
          <cell r="I91">
            <v>38845.729166666664</v>
          </cell>
          <cell r="J91">
            <v>38950.729166666664</v>
          </cell>
          <cell r="K91" t="str">
            <v>NA</v>
          </cell>
          <cell r="L91">
            <v>0.93</v>
          </cell>
          <cell r="M91">
            <v>21.38</v>
          </cell>
          <cell r="N91">
            <v>17.079999999999998</v>
          </cell>
          <cell r="O91">
            <v>79.88</v>
          </cell>
          <cell r="P91">
            <v>79.88</v>
          </cell>
          <cell r="T91">
            <v>38950</v>
          </cell>
        </row>
        <row r="92">
          <cell r="B92" t="str">
            <v>BB.210.DB.01</v>
          </cell>
          <cell r="D92" t="str">
            <v>Desenho Básico - Britagem e Pereiramento Primário</v>
          </cell>
          <cell r="E92" t="str">
            <v>44 dias</v>
          </cell>
          <cell r="F92">
            <v>38811.333333333336</v>
          </cell>
          <cell r="G92">
            <v>38862.333333333336</v>
          </cell>
          <cell r="H92">
            <v>38862.333333333336</v>
          </cell>
          <cell r="I92">
            <v>38827.729166666664</v>
          </cell>
          <cell r="J92">
            <v>38925.729166666664</v>
          </cell>
          <cell r="K92" t="str">
            <v>NA</v>
          </cell>
          <cell r="L92">
            <v>0.26</v>
          </cell>
          <cell r="M92">
            <v>6</v>
          </cell>
          <cell r="N92">
            <v>5.4</v>
          </cell>
          <cell r="O92">
            <v>90</v>
          </cell>
          <cell r="P92">
            <v>90</v>
          </cell>
          <cell r="Q92" t="str">
            <v>14II</v>
          </cell>
          <cell r="R92" t="str">
            <v>96;93;119II;161II;91;92;99;102;308II;367</v>
          </cell>
          <cell r="S92" t="str">
            <v>EQUIPE MEC[50%]</v>
          </cell>
          <cell r="T92">
            <v>38925</v>
          </cell>
        </row>
        <row r="93">
          <cell r="B93" t="str">
            <v>BB.210.DB.02</v>
          </cell>
          <cell r="D93" t="str">
            <v>Desenho Básico - Transports. e Alimentadores</v>
          </cell>
          <cell r="E93" t="str">
            <v>10 dias</v>
          </cell>
          <cell r="F93">
            <v>38811.333333333336</v>
          </cell>
          <cell r="G93">
            <v>38926.333333333336</v>
          </cell>
          <cell r="H93">
            <v>38926.333333333336</v>
          </cell>
          <cell r="I93">
            <v>38827.729166666664</v>
          </cell>
          <cell r="J93">
            <v>38939.729166666664</v>
          </cell>
          <cell r="K93" t="str">
            <v>NA</v>
          </cell>
          <cell r="L93">
            <v>0.22</v>
          </cell>
          <cell r="M93">
            <v>5</v>
          </cell>
          <cell r="N93">
            <v>2.1</v>
          </cell>
          <cell r="O93">
            <v>42</v>
          </cell>
          <cell r="P93">
            <v>42</v>
          </cell>
          <cell r="Q93">
            <v>90</v>
          </cell>
          <cell r="R93" t="str">
            <v>92;94II;99;120</v>
          </cell>
          <cell r="S93" t="str">
            <v>EQUIPE MEC</v>
          </cell>
          <cell r="T93">
            <v>38939</v>
          </cell>
        </row>
        <row r="94">
          <cell r="D94" t="str">
            <v>APROVAÇÃO EBX</v>
          </cell>
          <cell r="E94" t="str">
            <v>5 dias</v>
          </cell>
          <cell r="F94">
            <v>38827.333333333336</v>
          </cell>
          <cell r="G94">
            <v>38940.333333333336</v>
          </cell>
          <cell r="H94" t="str">
            <v>NA</v>
          </cell>
          <cell r="I94">
            <v>38835.729166666664</v>
          </cell>
          <cell r="J94">
            <v>38950.729166666664</v>
          </cell>
          <cell r="K94" t="str">
            <v>NA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str">
            <v>#ERRO</v>
          </cell>
          <cell r="Q94" t="str">
            <v>90;91</v>
          </cell>
          <cell r="T94">
            <v>38950</v>
          </cell>
        </row>
        <row r="95">
          <cell r="B95" t="str">
            <v>BB.210.ET.01</v>
          </cell>
          <cell r="D95" t="str">
            <v>Especif. Técnica - Grelhas Vibratórios/ Aliment. Placas</v>
          </cell>
          <cell r="E95" t="str">
            <v>10 dias</v>
          </cell>
          <cell r="F95">
            <v>38827.333333333336</v>
          </cell>
          <cell r="G95">
            <v>38926.333333333336</v>
          </cell>
          <cell r="H95">
            <v>38926.333333333336</v>
          </cell>
          <cell r="I95">
            <v>38845.729166666664</v>
          </cell>
          <cell r="J95">
            <v>38939.729166666664</v>
          </cell>
          <cell r="K95" t="str">
            <v>NA</v>
          </cell>
          <cell r="L95">
            <v>0.21</v>
          </cell>
          <cell r="M95">
            <v>4.88</v>
          </cell>
          <cell r="N95">
            <v>4.63</v>
          </cell>
          <cell r="O95">
            <v>94.87</v>
          </cell>
          <cell r="P95">
            <v>94.87</v>
          </cell>
          <cell r="Q95">
            <v>90</v>
          </cell>
          <cell r="S95" t="str">
            <v>EQUIPE MEC</v>
          </cell>
          <cell r="T95">
            <v>38939</v>
          </cell>
        </row>
        <row r="96">
          <cell r="B96" t="str">
            <v>BB.210.FD.01</v>
          </cell>
          <cell r="D96" t="str">
            <v>Folha De Dados - Transportadores</v>
          </cell>
          <cell r="E96" t="str">
            <v>10 dias</v>
          </cell>
          <cell r="F96">
            <v>38840.333333333336</v>
          </cell>
          <cell r="G96">
            <v>38926.333333333336</v>
          </cell>
          <cell r="H96">
            <v>38926.333333333336</v>
          </cell>
          <cell r="I96">
            <v>38845.729166666664</v>
          </cell>
          <cell r="J96">
            <v>38939.729166666664</v>
          </cell>
          <cell r="K96" t="str">
            <v>NA</v>
          </cell>
          <cell r="L96">
            <v>0.24</v>
          </cell>
          <cell r="M96">
            <v>5.5</v>
          </cell>
          <cell r="N96">
            <v>4.95</v>
          </cell>
          <cell r="O96">
            <v>90</v>
          </cell>
          <cell r="P96">
            <v>90</v>
          </cell>
          <cell r="Q96" t="str">
            <v>91II</v>
          </cell>
          <cell r="S96" t="str">
            <v>EQUIPE MEC[30%]</v>
          </cell>
          <cell r="T96">
            <v>38939</v>
          </cell>
        </row>
        <row r="97">
          <cell r="D97" t="str">
            <v>Estrutura Metálica</v>
          </cell>
          <cell r="E97" t="str">
            <v>10 dias</v>
          </cell>
          <cell r="F97">
            <v>38827.333333333336</v>
          </cell>
          <cell r="G97">
            <v>38926.333333333336</v>
          </cell>
          <cell r="H97">
            <v>38926.333333333336</v>
          </cell>
          <cell r="I97">
            <v>38845.729166666664</v>
          </cell>
          <cell r="J97">
            <v>38939.729166666664</v>
          </cell>
          <cell r="K97" t="str">
            <v>NA</v>
          </cell>
          <cell r="L97">
            <v>0.43</v>
          </cell>
          <cell r="M97">
            <v>9.8800000000000008</v>
          </cell>
          <cell r="N97">
            <v>0.9</v>
          </cell>
          <cell r="O97">
            <v>9.11</v>
          </cell>
          <cell r="P97">
            <v>9.11</v>
          </cell>
          <cell r="T97">
            <v>38939</v>
          </cell>
        </row>
        <row r="98">
          <cell r="B98" t="str">
            <v>BD.210.MC.01</v>
          </cell>
          <cell r="D98" t="str">
            <v>Memória De Cálculo</v>
          </cell>
          <cell r="E98" t="str">
            <v>10 dias</v>
          </cell>
          <cell r="F98">
            <v>38827.333333333336</v>
          </cell>
          <cell r="G98">
            <v>38926.333333333336</v>
          </cell>
          <cell r="H98">
            <v>38926.333333333336</v>
          </cell>
          <cell r="I98">
            <v>38845.729166666664</v>
          </cell>
          <cell r="J98">
            <v>38939.729166666664</v>
          </cell>
          <cell r="K98" t="str">
            <v>NA</v>
          </cell>
          <cell r="L98">
            <v>0.43</v>
          </cell>
          <cell r="M98">
            <v>9.8800000000000008</v>
          </cell>
          <cell r="N98">
            <v>0.9</v>
          </cell>
          <cell r="O98">
            <v>9.11</v>
          </cell>
          <cell r="P98">
            <v>9.11</v>
          </cell>
          <cell r="Q98">
            <v>90</v>
          </cell>
          <cell r="R98" t="str">
            <v>102II</v>
          </cell>
          <cell r="S98" t="str">
            <v>EQUIPE MET</v>
          </cell>
          <cell r="T98">
            <v>38939</v>
          </cell>
        </row>
        <row r="99">
          <cell r="D99" t="str">
            <v>Projeto Detalhado</v>
          </cell>
          <cell r="E99" t="str">
            <v>63 dias</v>
          </cell>
          <cell r="F99">
            <v>38870.333333333336</v>
          </cell>
          <cell r="G99">
            <v>38926.333333333336</v>
          </cell>
          <cell r="H99" t="str">
            <v>NA</v>
          </cell>
          <cell r="I99">
            <v>38945.729166666664</v>
          </cell>
          <cell r="J99">
            <v>39022.729166666664</v>
          </cell>
          <cell r="K99" t="str">
            <v>NA</v>
          </cell>
          <cell r="L99">
            <v>4.08</v>
          </cell>
          <cell r="M99">
            <v>93.38</v>
          </cell>
          <cell r="N99">
            <v>0</v>
          </cell>
          <cell r="O99">
            <v>0</v>
          </cell>
          <cell r="P99">
            <v>0</v>
          </cell>
          <cell r="T99">
            <v>39022</v>
          </cell>
        </row>
        <row r="100">
          <cell r="D100" t="str">
            <v>Mecânica</v>
          </cell>
          <cell r="E100" t="str">
            <v>9 dias</v>
          </cell>
          <cell r="F100">
            <v>38870.333333333336</v>
          </cell>
          <cell r="G100">
            <v>38951.333333333336</v>
          </cell>
          <cell r="H100" t="str">
            <v>NA</v>
          </cell>
          <cell r="I100">
            <v>38897.729166666664</v>
          </cell>
          <cell r="J100">
            <v>38961.729166666664</v>
          </cell>
          <cell r="K100" t="str">
            <v>NA</v>
          </cell>
          <cell r="L100">
            <v>0.96</v>
          </cell>
          <cell r="M100">
            <v>22</v>
          </cell>
          <cell r="N100">
            <v>0</v>
          </cell>
          <cell r="O100">
            <v>0</v>
          </cell>
          <cell r="P100">
            <v>0</v>
          </cell>
          <cell r="T100">
            <v>38961</v>
          </cell>
        </row>
        <row r="101">
          <cell r="B101" t="str">
            <v>DB.210.DD.02</v>
          </cell>
          <cell r="D101" t="str">
            <v>Desenho De Detalhamento - Caldeiraria/ Chute</v>
          </cell>
          <cell r="E101" t="str">
            <v>8 dias</v>
          </cell>
          <cell r="F101">
            <v>38870.333333333336</v>
          </cell>
          <cell r="G101">
            <v>38952.333333333336</v>
          </cell>
          <cell r="H101" t="str">
            <v>NA</v>
          </cell>
          <cell r="I101">
            <v>38882.729166666664</v>
          </cell>
          <cell r="J101">
            <v>38961.729166666664</v>
          </cell>
          <cell r="K101" t="str">
            <v>NA</v>
          </cell>
          <cell r="L101">
            <v>0.74</v>
          </cell>
          <cell r="M101">
            <v>17</v>
          </cell>
          <cell r="N101">
            <v>0</v>
          </cell>
          <cell r="O101">
            <v>0</v>
          </cell>
          <cell r="P101">
            <v>0</v>
          </cell>
          <cell r="Q101" t="str">
            <v>30TI+10 dias;90;91</v>
          </cell>
          <cell r="R101" t="str">
            <v>100TT</v>
          </cell>
          <cell r="S101" t="str">
            <v>EQUIPE MEC</v>
          </cell>
          <cell r="T101">
            <v>38961</v>
          </cell>
        </row>
        <row r="102">
          <cell r="B102" t="str">
            <v>DB.210.DM.02</v>
          </cell>
          <cell r="D102" t="str">
            <v>Diagrama De Montagem - Moega e Britagem</v>
          </cell>
          <cell r="E102" t="str">
            <v>9 dias</v>
          </cell>
          <cell r="F102">
            <v>38882.333333333336</v>
          </cell>
          <cell r="G102">
            <v>38951.333333333336</v>
          </cell>
          <cell r="H102" t="str">
            <v>NA</v>
          </cell>
          <cell r="I102">
            <v>38897.729166666664</v>
          </cell>
          <cell r="J102">
            <v>38961.729166666664</v>
          </cell>
          <cell r="K102" t="str">
            <v>NA</v>
          </cell>
          <cell r="L102">
            <v>0.22</v>
          </cell>
          <cell r="M102">
            <v>5</v>
          </cell>
          <cell r="N102">
            <v>0</v>
          </cell>
          <cell r="O102">
            <v>0</v>
          </cell>
          <cell r="P102">
            <v>0</v>
          </cell>
          <cell r="Q102" t="str">
            <v>99TT</v>
          </cell>
          <cell r="R102">
            <v>104</v>
          </cell>
          <cell r="S102" t="str">
            <v>EQUIPE MEC</v>
          </cell>
          <cell r="T102">
            <v>38961</v>
          </cell>
        </row>
        <row r="103">
          <cell r="D103" t="str">
            <v>Civil</v>
          </cell>
          <cell r="E103" t="str">
            <v>19 dias</v>
          </cell>
          <cell r="F103">
            <v>38870.333333333336</v>
          </cell>
          <cell r="G103">
            <v>38926.333333333336</v>
          </cell>
          <cell r="H103" t="str">
            <v>NA</v>
          </cell>
          <cell r="I103">
            <v>38901.729166666664</v>
          </cell>
          <cell r="J103">
            <v>38954.729166666664</v>
          </cell>
          <cell r="K103" t="str">
            <v>NA</v>
          </cell>
          <cell r="L103">
            <v>0.79</v>
          </cell>
          <cell r="M103">
            <v>18</v>
          </cell>
          <cell r="N103">
            <v>0</v>
          </cell>
          <cell r="O103">
            <v>0</v>
          </cell>
          <cell r="P103">
            <v>0</v>
          </cell>
          <cell r="T103">
            <v>38954</v>
          </cell>
        </row>
        <row r="104">
          <cell r="B104" t="str">
            <v>DC.210.DD.01</v>
          </cell>
          <cell r="D104" t="str">
            <v>Desenho De Detalhamento - Moega e Britagem</v>
          </cell>
          <cell r="E104" t="str">
            <v>19 dias</v>
          </cell>
          <cell r="F104">
            <v>38870.333333333336</v>
          </cell>
          <cell r="G104">
            <v>38926.333333333336</v>
          </cell>
          <cell r="H104" t="str">
            <v>NA</v>
          </cell>
          <cell r="I104">
            <v>38901.729166666664</v>
          </cell>
          <cell r="J104">
            <v>38954.729166666664</v>
          </cell>
          <cell r="K104" t="str">
            <v>NA</v>
          </cell>
          <cell r="L104">
            <v>0.79</v>
          </cell>
          <cell r="M104">
            <v>18</v>
          </cell>
          <cell r="N104">
            <v>0</v>
          </cell>
          <cell r="O104">
            <v>0</v>
          </cell>
          <cell r="P104">
            <v>0</v>
          </cell>
          <cell r="Q104" t="str">
            <v>90;96II</v>
          </cell>
          <cell r="R104">
            <v>109</v>
          </cell>
          <cell r="S104" t="str">
            <v>EQUIPE CIV</v>
          </cell>
          <cell r="T104">
            <v>38954</v>
          </cell>
        </row>
        <row r="105">
          <cell r="D105" t="str">
            <v>Estrutura Metálica</v>
          </cell>
          <cell r="E105" t="str">
            <v>17 dias</v>
          </cell>
          <cell r="F105">
            <v>38897.333333333336</v>
          </cell>
          <cell r="G105">
            <v>38964.333333333336</v>
          </cell>
          <cell r="H105" t="str">
            <v>NA</v>
          </cell>
          <cell r="I105">
            <v>38936.729166666664</v>
          </cell>
          <cell r="J105">
            <v>38988.729166666664</v>
          </cell>
          <cell r="K105" t="str">
            <v>NA</v>
          </cell>
          <cell r="L105">
            <v>1.67</v>
          </cell>
          <cell r="M105">
            <v>38.25</v>
          </cell>
          <cell r="N105">
            <v>0</v>
          </cell>
          <cell r="O105">
            <v>0</v>
          </cell>
          <cell r="P105">
            <v>0</v>
          </cell>
          <cell r="T105">
            <v>38988</v>
          </cell>
        </row>
        <row r="106">
          <cell r="B106" t="str">
            <v>DD.210.DP.01</v>
          </cell>
          <cell r="D106" t="str">
            <v>Desenho De Projeto - Moega e Britagem</v>
          </cell>
          <cell r="E106" t="str">
            <v>10 dias</v>
          </cell>
          <cell r="F106">
            <v>38897.333333333336</v>
          </cell>
          <cell r="G106">
            <v>38964.333333333336</v>
          </cell>
          <cell r="H106" t="str">
            <v>NA</v>
          </cell>
          <cell r="I106">
            <v>38911.729166666664</v>
          </cell>
          <cell r="J106">
            <v>38979.729166666664</v>
          </cell>
          <cell r="K106" t="str">
            <v>NA</v>
          </cell>
          <cell r="L106">
            <v>0.48</v>
          </cell>
          <cell r="M106">
            <v>11</v>
          </cell>
          <cell r="N106">
            <v>0</v>
          </cell>
          <cell r="O106">
            <v>0</v>
          </cell>
          <cell r="P106">
            <v>0</v>
          </cell>
          <cell r="Q106">
            <v>100</v>
          </cell>
          <cell r="R106" t="str">
            <v>105;106II</v>
          </cell>
          <cell r="S106" t="str">
            <v>EQUIPE MET</v>
          </cell>
          <cell r="T106">
            <v>38979</v>
          </cell>
        </row>
        <row r="107">
          <cell r="B107" t="str">
            <v>DD.210.LM.01</v>
          </cell>
          <cell r="D107" t="str">
            <v>Lista De Materiais - Moega e Britagem</v>
          </cell>
          <cell r="E107" t="str">
            <v>2 dias</v>
          </cell>
          <cell r="F107">
            <v>38911.333333333336</v>
          </cell>
          <cell r="G107">
            <v>38980.333333333336</v>
          </cell>
          <cell r="H107" t="str">
            <v>NA</v>
          </cell>
          <cell r="I107">
            <v>38915.729166666664</v>
          </cell>
          <cell r="J107">
            <v>38981.729166666664</v>
          </cell>
          <cell r="K107" t="str">
            <v>NA</v>
          </cell>
          <cell r="L107">
            <v>0.03</v>
          </cell>
          <cell r="M107">
            <v>0.75</v>
          </cell>
          <cell r="N107">
            <v>0</v>
          </cell>
          <cell r="O107">
            <v>0</v>
          </cell>
          <cell r="P107">
            <v>0</v>
          </cell>
          <cell r="Q107">
            <v>104</v>
          </cell>
          <cell r="S107" t="str">
            <v>EQUIPE MET</v>
          </cell>
          <cell r="T107">
            <v>38981</v>
          </cell>
        </row>
        <row r="108">
          <cell r="B108" t="str">
            <v>DD.210.MC.01</v>
          </cell>
          <cell r="D108" t="str">
            <v>Memória De Cálculo - Moega e Britagem</v>
          </cell>
          <cell r="E108" t="str">
            <v>17 dias</v>
          </cell>
          <cell r="F108">
            <v>38911.333333333336</v>
          </cell>
          <cell r="G108">
            <v>38964.333333333336</v>
          </cell>
          <cell r="H108" t="str">
            <v>NA</v>
          </cell>
          <cell r="I108">
            <v>38936.729166666664</v>
          </cell>
          <cell r="J108">
            <v>38988.729166666664</v>
          </cell>
          <cell r="K108" t="str">
            <v>NA</v>
          </cell>
          <cell r="L108">
            <v>1.1599999999999999</v>
          </cell>
          <cell r="M108">
            <v>26.5</v>
          </cell>
          <cell r="N108">
            <v>0</v>
          </cell>
          <cell r="O108">
            <v>0</v>
          </cell>
          <cell r="P108">
            <v>0</v>
          </cell>
          <cell r="Q108" t="str">
            <v>104II</v>
          </cell>
          <cell r="S108" t="str">
            <v>EQUIPE MET</v>
          </cell>
          <cell r="T108">
            <v>38988</v>
          </cell>
        </row>
        <row r="109">
          <cell r="D109" t="str">
            <v>Elétrica</v>
          </cell>
          <cell r="E109" t="str">
            <v>30 dias</v>
          </cell>
          <cell r="F109">
            <v>38901.333333333336</v>
          </cell>
          <cell r="G109">
            <v>38957.333333333336</v>
          </cell>
          <cell r="H109" t="str">
            <v>NA</v>
          </cell>
          <cell r="I109">
            <v>38945.729166666664</v>
          </cell>
          <cell r="J109">
            <v>39000.729166666664</v>
          </cell>
          <cell r="K109" t="str">
            <v>NA</v>
          </cell>
          <cell r="L109">
            <v>0.56999999999999995</v>
          </cell>
          <cell r="M109">
            <v>13.13</v>
          </cell>
          <cell r="N109">
            <v>0</v>
          </cell>
          <cell r="O109">
            <v>0</v>
          </cell>
          <cell r="P109">
            <v>0</v>
          </cell>
          <cell r="T109">
            <v>39000</v>
          </cell>
        </row>
        <row r="110">
          <cell r="D110" t="str">
            <v>Desenho De Detalhamento</v>
          </cell>
          <cell r="E110" t="str">
            <v>22 dias</v>
          </cell>
          <cell r="F110">
            <v>38901.333333333336</v>
          </cell>
          <cell r="G110">
            <v>38957.333333333336</v>
          </cell>
          <cell r="H110" t="str">
            <v>NA</v>
          </cell>
          <cell r="I110">
            <v>38945.729166666664</v>
          </cell>
          <cell r="J110">
            <v>38988.729166666664</v>
          </cell>
          <cell r="K110" t="str">
            <v>NA</v>
          </cell>
          <cell r="L110">
            <v>0.44</v>
          </cell>
          <cell r="M110">
            <v>10</v>
          </cell>
          <cell r="N110">
            <v>0</v>
          </cell>
          <cell r="O110">
            <v>0</v>
          </cell>
          <cell r="P110">
            <v>0</v>
          </cell>
          <cell r="R110">
            <v>111</v>
          </cell>
          <cell r="T110">
            <v>38988</v>
          </cell>
        </row>
        <row r="111">
          <cell r="B111" t="str">
            <v>DE.210.DD.01</v>
          </cell>
          <cell r="D111" t="str">
            <v>Disposição De Força, Controle e Aterramento</v>
          </cell>
          <cell r="E111" t="str">
            <v>11 dias</v>
          </cell>
          <cell r="F111">
            <v>38901.333333333336</v>
          </cell>
          <cell r="G111">
            <v>38957.333333333336</v>
          </cell>
          <cell r="H111" t="str">
            <v>NA</v>
          </cell>
          <cell r="I111">
            <v>38916.729166666664</v>
          </cell>
          <cell r="J111">
            <v>38973.729166666664</v>
          </cell>
          <cell r="K111" t="str">
            <v>NA</v>
          </cell>
          <cell r="L111">
            <v>0.22</v>
          </cell>
          <cell r="M111">
            <v>5</v>
          </cell>
          <cell r="N111">
            <v>0</v>
          </cell>
          <cell r="O111">
            <v>0</v>
          </cell>
          <cell r="P111">
            <v>0</v>
          </cell>
          <cell r="Q111">
            <v>102</v>
          </cell>
          <cell r="R111">
            <v>110</v>
          </cell>
          <cell r="S111" t="str">
            <v>EQUIPE ELE</v>
          </cell>
          <cell r="T111">
            <v>38973</v>
          </cell>
        </row>
        <row r="112">
          <cell r="B112" t="str">
            <v>DE.210.DD.02</v>
          </cell>
          <cell r="D112" t="str">
            <v>Iluminação</v>
          </cell>
          <cell r="E112" t="str">
            <v>11 dias</v>
          </cell>
          <cell r="F112">
            <v>38915.333333333336</v>
          </cell>
          <cell r="G112">
            <v>38974.333333333336</v>
          </cell>
          <cell r="H112" t="str">
            <v>NA</v>
          </cell>
          <cell r="I112">
            <v>38930.729166666664</v>
          </cell>
          <cell r="J112">
            <v>38988.729166666664</v>
          </cell>
          <cell r="K112" t="str">
            <v>NA</v>
          </cell>
          <cell r="L112">
            <v>0.22</v>
          </cell>
          <cell r="M112">
            <v>5</v>
          </cell>
          <cell r="N112">
            <v>0</v>
          </cell>
          <cell r="O112">
            <v>0</v>
          </cell>
          <cell r="P112">
            <v>0</v>
          </cell>
          <cell r="Q112">
            <v>109</v>
          </cell>
          <cell r="S112" t="str">
            <v>EQUIPE ELE</v>
          </cell>
          <cell r="T112">
            <v>38988</v>
          </cell>
        </row>
        <row r="113">
          <cell r="B113" t="str">
            <v>DE.210.LC.01</v>
          </cell>
          <cell r="D113" t="str">
            <v>Lista De Linhas/ Cabos</v>
          </cell>
          <cell r="E113" t="str">
            <v>8 dias</v>
          </cell>
          <cell r="F113">
            <v>38931.333333333336</v>
          </cell>
          <cell r="G113">
            <v>38989.333333333336</v>
          </cell>
          <cell r="H113" t="str">
            <v>NA</v>
          </cell>
          <cell r="I113">
            <v>38945.729166666664</v>
          </cell>
          <cell r="J113">
            <v>39000.729166666664</v>
          </cell>
          <cell r="K113" t="str">
            <v>NA</v>
          </cell>
          <cell r="L113">
            <v>0.14000000000000001</v>
          </cell>
          <cell r="M113">
            <v>3.13</v>
          </cell>
          <cell r="N113">
            <v>0</v>
          </cell>
          <cell r="O113">
            <v>0</v>
          </cell>
          <cell r="P113">
            <v>0</v>
          </cell>
          <cell r="Q113">
            <v>108</v>
          </cell>
          <cell r="S113" t="str">
            <v>EQUIPE ELE</v>
          </cell>
          <cell r="T113">
            <v>39000</v>
          </cell>
        </row>
        <row r="114">
          <cell r="D114" t="str">
            <v>Instrumentação</v>
          </cell>
          <cell r="E114" t="str">
            <v>8 dias</v>
          </cell>
          <cell r="F114">
            <v>38931.333333333336</v>
          </cell>
          <cell r="G114">
            <v>39013.333333333336</v>
          </cell>
          <cell r="H114" t="str">
            <v>NA</v>
          </cell>
          <cell r="I114">
            <v>38945.729166666664</v>
          </cell>
          <cell r="J114">
            <v>39022.729166666664</v>
          </cell>
          <cell r="K114" t="str">
            <v>NA</v>
          </cell>
          <cell r="L114">
            <v>0.09</v>
          </cell>
          <cell r="M114">
            <v>2</v>
          </cell>
          <cell r="N114">
            <v>0</v>
          </cell>
          <cell r="O114">
            <v>0</v>
          </cell>
          <cell r="P114">
            <v>0</v>
          </cell>
          <cell r="T114">
            <v>39022</v>
          </cell>
        </row>
        <row r="115">
          <cell r="B115" t="str">
            <v>DT.210.AJ.01</v>
          </cell>
          <cell r="D115" t="str">
            <v>Arranjos/ Layout’s/ Plano Diretor - Locação De Instrumentos</v>
          </cell>
          <cell r="E115" t="str">
            <v>8 dias</v>
          </cell>
          <cell r="F115">
            <v>38931.333333333336</v>
          </cell>
          <cell r="G115">
            <v>39013.333333333336</v>
          </cell>
          <cell r="H115" t="str">
            <v>NA</v>
          </cell>
          <cell r="I115">
            <v>38945.729166666664</v>
          </cell>
          <cell r="J115">
            <v>39022.729166666664</v>
          </cell>
          <cell r="K115" t="str">
            <v>NA</v>
          </cell>
          <cell r="L115">
            <v>0.09</v>
          </cell>
          <cell r="M115">
            <v>2</v>
          </cell>
          <cell r="N115">
            <v>0</v>
          </cell>
          <cell r="O115">
            <v>0</v>
          </cell>
          <cell r="P115">
            <v>0</v>
          </cell>
          <cell r="Q115">
            <v>82</v>
          </cell>
          <cell r="S115" t="str">
            <v>EQUIPE TSA</v>
          </cell>
          <cell r="T115">
            <v>39022</v>
          </cell>
        </row>
        <row r="116">
          <cell r="B116" t="str">
            <v>1.1.3</v>
          </cell>
          <cell r="C116" t="str">
            <v>220A</v>
          </cell>
          <cell r="D116" t="str">
            <v>Britagem Secundária (1B)</v>
          </cell>
          <cell r="E116" t="str">
            <v>75 dias</v>
          </cell>
          <cell r="F116">
            <v>38814.333333333336</v>
          </cell>
          <cell r="G116">
            <v>38905.333333333336</v>
          </cell>
          <cell r="H116">
            <v>38905.333333333336</v>
          </cell>
          <cell r="I116">
            <v>38846.729166666664</v>
          </cell>
          <cell r="J116">
            <v>39017.729166666664</v>
          </cell>
          <cell r="K116" t="str">
            <v>NA</v>
          </cell>
          <cell r="L116">
            <v>4.5199999999999996</v>
          </cell>
          <cell r="M116">
            <v>103.5</v>
          </cell>
          <cell r="N116">
            <v>17.190000000000001</v>
          </cell>
          <cell r="O116">
            <v>16.61</v>
          </cell>
          <cell r="P116">
            <v>16.61</v>
          </cell>
          <cell r="T116">
            <v>39017</v>
          </cell>
        </row>
        <row r="117">
          <cell r="D117" t="str">
            <v>Projeto Básico</v>
          </cell>
          <cell r="E117" t="str">
            <v>31 dias</v>
          </cell>
          <cell r="F117">
            <v>38814.333333333336</v>
          </cell>
          <cell r="G117">
            <v>38905.333333333336</v>
          </cell>
          <cell r="H117">
            <v>38905.333333333336</v>
          </cell>
          <cell r="I117">
            <v>38846.729166666664</v>
          </cell>
          <cell r="J117">
            <v>38951.729166666664</v>
          </cell>
          <cell r="K117" t="str">
            <v>NA</v>
          </cell>
          <cell r="L117">
            <v>1.02</v>
          </cell>
          <cell r="M117">
            <v>23.25</v>
          </cell>
          <cell r="N117">
            <v>17.190000000000001</v>
          </cell>
          <cell r="O117">
            <v>73.92</v>
          </cell>
          <cell r="P117">
            <v>73.92</v>
          </cell>
          <cell r="T117">
            <v>38951</v>
          </cell>
        </row>
        <row r="118">
          <cell r="D118" t="str">
            <v>Processo</v>
          </cell>
          <cell r="E118" t="str">
            <v>2 dias</v>
          </cell>
          <cell r="F118" t="str">
            <v>NA</v>
          </cell>
          <cell r="G118">
            <v>38922.333333333336</v>
          </cell>
          <cell r="H118">
            <v>38922.333333333336</v>
          </cell>
          <cell r="I118" t="str">
            <v>NA</v>
          </cell>
          <cell r="J118">
            <v>38923.729166666664</v>
          </cell>
          <cell r="K118">
            <v>38923.729166666664</v>
          </cell>
          <cell r="L118">
            <v>0.08</v>
          </cell>
          <cell r="M118">
            <v>1.88</v>
          </cell>
          <cell r="N118">
            <v>1.88</v>
          </cell>
          <cell r="O118">
            <v>100</v>
          </cell>
          <cell r="P118">
            <v>100</v>
          </cell>
          <cell r="T118">
            <v>38923</v>
          </cell>
        </row>
        <row r="119">
          <cell r="B119" t="str">
            <v>BP.220.FD.01</v>
          </cell>
          <cell r="D119" t="str">
            <v>Folha De Dados - Britador Cônico</v>
          </cell>
          <cell r="E119" t="str">
            <v>2 dias</v>
          </cell>
          <cell r="F119" t="str">
            <v>NA</v>
          </cell>
          <cell r="G119">
            <v>38922.333333333336</v>
          </cell>
          <cell r="H119">
            <v>38922.333333333336</v>
          </cell>
          <cell r="I119" t="str">
            <v>NA</v>
          </cell>
          <cell r="J119">
            <v>38923.729166666664</v>
          </cell>
          <cell r="K119">
            <v>38923.729166666664</v>
          </cell>
          <cell r="L119">
            <v>0.08</v>
          </cell>
          <cell r="M119">
            <v>1.88</v>
          </cell>
          <cell r="N119">
            <v>1.88</v>
          </cell>
          <cell r="O119">
            <v>100</v>
          </cell>
          <cell r="P119">
            <v>100</v>
          </cell>
          <cell r="Q119" t="str">
            <v>14II</v>
          </cell>
          <cell r="S119" t="str">
            <v>EQUIPE PRO</v>
          </cell>
          <cell r="T119">
            <v>38923</v>
          </cell>
        </row>
        <row r="120">
          <cell r="D120" t="str">
            <v>Mecânica</v>
          </cell>
          <cell r="E120" t="str">
            <v>31 dias</v>
          </cell>
          <cell r="F120">
            <v>38814.333333333336</v>
          </cell>
          <cell r="G120">
            <v>38905.333333333336</v>
          </cell>
          <cell r="H120">
            <v>38905.333333333336</v>
          </cell>
          <cell r="I120">
            <v>38846.729166666664</v>
          </cell>
          <cell r="J120">
            <v>38951.729166666664</v>
          </cell>
          <cell r="K120" t="str">
            <v>NA</v>
          </cell>
          <cell r="L120">
            <v>0.47</v>
          </cell>
          <cell r="M120">
            <v>10.75</v>
          </cell>
          <cell r="N120">
            <v>7.88</v>
          </cell>
          <cell r="O120">
            <v>73.260000000000005</v>
          </cell>
          <cell r="P120">
            <v>73.260000000000005</v>
          </cell>
          <cell r="T120">
            <v>38951</v>
          </cell>
        </row>
        <row r="121">
          <cell r="B121" t="str">
            <v>BB.220.DB.01</v>
          </cell>
          <cell r="D121" t="str">
            <v>Desenho Básico - Britagem e Pereiramento Secundário</v>
          </cell>
          <cell r="E121" t="str">
            <v>18 dias</v>
          </cell>
          <cell r="F121">
            <v>38814.333333333336</v>
          </cell>
          <cell r="G121">
            <v>38905.333333333336</v>
          </cell>
          <cell r="H121">
            <v>38905.333333333336</v>
          </cell>
          <cell r="I121">
            <v>38846.729166666664</v>
          </cell>
          <cell r="J121">
            <v>38930.729166666664</v>
          </cell>
          <cell r="K121" t="str">
            <v>NA</v>
          </cell>
          <cell r="L121">
            <v>0.1</v>
          </cell>
          <cell r="M121">
            <v>2.25</v>
          </cell>
          <cell r="N121">
            <v>2.0299999999999998</v>
          </cell>
          <cell r="O121">
            <v>90</v>
          </cell>
          <cell r="P121">
            <v>90</v>
          </cell>
          <cell r="Q121" t="str">
            <v>90II</v>
          </cell>
          <cell r="R121" t="str">
            <v>121II;123;126;128;140II;211II</v>
          </cell>
          <cell r="S121" t="str">
            <v>EQUIPE MEC</v>
          </cell>
          <cell r="T121">
            <v>38930</v>
          </cell>
        </row>
        <row r="122">
          <cell r="B122" t="str">
            <v>BB.220.DB.02</v>
          </cell>
          <cell r="D122" t="str">
            <v>Desenho Básico - Transports. e Alimentadores</v>
          </cell>
          <cell r="E122" t="str">
            <v>6 dias</v>
          </cell>
          <cell r="F122" t="str">
            <v>NA</v>
          </cell>
          <cell r="G122">
            <v>38940.333333333336</v>
          </cell>
          <cell r="H122">
            <v>38940.333333333336</v>
          </cell>
          <cell r="I122" t="str">
            <v>NA</v>
          </cell>
          <cell r="J122">
            <v>38951.729166666664</v>
          </cell>
          <cell r="K122" t="str">
            <v>NA</v>
          </cell>
          <cell r="L122">
            <v>0.13</v>
          </cell>
          <cell r="M122">
            <v>3</v>
          </cell>
          <cell r="N122">
            <v>0.9</v>
          </cell>
          <cell r="O122">
            <v>30</v>
          </cell>
          <cell r="P122">
            <v>30</v>
          </cell>
          <cell r="Q122">
            <v>91</v>
          </cell>
          <cell r="R122" t="str">
            <v>126;141II</v>
          </cell>
          <cell r="S122" t="str">
            <v>EQUIPE MEC</v>
          </cell>
          <cell r="T122">
            <v>38951</v>
          </cell>
        </row>
        <row r="123">
          <cell r="B123" t="str">
            <v>BB.220.FD.01</v>
          </cell>
          <cell r="D123" t="str">
            <v>Folha De Dados - Transportadores</v>
          </cell>
          <cell r="E123" t="str">
            <v>5 dias</v>
          </cell>
          <cell r="F123" t="str">
            <v>NA</v>
          </cell>
          <cell r="G123">
            <v>38911.333333333336</v>
          </cell>
          <cell r="H123">
            <v>38911.333333333336</v>
          </cell>
          <cell r="I123" t="str">
            <v>NA</v>
          </cell>
          <cell r="J123">
            <v>38917.729166666664</v>
          </cell>
          <cell r="K123" t="str">
            <v>NA</v>
          </cell>
          <cell r="L123">
            <v>0.24</v>
          </cell>
          <cell r="M123">
            <v>5.5</v>
          </cell>
          <cell r="N123">
            <v>4.95</v>
          </cell>
          <cell r="O123">
            <v>90</v>
          </cell>
          <cell r="P123">
            <v>90</v>
          </cell>
          <cell r="Q123" t="str">
            <v>119II</v>
          </cell>
          <cell r="S123" t="str">
            <v>EQUIPE MEC</v>
          </cell>
          <cell r="T123">
            <v>38917</v>
          </cell>
        </row>
        <row r="124">
          <cell r="D124" t="str">
            <v>Estrutura Metálica</v>
          </cell>
          <cell r="E124" t="str">
            <v>10 dias</v>
          </cell>
          <cell r="F124" t="str">
            <v>NA</v>
          </cell>
          <cell r="G124">
            <v>38931.333333333336</v>
          </cell>
          <cell r="H124">
            <v>38931.333333333336</v>
          </cell>
          <cell r="I124" t="str">
            <v>NA</v>
          </cell>
          <cell r="J124">
            <v>38946.729166666664</v>
          </cell>
          <cell r="K124" t="str">
            <v>NA</v>
          </cell>
          <cell r="L124">
            <v>0.46</v>
          </cell>
          <cell r="M124">
            <v>10.63</v>
          </cell>
          <cell r="N124">
            <v>7.44</v>
          </cell>
          <cell r="O124">
            <v>70</v>
          </cell>
          <cell r="P124">
            <v>70</v>
          </cell>
          <cell r="T124">
            <v>38946</v>
          </cell>
        </row>
        <row r="125">
          <cell r="B125" t="str">
            <v>BD.220.MC.01</v>
          </cell>
          <cell r="D125" t="str">
            <v>Memória De Cálculo - Britagem</v>
          </cell>
          <cell r="E125" t="str">
            <v>10 dias</v>
          </cell>
          <cell r="F125" t="str">
            <v>NA</v>
          </cell>
          <cell r="G125">
            <v>38931.333333333336</v>
          </cell>
          <cell r="H125">
            <v>38931.333333333336</v>
          </cell>
          <cell r="I125" t="str">
            <v>NA</v>
          </cell>
          <cell r="J125">
            <v>38946.729166666664</v>
          </cell>
          <cell r="K125" t="str">
            <v>NA</v>
          </cell>
          <cell r="L125">
            <v>0.46</v>
          </cell>
          <cell r="M125">
            <v>10.63</v>
          </cell>
          <cell r="N125">
            <v>7.44</v>
          </cell>
          <cell r="O125">
            <v>70</v>
          </cell>
          <cell r="P125">
            <v>70</v>
          </cell>
          <cell r="Q125">
            <v>119</v>
          </cell>
          <cell r="R125" t="str">
            <v>128II</v>
          </cell>
          <cell r="S125" t="str">
            <v>EQUIPE MET</v>
          </cell>
          <cell r="T125">
            <v>38946</v>
          </cell>
        </row>
        <row r="126">
          <cell r="D126" t="str">
            <v>Projeto Detalhado</v>
          </cell>
          <cell r="E126" t="str">
            <v>57 dias</v>
          </cell>
          <cell r="F126" t="str">
            <v>NA</v>
          </cell>
          <cell r="G126">
            <v>38931.333333333336</v>
          </cell>
          <cell r="H126" t="str">
            <v>NA</v>
          </cell>
          <cell r="I126" t="str">
            <v>NA</v>
          </cell>
          <cell r="J126">
            <v>39017.729166666664</v>
          </cell>
          <cell r="K126" t="str">
            <v>NA</v>
          </cell>
          <cell r="L126">
            <v>3.51</v>
          </cell>
          <cell r="M126">
            <v>80.25</v>
          </cell>
          <cell r="N126">
            <v>0</v>
          </cell>
          <cell r="O126">
            <v>0</v>
          </cell>
          <cell r="P126">
            <v>0</v>
          </cell>
          <cell r="T126">
            <v>39017</v>
          </cell>
        </row>
        <row r="127">
          <cell r="D127" t="str">
            <v>Mecânica</v>
          </cell>
          <cell r="E127" t="str">
            <v>17 dias</v>
          </cell>
          <cell r="F127" t="str">
            <v>NA</v>
          </cell>
          <cell r="G127">
            <v>38952.333333333336</v>
          </cell>
          <cell r="H127" t="str">
            <v>NA</v>
          </cell>
          <cell r="I127" t="str">
            <v>NA</v>
          </cell>
          <cell r="J127">
            <v>38978.729166666664</v>
          </cell>
          <cell r="K127" t="str">
            <v>NA</v>
          </cell>
          <cell r="L127">
            <v>0.56999999999999995</v>
          </cell>
          <cell r="M127">
            <v>13</v>
          </cell>
          <cell r="N127">
            <v>0</v>
          </cell>
          <cell r="O127">
            <v>0</v>
          </cell>
          <cell r="P127">
            <v>0</v>
          </cell>
          <cell r="T127">
            <v>38978</v>
          </cell>
        </row>
        <row r="128">
          <cell r="B128" t="str">
            <v>DB.220.DD.01</v>
          </cell>
          <cell r="D128" t="str">
            <v>Desenho Detalhamento - Silo/ Chutes</v>
          </cell>
          <cell r="E128" t="str">
            <v>17 dias</v>
          </cell>
          <cell r="F128" t="str">
            <v>NA</v>
          </cell>
          <cell r="G128">
            <v>38952.333333333336</v>
          </cell>
          <cell r="H128" t="str">
            <v>NA</v>
          </cell>
          <cell r="I128" t="str">
            <v>NA</v>
          </cell>
          <cell r="J128">
            <v>38978.729166666664</v>
          </cell>
          <cell r="K128" t="str">
            <v>NA</v>
          </cell>
          <cell r="L128">
            <v>0.56999999999999995</v>
          </cell>
          <cell r="M128">
            <v>13</v>
          </cell>
          <cell r="N128">
            <v>0</v>
          </cell>
          <cell r="O128">
            <v>0</v>
          </cell>
          <cell r="P128">
            <v>0</v>
          </cell>
          <cell r="Q128" t="str">
            <v>30TI+10 dias;119;120</v>
          </cell>
          <cell r="R128">
            <v>130</v>
          </cell>
          <cell r="S128" t="str">
            <v>EQUIPE MEC</v>
          </cell>
          <cell r="T128">
            <v>38978</v>
          </cell>
        </row>
        <row r="129">
          <cell r="D129" t="str">
            <v>Civil</v>
          </cell>
          <cell r="E129" t="str">
            <v>16 dias</v>
          </cell>
          <cell r="F129" t="str">
            <v>NA</v>
          </cell>
          <cell r="G129">
            <v>38931.333333333336</v>
          </cell>
          <cell r="H129" t="str">
            <v>NA</v>
          </cell>
          <cell r="I129" t="str">
            <v>NA</v>
          </cell>
          <cell r="J129">
            <v>38954.729166666664</v>
          </cell>
          <cell r="K129" t="str">
            <v>NA</v>
          </cell>
          <cell r="L129">
            <v>0.39</v>
          </cell>
          <cell r="M129">
            <v>9</v>
          </cell>
          <cell r="N129">
            <v>0</v>
          </cell>
          <cell r="O129">
            <v>0</v>
          </cell>
          <cell r="P129">
            <v>0</v>
          </cell>
          <cell r="T129">
            <v>38954</v>
          </cell>
        </row>
        <row r="130">
          <cell r="B130" t="str">
            <v>DC.220.DD.01</v>
          </cell>
          <cell r="D130" t="str">
            <v>Desenho De Detalhamento - Peneiramento/ Britagem</v>
          </cell>
          <cell r="E130" t="str">
            <v>16 dias</v>
          </cell>
          <cell r="F130" t="str">
            <v>NA</v>
          </cell>
          <cell r="G130">
            <v>38931.333333333336</v>
          </cell>
          <cell r="H130" t="str">
            <v>NA</v>
          </cell>
          <cell r="I130" t="str">
            <v>NA</v>
          </cell>
          <cell r="J130">
            <v>38954.729166666664</v>
          </cell>
          <cell r="K130" t="str">
            <v>NA</v>
          </cell>
          <cell r="L130">
            <v>0.39</v>
          </cell>
          <cell r="M130">
            <v>9</v>
          </cell>
          <cell r="N130">
            <v>0</v>
          </cell>
          <cell r="O130">
            <v>0</v>
          </cell>
          <cell r="P130">
            <v>0</v>
          </cell>
          <cell r="Q130" t="str">
            <v>119;123II</v>
          </cell>
          <cell r="S130" t="str">
            <v>EQUIPE CIV</v>
          </cell>
          <cell r="T130">
            <v>38954</v>
          </cell>
        </row>
        <row r="131">
          <cell r="D131" t="str">
            <v>Estrutura Metálica</v>
          </cell>
          <cell r="E131" t="str">
            <v>26 dias</v>
          </cell>
          <cell r="F131" t="str">
            <v>NA</v>
          </cell>
          <cell r="G131">
            <v>38979.333333333336</v>
          </cell>
          <cell r="H131" t="str">
            <v>NA</v>
          </cell>
          <cell r="I131" t="str">
            <v>NA</v>
          </cell>
          <cell r="J131">
            <v>39016.729166666664</v>
          </cell>
          <cell r="K131" t="str">
            <v>NA</v>
          </cell>
          <cell r="L131">
            <v>2.5</v>
          </cell>
          <cell r="M131">
            <v>57.25</v>
          </cell>
          <cell r="N131">
            <v>0</v>
          </cell>
          <cell r="O131">
            <v>0</v>
          </cell>
          <cell r="P131">
            <v>0</v>
          </cell>
          <cell r="T131">
            <v>39016</v>
          </cell>
        </row>
        <row r="132">
          <cell r="B132" t="str">
            <v>DD.220.DP.01</v>
          </cell>
          <cell r="D132" t="str">
            <v>Desenho De Projeto</v>
          </cell>
          <cell r="E132" t="str">
            <v>16 dias</v>
          </cell>
          <cell r="F132" t="str">
            <v>NA</v>
          </cell>
          <cell r="G132">
            <v>38979.333333333336</v>
          </cell>
          <cell r="H132" t="str">
            <v>NA</v>
          </cell>
          <cell r="I132" t="str">
            <v>NA</v>
          </cell>
          <cell r="J132">
            <v>39000.729166666664</v>
          </cell>
          <cell r="K132" t="str">
            <v>NA</v>
          </cell>
          <cell r="L132">
            <v>0.61</v>
          </cell>
          <cell r="M132">
            <v>14</v>
          </cell>
          <cell r="N132">
            <v>0</v>
          </cell>
          <cell r="O132">
            <v>0</v>
          </cell>
          <cell r="P132">
            <v>0</v>
          </cell>
          <cell r="Q132">
            <v>126</v>
          </cell>
          <cell r="R132" t="str">
            <v>131;132;149</v>
          </cell>
          <cell r="S132" t="str">
            <v>EQUIPE MET</v>
          </cell>
          <cell r="T132">
            <v>39000</v>
          </cell>
        </row>
        <row r="133">
          <cell r="B133" t="str">
            <v>DD.220.LM.01</v>
          </cell>
          <cell r="D133" t="str">
            <v>Lista De Materiais</v>
          </cell>
          <cell r="E133" t="str">
            <v>1 dia</v>
          </cell>
          <cell r="F133" t="str">
            <v>NA</v>
          </cell>
          <cell r="G133">
            <v>39001.333333333336</v>
          </cell>
          <cell r="H133" t="str">
            <v>NA</v>
          </cell>
          <cell r="I133" t="str">
            <v>NA</v>
          </cell>
          <cell r="J133">
            <v>39001.729166666664</v>
          </cell>
          <cell r="K133" t="str">
            <v>NA</v>
          </cell>
          <cell r="L133">
            <v>0.01</v>
          </cell>
          <cell r="M133">
            <v>0.25</v>
          </cell>
          <cell r="N133">
            <v>0</v>
          </cell>
          <cell r="O133">
            <v>0</v>
          </cell>
          <cell r="P133">
            <v>0</v>
          </cell>
          <cell r="Q133">
            <v>130</v>
          </cell>
          <cell r="S133" t="str">
            <v>EQUIPE MET</v>
          </cell>
          <cell r="T133">
            <v>39001</v>
          </cell>
        </row>
        <row r="134">
          <cell r="B134" t="str">
            <v>DD.220.MC.01</v>
          </cell>
          <cell r="D134" t="str">
            <v>Memória De Cálculo</v>
          </cell>
          <cell r="E134" t="str">
            <v>10 dias</v>
          </cell>
          <cell r="F134" t="str">
            <v>NA</v>
          </cell>
          <cell r="G134">
            <v>39001.333333333336</v>
          </cell>
          <cell r="H134" t="str">
            <v>NA</v>
          </cell>
          <cell r="I134" t="str">
            <v>NA</v>
          </cell>
          <cell r="J134">
            <v>39016.729166666664</v>
          </cell>
          <cell r="K134" t="str">
            <v>NA</v>
          </cell>
          <cell r="L134">
            <v>1.88</v>
          </cell>
          <cell r="M134">
            <v>43</v>
          </cell>
          <cell r="N134">
            <v>0</v>
          </cell>
          <cell r="O134">
            <v>0</v>
          </cell>
          <cell r="P134">
            <v>0</v>
          </cell>
          <cell r="Q134">
            <v>130</v>
          </cell>
          <cell r="S134" t="str">
            <v>EQUIPE MET</v>
          </cell>
          <cell r="T134">
            <v>39016</v>
          </cell>
        </row>
        <row r="135">
          <cell r="D135" t="str">
            <v>Instrumentação</v>
          </cell>
          <cell r="E135" t="str">
            <v>5 dias</v>
          </cell>
          <cell r="F135" t="str">
            <v>NA</v>
          </cell>
          <cell r="G135">
            <v>39013.333333333336</v>
          </cell>
          <cell r="H135" t="str">
            <v>NA</v>
          </cell>
          <cell r="I135" t="str">
            <v>NA</v>
          </cell>
          <cell r="J135">
            <v>39017.729166666664</v>
          </cell>
          <cell r="K135" t="str">
            <v>NA</v>
          </cell>
          <cell r="L135">
            <v>0.04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T135">
            <v>39017</v>
          </cell>
        </row>
        <row r="136">
          <cell r="B136" t="str">
            <v>DT.220.AJ.01</v>
          </cell>
          <cell r="D136" t="str">
            <v>Arranjos/ Layout’s/ Plano Diretor - Locação De Instrumentos</v>
          </cell>
          <cell r="E136" t="str">
            <v>5 dias</v>
          </cell>
          <cell r="F136" t="str">
            <v>NA</v>
          </cell>
          <cell r="G136">
            <v>39013.333333333336</v>
          </cell>
          <cell r="H136" t="str">
            <v>NA</v>
          </cell>
          <cell r="I136" t="str">
            <v>NA</v>
          </cell>
          <cell r="J136">
            <v>39017.729166666664</v>
          </cell>
          <cell r="K136" t="str">
            <v>NA</v>
          </cell>
          <cell r="L136">
            <v>0.04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82</v>
          </cell>
          <cell r="R136">
            <v>331</v>
          </cell>
          <cell r="S136" t="str">
            <v>EQUIPE TSA</v>
          </cell>
          <cell r="T136">
            <v>39017</v>
          </cell>
        </row>
        <row r="137">
          <cell r="B137" t="str">
            <v>1.1.4</v>
          </cell>
          <cell r="C137" t="str">
            <v>225A</v>
          </cell>
          <cell r="D137" t="str">
            <v>Britagem Terciária (1C)</v>
          </cell>
          <cell r="E137" t="str">
            <v>83 dias</v>
          </cell>
          <cell r="F137">
            <v>38814.333333333336</v>
          </cell>
          <cell r="G137">
            <v>38905.333333333336</v>
          </cell>
          <cell r="H137">
            <v>38905.333333333336</v>
          </cell>
          <cell r="I137">
            <v>38846.729166666664</v>
          </cell>
          <cell r="J137">
            <v>39031.729166666664</v>
          </cell>
          <cell r="K137" t="str">
            <v>NA</v>
          </cell>
          <cell r="L137">
            <v>2.59</v>
          </cell>
          <cell r="M137">
            <v>59.25</v>
          </cell>
          <cell r="N137">
            <v>14.05</v>
          </cell>
          <cell r="O137">
            <v>23.71</v>
          </cell>
          <cell r="P137">
            <v>23.71</v>
          </cell>
          <cell r="T137">
            <v>39031</v>
          </cell>
        </row>
        <row r="138">
          <cell r="D138" t="str">
            <v>Projeto Básico</v>
          </cell>
          <cell r="E138" t="str">
            <v>35 dias</v>
          </cell>
          <cell r="F138">
            <v>38814.333333333336</v>
          </cell>
          <cell r="G138">
            <v>38905.333333333336</v>
          </cell>
          <cell r="H138">
            <v>38905.333333333336</v>
          </cell>
          <cell r="I138">
            <v>38846.729166666664</v>
          </cell>
          <cell r="J138">
            <v>38957.729166666664</v>
          </cell>
          <cell r="K138" t="str">
            <v>NA</v>
          </cell>
          <cell r="L138">
            <v>1.05</v>
          </cell>
          <cell r="M138">
            <v>24</v>
          </cell>
          <cell r="N138">
            <v>14.05</v>
          </cell>
          <cell r="O138">
            <v>58.54</v>
          </cell>
          <cell r="P138">
            <v>58.54</v>
          </cell>
          <cell r="T138">
            <v>38957</v>
          </cell>
        </row>
        <row r="139">
          <cell r="D139" t="str">
            <v>Processo</v>
          </cell>
          <cell r="E139" t="str">
            <v>4 dias</v>
          </cell>
          <cell r="F139" t="str">
            <v>NA</v>
          </cell>
          <cell r="G139">
            <v>38922.333333333336</v>
          </cell>
          <cell r="H139">
            <v>38922.333333333336</v>
          </cell>
          <cell r="I139" t="str">
            <v>NA</v>
          </cell>
          <cell r="J139">
            <v>38925.729166666664</v>
          </cell>
          <cell r="K139" t="str">
            <v>NA</v>
          </cell>
          <cell r="L139">
            <v>0.17</v>
          </cell>
          <cell r="M139">
            <v>4</v>
          </cell>
          <cell r="N139">
            <v>3.78</v>
          </cell>
          <cell r="O139">
            <v>94.38</v>
          </cell>
          <cell r="P139">
            <v>94.38</v>
          </cell>
          <cell r="T139">
            <v>38925</v>
          </cell>
        </row>
        <row r="140">
          <cell r="B140" t="str">
            <v>BP.225.FD.01</v>
          </cell>
          <cell r="D140" t="str">
            <v>Folha De Dados - Britador Cônico/ Peneiras</v>
          </cell>
          <cell r="E140" t="str">
            <v>4 dias</v>
          </cell>
          <cell r="F140" t="str">
            <v>NA</v>
          </cell>
          <cell r="G140">
            <v>38922.333333333336</v>
          </cell>
          <cell r="H140">
            <v>38922.333333333336</v>
          </cell>
          <cell r="I140" t="str">
            <v>NA</v>
          </cell>
          <cell r="J140">
            <v>38925.729166666664</v>
          </cell>
          <cell r="K140" t="str">
            <v>NA</v>
          </cell>
          <cell r="L140">
            <v>0.17</v>
          </cell>
          <cell r="M140">
            <v>4</v>
          </cell>
          <cell r="N140">
            <v>3.78</v>
          </cell>
          <cell r="O140">
            <v>94.38</v>
          </cell>
          <cell r="P140">
            <v>94.38</v>
          </cell>
          <cell r="Q140" t="str">
            <v>14II</v>
          </cell>
          <cell r="S140" t="str">
            <v>EQUIPE PRO</v>
          </cell>
          <cell r="T140">
            <v>38925</v>
          </cell>
        </row>
        <row r="141">
          <cell r="D141" t="str">
            <v>Mecânica</v>
          </cell>
          <cell r="E141" t="str">
            <v>35 dias</v>
          </cell>
          <cell r="F141">
            <v>38814.333333333336</v>
          </cell>
          <cell r="G141">
            <v>38905.333333333336</v>
          </cell>
          <cell r="H141">
            <v>38905.333333333336</v>
          </cell>
          <cell r="I141">
            <v>38846.729166666664</v>
          </cell>
          <cell r="J141">
            <v>38957.729166666664</v>
          </cell>
          <cell r="K141" t="str">
            <v>NA</v>
          </cell>
          <cell r="L141">
            <v>0.56999999999999995</v>
          </cell>
          <cell r="M141">
            <v>13</v>
          </cell>
          <cell r="N141">
            <v>8.18</v>
          </cell>
          <cell r="O141">
            <v>62.88</v>
          </cell>
          <cell r="P141">
            <v>62.88</v>
          </cell>
          <cell r="T141">
            <v>38957</v>
          </cell>
        </row>
        <row r="142">
          <cell r="B142" t="str">
            <v>BB.225.DB.01</v>
          </cell>
          <cell r="D142" t="str">
            <v>Desenho Básico - Britagem</v>
          </cell>
          <cell r="E142" t="str">
            <v>7 dias</v>
          </cell>
          <cell r="F142">
            <v>38814.333333333336</v>
          </cell>
          <cell r="G142">
            <v>38905.333333333336</v>
          </cell>
          <cell r="H142">
            <v>38905.333333333336</v>
          </cell>
          <cell r="I142">
            <v>38846.729166666664</v>
          </cell>
          <cell r="J142">
            <v>38915.729166666664</v>
          </cell>
          <cell r="K142" t="str">
            <v>NA</v>
          </cell>
          <cell r="L142">
            <v>0.1</v>
          </cell>
          <cell r="M142">
            <v>2.25</v>
          </cell>
          <cell r="N142">
            <v>2.0299999999999998</v>
          </cell>
          <cell r="O142">
            <v>90</v>
          </cell>
          <cell r="P142">
            <v>90</v>
          </cell>
          <cell r="Q142" t="str">
            <v>119II</v>
          </cell>
          <cell r="R142" t="str">
            <v>142II;144;147</v>
          </cell>
          <cell r="S142" t="str">
            <v>EQUIPE MEC</v>
          </cell>
          <cell r="T142">
            <v>38915</v>
          </cell>
        </row>
        <row r="143">
          <cell r="B143" t="str">
            <v>BB.225.DB.02</v>
          </cell>
          <cell r="D143" t="str">
            <v>Desenho Básico - Transports. e Alimentadores</v>
          </cell>
          <cell r="E143" t="str">
            <v>10 dias</v>
          </cell>
          <cell r="F143" t="str">
            <v>NA</v>
          </cell>
          <cell r="G143">
            <v>38940.333333333336</v>
          </cell>
          <cell r="H143">
            <v>38940.333333333336</v>
          </cell>
          <cell r="I143" t="str">
            <v>NA</v>
          </cell>
          <cell r="J143">
            <v>38957.729166666664</v>
          </cell>
          <cell r="K143" t="str">
            <v>NA</v>
          </cell>
          <cell r="L143">
            <v>0.17</v>
          </cell>
          <cell r="M143">
            <v>4</v>
          </cell>
          <cell r="N143">
            <v>1.2</v>
          </cell>
          <cell r="O143">
            <v>30</v>
          </cell>
          <cell r="P143">
            <v>30</v>
          </cell>
          <cell r="Q143" t="str">
            <v>120II</v>
          </cell>
          <cell r="R143" t="str">
            <v>162II;163II;164II</v>
          </cell>
          <cell r="S143" t="str">
            <v>EQUIPE MEC</v>
          </cell>
          <cell r="T143">
            <v>38957</v>
          </cell>
        </row>
        <row r="144">
          <cell r="B144" t="str">
            <v>BB.225.FD.01</v>
          </cell>
          <cell r="D144" t="str">
            <v>Folha De Dados - Transports. e Alimentadores</v>
          </cell>
          <cell r="E144" t="str">
            <v>6 dias</v>
          </cell>
          <cell r="F144" t="str">
            <v>NA</v>
          </cell>
          <cell r="G144">
            <v>38910.333333333336</v>
          </cell>
          <cell r="H144">
            <v>38910.333333333336</v>
          </cell>
          <cell r="I144" t="str">
            <v>NA</v>
          </cell>
          <cell r="J144">
            <v>38917.729166666664</v>
          </cell>
          <cell r="K144" t="str">
            <v>NA</v>
          </cell>
          <cell r="L144">
            <v>0.3</v>
          </cell>
          <cell r="M144">
            <v>6.75</v>
          </cell>
          <cell r="N144">
            <v>4.95</v>
          </cell>
          <cell r="O144">
            <v>73.33</v>
          </cell>
          <cell r="P144">
            <v>73.33</v>
          </cell>
          <cell r="Q144" t="str">
            <v>140II</v>
          </cell>
          <cell r="S144" t="str">
            <v>EQUIPE MEC</v>
          </cell>
          <cell r="T144">
            <v>38917</v>
          </cell>
        </row>
        <row r="145">
          <cell r="D145" t="str">
            <v>Estrutura Metálica</v>
          </cell>
          <cell r="E145" t="str">
            <v>7 dias</v>
          </cell>
          <cell r="F145" t="str">
            <v>NA</v>
          </cell>
          <cell r="G145">
            <v>38930.333333333336</v>
          </cell>
          <cell r="H145">
            <v>38930.333333333336</v>
          </cell>
          <cell r="I145" t="str">
            <v>NA</v>
          </cell>
          <cell r="J145">
            <v>38938.729166666664</v>
          </cell>
          <cell r="K145" t="str">
            <v>NA</v>
          </cell>
          <cell r="L145">
            <v>0.31</v>
          </cell>
          <cell r="M145">
            <v>7</v>
          </cell>
          <cell r="N145">
            <v>2.1</v>
          </cell>
          <cell r="O145">
            <v>30</v>
          </cell>
          <cell r="P145">
            <v>30</v>
          </cell>
          <cell r="T145">
            <v>38938</v>
          </cell>
        </row>
        <row r="146">
          <cell r="B146" t="str">
            <v>BD.225.MC.01</v>
          </cell>
          <cell r="D146" t="str">
            <v>Memória De Cálculo - Britagem</v>
          </cell>
          <cell r="E146" t="str">
            <v>7 dias</v>
          </cell>
          <cell r="F146" t="str">
            <v>NA</v>
          </cell>
          <cell r="G146">
            <v>38930.333333333336</v>
          </cell>
          <cell r="H146">
            <v>38930.333333333336</v>
          </cell>
          <cell r="I146" t="str">
            <v>NA</v>
          </cell>
          <cell r="J146">
            <v>38938.729166666664</v>
          </cell>
          <cell r="K146" t="str">
            <v>NA</v>
          </cell>
          <cell r="L146">
            <v>0.31</v>
          </cell>
          <cell r="M146">
            <v>7</v>
          </cell>
          <cell r="N146">
            <v>2.1</v>
          </cell>
          <cell r="O146">
            <v>30</v>
          </cell>
          <cell r="P146">
            <v>30</v>
          </cell>
          <cell r="Q146">
            <v>140</v>
          </cell>
          <cell r="R146" t="str">
            <v>147II</v>
          </cell>
          <cell r="S146" t="str">
            <v>EQUIPE MET</v>
          </cell>
          <cell r="T146">
            <v>38938</v>
          </cell>
        </row>
        <row r="147">
          <cell r="D147" t="str">
            <v>Projeto Detalhado</v>
          </cell>
          <cell r="E147" t="str">
            <v>66 dias</v>
          </cell>
          <cell r="F147" t="str">
            <v>NA</v>
          </cell>
          <cell r="G147">
            <v>38930.333333333336</v>
          </cell>
          <cell r="H147" t="str">
            <v>NA</v>
          </cell>
          <cell r="I147" t="str">
            <v>NA</v>
          </cell>
          <cell r="J147">
            <v>39031.729166666664</v>
          </cell>
          <cell r="K147" t="str">
            <v>NA</v>
          </cell>
          <cell r="L147">
            <v>1.54</v>
          </cell>
          <cell r="M147">
            <v>35.25</v>
          </cell>
          <cell r="N147">
            <v>0</v>
          </cell>
          <cell r="O147">
            <v>0</v>
          </cell>
          <cell r="P147">
            <v>0</v>
          </cell>
          <cell r="T147">
            <v>39031</v>
          </cell>
        </row>
        <row r="148">
          <cell r="D148" t="str">
            <v>Civil</v>
          </cell>
          <cell r="E148" t="str">
            <v>20 dias</v>
          </cell>
          <cell r="F148" t="str">
            <v>NA</v>
          </cell>
          <cell r="G148">
            <v>38930.333333333336</v>
          </cell>
          <cell r="H148" t="str">
            <v>NA</v>
          </cell>
          <cell r="I148" t="str">
            <v>NA</v>
          </cell>
          <cell r="J148">
            <v>38959.729166666664</v>
          </cell>
          <cell r="K148" t="str">
            <v>NA</v>
          </cell>
          <cell r="L148">
            <v>0.35</v>
          </cell>
          <cell r="M148">
            <v>8</v>
          </cell>
          <cell r="N148">
            <v>0</v>
          </cell>
          <cell r="O148">
            <v>0</v>
          </cell>
          <cell r="P148">
            <v>0</v>
          </cell>
          <cell r="T148">
            <v>38959</v>
          </cell>
        </row>
        <row r="149">
          <cell r="B149" t="str">
            <v>DC.225.DD.01</v>
          </cell>
          <cell r="D149" t="str">
            <v>Desenho De Detalhamento - Britagem</v>
          </cell>
          <cell r="E149" t="str">
            <v>20 dias</v>
          </cell>
          <cell r="F149" t="str">
            <v>NA</v>
          </cell>
          <cell r="G149">
            <v>38930.333333333336</v>
          </cell>
          <cell r="H149" t="str">
            <v>NA</v>
          </cell>
          <cell r="I149" t="str">
            <v>NA</v>
          </cell>
          <cell r="J149">
            <v>38959.729166666664</v>
          </cell>
          <cell r="K149" t="str">
            <v>NA</v>
          </cell>
          <cell r="L149">
            <v>0.35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 t="str">
            <v>140;144II</v>
          </cell>
          <cell r="R149">
            <v>154</v>
          </cell>
          <cell r="S149" t="str">
            <v>EQUIPE CIV[60%]</v>
          </cell>
          <cell r="T149">
            <v>38959</v>
          </cell>
        </row>
        <row r="150">
          <cell r="D150" t="str">
            <v>Estrutura Metálica</v>
          </cell>
          <cell r="E150" t="str">
            <v>19 dias</v>
          </cell>
          <cell r="F150" t="str">
            <v>NA</v>
          </cell>
          <cell r="G150">
            <v>39001.333333333336</v>
          </cell>
          <cell r="H150" t="str">
            <v>NA</v>
          </cell>
          <cell r="I150" t="str">
            <v>NA</v>
          </cell>
          <cell r="J150">
            <v>39031.729166666664</v>
          </cell>
          <cell r="K150" t="str">
            <v>NA</v>
          </cell>
          <cell r="L150">
            <v>0.75</v>
          </cell>
          <cell r="M150">
            <v>17.25</v>
          </cell>
          <cell r="N150">
            <v>0</v>
          </cell>
          <cell r="O150">
            <v>0</v>
          </cell>
          <cell r="P150">
            <v>0</v>
          </cell>
          <cell r="T150">
            <v>39031</v>
          </cell>
        </row>
        <row r="151">
          <cell r="B151" t="str">
            <v>DD.225.DP.01</v>
          </cell>
          <cell r="D151" t="str">
            <v>Desenho De Projeto</v>
          </cell>
          <cell r="E151" t="str">
            <v>5 dias</v>
          </cell>
          <cell r="F151" t="str">
            <v>NA</v>
          </cell>
          <cell r="G151">
            <v>39001.333333333336</v>
          </cell>
          <cell r="H151" t="str">
            <v>NA</v>
          </cell>
          <cell r="I151" t="str">
            <v>NA</v>
          </cell>
          <cell r="J151">
            <v>39009.729166666664</v>
          </cell>
          <cell r="K151" t="str">
            <v>NA</v>
          </cell>
          <cell r="L151">
            <v>0.13</v>
          </cell>
          <cell r="M151">
            <v>3</v>
          </cell>
          <cell r="N151">
            <v>0</v>
          </cell>
          <cell r="O151">
            <v>0</v>
          </cell>
          <cell r="P151">
            <v>0</v>
          </cell>
          <cell r="Q151">
            <v>130</v>
          </cell>
          <cell r="R151" t="str">
            <v>150;151</v>
          </cell>
          <cell r="S151" t="str">
            <v>EQUIPE MET</v>
          </cell>
          <cell r="T151">
            <v>39009</v>
          </cell>
        </row>
        <row r="152">
          <cell r="B152" t="str">
            <v>DD.225.LM.01</v>
          </cell>
          <cell r="D152" t="str">
            <v>Lista De Materiais</v>
          </cell>
          <cell r="E152" t="str">
            <v>1 dia</v>
          </cell>
          <cell r="F152" t="str">
            <v>NA</v>
          </cell>
          <cell r="G152">
            <v>39010.333333333336</v>
          </cell>
          <cell r="H152" t="str">
            <v>NA</v>
          </cell>
          <cell r="I152" t="str">
            <v>NA</v>
          </cell>
          <cell r="J152">
            <v>39010.729166666664</v>
          </cell>
          <cell r="K152" t="str">
            <v>NA</v>
          </cell>
          <cell r="L152">
            <v>0.01</v>
          </cell>
          <cell r="M152">
            <v>0.25</v>
          </cell>
          <cell r="N152">
            <v>0</v>
          </cell>
          <cell r="O152">
            <v>0</v>
          </cell>
          <cell r="P152">
            <v>0</v>
          </cell>
          <cell r="Q152">
            <v>149</v>
          </cell>
          <cell r="S152" t="str">
            <v>EQUIPE MET</v>
          </cell>
          <cell r="T152">
            <v>39010</v>
          </cell>
        </row>
        <row r="153">
          <cell r="B153" t="str">
            <v>DD.225.MC.01</v>
          </cell>
          <cell r="D153" t="str">
            <v>Memória De Cálculo</v>
          </cell>
          <cell r="E153" t="str">
            <v>14 dias</v>
          </cell>
          <cell r="F153" t="str">
            <v>NA</v>
          </cell>
          <cell r="G153">
            <v>39010.333333333336</v>
          </cell>
          <cell r="H153" t="str">
            <v>NA</v>
          </cell>
          <cell r="I153" t="str">
            <v>NA</v>
          </cell>
          <cell r="J153">
            <v>39031.729166666664</v>
          </cell>
          <cell r="K153" t="str">
            <v>NA</v>
          </cell>
          <cell r="L153">
            <v>0.61</v>
          </cell>
          <cell r="M153">
            <v>14</v>
          </cell>
          <cell r="N153">
            <v>0</v>
          </cell>
          <cell r="O153">
            <v>0</v>
          </cell>
          <cell r="P153">
            <v>0</v>
          </cell>
          <cell r="Q153">
            <v>149</v>
          </cell>
          <cell r="S153" t="str">
            <v>EQUIPE MET</v>
          </cell>
          <cell r="T153">
            <v>39031</v>
          </cell>
        </row>
        <row r="154">
          <cell r="D154" t="str">
            <v>Elétrica</v>
          </cell>
          <cell r="E154" t="str">
            <v>20 dias</v>
          </cell>
          <cell r="F154" t="str">
            <v>NA</v>
          </cell>
          <cell r="G154">
            <v>38960.333333333336</v>
          </cell>
          <cell r="H154" t="str">
            <v>NA</v>
          </cell>
          <cell r="I154" t="str">
            <v>NA</v>
          </cell>
          <cell r="J154">
            <v>38989.729166666664</v>
          </cell>
          <cell r="K154" t="str">
            <v>NA</v>
          </cell>
          <cell r="L154">
            <v>0.39</v>
          </cell>
          <cell r="M154">
            <v>9</v>
          </cell>
          <cell r="N154">
            <v>0</v>
          </cell>
          <cell r="O154">
            <v>0</v>
          </cell>
          <cell r="P154">
            <v>0</v>
          </cell>
          <cell r="T154">
            <v>38989</v>
          </cell>
        </row>
        <row r="155">
          <cell r="D155" t="str">
            <v>Desenho De Detalhamento</v>
          </cell>
          <cell r="E155" t="str">
            <v>20 dias</v>
          </cell>
          <cell r="F155" t="str">
            <v>NA</v>
          </cell>
          <cell r="G155">
            <v>38960.333333333336</v>
          </cell>
          <cell r="H155" t="str">
            <v>NA</v>
          </cell>
          <cell r="I155" t="str">
            <v>NA</v>
          </cell>
          <cell r="J155">
            <v>38989.729166666664</v>
          </cell>
          <cell r="K155" t="str">
            <v>NA</v>
          </cell>
          <cell r="L155">
            <v>0.39</v>
          </cell>
          <cell r="M155">
            <v>9</v>
          </cell>
          <cell r="N155">
            <v>0</v>
          </cell>
          <cell r="O155">
            <v>0</v>
          </cell>
          <cell r="P155">
            <v>0</v>
          </cell>
          <cell r="T155">
            <v>38989</v>
          </cell>
        </row>
        <row r="156">
          <cell r="B156" t="str">
            <v>DE.225.DD.01</v>
          </cell>
          <cell r="D156" t="str">
            <v>Eletrodutos e Bandejas</v>
          </cell>
          <cell r="E156" t="str">
            <v>11 dias</v>
          </cell>
          <cell r="F156" t="str">
            <v>NA</v>
          </cell>
          <cell r="G156">
            <v>38960.333333333336</v>
          </cell>
          <cell r="H156" t="str">
            <v>NA</v>
          </cell>
          <cell r="I156" t="str">
            <v>NA</v>
          </cell>
          <cell r="J156">
            <v>38978.729166666664</v>
          </cell>
          <cell r="K156" t="str">
            <v>NA</v>
          </cell>
          <cell r="L156">
            <v>0.22</v>
          </cell>
          <cell r="M156">
            <v>5</v>
          </cell>
          <cell r="N156">
            <v>0</v>
          </cell>
          <cell r="O156">
            <v>0</v>
          </cell>
          <cell r="P156">
            <v>0</v>
          </cell>
          <cell r="Q156">
            <v>147</v>
          </cell>
          <cell r="R156">
            <v>155</v>
          </cell>
          <cell r="S156" t="str">
            <v>EQUIPE ELE</v>
          </cell>
          <cell r="T156">
            <v>38978</v>
          </cell>
        </row>
        <row r="157">
          <cell r="B157" t="str">
            <v>DE.225.DD.02</v>
          </cell>
          <cell r="D157" t="str">
            <v>Iluminação</v>
          </cell>
          <cell r="E157" t="str">
            <v>9 dias</v>
          </cell>
          <cell r="F157" t="str">
            <v>NA</v>
          </cell>
          <cell r="G157">
            <v>38979.333333333336</v>
          </cell>
          <cell r="H157" t="str">
            <v>NA</v>
          </cell>
          <cell r="I157" t="str">
            <v>NA</v>
          </cell>
          <cell r="J157">
            <v>38989.729166666664</v>
          </cell>
          <cell r="K157" t="str">
            <v>NA</v>
          </cell>
          <cell r="L157">
            <v>0.17</v>
          </cell>
          <cell r="M157">
            <v>4</v>
          </cell>
          <cell r="N157">
            <v>0</v>
          </cell>
          <cell r="O157">
            <v>0</v>
          </cell>
          <cell r="P157">
            <v>0</v>
          </cell>
          <cell r="Q157">
            <v>154</v>
          </cell>
          <cell r="S157" t="str">
            <v>EQUIPE ELE</v>
          </cell>
          <cell r="T157">
            <v>38989</v>
          </cell>
        </row>
        <row r="158">
          <cell r="D158" t="str">
            <v>Instrumentação</v>
          </cell>
          <cell r="E158" t="str">
            <v>5 dias</v>
          </cell>
          <cell r="F158" t="str">
            <v>NA</v>
          </cell>
          <cell r="G158">
            <v>39013.333333333336</v>
          </cell>
          <cell r="H158" t="str">
            <v>NA</v>
          </cell>
          <cell r="I158" t="str">
            <v>NA</v>
          </cell>
          <cell r="J158">
            <v>39017.729166666664</v>
          </cell>
          <cell r="K158" t="str">
            <v>NA</v>
          </cell>
          <cell r="L158">
            <v>0.04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T158">
            <v>39017</v>
          </cell>
        </row>
        <row r="159">
          <cell r="B159" t="str">
            <v>DT.225.AJ.01</v>
          </cell>
          <cell r="D159" t="str">
            <v>Arranjos/ Layout’s/ Plano Diretor - Locação De Instrumentos</v>
          </cell>
          <cell r="E159" t="str">
            <v>5 dias</v>
          </cell>
          <cell r="F159" t="str">
            <v>NA</v>
          </cell>
          <cell r="G159">
            <v>39013.333333333336</v>
          </cell>
          <cell r="H159" t="str">
            <v>NA</v>
          </cell>
          <cell r="I159" t="str">
            <v>NA</v>
          </cell>
          <cell r="J159">
            <v>39017.729166666664</v>
          </cell>
          <cell r="K159" t="str">
            <v>NA</v>
          </cell>
          <cell r="L159">
            <v>0.04</v>
          </cell>
          <cell r="M159">
            <v>1</v>
          </cell>
          <cell r="N159">
            <v>0</v>
          </cell>
          <cell r="O159">
            <v>0</v>
          </cell>
          <cell r="P159">
            <v>0</v>
          </cell>
          <cell r="Q159">
            <v>82</v>
          </cell>
          <cell r="S159" t="str">
            <v>EQUIPE TSA</v>
          </cell>
          <cell r="T159">
            <v>39017</v>
          </cell>
        </row>
        <row r="160">
          <cell r="B160" t="str">
            <v>1.1.5</v>
          </cell>
          <cell r="C160" t="str">
            <v>230A</v>
          </cell>
          <cell r="D160" t="str">
            <v>Pátio de Homogeneização (1D)</v>
          </cell>
          <cell r="E160" t="str">
            <v>130 dias</v>
          </cell>
          <cell r="F160">
            <v>38814.333333333336</v>
          </cell>
          <cell r="G160">
            <v>38853.333333333336</v>
          </cell>
          <cell r="H160">
            <v>38853.333333333336</v>
          </cell>
          <cell r="I160">
            <v>38846.729166666664</v>
          </cell>
          <cell r="J160">
            <v>39049.729166666664</v>
          </cell>
          <cell r="K160" t="str">
            <v>NA</v>
          </cell>
          <cell r="L160">
            <v>4.3499999999999996</v>
          </cell>
          <cell r="M160">
            <v>99.5</v>
          </cell>
          <cell r="N160">
            <v>17.100000000000001</v>
          </cell>
          <cell r="O160">
            <v>17.190000000000001</v>
          </cell>
          <cell r="P160">
            <v>17.190000000000001</v>
          </cell>
          <cell r="T160">
            <v>39049</v>
          </cell>
        </row>
        <row r="161">
          <cell r="D161" t="str">
            <v>Projeto Básico</v>
          </cell>
          <cell r="E161" t="str">
            <v>77 dias</v>
          </cell>
          <cell r="F161">
            <v>38814.333333333336</v>
          </cell>
          <cell r="G161">
            <v>38853.333333333336</v>
          </cell>
          <cell r="H161">
            <v>38853.333333333336</v>
          </cell>
          <cell r="I161">
            <v>38846.729166666664</v>
          </cell>
          <cell r="J161">
            <v>38965.729166666664</v>
          </cell>
          <cell r="K161" t="str">
            <v>NA</v>
          </cell>
          <cell r="L161">
            <v>1.35</v>
          </cell>
          <cell r="M161">
            <v>31</v>
          </cell>
          <cell r="N161">
            <v>17.100000000000001</v>
          </cell>
          <cell r="O161">
            <v>55.16</v>
          </cell>
          <cell r="P161">
            <v>55.16</v>
          </cell>
          <cell r="T161">
            <v>38965</v>
          </cell>
        </row>
        <row r="162">
          <cell r="D162" t="str">
            <v>Mecânica</v>
          </cell>
          <cell r="E162" t="str">
            <v>77 dias</v>
          </cell>
          <cell r="F162">
            <v>38814.333333333336</v>
          </cell>
          <cell r="G162">
            <v>38853.333333333336</v>
          </cell>
          <cell r="H162">
            <v>38853.333333333336</v>
          </cell>
          <cell r="I162">
            <v>38846.729166666664</v>
          </cell>
          <cell r="J162">
            <v>38965.729166666664</v>
          </cell>
          <cell r="K162" t="str">
            <v>NA</v>
          </cell>
          <cell r="L162">
            <v>1.35</v>
          </cell>
          <cell r="M162">
            <v>31</v>
          </cell>
          <cell r="N162">
            <v>17.100000000000001</v>
          </cell>
          <cell r="O162">
            <v>55.16</v>
          </cell>
          <cell r="P162">
            <v>55.16</v>
          </cell>
          <cell r="T162">
            <v>38965</v>
          </cell>
        </row>
        <row r="163">
          <cell r="D163" t="str">
            <v>Desenho Básico</v>
          </cell>
          <cell r="E163" t="str">
            <v>16 dias</v>
          </cell>
          <cell r="F163">
            <v>38814.333333333336</v>
          </cell>
          <cell r="G163">
            <v>38940.333333333336</v>
          </cell>
          <cell r="H163" t="str">
            <v>NA</v>
          </cell>
          <cell r="I163">
            <v>38846.729166666664</v>
          </cell>
          <cell r="J163">
            <v>38965.729166666664</v>
          </cell>
          <cell r="K163" t="str">
            <v>NA</v>
          </cell>
          <cell r="L163">
            <v>0.52</v>
          </cell>
          <cell r="M163">
            <v>12</v>
          </cell>
          <cell r="N163">
            <v>0</v>
          </cell>
          <cell r="O163">
            <v>0</v>
          </cell>
          <cell r="P163">
            <v>0</v>
          </cell>
          <cell r="Q163" t="str">
            <v>90II</v>
          </cell>
          <cell r="R163" t="str">
            <v>173TI+15 dias</v>
          </cell>
          <cell r="S163" t="str">
            <v>EQUIPE MEC</v>
          </cell>
          <cell r="T163">
            <v>38965</v>
          </cell>
        </row>
        <row r="164">
          <cell r="B164" t="str">
            <v>BB.230.DB.01</v>
          </cell>
          <cell r="D164" t="str">
            <v>Planta e Cortes</v>
          </cell>
          <cell r="E164" t="str">
            <v>8 dias</v>
          </cell>
          <cell r="F164" t="str">
            <v>NA</v>
          </cell>
          <cell r="G164">
            <v>38940.333333333336</v>
          </cell>
          <cell r="H164" t="str">
            <v>NA</v>
          </cell>
          <cell r="I164" t="str">
            <v>NA</v>
          </cell>
          <cell r="J164">
            <v>38953.729166666664</v>
          </cell>
          <cell r="K164" t="str">
            <v>NA</v>
          </cell>
          <cell r="L164">
            <v>0.13</v>
          </cell>
          <cell r="M164">
            <v>3</v>
          </cell>
          <cell r="N164">
            <v>0</v>
          </cell>
          <cell r="O164">
            <v>0</v>
          </cell>
          <cell r="P164">
            <v>0</v>
          </cell>
          <cell r="Q164" t="str">
            <v>141II</v>
          </cell>
          <cell r="R164" t="str">
            <v>424II</v>
          </cell>
          <cell r="S164" t="str">
            <v>EQUIPE MEC</v>
          </cell>
          <cell r="T164">
            <v>38953</v>
          </cell>
        </row>
        <row r="165">
          <cell r="B165" t="str">
            <v>BB.230.DB.02</v>
          </cell>
          <cell r="D165" t="str">
            <v>By-Pass do Pátio</v>
          </cell>
          <cell r="E165" t="str">
            <v>8 dias</v>
          </cell>
          <cell r="F165" t="str">
            <v>NA</v>
          </cell>
          <cell r="G165">
            <v>38940.333333333336</v>
          </cell>
          <cell r="H165" t="str">
            <v>NA</v>
          </cell>
          <cell r="I165" t="str">
            <v>NA</v>
          </cell>
          <cell r="J165">
            <v>38953.729166666664</v>
          </cell>
          <cell r="K165" t="str">
            <v>NA</v>
          </cell>
          <cell r="L165">
            <v>0.13</v>
          </cell>
          <cell r="M165">
            <v>3</v>
          </cell>
          <cell r="N165">
            <v>0</v>
          </cell>
          <cell r="O165">
            <v>0</v>
          </cell>
          <cell r="P165">
            <v>0</v>
          </cell>
          <cell r="Q165" t="str">
            <v>141II</v>
          </cell>
          <cell r="R165">
            <v>170</v>
          </cell>
          <cell r="S165" t="str">
            <v>EQUIPE MEC</v>
          </cell>
          <cell r="T165">
            <v>38953</v>
          </cell>
        </row>
        <row r="166">
          <cell r="B166" t="str">
            <v>BB.230.DB.03</v>
          </cell>
          <cell r="D166" t="str">
            <v>Recuperadora e Empilhadeira</v>
          </cell>
          <cell r="E166" t="str">
            <v>10 dias</v>
          </cell>
          <cell r="F166" t="str">
            <v>NA</v>
          </cell>
          <cell r="G166">
            <v>38940.333333333336</v>
          </cell>
          <cell r="H166" t="str">
            <v>NA</v>
          </cell>
          <cell r="I166" t="str">
            <v>NA</v>
          </cell>
          <cell r="J166">
            <v>38957.729166666664</v>
          </cell>
          <cell r="K166" t="str">
            <v>NA</v>
          </cell>
          <cell r="L166">
            <v>0.17</v>
          </cell>
          <cell r="M166">
            <v>4</v>
          </cell>
          <cell r="N166">
            <v>0</v>
          </cell>
          <cell r="O166">
            <v>0</v>
          </cell>
          <cell r="P166">
            <v>0</v>
          </cell>
          <cell r="Q166" t="str">
            <v>141II</v>
          </cell>
          <cell r="R166">
            <v>165</v>
          </cell>
          <cell r="S166" t="str">
            <v>EQUIPE MEC</v>
          </cell>
          <cell r="T166">
            <v>38957</v>
          </cell>
        </row>
        <row r="167">
          <cell r="B167" t="str">
            <v>BB.230.DB.04</v>
          </cell>
          <cell r="D167" t="str">
            <v>Transportadores</v>
          </cell>
          <cell r="E167" t="str">
            <v>6 dias</v>
          </cell>
          <cell r="F167" t="str">
            <v>NA</v>
          </cell>
          <cell r="G167">
            <v>38958.333333333336</v>
          </cell>
          <cell r="H167" t="str">
            <v>NA</v>
          </cell>
          <cell r="I167" t="str">
            <v>NA</v>
          </cell>
          <cell r="J167">
            <v>38965.729166666664</v>
          </cell>
          <cell r="K167" t="str">
            <v>NA</v>
          </cell>
          <cell r="L167">
            <v>0.09</v>
          </cell>
          <cell r="M167">
            <v>2</v>
          </cell>
          <cell r="N167">
            <v>0</v>
          </cell>
          <cell r="O167">
            <v>0</v>
          </cell>
          <cell r="P167">
            <v>0</v>
          </cell>
          <cell r="Q167">
            <v>164</v>
          </cell>
          <cell r="S167" t="str">
            <v>EQUIPE MEC</v>
          </cell>
          <cell r="T167">
            <v>38965</v>
          </cell>
        </row>
        <row r="168">
          <cell r="B168" t="str">
            <v>BB.230.ET.01</v>
          </cell>
          <cell r="D168" t="str">
            <v>Especificação Técnica - Empilhadeira e Retomadora</v>
          </cell>
          <cell r="E168" t="str">
            <v>40 dias</v>
          </cell>
          <cell r="F168" t="str">
            <v>NA</v>
          </cell>
          <cell r="G168">
            <v>38853.333333333336</v>
          </cell>
          <cell r="H168">
            <v>38853.333333333336</v>
          </cell>
          <cell r="I168" t="str">
            <v>NA</v>
          </cell>
          <cell r="J168">
            <v>38910.729166666664</v>
          </cell>
          <cell r="K168" t="str">
            <v>NA</v>
          </cell>
          <cell r="L168">
            <v>0.71</v>
          </cell>
          <cell r="M168">
            <v>16.25</v>
          </cell>
          <cell r="N168">
            <v>14.63</v>
          </cell>
          <cell r="O168">
            <v>90</v>
          </cell>
          <cell r="P168">
            <v>90</v>
          </cell>
          <cell r="Q168" t="str">
            <v>14II</v>
          </cell>
          <cell r="R168" t="str">
            <v>171TI+60 dias</v>
          </cell>
          <cell r="S168" t="str">
            <v>EQUIPE MEC</v>
          </cell>
          <cell r="T168">
            <v>38910</v>
          </cell>
        </row>
        <row r="169">
          <cell r="B169" t="str">
            <v>BB.230.FD.01</v>
          </cell>
          <cell r="D169" t="str">
            <v>Folha De Dados - Transportadores</v>
          </cell>
          <cell r="E169" t="str">
            <v>2 dias</v>
          </cell>
          <cell r="F169" t="str">
            <v>NA</v>
          </cell>
          <cell r="G169">
            <v>38916.333333333336</v>
          </cell>
          <cell r="H169">
            <v>38916.333333333336</v>
          </cell>
          <cell r="I169" t="str">
            <v>NA</v>
          </cell>
          <cell r="J169">
            <v>38917.729166666664</v>
          </cell>
          <cell r="K169" t="str">
            <v>NA</v>
          </cell>
          <cell r="L169">
            <v>0.12</v>
          </cell>
          <cell r="M169">
            <v>2.75</v>
          </cell>
          <cell r="N169">
            <v>2.48</v>
          </cell>
          <cell r="O169">
            <v>90</v>
          </cell>
          <cell r="P169">
            <v>90</v>
          </cell>
          <cell r="Q169" t="str">
            <v>14II</v>
          </cell>
          <cell r="S169" t="str">
            <v>EQUIPE MEC</v>
          </cell>
          <cell r="T169">
            <v>38917</v>
          </cell>
        </row>
        <row r="170">
          <cell r="D170" t="str">
            <v>Projeto Detalhado</v>
          </cell>
          <cell r="E170" t="str">
            <v>43 dias</v>
          </cell>
          <cell r="F170" t="str">
            <v>NA</v>
          </cell>
          <cell r="G170">
            <v>38982.333333333336</v>
          </cell>
          <cell r="H170" t="str">
            <v>NA</v>
          </cell>
          <cell r="I170" t="str">
            <v>NA</v>
          </cell>
          <cell r="J170">
            <v>39049.729166666664</v>
          </cell>
          <cell r="K170" t="str">
            <v>NA</v>
          </cell>
          <cell r="L170">
            <v>2.99</v>
          </cell>
          <cell r="M170">
            <v>68.5</v>
          </cell>
          <cell r="N170">
            <v>0</v>
          </cell>
          <cell r="O170">
            <v>0</v>
          </cell>
          <cell r="P170">
            <v>0</v>
          </cell>
          <cell r="T170">
            <v>39049</v>
          </cell>
        </row>
        <row r="171">
          <cell r="D171" t="str">
            <v>Mecânica</v>
          </cell>
          <cell r="E171" t="str">
            <v>15 dias</v>
          </cell>
          <cell r="F171" t="str">
            <v>NA</v>
          </cell>
          <cell r="G171">
            <v>38982.333333333336</v>
          </cell>
          <cell r="H171" t="str">
            <v>NA</v>
          </cell>
          <cell r="I171" t="str">
            <v>NA</v>
          </cell>
          <cell r="J171">
            <v>39006.729166666664</v>
          </cell>
          <cell r="K171" t="str">
            <v>NA</v>
          </cell>
          <cell r="L171">
            <v>0.22</v>
          </cell>
          <cell r="M171">
            <v>5</v>
          </cell>
          <cell r="N171">
            <v>0</v>
          </cell>
          <cell r="O171">
            <v>0</v>
          </cell>
          <cell r="P171">
            <v>0</v>
          </cell>
          <cell r="T171">
            <v>39006</v>
          </cell>
        </row>
        <row r="172">
          <cell r="B172" t="str">
            <v>DB.230.DD.01</v>
          </cell>
          <cell r="D172" t="str">
            <v>Desenho De Detalhamento - Chute Para By-Pass</v>
          </cell>
          <cell r="E172" t="str">
            <v>7 dias</v>
          </cell>
          <cell r="F172" t="str">
            <v>NA</v>
          </cell>
          <cell r="G172">
            <v>38982.333333333336</v>
          </cell>
          <cell r="H172" t="str">
            <v>NA</v>
          </cell>
          <cell r="I172" t="str">
            <v>NA</v>
          </cell>
          <cell r="J172">
            <v>38992.729166666664</v>
          </cell>
          <cell r="K172" t="str">
            <v>NA</v>
          </cell>
          <cell r="L172">
            <v>0.17</v>
          </cell>
          <cell r="M172">
            <v>4</v>
          </cell>
          <cell r="N172">
            <v>0</v>
          </cell>
          <cell r="O172">
            <v>0</v>
          </cell>
          <cell r="P172">
            <v>0</v>
          </cell>
          <cell r="Q172" t="str">
            <v>30TI+30 dias;163</v>
          </cell>
          <cell r="R172">
            <v>436</v>
          </cell>
          <cell r="S172" t="str">
            <v>EQUIPE MEC</v>
          </cell>
          <cell r="T172">
            <v>38992</v>
          </cell>
        </row>
        <row r="173">
          <cell r="B173" t="str">
            <v>DB.230.PT.01</v>
          </cell>
          <cell r="D173" t="str">
            <v>Parecer Técnico - Empilhadeira e Retomadora</v>
          </cell>
          <cell r="E173" t="str">
            <v>2 dias</v>
          </cell>
          <cell r="F173" t="str">
            <v>NA</v>
          </cell>
          <cell r="G173">
            <v>39001.333333333336</v>
          </cell>
          <cell r="H173" t="str">
            <v>NA</v>
          </cell>
          <cell r="I173" t="str">
            <v>NA</v>
          </cell>
          <cell r="J173">
            <v>39006.729166666664</v>
          </cell>
          <cell r="K173" t="str">
            <v>NA</v>
          </cell>
          <cell r="L173">
            <v>0.04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 t="str">
            <v>166TI+60 dias</v>
          </cell>
          <cell r="S173" t="str">
            <v>EQUIPE MEC</v>
          </cell>
          <cell r="T173">
            <v>39006</v>
          </cell>
        </row>
        <row r="174">
          <cell r="D174" t="str">
            <v>Civil</v>
          </cell>
          <cell r="E174" t="str">
            <v>25 dias</v>
          </cell>
          <cell r="F174" t="str">
            <v>NA</v>
          </cell>
          <cell r="G174">
            <v>38989.333333333336</v>
          </cell>
          <cell r="H174" t="str">
            <v>NA</v>
          </cell>
          <cell r="I174" t="str">
            <v>NA</v>
          </cell>
          <cell r="J174">
            <v>39029.729166666664</v>
          </cell>
          <cell r="K174" t="str">
            <v>NA</v>
          </cell>
          <cell r="L174">
            <v>0.87</v>
          </cell>
          <cell r="M174">
            <v>20</v>
          </cell>
          <cell r="N174">
            <v>0</v>
          </cell>
          <cell r="O174">
            <v>0</v>
          </cell>
          <cell r="P174">
            <v>0</v>
          </cell>
          <cell r="T174">
            <v>39029</v>
          </cell>
        </row>
        <row r="175">
          <cell r="B175" t="str">
            <v>DC.230.DD.01</v>
          </cell>
          <cell r="D175" t="str">
            <v>Des. Det. - Fundação, Forma, Armação e Inseridos Metálicos</v>
          </cell>
          <cell r="E175" t="str">
            <v>25 dias</v>
          </cell>
          <cell r="F175" t="str">
            <v>NA</v>
          </cell>
          <cell r="G175">
            <v>38989.333333333336</v>
          </cell>
          <cell r="H175" t="str">
            <v>NA</v>
          </cell>
          <cell r="I175" t="str">
            <v>NA</v>
          </cell>
          <cell r="J175">
            <v>39029.729166666664</v>
          </cell>
          <cell r="K175" t="str">
            <v>NA</v>
          </cell>
          <cell r="L175">
            <v>0.87</v>
          </cell>
          <cell r="M175">
            <v>20</v>
          </cell>
          <cell r="N175">
            <v>0</v>
          </cell>
          <cell r="O175">
            <v>0</v>
          </cell>
          <cell r="P175">
            <v>0</v>
          </cell>
          <cell r="Q175" t="str">
            <v>161TI+15 dias</v>
          </cell>
          <cell r="R175" t="str">
            <v>176II</v>
          </cell>
          <cell r="S175" t="str">
            <v>EQUIPE CIV</v>
          </cell>
          <cell r="T175">
            <v>39029</v>
          </cell>
        </row>
        <row r="176">
          <cell r="D176" t="str">
            <v>Elétrica</v>
          </cell>
          <cell r="E176" t="str">
            <v>38 dias</v>
          </cell>
          <cell r="F176" t="str">
            <v>NA</v>
          </cell>
          <cell r="G176">
            <v>38989.333333333336</v>
          </cell>
          <cell r="H176" t="str">
            <v>NA</v>
          </cell>
          <cell r="I176" t="str">
            <v>NA</v>
          </cell>
          <cell r="J176">
            <v>39049.729166666664</v>
          </cell>
          <cell r="K176" t="str">
            <v>NA</v>
          </cell>
          <cell r="L176">
            <v>1.86</v>
          </cell>
          <cell r="M176">
            <v>42.5</v>
          </cell>
          <cell r="N176">
            <v>0</v>
          </cell>
          <cell r="O176">
            <v>0</v>
          </cell>
          <cell r="P176">
            <v>0</v>
          </cell>
          <cell r="T176">
            <v>39049</v>
          </cell>
        </row>
        <row r="177">
          <cell r="D177" t="str">
            <v>Desenho De Detalhamento</v>
          </cell>
          <cell r="E177" t="str">
            <v>38 dias</v>
          </cell>
          <cell r="F177" t="str">
            <v>NA</v>
          </cell>
          <cell r="G177">
            <v>38989.333333333336</v>
          </cell>
          <cell r="H177" t="str">
            <v>NA</v>
          </cell>
          <cell r="I177" t="str">
            <v>NA</v>
          </cell>
          <cell r="J177">
            <v>39049.729166666664</v>
          </cell>
          <cell r="K177" t="str">
            <v>NA</v>
          </cell>
          <cell r="L177">
            <v>1.35</v>
          </cell>
          <cell r="M177">
            <v>31</v>
          </cell>
          <cell r="N177">
            <v>0</v>
          </cell>
          <cell r="O177">
            <v>0</v>
          </cell>
          <cell r="P177">
            <v>0</v>
          </cell>
          <cell r="T177">
            <v>39049</v>
          </cell>
        </row>
        <row r="178">
          <cell r="B178" t="str">
            <v>DE.230.DD.01</v>
          </cell>
          <cell r="D178" t="str">
            <v>Força e Controle/  Rede Dutos/ Subestação/ Aterramento</v>
          </cell>
          <cell r="E178" t="str">
            <v>20 dias</v>
          </cell>
          <cell r="F178" t="str">
            <v>NA</v>
          </cell>
          <cell r="G178">
            <v>38989.333333333336</v>
          </cell>
          <cell r="H178" t="str">
            <v>NA</v>
          </cell>
          <cell r="I178" t="str">
            <v>NA</v>
          </cell>
          <cell r="J178">
            <v>39020.729166666664</v>
          </cell>
          <cell r="K178" t="str">
            <v>NA</v>
          </cell>
          <cell r="L178">
            <v>0.7</v>
          </cell>
          <cell r="M178">
            <v>16</v>
          </cell>
          <cell r="N178">
            <v>0</v>
          </cell>
          <cell r="O178">
            <v>0</v>
          </cell>
          <cell r="P178">
            <v>0</v>
          </cell>
          <cell r="Q178" t="str">
            <v>173II</v>
          </cell>
          <cell r="R178" t="str">
            <v>177;178</v>
          </cell>
          <cell r="S178" t="str">
            <v>EQUIPE ELE</v>
          </cell>
          <cell r="T178">
            <v>39020</v>
          </cell>
        </row>
        <row r="179">
          <cell r="B179" t="str">
            <v>DE.230.DD.02</v>
          </cell>
          <cell r="D179" t="str">
            <v>Iluminação</v>
          </cell>
          <cell r="E179" t="str">
            <v>18 dias</v>
          </cell>
          <cell r="F179" t="str">
            <v>NA</v>
          </cell>
          <cell r="G179">
            <v>39021.333333333336</v>
          </cell>
          <cell r="H179" t="str">
            <v>NA</v>
          </cell>
          <cell r="I179" t="str">
            <v>NA</v>
          </cell>
          <cell r="J179">
            <v>39049.729166666664</v>
          </cell>
          <cell r="K179" t="str">
            <v>NA</v>
          </cell>
          <cell r="L179">
            <v>0.66</v>
          </cell>
          <cell r="M179">
            <v>15</v>
          </cell>
          <cell r="N179">
            <v>0</v>
          </cell>
          <cell r="O179">
            <v>0</v>
          </cell>
          <cell r="P179">
            <v>0</v>
          </cell>
          <cell r="Q179">
            <v>176</v>
          </cell>
          <cell r="S179" t="str">
            <v>EQUIPE ELE</v>
          </cell>
          <cell r="T179">
            <v>39049</v>
          </cell>
        </row>
        <row r="180">
          <cell r="B180" t="str">
            <v>DE.230.ET.01</v>
          </cell>
          <cell r="D180" t="str">
            <v>Especificação Técnica</v>
          </cell>
          <cell r="E180" t="str">
            <v>15 dias</v>
          </cell>
          <cell r="F180" t="str">
            <v>NA</v>
          </cell>
          <cell r="G180">
            <v>39021.333333333336</v>
          </cell>
          <cell r="H180" t="str">
            <v>NA</v>
          </cell>
          <cell r="I180" t="str">
            <v>NA</v>
          </cell>
          <cell r="J180">
            <v>39044.729166666664</v>
          </cell>
          <cell r="K180" t="str">
            <v>NA</v>
          </cell>
          <cell r="L180">
            <v>0.5</v>
          </cell>
          <cell r="M180">
            <v>11.5</v>
          </cell>
          <cell r="N180">
            <v>0</v>
          </cell>
          <cell r="O180">
            <v>0</v>
          </cell>
          <cell r="P180">
            <v>0</v>
          </cell>
          <cell r="Q180">
            <v>176</v>
          </cell>
          <cell r="S180" t="str">
            <v>EQUIPE ELE</v>
          </cell>
          <cell r="T180">
            <v>39044</v>
          </cell>
        </row>
        <row r="181">
          <cell r="D181" t="str">
            <v>Instrumentação</v>
          </cell>
          <cell r="E181" t="str">
            <v>5 dias</v>
          </cell>
          <cell r="F181" t="str">
            <v>NA</v>
          </cell>
          <cell r="G181">
            <v>39038.333333333336</v>
          </cell>
          <cell r="H181" t="str">
            <v>NA</v>
          </cell>
          <cell r="I181" t="str">
            <v>NA</v>
          </cell>
          <cell r="J181">
            <v>39044.729166666664</v>
          </cell>
          <cell r="K181" t="str">
            <v>NA</v>
          </cell>
          <cell r="L181">
            <v>0.04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T181">
            <v>39044</v>
          </cell>
        </row>
        <row r="182">
          <cell r="B182" t="str">
            <v>DT.230.AJ.01</v>
          </cell>
          <cell r="D182" t="str">
            <v>Arranjos/ Layout’s/ Plano Diretor - Locação De Instrumentos</v>
          </cell>
          <cell r="E182" t="str">
            <v>5 dias</v>
          </cell>
          <cell r="F182" t="str">
            <v>NA</v>
          </cell>
          <cell r="G182">
            <v>39038.333333333336</v>
          </cell>
          <cell r="H182" t="str">
            <v>NA</v>
          </cell>
          <cell r="I182" t="str">
            <v>NA</v>
          </cell>
          <cell r="J182">
            <v>39044.729166666664</v>
          </cell>
          <cell r="K182" t="str">
            <v>NA</v>
          </cell>
          <cell r="L182">
            <v>0.04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302</v>
          </cell>
          <cell r="S182" t="str">
            <v>EQUIPE TSA</v>
          </cell>
          <cell r="T182">
            <v>39044</v>
          </cell>
        </row>
        <row r="183">
          <cell r="B183" t="str">
            <v>1.1.6</v>
          </cell>
          <cell r="C183" t="str">
            <v>240A</v>
          </cell>
          <cell r="D183" t="str">
            <v>Separação Magnética de Grossos (2D)</v>
          </cell>
          <cell r="E183" t="str">
            <v>138 dias</v>
          </cell>
          <cell r="F183">
            <v>38853.333333333336</v>
          </cell>
          <cell r="G183">
            <v>38827.333333333336</v>
          </cell>
          <cell r="H183">
            <v>38827.333333333336</v>
          </cell>
          <cell r="I183">
            <v>38961.729166666664</v>
          </cell>
          <cell r="J183">
            <v>39037.729166666664</v>
          </cell>
          <cell r="K183" t="str">
            <v>NA</v>
          </cell>
          <cell r="L183">
            <v>4.3499999999999996</v>
          </cell>
          <cell r="M183">
            <v>99.63</v>
          </cell>
          <cell r="N183">
            <v>8.89</v>
          </cell>
          <cell r="O183">
            <v>8.92</v>
          </cell>
          <cell r="P183">
            <v>8.92</v>
          </cell>
          <cell r="T183">
            <v>39037</v>
          </cell>
        </row>
        <row r="184">
          <cell r="D184" t="str">
            <v>Projeto Básico</v>
          </cell>
          <cell r="E184" t="str">
            <v>77 dias</v>
          </cell>
          <cell r="F184">
            <v>38853.333333333336</v>
          </cell>
          <cell r="G184">
            <v>38827.333333333336</v>
          </cell>
          <cell r="H184">
            <v>38827.333333333336</v>
          </cell>
          <cell r="I184">
            <v>38870.729166666664</v>
          </cell>
          <cell r="J184">
            <v>38939.729166666664</v>
          </cell>
          <cell r="K184" t="str">
            <v>NA</v>
          </cell>
          <cell r="L184">
            <v>0.72</v>
          </cell>
          <cell r="M184">
            <v>16.38</v>
          </cell>
          <cell r="N184">
            <v>8.89</v>
          </cell>
          <cell r="O184">
            <v>54.27</v>
          </cell>
          <cell r="P184">
            <v>54.27</v>
          </cell>
          <cell r="T184">
            <v>38939</v>
          </cell>
        </row>
        <row r="185">
          <cell r="D185" t="str">
            <v>Processo</v>
          </cell>
          <cell r="E185" t="str">
            <v>67 dias</v>
          </cell>
          <cell r="F185">
            <v>38853.333333333336</v>
          </cell>
          <cell r="G185">
            <v>38827.333333333336</v>
          </cell>
          <cell r="H185">
            <v>38827.333333333336</v>
          </cell>
          <cell r="I185">
            <v>38859.729166666664</v>
          </cell>
          <cell r="J185">
            <v>38925.729166666664</v>
          </cell>
          <cell r="K185" t="str">
            <v>NA</v>
          </cell>
          <cell r="L185">
            <v>0.22</v>
          </cell>
          <cell r="M185">
            <v>5</v>
          </cell>
          <cell r="N185">
            <v>4.5</v>
          </cell>
          <cell r="O185">
            <v>90</v>
          </cell>
          <cell r="P185">
            <v>90</v>
          </cell>
          <cell r="T185">
            <v>38925</v>
          </cell>
        </row>
        <row r="186">
          <cell r="B186" t="str">
            <v>BP.240.FD.01</v>
          </cell>
          <cell r="D186" t="str">
            <v>FD's - Separ. Magnét. WDRE e Peneiras Desaguadoras</v>
          </cell>
          <cell r="E186" t="str">
            <v>67 dias</v>
          </cell>
          <cell r="F186">
            <v>38853.333333333336</v>
          </cell>
          <cell r="G186">
            <v>38827.333333333336</v>
          </cell>
          <cell r="H186">
            <v>38827.333333333336</v>
          </cell>
          <cell r="I186">
            <v>38859.729166666664</v>
          </cell>
          <cell r="J186">
            <v>38925.729166666664</v>
          </cell>
          <cell r="K186" t="str">
            <v>NA</v>
          </cell>
          <cell r="L186">
            <v>0.22</v>
          </cell>
          <cell r="M186">
            <v>5</v>
          </cell>
          <cell r="N186">
            <v>4.5</v>
          </cell>
          <cell r="O186">
            <v>90</v>
          </cell>
          <cell r="P186">
            <v>90</v>
          </cell>
          <cell r="Q186" t="str">
            <v>14II</v>
          </cell>
          <cell r="S186" t="str">
            <v>EQUIPE PRO</v>
          </cell>
          <cell r="T186">
            <v>38925</v>
          </cell>
        </row>
        <row r="187">
          <cell r="D187" t="str">
            <v>Mecânica</v>
          </cell>
          <cell r="E187" t="str">
            <v>74 dias</v>
          </cell>
          <cell r="F187">
            <v>38853.333333333336</v>
          </cell>
          <cell r="G187">
            <v>38833.333333333336</v>
          </cell>
          <cell r="H187">
            <v>38833.333333333336</v>
          </cell>
          <cell r="I187">
            <v>38870.729166666664</v>
          </cell>
          <cell r="J187">
            <v>38939.729166666664</v>
          </cell>
          <cell r="K187" t="str">
            <v>NA</v>
          </cell>
          <cell r="L187">
            <v>0.5</v>
          </cell>
          <cell r="M187">
            <v>11.38</v>
          </cell>
          <cell r="N187">
            <v>4.3899999999999997</v>
          </cell>
          <cell r="O187">
            <v>38.57</v>
          </cell>
          <cell r="P187">
            <v>38.57</v>
          </cell>
          <cell r="T187">
            <v>38939</v>
          </cell>
        </row>
        <row r="188">
          <cell r="B188" t="str">
            <v>BB.240.DB.01</v>
          </cell>
          <cell r="D188" t="str">
            <v>Desenho Básico - Plantas</v>
          </cell>
          <cell r="E188" t="str">
            <v>64 dias</v>
          </cell>
          <cell r="F188">
            <v>38853.333333333336</v>
          </cell>
          <cell r="G188">
            <v>38833.333333333336</v>
          </cell>
          <cell r="H188">
            <v>38833.333333333336</v>
          </cell>
          <cell r="I188">
            <v>38859.729166666664</v>
          </cell>
          <cell r="J188">
            <v>38925.729166666664</v>
          </cell>
          <cell r="K188" t="str">
            <v>NA</v>
          </cell>
          <cell r="L188">
            <v>0.15</v>
          </cell>
          <cell r="M188">
            <v>3.5</v>
          </cell>
          <cell r="N188">
            <v>3.15</v>
          </cell>
          <cell r="O188">
            <v>90</v>
          </cell>
          <cell r="P188">
            <v>90</v>
          </cell>
          <cell r="Q188" t="str">
            <v>14II</v>
          </cell>
          <cell r="R188" t="str">
            <v>187;191;194;275</v>
          </cell>
          <cell r="S188" t="str">
            <v>EQUIPE MEC[6%]</v>
          </cell>
          <cell r="T188">
            <v>38925</v>
          </cell>
        </row>
        <row r="189">
          <cell r="B189" t="str">
            <v>BB.240.DB.02</v>
          </cell>
          <cell r="D189" t="str">
            <v>Desenho Básico - Transportadores</v>
          </cell>
          <cell r="E189" t="str">
            <v>10 dias</v>
          </cell>
          <cell r="F189">
            <v>38860.333333333336</v>
          </cell>
          <cell r="G189">
            <v>38926.333333333336</v>
          </cell>
          <cell r="H189" t="str">
            <v>NA</v>
          </cell>
          <cell r="I189">
            <v>38867.729166666664</v>
          </cell>
          <cell r="J189">
            <v>38939.729166666664</v>
          </cell>
          <cell r="K189" t="str">
            <v>NA</v>
          </cell>
          <cell r="L189">
            <v>0.17</v>
          </cell>
          <cell r="M189">
            <v>4</v>
          </cell>
          <cell r="N189">
            <v>0</v>
          </cell>
          <cell r="O189">
            <v>0</v>
          </cell>
          <cell r="P189">
            <v>0</v>
          </cell>
          <cell r="Q189">
            <v>186</v>
          </cell>
          <cell r="R189" t="str">
            <v>188II;191</v>
          </cell>
          <cell r="S189" t="str">
            <v>EQUIPE MEC</v>
          </cell>
          <cell r="T189">
            <v>38939</v>
          </cell>
        </row>
        <row r="190">
          <cell r="B190" t="str">
            <v>BB.240.FD.01</v>
          </cell>
          <cell r="D190" t="str">
            <v>Folha De Dados - Transportadores</v>
          </cell>
          <cell r="E190" t="str">
            <v>4 dias</v>
          </cell>
          <cell r="F190">
            <v>38860.333333333336</v>
          </cell>
          <cell r="G190">
            <v>38936.333333333336</v>
          </cell>
          <cell r="H190">
            <v>38936.333333333336</v>
          </cell>
          <cell r="I190">
            <v>38870.729166666664</v>
          </cell>
          <cell r="J190">
            <v>38939.729166666664</v>
          </cell>
          <cell r="K190" t="str">
            <v>NA</v>
          </cell>
          <cell r="L190">
            <v>0.17</v>
          </cell>
          <cell r="M190">
            <v>3.88</v>
          </cell>
          <cell r="N190">
            <v>1.24</v>
          </cell>
          <cell r="O190">
            <v>31.94</v>
          </cell>
          <cell r="P190">
            <v>31.94</v>
          </cell>
          <cell r="Q190" t="str">
            <v>187II</v>
          </cell>
          <cell r="S190" t="str">
            <v>EQUIPE MEC</v>
          </cell>
          <cell r="T190">
            <v>38939</v>
          </cell>
        </row>
        <row r="191">
          <cell r="D191" t="str">
            <v>Projeto Detalhado</v>
          </cell>
          <cell r="E191" t="str">
            <v>71 dias</v>
          </cell>
          <cell r="F191">
            <v>38895.333333333336</v>
          </cell>
          <cell r="G191">
            <v>38926.333333333336</v>
          </cell>
          <cell r="H191" t="str">
            <v>NA</v>
          </cell>
          <cell r="I191">
            <v>38961.729166666664</v>
          </cell>
          <cell r="J191">
            <v>39037.729166666664</v>
          </cell>
          <cell r="K191" t="str">
            <v>NA</v>
          </cell>
          <cell r="L191">
            <v>3.64</v>
          </cell>
          <cell r="M191">
            <v>83.25</v>
          </cell>
          <cell r="N191">
            <v>0</v>
          </cell>
          <cell r="O191">
            <v>0</v>
          </cell>
          <cell r="P191">
            <v>0</v>
          </cell>
          <cell r="T191">
            <v>39037</v>
          </cell>
        </row>
        <row r="192">
          <cell r="D192" t="str">
            <v>Mecânica</v>
          </cell>
          <cell r="E192" t="str">
            <v>21 dias</v>
          </cell>
          <cell r="F192">
            <v>38895.333333333336</v>
          </cell>
          <cell r="G192">
            <v>38952.333333333336</v>
          </cell>
          <cell r="H192" t="str">
            <v>NA</v>
          </cell>
          <cell r="I192">
            <v>38937.729166666664</v>
          </cell>
          <cell r="J192">
            <v>38982.729166666664</v>
          </cell>
          <cell r="K192" t="str">
            <v>NA</v>
          </cell>
          <cell r="L192">
            <v>0.92</v>
          </cell>
          <cell r="M192">
            <v>21</v>
          </cell>
          <cell r="N192">
            <v>0</v>
          </cell>
          <cell r="O192">
            <v>0</v>
          </cell>
          <cell r="P192">
            <v>0</v>
          </cell>
          <cell r="T192">
            <v>38982</v>
          </cell>
        </row>
        <row r="193">
          <cell r="B193" t="str">
            <v>DB.240.DD.02</v>
          </cell>
          <cell r="D193" t="str">
            <v xml:space="preserve">Desenho De Detalhamento - Caldeiraria/ Chutes/ Apoio Peneiras  </v>
          </cell>
          <cell r="E193" t="str">
            <v>21 dias</v>
          </cell>
          <cell r="F193">
            <v>38895.333333333336</v>
          </cell>
          <cell r="G193">
            <v>38952.333333333336</v>
          </cell>
          <cell r="H193" t="str">
            <v>NA</v>
          </cell>
          <cell r="I193">
            <v>38923.729166666664</v>
          </cell>
          <cell r="J193">
            <v>38982.729166666664</v>
          </cell>
          <cell r="K193" t="str">
            <v>NA</v>
          </cell>
          <cell r="L193">
            <v>0.7</v>
          </cell>
          <cell r="M193">
            <v>16</v>
          </cell>
          <cell r="N193">
            <v>0</v>
          </cell>
          <cell r="O193">
            <v>0</v>
          </cell>
          <cell r="P193">
            <v>0</v>
          </cell>
          <cell r="Q193" t="str">
            <v>30TI+10 dias;186;187</v>
          </cell>
          <cell r="R193" t="str">
            <v>192TT</v>
          </cell>
          <cell r="S193" t="str">
            <v>EQUIPE MEC</v>
          </cell>
          <cell r="T193">
            <v>38982</v>
          </cell>
        </row>
        <row r="194">
          <cell r="B194" t="str">
            <v>DB.240.DM.01</v>
          </cell>
          <cell r="D194" t="str">
            <v>Diagrama De Montagem</v>
          </cell>
          <cell r="E194" t="str">
            <v>9 dias</v>
          </cell>
          <cell r="F194">
            <v>38924.333333333336</v>
          </cell>
          <cell r="G194">
            <v>38972.333333333336</v>
          </cell>
          <cell r="H194" t="str">
            <v>NA</v>
          </cell>
          <cell r="I194">
            <v>38937.729166666664</v>
          </cell>
          <cell r="J194">
            <v>38982.729166666664</v>
          </cell>
          <cell r="K194" t="str">
            <v>NA</v>
          </cell>
          <cell r="L194">
            <v>0.22</v>
          </cell>
          <cell r="M194">
            <v>5</v>
          </cell>
          <cell r="N194">
            <v>0</v>
          </cell>
          <cell r="O194">
            <v>0</v>
          </cell>
          <cell r="P194">
            <v>0</v>
          </cell>
          <cell r="Q194" t="str">
            <v>191TT</v>
          </cell>
          <cell r="R194">
            <v>196</v>
          </cell>
          <cell r="S194" t="str">
            <v>EQUIPE MEC</v>
          </cell>
          <cell r="T194">
            <v>38982</v>
          </cell>
        </row>
        <row r="195">
          <cell r="D195" t="str">
            <v>Civil</v>
          </cell>
          <cell r="E195" t="str">
            <v>30 dias</v>
          </cell>
          <cell r="F195">
            <v>38924.333333333336</v>
          </cell>
          <cell r="G195">
            <v>38926.333333333336</v>
          </cell>
          <cell r="H195" t="str">
            <v>NA</v>
          </cell>
          <cell r="I195">
            <v>38933.729166666664</v>
          </cell>
          <cell r="J195">
            <v>38973.729166666664</v>
          </cell>
          <cell r="K195" t="str">
            <v>NA</v>
          </cell>
          <cell r="L195">
            <v>0.17</v>
          </cell>
          <cell r="M195">
            <v>4</v>
          </cell>
          <cell r="N195">
            <v>0</v>
          </cell>
          <cell r="O195">
            <v>0</v>
          </cell>
          <cell r="P195">
            <v>0</v>
          </cell>
          <cell r="T195">
            <v>38973</v>
          </cell>
        </row>
        <row r="196">
          <cell r="B196" t="str">
            <v>DC.240.DD.01</v>
          </cell>
          <cell r="D196" t="str">
            <v>Desenho De Detalhamento - Fundação, Forma, Armação e Piso</v>
          </cell>
          <cell r="E196" t="str">
            <v>30 dias</v>
          </cell>
          <cell r="F196">
            <v>38924.333333333336</v>
          </cell>
          <cell r="G196">
            <v>38926.333333333336</v>
          </cell>
          <cell r="H196" t="str">
            <v>NA</v>
          </cell>
          <cell r="I196">
            <v>38933.729166666664</v>
          </cell>
          <cell r="J196">
            <v>38973.729166666664</v>
          </cell>
          <cell r="K196" t="str">
            <v>NA</v>
          </cell>
          <cell r="L196">
            <v>0.17</v>
          </cell>
          <cell r="M196">
            <v>4</v>
          </cell>
          <cell r="N196">
            <v>0</v>
          </cell>
          <cell r="O196">
            <v>0</v>
          </cell>
          <cell r="P196">
            <v>0</v>
          </cell>
          <cell r="Q196">
            <v>186</v>
          </cell>
          <cell r="R196">
            <v>201</v>
          </cell>
          <cell r="S196" t="str">
            <v>EQUIPE CIV[23%]</v>
          </cell>
          <cell r="T196">
            <v>38973</v>
          </cell>
        </row>
        <row r="197">
          <cell r="D197" t="str">
            <v>Estrutura Metálica</v>
          </cell>
          <cell r="E197" t="str">
            <v>25 dias</v>
          </cell>
          <cell r="F197">
            <v>38924.333333333336</v>
          </cell>
          <cell r="G197">
            <v>38985.333333333336</v>
          </cell>
          <cell r="H197" t="str">
            <v>NA</v>
          </cell>
          <cell r="I197">
            <v>38961.729166666664</v>
          </cell>
          <cell r="J197">
            <v>39021.729166666664</v>
          </cell>
          <cell r="K197" t="str">
            <v>NA</v>
          </cell>
          <cell r="L197">
            <v>1.89</v>
          </cell>
          <cell r="M197">
            <v>43.25</v>
          </cell>
          <cell r="N197">
            <v>0</v>
          </cell>
          <cell r="O197">
            <v>0</v>
          </cell>
          <cell r="P197">
            <v>0</v>
          </cell>
          <cell r="T197">
            <v>39021</v>
          </cell>
        </row>
        <row r="198">
          <cell r="B198" t="str">
            <v>DD.240.DP.01</v>
          </cell>
          <cell r="D198" t="str">
            <v>Desenho De Projeto - Peneiramento</v>
          </cell>
          <cell r="E198" t="str">
            <v>20 dias</v>
          </cell>
          <cell r="F198">
            <v>38924.333333333336</v>
          </cell>
          <cell r="G198">
            <v>38985.333333333336</v>
          </cell>
          <cell r="H198" t="str">
            <v>NA</v>
          </cell>
          <cell r="I198">
            <v>38953.729166666664</v>
          </cell>
          <cell r="J198">
            <v>39014.729166666664</v>
          </cell>
          <cell r="K198" t="str">
            <v>NA</v>
          </cell>
          <cell r="L198">
            <v>0.79</v>
          </cell>
          <cell r="M198">
            <v>18</v>
          </cell>
          <cell r="N198">
            <v>0</v>
          </cell>
          <cell r="O198">
            <v>0</v>
          </cell>
          <cell r="P198">
            <v>0</v>
          </cell>
          <cell r="Q198">
            <v>192</v>
          </cell>
          <cell r="R198" t="str">
            <v>197;198II</v>
          </cell>
          <cell r="S198" t="str">
            <v>EQUIPE MET</v>
          </cell>
          <cell r="T198">
            <v>39014</v>
          </cell>
        </row>
        <row r="199">
          <cell r="B199" t="str">
            <v>DD.240.LM.01</v>
          </cell>
          <cell r="D199" t="str">
            <v>Lista De Materiais - Peneiramento</v>
          </cell>
          <cell r="E199" t="str">
            <v>1 dia</v>
          </cell>
          <cell r="F199">
            <v>38954.333333333336</v>
          </cell>
          <cell r="G199">
            <v>39015.333333333336</v>
          </cell>
          <cell r="H199" t="str">
            <v>NA</v>
          </cell>
          <cell r="I199">
            <v>38957.729166666664</v>
          </cell>
          <cell r="J199">
            <v>39015.729166666664</v>
          </cell>
          <cell r="K199" t="str">
            <v>NA</v>
          </cell>
          <cell r="L199">
            <v>0.01</v>
          </cell>
          <cell r="M199">
            <v>0.25</v>
          </cell>
          <cell r="N199">
            <v>0</v>
          </cell>
          <cell r="O199">
            <v>0</v>
          </cell>
          <cell r="P199">
            <v>0</v>
          </cell>
          <cell r="Q199">
            <v>196</v>
          </cell>
          <cell r="S199" t="str">
            <v>EQUIPE MET</v>
          </cell>
          <cell r="T199">
            <v>39015</v>
          </cell>
        </row>
        <row r="200">
          <cell r="B200" t="str">
            <v>DD.240.MC.01</v>
          </cell>
          <cell r="D200" t="str">
            <v>Memória De Cálculo - Peneiramento</v>
          </cell>
          <cell r="E200" t="str">
            <v>25 dias</v>
          </cell>
          <cell r="F200">
            <v>38924.333333333336</v>
          </cell>
          <cell r="G200">
            <v>38985.333333333336</v>
          </cell>
          <cell r="H200" t="str">
            <v>NA</v>
          </cell>
          <cell r="I200">
            <v>38961.729166666664</v>
          </cell>
          <cell r="J200">
            <v>39021.729166666664</v>
          </cell>
          <cell r="K200" t="str">
            <v>NA</v>
          </cell>
          <cell r="L200">
            <v>1.0900000000000001</v>
          </cell>
          <cell r="M200">
            <v>25</v>
          </cell>
          <cell r="N200">
            <v>0</v>
          </cell>
          <cell r="O200">
            <v>0</v>
          </cell>
          <cell r="P200">
            <v>0</v>
          </cell>
          <cell r="Q200" t="str">
            <v>196II</v>
          </cell>
          <cell r="S200" t="str">
            <v>EQUIPE MET</v>
          </cell>
          <cell r="T200">
            <v>39021</v>
          </cell>
        </row>
        <row r="201">
          <cell r="D201" t="str">
            <v>Elétrica</v>
          </cell>
          <cell r="E201" t="str">
            <v>29 dias</v>
          </cell>
          <cell r="F201">
            <v>38933.333333333336</v>
          </cell>
          <cell r="G201">
            <v>38974.333333333336</v>
          </cell>
          <cell r="H201" t="str">
            <v>NA</v>
          </cell>
          <cell r="I201">
            <v>38961.729166666664</v>
          </cell>
          <cell r="J201">
            <v>39016.729166666664</v>
          </cell>
          <cell r="K201" t="str">
            <v>NA</v>
          </cell>
          <cell r="L201">
            <v>0.56999999999999995</v>
          </cell>
          <cell r="M201">
            <v>13</v>
          </cell>
          <cell r="N201">
            <v>0</v>
          </cell>
          <cell r="O201">
            <v>0</v>
          </cell>
          <cell r="P201">
            <v>0</v>
          </cell>
          <cell r="T201">
            <v>39016</v>
          </cell>
        </row>
        <row r="202">
          <cell r="D202" t="str">
            <v>Desenho De Detalhamento</v>
          </cell>
          <cell r="E202" t="str">
            <v>22 dias</v>
          </cell>
          <cell r="F202">
            <v>38933.333333333336</v>
          </cell>
          <cell r="G202">
            <v>38974.333333333336</v>
          </cell>
          <cell r="H202" t="str">
            <v>NA</v>
          </cell>
          <cell r="I202">
            <v>38951.729166666664</v>
          </cell>
          <cell r="J202">
            <v>39007.729166666664</v>
          </cell>
          <cell r="K202" t="str">
            <v>NA</v>
          </cell>
          <cell r="L202">
            <v>0.44</v>
          </cell>
          <cell r="M202">
            <v>10</v>
          </cell>
          <cell r="N202">
            <v>0</v>
          </cell>
          <cell r="O202">
            <v>0</v>
          </cell>
          <cell r="P202">
            <v>0</v>
          </cell>
          <cell r="R202">
            <v>203</v>
          </cell>
          <cell r="T202">
            <v>39007</v>
          </cell>
        </row>
        <row r="203">
          <cell r="B203" t="str">
            <v>DE.240.DD.01</v>
          </cell>
          <cell r="D203" t="str">
            <v>Disposição De Força, Controle e Aterramento</v>
          </cell>
          <cell r="E203" t="str">
            <v>11 dias</v>
          </cell>
          <cell r="F203">
            <v>38933.333333333336</v>
          </cell>
          <cell r="G203">
            <v>38974.333333333336</v>
          </cell>
          <cell r="H203" t="str">
            <v>NA</v>
          </cell>
          <cell r="I203">
            <v>38951.729166666664</v>
          </cell>
          <cell r="J203">
            <v>38988.729166666664</v>
          </cell>
          <cell r="K203" t="str">
            <v>NA</v>
          </cell>
          <cell r="L203">
            <v>0.22</v>
          </cell>
          <cell r="M203">
            <v>5</v>
          </cell>
          <cell r="N203">
            <v>0</v>
          </cell>
          <cell r="O203">
            <v>0</v>
          </cell>
          <cell r="P203">
            <v>0</v>
          </cell>
          <cell r="Q203">
            <v>194</v>
          </cell>
          <cell r="R203">
            <v>202</v>
          </cell>
          <cell r="S203" t="str">
            <v>EQUIPE ELE</v>
          </cell>
          <cell r="T203">
            <v>38988</v>
          </cell>
        </row>
        <row r="204">
          <cell r="B204" t="str">
            <v>DE.240.DD.02</v>
          </cell>
          <cell r="D204" t="str">
            <v>Iluminação</v>
          </cell>
          <cell r="E204" t="str">
            <v>11 dias</v>
          </cell>
          <cell r="F204">
            <v>38933.333333333336</v>
          </cell>
          <cell r="G204">
            <v>38989.333333333336</v>
          </cell>
          <cell r="H204" t="str">
            <v>NA</v>
          </cell>
          <cell r="I204">
            <v>38951.729166666664</v>
          </cell>
          <cell r="J204">
            <v>39007.729166666664</v>
          </cell>
          <cell r="K204" t="str">
            <v>NA</v>
          </cell>
          <cell r="L204">
            <v>0.22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201</v>
          </cell>
          <cell r="S204" t="str">
            <v>EQUIPE ELE</v>
          </cell>
          <cell r="T204">
            <v>39007</v>
          </cell>
        </row>
        <row r="205">
          <cell r="B205" t="str">
            <v>DE.240.LC.01</v>
          </cell>
          <cell r="D205" t="str">
            <v>Lista De Linhas/ Cabos</v>
          </cell>
          <cell r="E205" t="str">
            <v>7 dias</v>
          </cell>
          <cell r="F205">
            <v>38952.333333333336</v>
          </cell>
          <cell r="G205">
            <v>39008.333333333336</v>
          </cell>
          <cell r="H205" t="str">
            <v>NA</v>
          </cell>
          <cell r="I205">
            <v>38961.729166666664</v>
          </cell>
          <cell r="J205">
            <v>39016.729166666664</v>
          </cell>
          <cell r="K205" t="str">
            <v>NA</v>
          </cell>
          <cell r="L205">
            <v>0.13</v>
          </cell>
          <cell r="M205">
            <v>3</v>
          </cell>
          <cell r="N205">
            <v>0</v>
          </cell>
          <cell r="O205">
            <v>0</v>
          </cell>
          <cell r="P205">
            <v>0</v>
          </cell>
          <cell r="Q205">
            <v>200</v>
          </cell>
          <cell r="S205" t="str">
            <v>EQUIPE ELE</v>
          </cell>
          <cell r="T205">
            <v>39016</v>
          </cell>
        </row>
        <row r="206">
          <cell r="D206" t="str">
            <v>Instrumentação</v>
          </cell>
          <cell r="E206" t="str">
            <v>8 dias</v>
          </cell>
          <cell r="F206">
            <v>38924.333333333336</v>
          </cell>
          <cell r="G206">
            <v>39027.333333333336</v>
          </cell>
          <cell r="H206" t="str">
            <v>NA</v>
          </cell>
          <cell r="I206">
            <v>38936.729166666664</v>
          </cell>
          <cell r="J206">
            <v>39037.729166666664</v>
          </cell>
          <cell r="K206" t="str">
            <v>NA</v>
          </cell>
          <cell r="L206">
            <v>0.09</v>
          </cell>
          <cell r="M206">
            <v>2</v>
          </cell>
          <cell r="N206">
            <v>0</v>
          </cell>
          <cell r="O206">
            <v>0</v>
          </cell>
          <cell r="P206">
            <v>0</v>
          </cell>
          <cell r="T206">
            <v>39037</v>
          </cell>
        </row>
        <row r="207">
          <cell r="B207" t="str">
            <v>DT.240.AJ.01</v>
          </cell>
          <cell r="D207" t="str">
            <v>Arranjos/ Layout’s/ Plano Diretor - Locação De Instrumentos</v>
          </cell>
          <cell r="E207" t="str">
            <v>8 dias</v>
          </cell>
          <cell r="F207">
            <v>38924.333333333336</v>
          </cell>
          <cell r="G207">
            <v>39027.333333333336</v>
          </cell>
          <cell r="H207" t="str">
            <v>NA</v>
          </cell>
          <cell r="I207">
            <v>38936.729166666664</v>
          </cell>
          <cell r="J207">
            <v>39037.729166666664</v>
          </cell>
          <cell r="K207" t="str">
            <v>NA</v>
          </cell>
          <cell r="L207">
            <v>0.09</v>
          </cell>
          <cell r="M207">
            <v>2</v>
          </cell>
          <cell r="N207">
            <v>0</v>
          </cell>
          <cell r="O207">
            <v>0</v>
          </cell>
          <cell r="P207">
            <v>0</v>
          </cell>
          <cell r="Q207">
            <v>417</v>
          </cell>
          <cell r="S207" t="str">
            <v>EQUIPE TSA</v>
          </cell>
          <cell r="T207">
            <v>39037</v>
          </cell>
        </row>
        <row r="208">
          <cell r="B208" t="str">
            <v>1.1.7</v>
          </cell>
          <cell r="C208" t="str">
            <v>245A</v>
          </cell>
          <cell r="D208" t="str">
            <v>Circuito de Espirais (1C)</v>
          </cell>
          <cell r="E208" t="str">
            <v>109 dias</v>
          </cell>
          <cell r="F208">
            <v>38833.333333333336</v>
          </cell>
          <cell r="G208">
            <v>38855.333333333336</v>
          </cell>
          <cell r="H208">
            <v>38855.333333333336</v>
          </cell>
          <cell r="I208">
            <v>38909.375</v>
          </cell>
          <cell r="J208">
            <v>39017.729166666664</v>
          </cell>
          <cell r="K208" t="str">
            <v>NA</v>
          </cell>
          <cell r="L208">
            <v>2.48</v>
          </cell>
          <cell r="M208">
            <v>56.63</v>
          </cell>
          <cell r="N208">
            <v>16.38</v>
          </cell>
          <cell r="O208">
            <v>28.92</v>
          </cell>
          <cell r="P208">
            <v>28.92</v>
          </cell>
          <cell r="T208">
            <v>39017</v>
          </cell>
        </row>
        <row r="209">
          <cell r="D209" t="str">
            <v>Projeto Básico</v>
          </cell>
          <cell r="E209" t="str">
            <v>65 dias</v>
          </cell>
          <cell r="F209">
            <v>38833.333333333336</v>
          </cell>
          <cell r="G209">
            <v>38855.333333333336</v>
          </cell>
          <cell r="H209">
            <v>38855.333333333336</v>
          </cell>
          <cell r="I209">
            <v>38853.729166666664</v>
          </cell>
          <cell r="J209">
            <v>38951.729166666664</v>
          </cell>
          <cell r="K209" t="str">
            <v>NA</v>
          </cell>
          <cell r="L209">
            <v>1.36</v>
          </cell>
          <cell r="M209">
            <v>31.13</v>
          </cell>
          <cell r="N209">
            <v>16.38</v>
          </cell>
          <cell r="O209">
            <v>52.61</v>
          </cell>
          <cell r="P209">
            <v>52.61</v>
          </cell>
          <cell r="T209">
            <v>38951</v>
          </cell>
        </row>
        <row r="210">
          <cell r="D210" t="str">
            <v>Processo</v>
          </cell>
          <cell r="E210" t="str">
            <v>3 dias</v>
          </cell>
          <cell r="F210">
            <v>38833.333333333336</v>
          </cell>
          <cell r="G210">
            <v>38929.333333333336</v>
          </cell>
          <cell r="H210">
            <v>38929.333333333336</v>
          </cell>
          <cell r="I210">
            <v>38839.729166666664</v>
          </cell>
          <cell r="J210">
            <v>38931.729166666664</v>
          </cell>
          <cell r="K210" t="str">
            <v>NA</v>
          </cell>
          <cell r="L210">
            <v>0.16</v>
          </cell>
          <cell r="M210">
            <v>3.75</v>
          </cell>
          <cell r="N210">
            <v>2.5299999999999998</v>
          </cell>
          <cell r="O210">
            <v>67.33</v>
          </cell>
          <cell r="P210">
            <v>67.33</v>
          </cell>
          <cell r="T210">
            <v>38931</v>
          </cell>
        </row>
        <row r="211">
          <cell r="B211" t="str">
            <v>BP.245.FD.01</v>
          </cell>
          <cell r="D211" t="str">
            <v>Folha De Dados - Espirais de Humphreys/ Hidrociclones</v>
          </cell>
          <cell r="E211" t="str">
            <v>3 dias</v>
          </cell>
          <cell r="F211">
            <v>38833.333333333336</v>
          </cell>
          <cell r="G211">
            <v>38929.333333333336</v>
          </cell>
          <cell r="H211">
            <v>38929.333333333336</v>
          </cell>
          <cell r="I211">
            <v>38839.729166666664</v>
          </cell>
          <cell r="J211">
            <v>38931.729166666664</v>
          </cell>
          <cell r="K211" t="str">
            <v>NA</v>
          </cell>
          <cell r="L211">
            <v>0.16</v>
          </cell>
          <cell r="M211">
            <v>3.75</v>
          </cell>
          <cell r="N211">
            <v>2.5299999999999998</v>
          </cell>
          <cell r="O211">
            <v>67.33</v>
          </cell>
          <cell r="P211">
            <v>67.33</v>
          </cell>
          <cell r="Q211" t="str">
            <v>14II</v>
          </cell>
          <cell r="S211" t="str">
            <v>EQUIPE PRO</v>
          </cell>
          <cell r="T211">
            <v>38931</v>
          </cell>
        </row>
        <row r="212">
          <cell r="D212" t="str">
            <v>Mecânica</v>
          </cell>
          <cell r="E212" t="str">
            <v>30 dias</v>
          </cell>
          <cell r="F212">
            <v>38839.333333333336</v>
          </cell>
          <cell r="G212">
            <v>38905.333333333336</v>
          </cell>
          <cell r="H212">
            <v>38905.333333333336</v>
          </cell>
          <cell r="I212">
            <v>38853.729166666664</v>
          </cell>
          <cell r="J212">
            <v>38950.729166666664</v>
          </cell>
          <cell r="K212" t="str">
            <v>NA</v>
          </cell>
          <cell r="L212">
            <v>0.28000000000000003</v>
          </cell>
          <cell r="M212">
            <v>6.5</v>
          </cell>
          <cell r="N212">
            <v>1.25</v>
          </cell>
          <cell r="O212">
            <v>19.23</v>
          </cell>
          <cell r="P212">
            <v>19.23</v>
          </cell>
          <cell r="T212">
            <v>38950</v>
          </cell>
        </row>
        <row r="213">
          <cell r="B213" t="str">
            <v>BB.245.DB.01</v>
          </cell>
          <cell r="D213" t="str">
            <v>Desenho Básico - Planta e Cortes</v>
          </cell>
          <cell r="E213" t="str">
            <v>25 dias</v>
          </cell>
          <cell r="F213">
            <v>38839.333333333336</v>
          </cell>
          <cell r="G213">
            <v>38905.333333333336</v>
          </cell>
          <cell r="H213" t="str">
            <v>NA</v>
          </cell>
          <cell r="I213">
            <v>38853.729166666664</v>
          </cell>
          <cell r="J213">
            <v>38939.729166666664</v>
          </cell>
          <cell r="K213" t="str">
            <v>NA</v>
          </cell>
          <cell r="L213">
            <v>0.22</v>
          </cell>
          <cell r="M213">
            <v>5</v>
          </cell>
          <cell r="N213">
            <v>0</v>
          </cell>
          <cell r="O213">
            <v>0</v>
          </cell>
          <cell r="P213">
            <v>0</v>
          </cell>
          <cell r="Q213" t="str">
            <v>119II</v>
          </cell>
          <cell r="R213" t="str">
            <v>212;216;220;223</v>
          </cell>
          <cell r="S213" t="str">
            <v>EQUIPE MEC[48%]</v>
          </cell>
          <cell r="T213">
            <v>38939</v>
          </cell>
        </row>
        <row r="214">
          <cell r="B214" t="str">
            <v>BB.245.DB.02</v>
          </cell>
          <cell r="D214" t="str">
            <v>Desenho Básico - Distribuidor Polpa</v>
          </cell>
          <cell r="E214" t="str">
            <v>5 dias</v>
          </cell>
          <cell r="F214" t="str">
            <v>NA</v>
          </cell>
          <cell r="G214">
            <v>38940.333333333336</v>
          </cell>
          <cell r="H214">
            <v>38940.333333333336</v>
          </cell>
          <cell r="I214" t="str">
            <v>NA</v>
          </cell>
          <cell r="J214">
            <v>38950.729166666664</v>
          </cell>
          <cell r="K214" t="str">
            <v>NA</v>
          </cell>
          <cell r="L214">
            <v>7.0000000000000007E-2</v>
          </cell>
          <cell r="M214">
            <v>1.5</v>
          </cell>
          <cell r="N214">
            <v>1.25</v>
          </cell>
          <cell r="O214">
            <v>83.33</v>
          </cell>
          <cell r="P214">
            <v>83.33</v>
          </cell>
          <cell r="Q214">
            <v>211</v>
          </cell>
          <cell r="R214">
            <v>220</v>
          </cell>
          <cell r="S214" t="str">
            <v>EQUIPE MEC</v>
          </cell>
          <cell r="T214">
            <v>38950</v>
          </cell>
        </row>
        <row r="215">
          <cell r="D215" t="str">
            <v>Tubulação</v>
          </cell>
          <cell r="E215" t="str">
            <v>28 dias</v>
          </cell>
          <cell r="F215" t="str">
            <v>NA</v>
          </cell>
          <cell r="G215">
            <v>38855.333333333336</v>
          </cell>
          <cell r="H215">
            <v>38855.333333333336</v>
          </cell>
          <cell r="I215" t="str">
            <v>NA</v>
          </cell>
          <cell r="J215">
            <v>38896.729166666664</v>
          </cell>
          <cell r="K215" t="str">
            <v>NA</v>
          </cell>
          <cell r="L215">
            <v>0.61</v>
          </cell>
          <cell r="M215">
            <v>14</v>
          </cell>
          <cell r="N215">
            <v>12.6</v>
          </cell>
          <cell r="O215">
            <v>90</v>
          </cell>
          <cell r="P215">
            <v>90</v>
          </cell>
          <cell r="T215">
            <v>38896</v>
          </cell>
        </row>
        <row r="216">
          <cell r="B216" t="str">
            <v>BH.245.MC.01</v>
          </cell>
          <cell r="D216" t="str">
            <v>Memória De Cálculo</v>
          </cell>
          <cell r="E216" t="str">
            <v>28 dias</v>
          </cell>
          <cell r="F216" t="str">
            <v>NA</v>
          </cell>
          <cell r="G216">
            <v>38855.333333333336</v>
          </cell>
          <cell r="H216">
            <v>38855.333333333336</v>
          </cell>
          <cell r="I216" t="str">
            <v>NA</v>
          </cell>
          <cell r="J216">
            <v>38896.729166666664</v>
          </cell>
          <cell r="K216" t="str">
            <v>NA</v>
          </cell>
          <cell r="L216">
            <v>0.61</v>
          </cell>
          <cell r="M216">
            <v>14</v>
          </cell>
          <cell r="N216">
            <v>12.6</v>
          </cell>
          <cell r="O216">
            <v>90</v>
          </cell>
          <cell r="P216">
            <v>90</v>
          </cell>
          <cell r="Q216" t="str">
            <v>39II</v>
          </cell>
          <cell r="T216">
            <v>38896</v>
          </cell>
        </row>
        <row r="217">
          <cell r="D217" t="str">
            <v>Estrutura Metálica</v>
          </cell>
          <cell r="E217" t="str">
            <v>6 dias</v>
          </cell>
          <cell r="F217" t="str">
            <v>NA</v>
          </cell>
          <cell r="G217">
            <v>38940.333333333336</v>
          </cell>
          <cell r="H217" t="str">
            <v>NA</v>
          </cell>
          <cell r="I217" t="str">
            <v>NA</v>
          </cell>
          <cell r="J217">
            <v>38951.729166666664</v>
          </cell>
          <cell r="K217" t="str">
            <v>NA</v>
          </cell>
          <cell r="L217">
            <v>0.3</v>
          </cell>
          <cell r="M217">
            <v>6.88</v>
          </cell>
          <cell r="N217">
            <v>0</v>
          </cell>
          <cell r="O217">
            <v>0</v>
          </cell>
          <cell r="P217">
            <v>0</v>
          </cell>
          <cell r="T217">
            <v>38951</v>
          </cell>
        </row>
        <row r="218">
          <cell r="B218" t="str">
            <v>BD.245.MC.01</v>
          </cell>
          <cell r="D218" t="str">
            <v>Memória De Cálculo</v>
          </cell>
          <cell r="E218" t="str">
            <v>6 dias</v>
          </cell>
          <cell r="F218" t="str">
            <v>NA</v>
          </cell>
          <cell r="G218">
            <v>38940.333333333336</v>
          </cell>
          <cell r="H218" t="str">
            <v>NA</v>
          </cell>
          <cell r="I218" t="str">
            <v>NA</v>
          </cell>
          <cell r="J218">
            <v>38951.729166666664</v>
          </cell>
          <cell r="K218" t="str">
            <v>NA</v>
          </cell>
          <cell r="L218">
            <v>0.3</v>
          </cell>
          <cell r="M218">
            <v>6.88</v>
          </cell>
          <cell r="N218">
            <v>0</v>
          </cell>
          <cell r="O218">
            <v>0</v>
          </cell>
          <cell r="P218">
            <v>0</v>
          </cell>
          <cell r="Q218">
            <v>211</v>
          </cell>
          <cell r="R218">
            <v>223</v>
          </cell>
          <cell r="S218" t="str">
            <v>EQUIPE MET</v>
          </cell>
          <cell r="T218">
            <v>38951</v>
          </cell>
        </row>
        <row r="219">
          <cell r="D219" t="str">
            <v>Projeto Detalhado</v>
          </cell>
          <cell r="E219" t="str">
            <v>44 dias</v>
          </cell>
          <cell r="F219">
            <v>38860.375</v>
          </cell>
          <cell r="G219">
            <v>38952.333333333336</v>
          </cell>
          <cell r="H219" t="str">
            <v>NA</v>
          </cell>
          <cell r="I219">
            <v>38897.729166666664</v>
          </cell>
          <cell r="J219">
            <v>39017.729166666664</v>
          </cell>
          <cell r="K219" t="str">
            <v>NA</v>
          </cell>
          <cell r="L219">
            <v>1.1100000000000001</v>
          </cell>
          <cell r="M219">
            <v>25.5</v>
          </cell>
          <cell r="N219">
            <v>0</v>
          </cell>
          <cell r="O219">
            <v>0</v>
          </cell>
          <cell r="P219">
            <v>0</v>
          </cell>
          <cell r="T219">
            <v>39017</v>
          </cell>
        </row>
        <row r="220">
          <cell r="D220" t="str">
            <v>Mecânica</v>
          </cell>
          <cell r="E220" t="str">
            <v>22 dias</v>
          </cell>
          <cell r="F220">
            <v>38860.333333333336</v>
          </cell>
          <cell r="G220">
            <v>38952.333333333336</v>
          </cell>
          <cell r="H220" t="str">
            <v>NA</v>
          </cell>
          <cell r="I220">
            <v>38888.729166666664</v>
          </cell>
          <cell r="J220">
            <v>38985.729166666664</v>
          </cell>
          <cell r="K220" t="str">
            <v>NA</v>
          </cell>
          <cell r="L220">
            <v>0.48</v>
          </cell>
          <cell r="M220">
            <v>11</v>
          </cell>
          <cell r="N220">
            <v>0</v>
          </cell>
          <cell r="O220">
            <v>0</v>
          </cell>
          <cell r="P220">
            <v>0</v>
          </cell>
          <cell r="T220">
            <v>38985</v>
          </cell>
        </row>
        <row r="221">
          <cell r="D221" t="str">
            <v>Desenho De Detalhamento</v>
          </cell>
          <cell r="E221" t="str">
            <v>22 dias</v>
          </cell>
          <cell r="F221">
            <v>38860.333333333336</v>
          </cell>
          <cell r="G221">
            <v>38952.333333333336</v>
          </cell>
          <cell r="H221" t="str">
            <v>NA</v>
          </cell>
          <cell r="I221">
            <v>38888.729166666664</v>
          </cell>
          <cell r="J221">
            <v>38985.729166666664</v>
          </cell>
          <cell r="K221" t="str">
            <v>NA</v>
          </cell>
          <cell r="L221">
            <v>0.48</v>
          </cell>
          <cell r="M221">
            <v>11</v>
          </cell>
          <cell r="N221">
            <v>0</v>
          </cell>
          <cell r="O221">
            <v>0</v>
          </cell>
          <cell r="P221">
            <v>0</v>
          </cell>
          <cell r="T221">
            <v>38985</v>
          </cell>
        </row>
        <row r="222">
          <cell r="B222" t="str">
            <v>DB.245.DD.01</v>
          </cell>
          <cell r="D222" t="str">
            <v>Caldeiraria</v>
          </cell>
          <cell r="E222" t="str">
            <v>10 dias</v>
          </cell>
          <cell r="F222">
            <v>38860.333333333336</v>
          </cell>
          <cell r="G222">
            <v>38952.333333333336</v>
          </cell>
          <cell r="H222" t="str">
            <v>NA</v>
          </cell>
          <cell r="I222">
            <v>38868.729166666664</v>
          </cell>
          <cell r="J222">
            <v>38965.729166666664</v>
          </cell>
          <cell r="K222" t="str">
            <v>NA</v>
          </cell>
          <cell r="L222">
            <v>0.13</v>
          </cell>
          <cell r="M222">
            <v>3</v>
          </cell>
          <cell r="N222">
            <v>0</v>
          </cell>
          <cell r="O222">
            <v>0</v>
          </cell>
          <cell r="P222">
            <v>0</v>
          </cell>
          <cell r="Q222" t="str">
            <v>30TI+10 dias;211;212</v>
          </cell>
          <cell r="R222">
            <v>221</v>
          </cell>
          <cell r="S222" t="str">
            <v>EQUIPE MEC[60%]</v>
          </cell>
          <cell r="T222">
            <v>38965</v>
          </cell>
        </row>
        <row r="223">
          <cell r="B223" t="str">
            <v>DB.245.DD.02</v>
          </cell>
          <cell r="D223" t="str">
            <v>Calhas</v>
          </cell>
          <cell r="E223" t="str">
            <v>12 dias</v>
          </cell>
          <cell r="F223">
            <v>38869.333333333336</v>
          </cell>
          <cell r="G223">
            <v>38966.333333333336</v>
          </cell>
          <cell r="H223" t="str">
            <v>NA</v>
          </cell>
          <cell r="I223">
            <v>38888.729166666664</v>
          </cell>
          <cell r="J223">
            <v>38985.729166666664</v>
          </cell>
          <cell r="K223" t="str">
            <v>NA</v>
          </cell>
          <cell r="L223">
            <v>0.35</v>
          </cell>
          <cell r="M223">
            <v>8</v>
          </cell>
          <cell r="N223">
            <v>0</v>
          </cell>
          <cell r="O223">
            <v>0</v>
          </cell>
          <cell r="P223">
            <v>0</v>
          </cell>
          <cell r="Q223">
            <v>220</v>
          </cell>
          <cell r="S223" t="str">
            <v>EQUIPE MEC</v>
          </cell>
          <cell r="T223">
            <v>38985</v>
          </cell>
        </row>
        <row r="224">
          <cell r="D224" t="str">
            <v>Civil</v>
          </cell>
          <cell r="E224" t="str">
            <v>11 dias</v>
          </cell>
          <cell r="F224">
            <v>38888.333333333336</v>
          </cell>
          <cell r="G224">
            <v>38952.333333333336</v>
          </cell>
          <cell r="H224" t="str">
            <v>NA</v>
          </cell>
          <cell r="I224">
            <v>38897.729166666664</v>
          </cell>
          <cell r="J224">
            <v>38966.729166666664</v>
          </cell>
          <cell r="K224" t="str">
            <v>NA</v>
          </cell>
          <cell r="L224">
            <v>0.17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T224">
            <v>38966</v>
          </cell>
        </row>
        <row r="225">
          <cell r="B225" t="str">
            <v>DC.245.DD.01</v>
          </cell>
          <cell r="D225" t="str">
            <v>Desenho De Detalhamento - Fundação, Forma, Armação e Piso</v>
          </cell>
          <cell r="E225" t="str">
            <v>11 dias</v>
          </cell>
          <cell r="F225">
            <v>38888.333333333336</v>
          </cell>
          <cell r="G225">
            <v>38952.333333333336</v>
          </cell>
          <cell r="H225" t="str">
            <v>NA</v>
          </cell>
          <cell r="I225">
            <v>38897.729166666664</v>
          </cell>
          <cell r="J225">
            <v>38966.729166666664</v>
          </cell>
          <cell r="K225" t="str">
            <v>NA</v>
          </cell>
          <cell r="L225">
            <v>0.17</v>
          </cell>
          <cell r="M225">
            <v>4</v>
          </cell>
          <cell r="N225">
            <v>0</v>
          </cell>
          <cell r="O225">
            <v>0</v>
          </cell>
          <cell r="P225">
            <v>0</v>
          </cell>
          <cell r="Q225" t="str">
            <v>211;216</v>
          </cell>
          <cell r="R225">
            <v>226</v>
          </cell>
          <cell r="S225" t="str">
            <v>EQUIPE CIV</v>
          </cell>
          <cell r="T225">
            <v>38966</v>
          </cell>
        </row>
        <row r="226">
          <cell r="D226" t="str">
            <v>Elétrica</v>
          </cell>
          <cell r="E226" t="str">
            <v>22 dias</v>
          </cell>
          <cell r="F226">
            <v>38888.333333333336</v>
          </cell>
          <cell r="G226">
            <v>38971.333333333336</v>
          </cell>
          <cell r="H226" t="str">
            <v>NA</v>
          </cell>
          <cell r="I226">
            <v>38905.729166666664</v>
          </cell>
          <cell r="J226">
            <v>39000.729166666664</v>
          </cell>
          <cell r="K226" t="str">
            <v>NA</v>
          </cell>
          <cell r="L226">
            <v>0.42</v>
          </cell>
          <cell r="M226">
            <v>9.5</v>
          </cell>
          <cell r="N226">
            <v>0</v>
          </cell>
          <cell r="O226">
            <v>0</v>
          </cell>
          <cell r="P226">
            <v>0</v>
          </cell>
          <cell r="T226">
            <v>39000</v>
          </cell>
        </row>
        <row r="227">
          <cell r="D227" t="str">
            <v>Desenho De Detalhamento</v>
          </cell>
          <cell r="E227" t="str">
            <v>18 dias</v>
          </cell>
          <cell r="F227">
            <v>38888.333333333336</v>
          </cell>
          <cell r="G227">
            <v>38971.333333333336</v>
          </cell>
          <cell r="H227" t="str">
            <v>NA</v>
          </cell>
          <cell r="I227">
            <v>38905.729166666664</v>
          </cell>
          <cell r="J227">
            <v>38994.729166666664</v>
          </cell>
          <cell r="K227" t="str">
            <v>NA</v>
          </cell>
          <cell r="L227">
            <v>0.35</v>
          </cell>
          <cell r="M227">
            <v>8</v>
          </cell>
          <cell r="N227">
            <v>0</v>
          </cell>
          <cell r="O227">
            <v>0</v>
          </cell>
          <cell r="P227">
            <v>0</v>
          </cell>
          <cell r="R227">
            <v>228</v>
          </cell>
          <cell r="T227">
            <v>38994</v>
          </cell>
        </row>
        <row r="228">
          <cell r="B228" t="str">
            <v>DE.245.DD.01</v>
          </cell>
          <cell r="D228" t="str">
            <v>Disposição De Força, Controle e Aterramento</v>
          </cell>
          <cell r="E228" t="str">
            <v>9 dias</v>
          </cell>
          <cell r="F228">
            <v>38888.333333333336</v>
          </cell>
          <cell r="G228">
            <v>38971.333333333336</v>
          </cell>
          <cell r="H228" t="str">
            <v>NA</v>
          </cell>
          <cell r="I228">
            <v>38901.729166666664</v>
          </cell>
          <cell r="J228">
            <v>38981.729166666664</v>
          </cell>
          <cell r="K228" t="str">
            <v>NA</v>
          </cell>
          <cell r="L228">
            <v>0.17</v>
          </cell>
          <cell r="M228">
            <v>4</v>
          </cell>
          <cell r="N228">
            <v>0</v>
          </cell>
          <cell r="O228">
            <v>0</v>
          </cell>
          <cell r="P228">
            <v>0</v>
          </cell>
          <cell r="Q228">
            <v>223</v>
          </cell>
          <cell r="R228">
            <v>227</v>
          </cell>
          <cell r="S228" t="str">
            <v>EQUIPE ELE</v>
          </cell>
          <cell r="T228">
            <v>38981</v>
          </cell>
        </row>
        <row r="229">
          <cell r="B229" t="str">
            <v>DE.245.DD.02</v>
          </cell>
          <cell r="D229" t="str">
            <v>Iluminação</v>
          </cell>
          <cell r="E229" t="str">
            <v>9 dias</v>
          </cell>
          <cell r="F229">
            <v>38888.333333333336</v>
          </cell>
          <cell r="G229">
            <v>38982.333333333336</v>
          </cell>
          <cell r="H229" t="str">
            <v>NA</v>
          </cell>
          <cell r="I229">
            <v>38901.729166666664</v>
          </cell>
          <cell r="J229">
            <v>38994.729166666664</v>
          </cell>
          <cell r="K229" t="str">
            <v>NA</v>
          </cell>
          <cell r="L229">
            <v>0.17</v>
          </cell>
          <cell r="M229">
            <v>4</v>
          </cell>
          <cell r="N229">
            <v>0</v>
          </cell>
          <cell r="O229">
            <v>0</v>
          </cell>
          <cell r="P229">
            <v>0</v>
          </cell>
          <cell r="Q229">
            <v>226</v>
          </cell>
          <cell r="S229" t="str">
            <v>EQUIPE ELE</v>
          </cell>
          <cell r="T229">
            <v>38994</v>
          </cell>
        </row>
        <row r="230">
          <cell r="B230" t="str">
            <v>DE.245.LC.01</v>
          </cell>
          <cell r="D230" t="str">
            <v>Lista De Linhas/ Cabos</v>
          </cell>
          <cell r="E230" t="str">
            <v>4 dias</v>
          </cell>
          <cell r="F230">
            <v>38901.333333333336</v>
          </cell>
          <cell r="G230">
            <v>38995.333333333336</v>
          </cell>
          <cell r="H230" t="str">
            <v>NA</v>
          </cell>
          <cell r="I230">
            <v>38905.729166666664</v>
          </cell>
          <cell r="J230">
            <v>39000.729166666664</v>
          </cell>
          <cell r="K230" t="str">
            <v>NA</v>
          </cell>
          <cell r="L230">
            <v>7.0000000000000007E-2</v>
          </cell>
          <cell r="M230">
            <v>1.5</v>
          </cell>
          <cell r="N230">
            <v>0</v>
          </cell>
          <cell r="O230">
            <v>0</v>
          </cell>
          <cell r="P230">
            <v>0</v>
          </cell>
          <cell r="Q230">
            <v>225</v>
          </cell>
          <cell r="S230" t="str">
            <v>EQUIPE ELE</v>
          </cell>
          <cell r="T230">
            <v>39000</v>
          </cell>
        </row>
        <row r="231">
          <cell r="D231" t="str">
            <v>Instrumentação</v>
          </cell>
          <cell r="E231" t="str">
            <v>5 dias</v>
          </cell>
          <cell r="F231">
            <v>38888.333333333336</v>
          </cell>
          <cell r="G231">
            <v>39013.333333333336</v>
          </cell>
          <cell r="H231" t="str">
            <v>NA</v>
          </cell>
          <cell r="I231">
            <v>38895.729166666664</v>
          </cell>
          <cell r="J231">
            <v>39017.729166666664</v>
          </cell>
          <cell r="K231" t="str">
            <v>NA</v>
          </cell>
          <cell r="L231">
            <v>0.04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T231">
            <v>39017</v>
          </cell>
        </row>
        <row r="232">
          <cell r="B232" t="str">
            <v>DT.245.AJ.01</v>
          </cell>
          <cell r="D232" t="str">
            <v>Arranjos/ Layout’s/ Plano Diretor - Locação De Instrumentos</v>
          </cell>
          <cell r="E232" t="str">
            <v>5 dias</v>
          </cell>
          <cell r="F232">
            <v>38888.333333333336</v>
          </cell>
          <cell r="G232">
            <v>39013.333333333336</v>
          </cell>
          <cell r="H232" t="str">
            <v>NA</v>
          </cell>
          <cell r="I232">
            <v>38895.729166666664</v>
          </cell>
          <cell r="J232">
            <v>39017.729166666664</v>
          </cell>
          <cell r="K232" t="str">
            <v>NA</v>
          </cell>
          <cell r="L232">
            <v>0.04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82</v>
          </cell>
          <cell r="S232" t="str">
            <v>EQUIPE TSA</v>
          </cell>
          <cell r="T232">
            <v>39017</v>
          </cell>
        </row>
        <row r="233">
          <cell r="B233" t="str">
            <v>1.1.8</v>
          </cell>
          <cell r="C233" t="str">
            <v>250A</v>
          </cell>
          <cell r="D233" t="str">
            <v>Moagem (2A)</v>
          </cell>
          <cell r="E233" t="str">
            <v>145 dias</v>
          </cell>
          <cell r="F233">
            <v>38805.333333333336</v>
          </cell>
          <cell r="G233">
            <v>38804.333333333336</v>
          </cell>
          <cell r="H233">
            <v>38804.333333333336</v>
          </cell>
          <cell r="I233">
            <v>38953.729166666664</v>
          </cell>
          <cell r="J233">
            <v>39022.729166666664</v>
          </cell>
          <cell r="K233" t="str">
            <v>NA</v>
          </cell>
          <cell r="L233">
            <v>8.31</v>
          </cell>
          <cell r="M233">
            <v>190.13</v>
          </cell>
          <cell r="N233">
            <v>14.68</v>
          </cell>
          <cell r="O233">
            <v>7.72</v>
          </cell>
          <cell r="P233">
            <v>7.72</v>
          </cell>
          <cell r="T233">
            <v>39022</v>
          </cell>
        </row>
        <row r="234">
          <cell r="D234" t="str">
            <v>Projeto Básico</v>
          </cell>
          <cell r="E234" t="str">
            <v>96 dias</v>
          </cell>
          <cell r="F234">
            <v>38805.333333333336</v>
          </cell>
          <cell r="G234">
            <v>38804.333333333336</v>
          </cell>
          <cell r="H234">
            <v>38804.333333333336</v>
          </cell>
          <cell r="I234">
            <v>38848.729166666664</v>
          </cell>
          <cell r="J234">
            <v>38947.729166666664</v>
          </cell>
          <cell r="K234" t="str">
            <v>NA</v>
          </cell>
          <cell r="L234">
            <v>1.29</v>
          </cell>
          <cell r="M234">
            <v>29.5</v>
          </cell>
          <cell r="N234">
            <v>14.68</v>
          </cell>
          <cell r="O234">
            <v>49.75</v>
          </cell>
          <cell r="P234">
            <v>49.75</v>
          </cell>
          <cell r="T234">
            <v>38947</v>
          </cell>
        </row>
        <row r="235">
          <cell r="D235" t="str">
            <v>Processo</v>
          </cell>
          <cell r="E235" t="str">
            <v>91 dias</v>
          </cell>
          <cell r="F235">
            <v>38805.333333333336</v>
          </cell>
          <cell r="G235">
            <v>38804.333333333336</v>
          </cell>
          <cell r="H235">
            <v>38804.333333333336</v>
          </cell>
          <cell r="I235">
            <v>38807.729166666664</v>
          </cell>
          <cell r="J235">
            <v>38938.729166666664</v>
          </cell>
          <cell r="K235" t="str">
            <v>NA</v>
          </cell>
          <cell r="L235">
            <v>0.62</v>
          </cell>
          <cell r="M235">
            <v>14.13</v>
          </cell>
          <cell r="N235">
            <v>12.4</v>
          </cell>
          <cell r="O235">
            <v>87.79</v>
          </cell>
          <cell r="P235">
            <v>87.79</v>
          </cell>
          <cell r="T235">
            <v>38938</v>
          </cell>
        </row>
        <row r="236">
          <cell r="D236" t="str">
            <v>Folha De Dados</v>
          </cell>
          <cell r="E236" t="str">
            <v>91 dias</v>
          </cell>
          <cell r="F236">
            <v>38805.333333333336</v>
          </cell>
          <cell r="G236">
            <v>38804.333333333336</v>
          </cell>
          <cell r="H236">
            <v>38804.333333333336</v>
          </cell>
          <cell r="I236">
            <v>38807.729166666664</v>
          </cell>
          <cell r="J236">
            <v>38938.729166666664</v>
          </cell>
          <cell r="K236" t="str">
            <v>NA</v>
          </cell>
          <cell r="L236">
            <v>0.37</v>
          </cell>
          <cell r="M236">
            <v>8.5</v>
          </cell>
          <cell r="N236">
            <v>7</v>
          </cell>
          <cell r="O236">
            <v>82.35</v>
          </cell>
          <cell r="P236">
            <v>82.35</v>
          </cell>
          <cell r="T236">
            <v>38938</v>
          </cell>
        </row>
        <row r="237">
          <cell r="B237" t="str">
            <v>BP.250.FD.01</v>
          </cell>
          <cell r="D237" t="str">
            <v>Moinho de Bolas</v>
          </cell>
          <cell r="E237" t="str">
            <v>4 dias</v>
          </cell>
          <cell r="F237">
            <v>38805.333333333336</v>
          </cell>
          <cell r="G237">
            <v>38804.333333333336</v>
          </cell>
          <cell r="H237">
            <v>38804.333333333336</v>
          </cell>
          <cell r="I237">
            <v>38807.729166666664</v>
          </cell>
          <cell r="J237">
            <v>38807.729166666664</v>
          </cell>
          <cell r="K237" t="str">
            <v>NA</v>
          </cell>
          <cell r="L237">
            <v>0.3</v>
          </cell>
          <cell r="M237">
            <v>6.88</v>
          </cell>
          <cell r="N237">
            <v>6.19</v>
          </cell>
          <cell r="O237">
            <v>90</v>
          </cell>
          <cell r="P237">
            <v>90</v>
          </cell>
          <cell r="Q237" t="str">
            <v>14II</v>
          </cell>
          <cell r="R237" t="str">
            <v>236;237</v>
          </cell>
          <cell r="S237" t="str">
            <v>EQUIPE PRO</v>
          </cell>
          <cell r="T237">
            <v>38807</v>
          </cell>
        </row>
        <row r="238">
          <cell r="B238" t="str">
            <v>BP.250.FD.02</v>
          </cell>
          <cell r="D238" t="str">
            <v>Hidrociclones de Classificação</v>
          </cell>
          <cell r="E238" t="str">
            <v>2 dias</v>
          </cell>
          <cell r="F238" t="str">
            <v>NA</v>
          </cell>
          <cell r="G238">
            <v>38937.333333333336</v>
          </cell>
          <cell r="H238">
            <v>38937.333333333336</v>
          </cell>
          <cell r="I238" t="str">
            <v>NA</v>
          </cell>
          <cell r="J238">
            <v>38938.729166666664</v>
          </cell>
          <cell r="K238" t="str">
            <v>NA</v>
          </cell>
          <cell r="L238">
            <v>7.0000000000000007E-2</v>
          </cell>
          <cell r="M238">
            <v>1.63</v>
          </cell>
          <cell r="N238">
            <v>0.81</v>
          </cell>
          <cell r="O238">
            <v>50</v>
          </cell>
          <cell r="P238">
            <v>50</v>
          </cell>
          <cell r="Q238">
            <v>235</v>
          </cell>
          <cell r="S238" t="str">
            <v>EQUIPE PRO</v>
          </cell>
          <cell r="T238">
            <v>38938</v>
          </cell>
        </row>
        <row r="239">
          <cell r="B239" t="str">
            <v>BP.250.MC.01</v>
          </cell>
          <cell r="D239" t="str">
            <v>Memória De Cálculo - Moinho de Bolas</v>
          </cell>
          <cell r="E239" t="str">
            <v>1 dia</v>
          </cell>
          <cell r="F239" t="str">
            <v>NA</v>
          </cell>
          <cell r="G239">
            <v>38856.333333333336</v>
          </cell>
          <cell r="H239">
            <v>38856.333333333336</v>
          </cell>
          <cell r="I239" t="str">
            <v>NA</v>
          </cell>
          <cell r="J239">
            <v>38856.729166666664</v>
          </cell>
          <cell r="K239" t="str">
            <v>NA</v>
          </cell>
          <cell r="L239">
            <v>0.04</v>
          </cell>
          <cell r="M239">
            <v>1</v>
          </cell>
          <cell r="N239">
            <v>0.9</v>
          </cell>
          <cell r="O239">
            <v>90</v>
          </cell>
          <cell r="P239">
            <v>90</v>
          </cell>
          <cell r="Q239">
            <v>235</v>
          </cell>
          <cell r="R239" t="str">
            <v>238II</v>
          </cell>
          <cell r="S239" t="str">
            <v>EQUIPE PRO</v>
          </cell>
          <cell r="T239">
            <v>38856</v>
          </cell>
        </row>
        <row r="240">
          <cell r="B240" t="str">
            <v>BP.250.RT.01</v>
          </cell>
          <cell r="D240" t="str">
            <v>Relatório Técnico - Moinho de Bolas</v>
          </cell>
          <cell r="E240" t="str">
            <v>5 dias</v>
          </cell>
          <cell r="F240" t="str">
            <v>NA</v>
          </cell>
          <cell r="G240">
            <v>38856.333333333336</v>
          </cell>
          <cell r="H240">
            <v>38856.333333333336</v>
          </cell>
          <cell r="I240" t="str">
            <v>NA</v>
          </cell>
          <cell r="J240">
            <v>38862.729166666664</v>
          </cell>
          <cell r="K240" t="str">
            <v>NA</v>
          </cell>
          <cell r="L240">
            <v>0.2</v>
          </cell>
          <cell r="M240">
            <v>4.63</v>
          </cell>
          <cell r="N240">
            <v>4.5</v>
          </cell>
          <cell r="O240">
            <v>97.3</v>
          </cell>
          <cell r="P240">
            <v>97.3</v>
          </cell>
          <cell r="Q240" t="str">
            <v>237II</v>
          </cell>
          <cell r="S240" t="str">
            <v>EQUIPE PRO[120%]</v>
          </cell>
          <cell r="T240">
            <v>38862</v>
          </cell>
        </row>
        <row r="241">
          <cell r="D241" t="str">
            <v>Mecânica</v>
          </cell>
          <cell r="E241" t="str">
            <v>13 dias</v>
          </cell>
          <cell r="F241">
            <v>38807.333333333336</v>
          </cell>
          <cell r="G241">
            <v>38926.333333333336</v>
          </cell>
          <cell r="H241">
            <v>38926.333333333336</v>
          </cell>
          <cell r="I241">
            <v>38827.729166666664</v>
          </cell>
          <cell r="J241">
            <v>38946.729166666664</v>
          </cell>
          <cell r="K241" t="str">
            <v>NA</v>
          </cell>
          <cell r="L241">
            <v>0.16</v>
          </cell>
          <cell r="M241">
            <v>3.75</v>
          </cell>
          <cell r="N241">
            <v>0.7</v>
          </cell>
          <cell r="O241">
            <v>18.670000000000002</v>
          </cell>
          <cell r="P241">
            <v>18.670000000000002</v>
          </cell>
          <cell r="T241">
            <v>38946</v>
          </cell>
        </row>
        <row r="242">
          <cell r="B242" t="str">
            <v>BB.250.DB.01</v>
          </cell>
          <cell r="D242" t="str">
            <v>Desenho Básico - Arranjo 2 Moinho + 1 Futuro</v>
          </cell>
          <cell r="E242" t="str">
            <v>6 dias</v>
          </cell>
          <cell r="F242">
            <v>38807.333333333336</v>
          </cell>
          <cell r="G242">
            <v>38926.333333333336</v>
          </cell>
          <cell r="H242">
            <v>38926.333333333336</v>
          </cell>
          <cell r="I242">
            <v>38817.729166666664</v>
          </cell>
          <cell r="J242">
            <v>38933.729166666664</v>
          </cell>
          <cell r="K242" t="str">
            <v>NA</v>
          </cell>
          <cell r="L242">
            <v>0.04</v>
          </cell>
          <cell r="M242">
            <v>1</v>
          </cell>
          <cell r="N242">
            <v>0.7</v>
          </cell>
          <cell r="O242">
            <v>70</v>
          </cell>
          <cell r="P242">
            <v>70</v>
          </cell>
          <cell r="Q242" t="str">
            <v>14II</v>
          </cell>
          <cell r="R242" t="str">
            <v>241;247;244;250;257;338</v>
          </cell>
          <cell r="S242" t="str">
            <v>EQUIPE MEC</v>
          </cell>
          <cell r="T242">
            <v>38933</v>
          </cell>
        </row>
        <row r="243">
          <cell r="B243" t="str">
            <v>BB.250.DB.02</v>
          </cell>
          <cell r="D243" t="str">
            <v>Desenho Básico - Transportador/ Caixa Polpa</v>
          </cell>
          <cell r="E243" t="str">
            <v>6 dias</v>
          </cell>
          <cell r="F243">
            <v>38817.333333333336</v>
          </cell>
          <cell r="G243">
            <v>38936.333333333336</v>
          </cell>
          <cell r="H243" t="str">
            <v>NA</v>
          </cell>
          <cell r="I243">
            <v>38826.729166666664</v>
          </cell>
          <cell r="J243">
            <v>38945.729166666664</v>
          </cell>
          <cell r="K243" t="str">
            <v>NA</v>
          </cell>
          <cell r="L243">
            <v>7.0000000000000007E-2</v>
          </cell>
          <cell r="M243">
            <v>1.5</v>
          </cell>
          <cell r="N243">
            <v>0</v>
          </cell>
          <cell r="O243">
            <v>0</v>
          </cell>
          <cell r="P243">
            <v>0</v>
          </cell>
          <cell r="Q243">
            <v>240</v>
          </cell>
          <cell r="R243" t="str">
            <v>242;250</v>
          </cell>
          <cell r="S243" t="str">
            <v>EQUIPE MEC</v>
          </cell>
          <cell r="T243">
            <v>38945</v>
          </cell>
        </row>
        <row r="244">
          <cell r="B244" t="str">
            <v>BB.250.FD.01</v>
          </cell>
          <cell r="D244" t="str">
            <v>Folha De Dados - Transportador</v>
          </cell>
          <cell r="E244" t="str">
            <v>1 dia</v>
          </cell>
          <cell r="F244">
            <v>38827.333333333336</v>
          </cell>
          <cell r="G244">
            <v>38946.333333333336</v>
          </cell>
          <cell r="H244" t="str">
            <v>NA</v>
          </cell>
          <cell r="I244">
            <v>38827.729166666664</v>
          </cell>
          <cell r="J244">
            <v>38946.729166666664</v>
          </cell>
          <cell r="K244" t="str">
            <v>NA</v>
          </cell>
          <cell r="L244">
            <v>0.05</v>
          </cell>
          <cell r="M244">
            <v>1.25</v>
          </cell>
          <cell r="N244">
            <v>0</v>
          </cell>
          <cell r="O244">
            <v>0</v>
          </cell>
          <cell r="P244">
            <v>0</v>
          </cell>
          <cell r="Q244">
            <v>241</v>
          </cell>
          <cell r="S244" t="str">
            <v>EQUIPE MEC</v>
          </cell>
          <cell r="T244">
            <v>38946</v>
          </cell>
        </row>
        <row r="245">
          <cell r="D245" t="str">
            <v>Tubulação</v>
          </cell>
          <cell r="E245" t="str">
            <v>38 dias</v>
          </cell>
          <cell r="F245">
            <v>38817.333333333336</v>
          </cell>
          <cell r="G245">
            <v>38894.333333333336</v>
          </cell>
          <cell r="H245">
            <v>38894.333333333336</v>
          </cell>
          <cell r="I245">
            <v>38848.729166666664</v>
          </cell>
          <cell r="J245">
            <v>38947.729166666664</v>
          </cell>
          <cell r="K245" t="str">
            <v>NA</v>
          </cell>
          <cell r="L245">
            <v>0.21</v>
          </cell>
          <cell r="M245">
            <v>4.75</v>
          </cell>
          <cell r="N245">
            <v>1.58</v>
          </cell>
          <cell r="O245">
            <v>33.159999999999997</v>
          </cell>
          <cell r="P245">
            <v>33.159999999999997</v>
          </cell>
          <cell r="T245">
            <v>38947</v>
          </cell>
        </row>
        <row r="246">
          <cell r="B246" t="str">
            <v>BH.250.DB.01</v>
          </cell>
          <cell r="D246" t="str">
            <v>Desenho Básico - Planta/ Cortes</v>
          </cell>
          <cell r="E246" t="str">
            <v>8 dias</v>
          </cell>
          <cell r="F246">
            <v>38817.333333333336</v>
          </cell>
          <cell r="G246">
            <v>38936.333333333336</v>
          </cell>
          <cell r="H246" t="str">
            <v>NA</v>
          </cell>
          <cell r="I246">
            <v>38841.729166666664</v>
          </cell>
          <cell r="J246">
            <v>38947.729166666664</v>
          </cell>
          <cell r="K246" t="str">
            <v>NA</v>
          </cell>
          <cell r="L246">
            <v>0.13</v>
          </cell>
          <cell r="M246">
            <v>3</v>
          </cell>
          <cell r="N246">
            <v>0</v>
          </cell>
          <cell r="O246">
            <v>0</v>
          </cell>
          <cell r="P246">
            <v>0</v>
          </cell>
          <cell r="Q246" t="str">
            <v>39II;240</v>
          </cell>
          <cell r="R246" t="str">
            <v>311II;252</v>
          </cell>
          <cell r="S246" t="str">
            <v>EQUIPE TUB</v>
          </cell>
          <cell r="T246">
            <v>38947</v>
          </cell>
        </row>
        <row r="247">
          <cell r="B247" t="str">
            <v>BH.250.MC.01</v>
          </cell>
          <cell r="D247" t="str">
            <v>Memória De Cálculo - Bombas</v>
          </cell>
          <cell r="E247" t="str">
            <v>3 dias</v>
          </cell>
          <cell r="F247">
            <v>38841.333333333336</v>
          </cell>
          <cell r="G247">
            <v>38894.333333333336</v>
          </cell>
          <cell r="H247">
            <v>38894.333333333336</v>
          </cell>
          <cell r="I247">
            <v>38848.729166666664</v>
          </cell>
          <cell r="J247">
            <v>38896.729166666664</v>
          </cell>
          <cell r="K247" t="str">
            <v>NA</v>
          </cell>
          <cell r="L247">
            <v>0.08</v>
          </cell>
          <cell r="M247">
            <v>1.75</v>
          </cell>
          <cell r="N247">
            <v>1.58</v>
          </cell>
          <cell r="O247">
            <v>90</v>
          </cell>
          <cell r="P247">
            <v>90</v>
          </cell>
          <cell r="Q247" t="str">
            <v>39II</v>
          </cell>
          <cell r="S247" t="str">
            <v>EQUIPE TUB</v>
          </cell>
          <cell r="T247">
            <v>38896</v>
          </cell>
        </row>
        <row r="248">
          <cell r="D248" t="str">
            <v>Estrutura Metálica</v>
          </cell>
          <cell r="E248" t="str">
            <v>6 dias</v>
          </cell>
          <cell r="F248">
            <v>38817.333333333336</v>
          </cell>
          <cell r="G248">
            <v>38936.333333333336</v>
          </cell>
          <cell r="H248" t="str">
            <v>NA</v>
          </cell>
          <cell r="I248">
            <v>38834.729166666664</v>
          </cell>
          <cell r="J248">
            <v>38945.729166666664</v>
          </cell>
          <cell r="K248" t="str">
            <v>NA</v>
          </cell>
          <cell r="L248">
            <v>0.3</v>
          </cell>
          <cell r="M248">
            <v>6.88</v>
          </cell>
          <cell r="N248">
            <v>0</v>
          </cell>
          <cell r="O248">
            <v>0</v>
          </cell>
          <cell r="P248">
            <v>0</v>
          </cell>
          <cell r="T248">
            <v>38945</v>
          </cell>
        </row>
        <row r="249">
          <cell r="B249" t="str">
            <v>BD.250.MC.01</v>
          </cell>
          <cell r="D249" t="str">
            <v>Memória De Cálculo</v>
          </cell>
          <cell r="E249" t="str">
            <v>6 dias</v>
          </cell>
          <cell r="F249">
            <v>38817.333333333336</v>
          </cell>
          <cell r="G249">
            <v>38936.333333333336</v>
          </cell>
          <cell r="H249" t="str">
            <v>NA</v>
          </cell>
          <cell r="I249">
            <v>38834.729166666664</v>
          </cell>
          <cell r="J249">
            <v>38945.729166666664</v>
          </cell>
          <cell r="K249" t="str">
            <v>NA</v>
          </cell>
          <cell r="L249">
            <v>0.3</v>
          </cell>
          <cell r="M249">
            <v>6.88</v>
          </cell>
          <cell r="N249">
            <v>0</v>
          </cell>
          <cell r="O249">
            <v>0</v>
          </cell>
          <cell r="P249">
            <v>0</v>
          </cell>
          <cell r="Q249">
            <v>240</v>
          </cell>
          <cell r="R249" t="str">
            <v>257II</v>
          </cell>
          <cell r="S249" t="str">
            <v>EQUIPE MET</v>
          </cell>
          <cell r="T249">
            <v>38945</v>
          </cell>
        </row>
        <row r="250">
          <cell r="D250" t="str">
            <v>Projeto Detalhado</v>
          </cell>
          <cell r="E250" t="str">
            <v>57 dias</v>
          </cell>
          <cell r="F250">
            <v>38860.333333333336</v>
          </cell>
          <cell r="G250">
            <v>38936.333333333336</v>
          </cell>
          <cell r="H250" t="str">
            <v>NA</v>
          </cell>
          <cell r="I250">
            <v>38953.729166666664</v>
          </cell>
          <cell r="J250">
            <v>39022.729166666664</v>
          </cell>
          <cell r="K250" t="str">
            <v>NA</v>
          </cell>
          <cell r="L250">
            <v>7.02</v>
          </cell>
          <cell r="M250">
            <v>160.63</v>
          </cell>
          <cell r="N250">
            <v>0</v>
          </cell>
          <cell r="O250">
            <v>0</v>
          </cell>
          <cell r="P250">
            <v>0</v>
          </cell>
          <cell r="T250">
            <v>39022</v>
          </cell>
        </row>
        <row r="251">
          <cell r="D251" t="str">
            <v>Mecânica</v>
          </cell>
          <cell r="E251" t="str">
            <v>10 dias</v>
          </cell>
          <cell r="F251">
            <v>38860.333333333336</v>
          </cell>
          <cell r="G251">
            <v>38952.333333333336</v>
          </cell>
          <cell r="H251" t="str">
            <v>NA</v>
          </cell>
          <cell r="I251">
            <v>38869.729166666664</v>
          </cell>
          <cell r="J251">
            <v>38965.729166666664</v>
          </cell>
          <cell r="K251" t="str">
            <v>NA</v>
          </cell>
          <cell r="L251">
            <v>0.17</v>
          </cell>
          <cell r="M251">
            <v>4</v>
          </cell>
          <cell r="N251">
            <v>0</v>
          </cell>
          <cell r="O251">
            <v>0</v>
          </cell>
          <cell r="P251">
            <v>0</v>
          </cell>
          <cell r="T251">
            <v>38965</v>
          </cell>
        </row>
        <row r="252">
          <cell r="B252" t="str">
            <v>DB.250.DD.01</v>
          </cell>
          <cell r="D252" t="str">
            <v>Desenho De Detalhamento - Distribuidor e Calha</v>
          </cell>
          <cell r="E252" t="str">
            <v>10 dias</v>
          </cell>
          <cell r="F252">
            <v>38860.333333333336</v>
          </cell>
          <cell r="G252">
            <v>38952.333333333336</v>
          </cell>
          <cell r="H252" t="str">
            <v>NA</v>
          </cell>
          <cell r="I252">
            <v>38869.729166666664</v>
          </cell>
          <cell r="J252">
            <v>38965.729166666664</v>
          </cell>
          <cell r="K252" t="str">
            <v>NA</v>
          </cell>
          <cell r="L252">
            <v>0.17</v>
          </cell>
          <cell r="M252">
            <v>4</v>
          </cell>
          <cell r="N252">
            <v>0</v>
          </cell>
          <cell r="O252">
            <v>0</v>
          </cell>
          <cell r="P252">
            <v>0</v>
          </cell>
          <cell r="Q252" t="str">
            <v>30TI+10 dias;240;241</v>
          </cell>
          <cell r="S252" t="str">
            <v>EQUIPE MEC[70%]</v>
          </cell>
          <cell r="T252">
            <v>38965</v>
          </cell>
        </row>
        <row r="253">
          <cell r="D253" t="str">
            <v>Tubulação</v>
          </cell>
          <cell r="E253" t="str">
            <v>48 dias</v>
          </cell>
          <cell r="F253">
            <v>38869.333333333336</v>
          </cell>
          <cell r="G253">
            <v>38950.333333333336</v>
          </cell>
          <cell r="H253" t="str">
            <v>NA</v>
          </cell>
          <cell r="I253">
            <v>38953.729166666664</v>
          </cell>
          <cell r="J253">
            <v>39021.729166666664</v>
          </cell>
          <cell r="K253" t="str">
            <v>NA</v>
          </cell>
          <cell r="L253">
            <v>3.06</v>
          </cell>
          <cell r="M253">
            <v>70</v>
          </cell>
          <cell r="N253">
            <v>0</v>
          </cell>
          <cell r="O253">
            <v>0</v>
          </cell>
          <cell r="P253">
            <v>0</v>
          </cell>
          <cell r="T253">
            <v>39021</v>
          </cell>
        </row>
        <row r="254">
          <cell r="B254" t="str">
            <v>DH.250.DD.01</v>
          </cell>
          <cell r="D254" t="str">
            <v>Desenho De Detalhamento - Planta de Tubulação</v>
          </cell>
          <cell r="E254" t="str">
            <v>20 dias</v>
          </cell>
          <cell r="F254">
            <v>38869.333333333336</v>
          </cell>
          <cell r="G254">
            <v>38950.333333333336</v>
          </cell>
          <cell r="H254" t="str">
            <v>NA</v>
          </cell>
          <cell r="I254">
            <v>38904.729166666664</v>
          </cell>
          <cell r="J254">
            <v>38979.729166666664</v>
          </cell>
          <cell r="K254" t="str">
            <v>NA</v>
          </cell>
          <cell r="L254">
            <v>1.84</v>
          </cell>
          <cell r="M254">
            <v>42</v>
          </cell>
          <cell r="N254">
            <v>0</v>
          </cell>
          <cell r="O254">
            <v>0</v>
          </cell>
          <cell r="P254">
            <v>0</v>
          </cell>
          <cell r="Q254" t="str">
            <v>39II;244</v>
          </cell>
          <cell r="R254" t="str">
            <v>253;259</v>
          </cell>
          <cell r="S254" t="str">
            <v>EQUIPE TUB</v>
          </cell>
          <cell r="T254">
            <v>38979</v>
          </cell>
        </row>
        <row r="255">
          <cell r="B255" t="str">
            <v>DH.250.DE.01</v>
          </cell>
          <cell r="D255" t="str">
            <v>Detalhes Típicos - Suporte</v>
          </cell>
          <cell r="E255" t="str">
            <v>6 dias</v>
          </cell>
          <cell r="F255">
            <v>38905.333333333336</v>
          </cell>
          <cell r="G255">
            <v>38980.333333333336</v>
          </cell>
          <cell r="H255" t="str">
            <v>NA</v>
          </cell>
          <cell r="I255">
            <v>38914.729166666664</v>
          </cell>
          <cell r="J255">
            <v>38987.729166666664</v>
          </cell>
          <cell r="K255" t="str">
            <v>NA</v>
          </cell>
          <cell r="L255">
            <v>0.17</v>
          </cell>
          <cell r="M255">
            <v>4</v>
          </cell>
          <cell r="N255">
            <v>0</v>
          </cell>
          <cell r="O255">
            <v>0</v>
          </cell>
          <cell r="P255">
            <v>0</v>
          </cell>
          <cell r="Q255">
            <v>252</v>
          </cell>
          <cell r="R255">
            <v>254</v>
          </cell>
          <cell r="S255" t="str">
            <v>EQUIPE TUB</v>
          </cell>
          <cell r="T255">
            <v>38987</v>
          </cell>
        </row>
        <row r="256">
          <cell r="B256" t="str">
            <v>DH.250.IS.01</v>
          </cell>
          <cell r="D256" t="str">
            <v>Isométrico</v>
          </cell>
          <cell r="E256" t="str">
            <v>20 dias</v>
          </cell>
          <cell r="F256">
            <v>38915.333333333336</v>
          </cell>
          <cell r="G256">
            <v>38988.333333333336</v>
          </cell>
          <cell r="H256" t="str">
            <v>NA</v>
          </cell>
          <cell r="I256">
            <v>38919.729166666664</v>
          </cell>
          <cell r="J256">
            <v>39017.729166666664</v>
          </cell>
          <cell r="K256" t="str">
            <v>NA</v>
          </cell>
          <cell r="L256">
            <v>0.87</v>
          </cell>
          <cell r="M256">
            <v>20</v>
          </cell>
          <cell r="N256">
            <v>0</v>
          </cell>
          <cell r="O256">
            <v>0</v>
          </cell>
          <cell r="P256">
            <v>0</v>
          </cell>
          <cell r="Q256">
            <v>253</v>
          </cell>
          <cell r="R256">
            <v>255</v>
          </cell>
          <cell r="S256" t="str">
            <v>EQUIPE TUB</v>
          </cell>
          <cell r="T256">
            <v>39017</v>
          </cell>
        </row>
        <row r="257">
          <cell r="B257" t="str">
            <v>DH.250.LM.01</v>
          </cell>
          <cell r="D257" t="str">
            <v>Lista De Materiais</v>
          </cell>
          <cell r="E257" t="str">
            <v>2 dias</v>
          </cell>
          <cell r="F257">
            <v>38951.333333333336</v>
          </cell>
          <cell r="G257">
            <v>39020.333333333336</v>
          </cell>
          <cell r="H257" t="str">
            <v>NA</v>
          </cell>
          <cell r="I257">
            <v>38953.729166666664</v>
          </cell>
          <cell r="J257">
            <v>39021.729166666664</v>
          </cell>
          <cell r="K257" t="str">
            <v>NA</v>
          </cell>
          <cell r="L257">
            <v>0.17</v>
          </cell>
          <cell r="M257">
            <v>4</v>
          </cell>
          <cell r="N257">
            <v>0</v>
          </cell>
          <cell r="O257">
            <v>0</v>
          </cell>
          <cell r="P257">
            <v>0</v>
          </cell>
          <cell r="Q257">
            <v>254</v>
          </cell>
          <cell r="S257" t="str">
            <v>EQUIPE TUB</v>
          </cell>
          <cell r="T257">
            <v>39021</v>
          </cell>
        </row>
        <row r="258">
          <cell r="D258" t="str">
            <v>Civil</v>
          </cell>
          <cell r="E258" t="str">
            <v>18 dias</v>
          </cell>
          <cell r="F258">
            <v>38869.333333333336</v>
          </cell>
          <cell r="G258">
            <v>38936.333333333336</v>
          </cell>
          <cell r="H258" t="str">
            <v>NA</v>
          </cell>
          <cell r="I258">
            <v>38888.729166666664</v>
          </cell>
          <cell r="J258">
            <v>38961.729166666664</v>
          </cell>
          <cell r="K258" t="str">
            <v>NA</v>
          </cell>
          <cell r="L258">
            <v>0.56999999999999995</v>
          </cell>
          <cell r="M258">
            <v>13</v>
          </cell>
          <cell r="N258">
            <v>0</v>
          </cell>
          <cell r="O258">
            <v>0</v>
          </cell>
          <cell r="P258">
            <v>0</v>
          </cell>
          <cell r="T258">
            <v>38961</v>
          </cell>
        </row>
        <row r="259">
          <cell r="B259" t="str">
            <v>DC.250.DD.01</v>
          </cell>
          <cell r="D259" t="str">
            <v>Desenho De Detalhamento - Fundação, Forma, Armação, Bases e Piso</v>
          </cell>
          <cell r="E259" t="str">
            <v>18 dias</v>
          </cell>
          <cell r="F259">
            <v>38869.333333333336</v>
          </cell>
          <cell r="G259">
            <v>38936.333333333336</v>
          </cell>
          <cell r="H259" t="str">
            <v>NA</v>
          </cell>
          <cell r="I259">
            <v>38888.729166666664</v>
          </cell>
          <cell r="J259">
            <v>38961.729166666664</v>
          </cell>
          <cell r="K259" t="str">
            <v>NA</v>
          </cell>
          <cell r="L259">
            <v>0.56999999999999995</v>
          </cell>
          <cell r="M259">
            <v>13</v>
          </cell>
          <cell r="N259">
            <v>0</v>
          </cell>
          <cell r="O259">
            <v>0</v>
          </cell>
          <cell r="P259">
            <v>0</v>
          </cell>
          <cell r="Q259" t="str">
            <v>240;247II</v>
          </cell>
          <cell r="R259">
            <v>264</v>
          </cell>
          <cell r="S259" t="str">
            <v>EQUIPE CIV</v>
          </cell>
          <cell r="T259">
            <v>38961</v>
          </cell>
        </row>
        <row r="260">
          <cell r="D260" t="str">
            <v>Estrutura Metálica</v>
          </cell>
          <cell r="E260" t="str">
            <v>25 dias</v>
          </cell>
          <cell r="F260">
            <v>38905.333333333336</v>
          </cell>
          <cell r="G260">
            <v>38980.333333333336</v>
          </cell>
          <cell r="H260" t="str">
            <v>NA</v>
          </cell>
          <cell r="I260">
            <v>38931.729166666664</v>
          </cell>
          <cell r="J260">
            <v>39016.729166666664</v>
          </cell>
          <cell r="K260" t="str">
            <v>NA</v>
          </cell>
          <cell r="L260">
            <v>2.41</v>
          </cell>
          <cell r="M260">
            <v>55.25</v>
          </cell>
          <cell r="N260">
            <v>0</v>
          </cell>
          <cell r="O260">
            <v>0</v>
          </cell>
          <cell r="P260">
            <v>0</v>
          </cell>
          <cell r="T260">
            <v>39016</v>
          </cell>
        </row>
        <row r="261">
          <cell r="B261" t="str">
            <v>DD.250.DP.01</v>
          </cell>
          <cell r="D261" t="str">
            <v>Desenho De Projeto</v>
          </cell>
          <cell r="E261" t="str">
            <v>22 dias</v>
          </cell>
          <cell r="F261">
            <v>38905.333333333336</v>
          </cell>
          <cell r="G261">
            <v>38980.333333333336</v>
          </cell>
          <cell r="H261" t="str">
            <v>NA</v>
          </cell>
          <cell r="I261">
            <v>38930.729166666664</v>
          </cell>
          <cell r="J261">
            <v>39013.729166666664</v>
          </cell>
          <cell r="K261" t="str">
            <v>NA</v>
          </cell>
          <cell r="L261">
            <v>0.87</v>
          </cell>
          <cell r="M261">
            <v>20</v>
          </cell>
          <cell r="N261">
            <v>0</v>
          </cell>
          <cell r="O261">
            <v>0</v>
          </cell>
          <cell r="P261">
            <v>0</v>
          </cell>
          <cell r="Q261">
            <v>252</v>
          </cell>
          <cell r="R261" t="str">
            <v>260;261II</v>
          </cell>
          <cell r="S261" t="str">
            <v>EQUIPE MET</v>
          </cell>
          <cell r="T261">
            <v>39013</v>
          </cell>
        </row>
        <row r="262">
          <cell r="B262" t="str">
            <v>DD.250.LM.01</v>
          </cell>
          <cell r="D262" t="str">
            <v>Lista De Materiais</v>
          </cell>
          <cell r="E262" t="str">
            <v>1 dia</v>
          </cell>
          <cell r="F262">
            <v>38931.333333333336</v>
          </cell>
          <cell r="G262">
            <v>39014.333333333336</v>
          </cell>
          <cell r="H262" t="str">
            <v>NA</v>
          </cell>
          <cell r="I262">
            <v>38931.729166666664</v>
          </cell>
          <cell r="J262">
            <v>39014.729166666664</v>
          </cell>
          <cell r="K262" t="str">
            <v>NA</v>
          </cell>
          <cell r="L262">
            <v>0.02</v>
          </cell>
          <cell r="M262">
            <v>0.5</v>
          </cell>
          <cell r="N262">
            <v>0</v>
          </cell>
          <cell r="O262">
            <v>0</v>
          </cell>
          <cell r="P262">
            <v>0</v>
          </cell>
          <cell r="Q262">
            <v>259</v>
          </cell>
          <cell r="S262" t="str">
            <v>EQUIPE MET</v>
          </cell>
          <cell r="T262">
            <v>39014</v>
          </cell>
        </row>
        <row r="263">
          <cell r="B263" t="str">
            <v>DD.250.MC.01</v>
          </cell>
          <cell r="D263" t="str">
            <v>Memória De Cálculo</v>
          </cell>
          <cell r="E263" t="str">
            <v>25 dias</v>
          </cell>
          <cell r="F263">
            <v>38905.333333333336</v>
          </cell>
          <cell r="G263">
            <v>38980.333333333336</v>
          </cell>
          <cell r="H263" t="str">
            <v>NA</v>
          </cell>
          <cell r="I263">
            <v>38931.729166666664</v>
          </cell>
          <cell r="J263">
            <v>39016.729166666664</v>
          </cell>
          <cell r="K263" t="str">
            <v>NA</v>
          </cell>
          <cell r="L263">
            <v>1.52</v>
          </cell>
          <cell r="M263">
            <v>34.75</v>
          </cell>
          <cell r="N263">
            <v>0</v>
          </cell>
          <cell r="O263">
            <v>0</v>
          </cell>
          <cell r="P263">
            <v>0</v>
          </cell>
          <cell r="Q263" t="str">
            <v>259II</v>
          </cell>
          <cell r="S263" t="str">
            <v>EQUIPE MET</v>
          </cell>
          <cell r="T263">
            <v>39016</v>
          </cell>
        </row>
        <row r="264">
          <cell r="D264" t="str">
            <v>Elétrica</v>
          </cell>
          <cell r="E264" t="str">
            <v>32 dias</v>
          </cell>
          <cell r="F264">
            <v>38887.333333333336</v>
          </cell>
          <cell r="G264">
            <v>38964.333333333336</v>
          </cell>
          <cell r="H264" t="str">
            <v>NA</v>
          </cell>
          <cell r="I264">
            <v>38917.729166666664</v>
          </cell>
          <cell r="J264">
            <v>39013.729166666664</v>
          </cell>
          <cell r="K264" t="str">
            <v>NA</v>
          </cell>
          <cell r="L264">
            <v>0.72</v>
          </cell>
          <cell r="M264">
            <v>16.38</v>
          </cell>
          <cell r="N264">
            <v>0</v>
          </cell>
          <cell r="O264">
            <v>0</v>
          </cell>
          <cell r="P264">
            <v>0</v>
          </cell>
          <cell r="T264">
            <v>39013</v>
          </cell>
        </row>
        <row r="265">
          <cell r="D265" t="str">
            <v>Desenho De Detalhamento</v>
          </cell>
          <cell r="E265" t="str">
            <v>24 dias</v>
          </cell>
          <cell r="F265">
            <v>38887.333333333336</v>
          </cell>
          <cell r="G265">
            <v>38964.333333333336</v>
          </cell>
          <cell r="H265" t="str">
            <v>NA</v>
          </cell>
          <cell r="I265">
            <v>38910.729166666664</v>
          </cell>
          <cell r="J265">
            <v>38999.729166666664</v>
          </cell>
          <cell r="K265" t="str">
            <v>NA</v>
          </cell>
          <cell r="L265">
            <v>0.56999999999999995</v>
          </cell>
          <cell r="M265">
            <v>13</v>
          </cell>
          <cell r="N265">
            <v>0</v>
          </cell>
          <cell r="O265">
            <v>0</v>
          </cell>
          <cell r="P265">
            <v>0</v>
          </cell>
          <cell r="R265">
            <v>266</v>
          </cell>
          <cell r="T265">
            <v>38999</v>
          </cell>
        </row>
        <row r="266">
          <cell r="B266" t="str">
            <v>DE.250.DD.01</v>
          </cell>
          <cell r="D266" t="str">
            <v>Disposição De Força, Controle e Aterramento</v>
          </cell>
          <cell r="E266" t="str">
            <v>9 dias</v>
          </cell>
          <cell r="F266">
            <v>38887.333333333336</v>
          </cell>
          <cell r="G266">
            <v>38964.333333333336</v>
          </cell>
          <cell r="H266" t="str">
            <v>NA</v>
          </cell>
          <cell r="I266">
            <v>38897.729166666664</v>
          </cell>
          <cell r="J266">
            <v>38978.729166666664</v>
          </cell>
          <cell r="K266" t="str">
            <v>NA</v>
          </cell>
          <cell r="L266">
            <v>0.17</v>
          </cell>
          <cell r="M266">
            <v>4</v>
          </cell>
          <cell r="N266">
            <v>0</v>
          </cell>
          <cell r="O266">
            <v>0</v>
          </cell>
          <cell r="P266">
            <v>0</v>
          </cell>
          <cell r="Q266">
            <v>257</v>
          </cell>
          <cell r="R266">
            <v>265</v>
          </cell>
          <cell r="S266" t="str">
            <v>EQUIPE ELE</v>
          </cell>
          <cell r="T266">
            <v>38978</v>
          </cell>
        </row>
        <row r="267">
          <cell r="B267" t="str">
            <v>DE.250.DD.02</v>
          </cell>
          <cell r="D267" t="str">
            <v>Iluminação</v>
          </cell>
          <cell r="E267" t="str">
            <v>15 dias</v>
          </cell>
          <cell r="F267">
            <v>38898.333333333336</v>
          </cell>
          <cell r="G267">
            <v>38979.333333333336</v>
          </cell>
          <cell r="H267" t="str">
            <v>NA</v>
          </cell>
          <cell r="I267">
            <v>38910.729166666664</v>
          </cell>
          <cell r="J267">
            <v>38999.729166666664</v>
          </cell>
          <cell r="K267" t="str">
            <v>NA</v>
          </cell>
          <cell r="L267">
            <v>0.39</v>
          </cell>
          <cell r="M267">
            <v>9</v>
          </cell>
          <cell r="N267">
            <v>0</v>
          </cell>
          <cell r="O267">
            <v>0</v>
          </cell>
          <cell r="P267">
            <v>0</v>
          </cell>
          <cell r="Q267">
            <v>264</v>
          </cell>
          <cell r="S267" t="str">
            <v>EQUIPE ELE</v>
          </cell>
          <cell r="T267">
            <v>38999</v>
          </cell>
        </row>
        <row r="268">
          <cell r="B268" t="str">
            <v>DE.250.ET.01</v>
          </cell>
          <cell r="D268" t="str">
            <v>Especificação Técnica - Força Aterramento/ Iluminação</v>
          </cell>
          <cell r="E268" t="str">
            <v>4 dias</v>
          </cell>
          <cell r="F268">
            <v>38909.333333333336</v>
          </cell>
          <cell r="G268">
            <v>39000.333333333336</v>
          </cell>
          <cell r="H268" t="str">
            <v>NA</v>
          </cell>
          <cell r="I268">
            <v>38917.729166666664</v>
          </cell>
          <cell r="J268">
            <v>39007.729166666664</v>
          </cell>
          <cell r="K268" t="str">
            <v>NA</v>
          </cell>
          <cell r="L268">
            <v>0.08</v>
          </cell>
          <cell r="M268">
            <v>1.88</v>
          </cell>
          <cell r="N268">
            <v>0</v>
          </cell>
          <cell r="O268">
            <v>0</v>
          </cell>
          <cell r="P268">
            <v>0</v>
          </cell>
          <cell r="Q268">
            <v>263</v>
          </cell>
          <cell r="R268">
            <v>267</v>
          </cell>
          <cell r="S268" t="str">
            <v>EQUIPE ELE</v>
          </cell>
          <cell r="T268">
            <v>39007</v>
          </cell>
        </row>
        <row r="269">
          <cell r="B269" t="str">
            <v>DE.250.LC.01</v>
          </cell>
          <cell r="D269" t="str">
            <v>Lista De Linhas/ Cabos</v>
          </cell>
          <cell r="E269" t="str">
            <v>4 dias</v>
          </cell>
          <cell r="F269">
            <v>38911.333333333336</v>
          </cell>
          <cell r="G269">
            <v>39008.333333333336</v>
          </cell>
          <cell r="H269" t="str">
            <v>NA</v>
          </cell>
          <cell r="I269">
            <v>38917.729166666664</v>
          </cell>
          <cell r="J269">
            <v>39013.729166666664</v>
          </cell>
          <cell r="K269" t="str">
            <v>NA</v>
          </cell>
          <cell r="L269">
            <v>7.0000000000000007E-2</v>
          </cell>
          <cell r="M269">
            <v>1.5</v>
          </cell>
          <cell r="N269">
            <v>0</v>
          </cell>
          <cell r="O269">
            <v>0</v>
          </cell>
          <cell r="P269">
            <v>0</v>
          </cell>
          <cell r="Q269">
            <v>266</v>
          </cell>
          <cell r="S269" t="str">
            <v>EQUIPE ELE</v>
          </cell>
          <cell r="T269">
            <v>39013</v>
          </cell>
        </row>
        <row r="270">
          <cell r="D270" t="str">
            <v>Instrumentação</v>
          </cell>
          <cell r="E270" t="str">
            <v>8 dias</v>
          </cell>
          <cell r="F270">
            <v>38905.333333333336</v>
          </cell>
          <cell r="G270">
            <v>39013.333333333336</v>
          </cell>
          <cell r="H270" t="str">
            <v>NA</v>
          </cell>
          <cell r="I270">
            <v>38917.729166666664</v>
          </cell>
          <cell r="J270">
            <v>39022.729166666664</v>
          </cell>
          <cell r="K270" t="str">
            <v>NA</v>
          </cell>
          <cell r="L270">
            <v>0.09</v>
          </cell>
          <cell r="M270">
            <v>2</v>
          </cell>
          <cell r="N270">
            <v>0</v>
          </cell>
          <cell r="O270">
            <v>0</v>
          </cell>
          <cell r="P270">
            <v>0</v>
          </cell>
          <cell r="T270">
            <v>39022</v>
          </cell>
        </row>
        <row r="271">
          <cell r="B271" t="str">
            <v>DT.250.AJ.01</v>
          </cell>
          <cell r="D271" t="str">
            <v>Arranjos/ Layout’s/ Plano Diretor - Locação De Instrumentos</v>
          </cell>
          <cell r="E271" t="str">
            <v>8 dias</v>
          </cell>
          <cell r="F271">
            <v>38905.333333333336</v>
          </cell>
          <cell r="G271">
            <v>39013.333333333336</v>
          </cell>
          <cell r="H271" t="str">
            <v>NA</v>
          </cell>
          <cell r="I271">
            <v>38917.729166666664</v>
          </cell>
          <cell r="J271">
            <v>39022.729166666664</v>
          </cell>
          <cell r="K271" t="str">
            <v>NA</v>
          </cell>
          <cell r="L271">
            <v>0.09</v>
          </cell>
          <cell r="M271">
            <v>2</v>
          </cell>
          <cell r="N271">
            <v>0</v>
          </cell>
          <cell r="O271">
            <v>0</v>
          </cell>
          <cell r="P271">
            <v>0</v>
          </cell>
          <cell r="Q271">
            <v>82</v>
          </cell>
          <cell r="S271" t="str">
            <v>EQUIPE TSA</v>
          </cell>
          <cell r="T271">
            <v>39022</v>
          </cell>
        </row>
        <row r="272">
          <cell r="B272" t="str">
            <v>1.1.9</v>
          </cell>
          <cell r="C272" t="str">
            <v>255A</v>
          </cell>
          <cell r="D272" t="str">
            <v>Deslamagem (2D)</v>
          </cell>
          <cell r="E272" t="str">
            <v>126 dias</v>
          </cell>
          <cell r="F272">
            <v>38866.333333333336</v>
          </cell>
          <cell r="G272">
            <v>38860.333333333336</v>
          </cell>
          <cell r="H272">
            <v>38860.333333333336</v>
          </cell>
          <cell r="I272">
            <v>38958.729166666664</v>
          </cell>
          <cell r="J272">
            <v>39050.729166666664</v>
          </cell>
          <cell r="K272" t="str">
            <v>NA</v>
          </cell>
          <cell r="L272">
            <v>4.79</v>
          </cell>
          <cell r="M272">
            <v>109.5</v>
          </cell>
          <cell r="N272">
            <v>14.58</v>
          </cell>
          <cell r="O272">
            <v>13.31</v>
          </cell>
          <cell r="P272">
            <v>13.31</v>
          </cell>
          <cell r="T272">
            <v>39050</v>
          </cell>
        </row>
        <row r="273">
          <cell r="D273" t="str">
            <v>Projeto Básico</v>
          </cell>
          <cell r="E273" t="str">
            <v>67 dias</v>
          </cell>
          <cell r="F273">
            <v>38866.333333333336</v>
          </cell>
          <cell r="G273">
            <v>38860.333333333336</v>
          </cell>
          <cell r="H273">
            <v>38860.333333333336</v>
          </cell>
          <cell r="I273">
            <v>38894.729166666664</v>
          </cell>
          <cell r="J273">
            <v>38958.729166666664</v>
          </cell>
          <cell r="K273" t="str">
            <v>NA</v>
          </cell>
          <cell r="L273">
            <v>0.86</v>
          </cell>
          <cell r="M273">
            <v>19.75</v>
          </cell>
          <cell r="N273">
            <v>14.58</v>
          </cell>
          <cell r="O273">
            <v>73.8</v>
          </cell>
          <cell r="P273">
            <v>73.8</v>
          </cell>
          <cell r="T273">
            <v>38958</v>
          </cell>
        </row>
        <row r="274">
          <cell r="D274" t="str">
            <v>Processo</v>
          </cell>
          <cell r="E274" t="str">
            <v>3 dias</v>
          </cell>
          <cell r="F274">
            <v>38866.333333333336</v>
          </cell>
          <cell r="G274">
            <v>38937.333333333336</v>
          </cell>
          <cell r="H274">
            <v>38937.333333333336</v>
          </cell>
          <cell r="I274">
            <v>38868.729166666664</v>
          </cell>
          <cell r="J274">
            <v>38939.729166666664</v>
          </cell>
          <cell r="K274" t="str">
            <v>NA</v>
          </cell>
          <cell r="L274">
            <v>0.15</v>
          </cell>
          <cell r="M274">
            <v>3.5</v>
          </cell>
          <cell r="N274">
            <v>1.75</v>
          </cell>
          <cell r="O274">
            <v>50</v>
          </cell>
          <cell r="P274">
            <v>50</v>
          </cell>
          <cell r="T274">
            <v>38939</v>
          </cell>
        </row>
        <row r="275">
          <cell r="B275" t="str">
            <v>BP.255.FD.01</v>
          </cell>
          <cell r="D275" t="str">
            <v>Folha De Dados - Hidrociclones/ Caixas Atrição</v>
          </cell>
          <cell r="E275" t="str">
            <v>3 dias</v>
          </cell>
          <cell r="F275">
            <v>38866.333333333336</v>
          </cell>
          <cell r="G275">
            <v>38937.333333333336</v>
          </cell>
          <cell r="H275">
            <v>38937.333333333336</v>
          </cell>
          <cell r="I275">
            <v>38868.729166666664</v>
          </cell>
          <cell r="J275">
            <v>38939.729166666664</v>
          </cell>
          <cell r="K275" t="str">
            <v>NA</v>
          </cell>
          <cell r="L275">
            <v>0.15</v>
          </cell>
          <cell r="M275">
            <v>3.5</v>
          </cell>
          <cell r="N275">
            <v>1.75</v>
          </cell>
          <cell r="O275">
            <v>50</v>
          </cell>
          <cell r="P275">
            <v>50</v>
          </cell>
          <cell r="Q275" t="str">
            <v>14II</v>
          </cell>
          <cell r="S275" t="str">
            <v>EQUIPE PRO</v>
          </cell>
          <cell r="T275">
            <v>38939</v>
          </cell>
        </row>
        <row r="276">
          <cell r="D276" t="str">
            <v>Mecânica</v>
          </cell>
          <cell r="E276" t="str">
            <v>11 dias</v>
          </cell>
          <cell r="F276">
            <v>38868.333333333336</v>
          </cell>
          <cell r="G276">
            <v>38926.333333333336</v>
          </cell>
          <cell r="H276">
            <v>38926.333333333336</v>
          </cell>
          <cell r="I276">
            <v>38887.729166666664</v>
          </cell>
          <cell r="J276">
            <v>38940.729166666664</v>
          </cell>
          <cell r="K276" t="str">
            <v>NA</v>
          </cell>
          <cell r="L276">
            <v>0.09</v>
          </cell>
          <cell r="M276">
            <v>2</v>
          </cell>
          <cell r="N276">
            <v>1.8</v>
          </cell>
          <cell r="O276">
            <v>90</v>
          </cell>
          <cell r="P276">
            <v>90</v>
          </cell>
          <cell r="T276">
            <v>38940</v>
          </cell>
        </row>
        <row r="277">
          <cell r="B277" t="str">
            <v>BB.255.DB.01</v>
          </cell>
          <cell r="D277" t="str">
            <v>Desenho Básico - Caixas de Polpa</v>
          </cell>
          <cell r="E277" t="str">
            <v>6 dias</v>
          </cell>
          <cell r="F277">
            <v>38868.333333333336</v>
          </cell>
          <cell r="G277">
            <v>38926.333333333336</v>
          </cell>
          <cell r="H277">
            <v>38926.333333333336</v>
          </cell>
          <cell r="I277">
            <v>38875.729166666664</v>
          </cell>
          <cell r="J277">
            <v>38933.729166666664</v>
          </cell>
          <cell r="K277" t="str">
            <v>NA</v>
          </cell>
          <cell r="L277">
            <v>0.09</v>
          </cell>
          <cell r="M277">
            <v>2</v>
          </cell>
          <cell r="N277">
            <v>1.8</v>
          </cell>
          <cell r="O277">
            <v>90</v>
          </cell>
          <cell r="P277">
            <v>90</v>
          </cell>
          <cell r="Q277" t="str">
            <v>14II;186</v>
          </cell>
          <cell r="R277" t="str">
            <v>276;278;283;291</v>
          </cell>
          <cell r="S277" t="str">
            <v>EQUIPE MEC</v>
          </cell>
          <cell r="T277">
            <v>38933</v>
          </cell>
        </row>
        <row r="278">
          <cell r="D278" t="str">
            <v>APROVAÇÃO EBX</v>
          </cell>
          <cell r="E278" t="str">
            <v>5 dias</v>
          </cell>
          <cell r="F278">
            <v>38876.333333333336</v>
          </cell>
          <cell r="G278">
            <v>38936.333333333336</v>
          </cell>
          <cell r="H278" t="str">
            <v>NA</v>
          </cell>
          <cell r="I278">
            <v>38887.729166666664</v>
          </cell>
          <cell r="J278">
            <v>38940.729166666664</v>
          </cell>
          <cell r="K278" t="str">
            <v>NA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 t="str">
            <v>#ERRO</v>
          </cell>
          <cell r="Q278">
            <v>275</v>
          </cell>
          <cell r="T278">
            <v>38940</v>
          </cell>
        </row>
        <row r="279">
          <cell r="D279" t="str">
            <v>Tubulação</v>
          </cell>
          <cell r="E279" t="str">
            <v>67 dias</v>
          </cell>
          <cell r="F279">
            <v>38876.375</v>
          </cell>
          <cell r="G279">
            <v>38860.333333333336</v>
          </cell>
          <cell r="H279">
            <v>38860.333333333336</v>
          </cell>
          <cell r="I279">
            <v>38894.375</v>
          </cell>
          <cell r="J279">
            <v>38958.729166666664</v>
          </cell>
          <cell r="K279" t="str">
            <v>NA</v>
          </cell>
          <cell r="L279">
            <v>0.62</v>
          </cell>
          <cell r="M279">
            <v>14.25</v>
          </cell>
          <cell r="N279">
            <v>11.03</v>
          </cell>
          <cell r="O279">
            <v>77.37</v>
          </cell>
          <cell r="P279">
            <v>77.37</v>
          </cell>
          <cell r="T279">
            <v>38958</v>
          </cell>
        </row>
        <row r="280">
          <cell r="B280" t="str">
            <v>BH.255.DB.01</v>
          </cell>
          <cell r="D280" t="str">
            <v>Desenho Básico - Planta</v>
          </cell>
          <cell r="E280" t="str">
            <v>15 dias</v>
          </cell>
          <cell r="F280">
            <v>38876.375</v>
          </cell>
          <cell r="G280">
            <v>38936.333333333336</v>
          </cell>
          <cell r="H280" t="str">
            <v>NA</v>
          </cell>
          <cell r="I280">
            <v>38887.375</v>
          </cell>
          <cell r="J280">
            <v>38958.729166666664</v>
          </cell>
          <cell r="K280" t="str">
            <v>NA</v>
          </cell>
          <cell r="L280">
            <v>0.09</v>
          </cell>
          <cell r="M280">
            <v>2</v>
          </cell>
          <cell r="N280">
            <v>0</v>
          </cell>
          <cell r="O280">
            <v>0</v>
          </cell>
          <cell r="P280">
            <v>0</v>
          </cell>
          <cell r="Q280" t="str">
            <v>39II;275</v>
          </cell>
          <cell r="R280">
            <v>286</v>
          </cell>
          <cell r="S280" t="str">
            <v>EQUIPE TUB[33%]</v>
          </cell>
          <cell r="T280">
            <v>38958</v>
          </cell>
        </row>
        <row r="281">
          <cell r="B281" t="str">
            <v>BH.255.MC.01</v>
          </cell>
          <cell r="D281" t="str">
            <v>Memória De Cálculo - Bombas</v>
          </cell>
          <cell r="E281" t="str">
            <v>25 dias</v>
          </cell>
          <cell r="F281">
            <v>38887.375</v>
          </cell>
          <cell r="G281">
            <v>38860.333333333336</v>
          </cell>
          <cell r="H281">
            <v>38860.333333333336</v>
          </cell>
          <cell r="I281">
            <v>38894.375</v>
          </cell>
          <cell r="J281">
            <v>38896.729166666664</v>
          </cell>
          <cell r="K281" t="str">
            <v>NA</v>
          </cell>
          <cell r="L281">
            <v>0.54</v>
          </cell>
          <cell r="M281">
            <v>12.25</v>
          </cell>
          <cell r="N281">
            <v>11.03</v>
          </cell>
          <cell r="O281">
            <v>90</v>
          </cell>
          <cell r="P281">
            <v>90</v>
          </cell>
          <cell r="Q281" t="str">
            <v>39II</v>
          </cell>
          <cell r="S281" t="str">
            <v>EQUIPE TUB</v>
          </cell>
          <cell r="T281">
            <v>38896</v>
          </cell>
        </row>
        <row r="282">
          <cell r="D282" t="str">
            <v>Projeto Detalhado</v>
          </cell>
          <cell r="E282" t="str">
            <v>59 dias</v>
          </cell>
          <cell r="F282">
            <v>38894.333333333336</v>
          </cell>
          <cell r="G282">
            <v>38959.333333333336</v>
          </cell>
          <cell r="H282" t="str">
            <v>NA</v>
          </cell>
          <cell r="I282">
            <v>38958.729166666664</v>
          </cell>
          <cell r="J282">
            <v>39050.729166666664</v>
          </cell>
          <cell r="K282" t="str">
            <v>NA</v>
          </cell>
          <cell r="L282">
            <v>3.92</v>
          </cell>
          <cell r="M282">
            <v>89.75</v>
          </cell>
          <cell r="N282">
            <v>0</v>
          </cell>
          <cell r="O282">
            <v>0</v>
          </cell>
          <cell r="P282">
            <v>0</v>
          </cell>
          <cell r="T282">
            <v>39050</v>
          </cell>
        </row>
        <row r="283">
          <cell r="D283" t="str">
            <v>Mecânica</v>
          </cell>
          <cell r="E283" t="str">
            <v>13 dias</v>
          </cell>
          <cell r="F283">
            <v>38894.375</v>
          </cell>
          <cell r="G283">
            <v>38959.333333333336</v>
          </cell>
          <cell r="H283" t="str">
            <v>NA</v>
          </cell>
          <cell r="I283">
            <v>38911.375</v>
          </cell>
          <cell r="J283">
            <v>38979.729166666664</v>
          </cell>
          <cell r="K283" t="str">
            <v>NA</v>
          </cell>
          <cell r="L283">
            <v>0.31</v>
          </cell>
          <cell r="M283">
            <v>7</v>
          </cell>
          <cell r="N283">
            <v>0</v>
          </cell>
          <cell r="O283">
            <v>0</v>
          </cell>
          <cell r="P283">
            <v>0</v>
          </cell>
          <cell r="T283">
            <v>38979</v>
          </cell>
        </row>
        <row r="284">
          <cell r="D284" t="str">
            <v>Desenho De Detalhamento</v>
          </cell>
          <cell r="E284" t="str">
            <v>13 dias</v>
          </cell>
          <cell r="F284">
            <v>38894.333333333336</v>
          </cell>
          <cell r="G284">
            <v>38959.333333333336</v>
          </cell>
          <cell r="H284" t="str">
            <v>NA</v>
          </cell>
          <cell r="I284">
            <v>38911.729166666664</v>
          </cell>
          <cell r="J284">
            <v>38979.729166666664</v>
          </cell>
          <cell r="K284" t="str">
            <v>NA</v>
          </cell>
          <cell r="L284">
            <v>0.31</v>
          </cell>
          <cell r="M284">
            <v>7</v>
          </cell>
          <cell r="N284">
            <v>0</v>
          </cell>
          <cell r="O284">
            <v>0</v>
          </cell>
          <cell r="P284">
            <v>0</v>
          </cell>
          <cell r="T284">
            <v>38979</v>
          </cell>
        </row>
        <row r="285">
          <cell r="B285" t="str">
            <v>DB.255.DD.01</v>
          </cell>
          <cell r="D285" t="str">
            <v>Caldeiraria</v>
          </cell>
          <cell r="E285" t="str">
            <v>7 dias</v>
          </cell>
          <cell r="F285">
            <v>38894.333333333336</v>
          </cell>
          <cell r="G285">
            <v>38959.333333333336</v>
          </cell>
          <cell r="H285" t="str">
            <v>NA</v>
          </cell>
          <cell r="I285">
            <v>38902.729166666664</v>
          </cell>
          <cell r="J285">
            <v>38971.729166666664</v>
          </cell>
          <cell r="K285" t="str">
            <v>NA</v>
          </cell>
          <cell r="L285">
            <v>0.17</v>
          </cell>
          <cell r="M285">
            <v>4</v>
          </cell>
          <cell r="N285">
            <v>0</v>
          </cell>
          <cell r="O285">
            <v>0</v>
          </cell>
          <cell r="P285">
            <v>0</v>
          </cell>
          <cell r="Q285" t="str">
            <v>30TI+15 dias;275</v>
          </cell>
          <cell r="R285">
            <v>284</v>
          </cell>
          <cell r="S285" t="str">
            <v>EQUIPE MEC</v>
          </cell>
          <cell r="T285">
            <v>38971</v>
          </cell>
        </row>
        <row r="286">
          <cell r="B286" t="str">
            <v>DB.255.DD.02</v>
          </cell>
          <cell r="D286" t="str">
            <v>Calha</v>
          </cell>
          <cell r="E286" t="str">
            <v>6 dias</v>
          </cell>
          <cell r="F286">
            <v>38903.333333333336</v>
          </cell>
          <cell r="G286">
            <v>38972.333333333336</v>
          </cell>
          <cell r="H286" t="str">
            <v>NA</v>
          </cell>
          <cell r="I286">
            <v>38911.729166666664</v>
          </cell>
          <cell r="J286">
            <v>38979.729166666664</v>
          </cell>
          <cell r="K286" t="str">
            <v>NA</v>
          </cell>
          <cell r="L286">
            <v>0.13</v>
          </cell>
          <cell r="M286">
            <v>3</v>
          </cell>
          <cell r="N286">
            <v>0</v>
          </cell>
          <cell r="O286">
            <v>0</v>
          </cell>
          <cell r="P286">
            <v>0</v>
          </cell>
          <cell r="Q286">
            <v>283</v>
          </cell>
          <cell r="S286" t="str">
            <v>EQUIPE MEC</v>
          </cell>
          <cell r="T286">
            <v>38979</v>
          </cell>
        </row>
        <row r="287">
          <cell r="D287" t="str">
            <v>Tubulação</v>
          </cell>
          <cell r="E287" t="str">
            <v>47 dias</v>
          </cell>
          <cell r="F287">
            <v>38911.333333333336</v>
          </cell>
          <cell r="G287">
            <v>38959.333333333336</v>
          </cell>
          <cell r="H287" t="str">
            <v>NA</v>
          </cell>
          <cell r="I287">
            <v>38958.729166666664</v>
          </cell>
          <cell r="J287">
            <v>39031.729166666664</v>
          </cell>
          <cell r="K287" t="str">
            <v>NA</v>
          </cell>
          <cell r="L287">
            <v>2.14</v>
          </cell>
          <cell r="M287">
            <v>49</v>
          </cell>
          <cell r="N287">
            <v>0</v>
          </cell>
          <cell r="O287">
            <v>0</v>
          </cell>
          <cell r="P287">
            <v>0</v>
          </cell>
          <cell r="T287">
            <v>39031</v>
          </cell>
        </row>
        <row r="288">
          <cell r="B288" t="str">
            <v>DH.255.DD.01</v>
          </cell>
          <cell r="D288" t="str">
            <v>Desenho De Detalhamento - Planta de Tubulação</v>
          </cell>
          <cell r="E288" t="str">
            <v>14 dias</v>
          </cell>
          <cell r="F288">
            <v>38911.333333333336</v>
          </cell>
          <cell r="G288">
            <v>38959.333333333336</v>
          </cell>
          <cell r="H288" t="str">
            <v>NA</v>
          </cell>
          <cell r="I288">
            <v>38930.729166666664</v>
          </cell>
          <cell r="J288">
            <v>38980.729166666664</v>
          </cell>
          <cell r="K288" t="str">
            <v>NA</v>
          </cell>
          <cell r="L288">
            <v>0.44</v>
          </cell>
          <cell r="M288">
            <v>10</v>
          </cell>
          <cell r="N288">
            <v>0</v>
          </cell>
          <cell r="O288">
            <v>0</v>
          </cell>
          <cell r="P288">
            <v>0</v>
          </cell>
          <cell r="Q288" t="str">
            <v>39II;278</v>
          </cell>
          <cell r="R288" t="str">
            <v>287;293</v>
          </cell>
          <cell r="S288" t="str">
            <v>EQUIPE TUB</v>
          </cell>
          <cell r="T288">
            <v>38980</v>
          </cell>
        </row>
        <row r="289">
          <cell r="B289" t="str">
            <v>DH.255.DE.01</v>
          </cell>
          <cell r="D289" t="str">
            <v>Detalhes Típicos - Suporte</v>
          </cell>
          <cell r="E289" t="str">
            <v>20 dias</v>
          </cell>
          <cell r="F289">
            <v>38931.333333333336</v>
          </cell>
          <cell r="G289">
            <v>38981.333333333336</v>
          </cell>
          <cell r="H289" t="str">
            <v>NA</v>
          </cell>
          <cell r="I289">
            <v>38953.729166666664</v>
          </cell>
          <cell r="J289">
            <v>39010.729166666664</v>
          </cell>
          <cell r="K289" t="str">
            <v>NA</v>
          </cell>
          <cell r="L289">
            <v>1.1399999999999999</v>
          </cell>
          <cell r="M289">
            <v>26</v>
          </cell>
          <cell r="N289">
            <v>0</v>
          </cell>
          <cell r="O289">
            <v>0</v>
          </cell>
          <cell r="P289">
            <v>0</v>
          </cell>
          <cell r="Q289">
            <v>286</v>
          </cell>
          <cell r="R289" t="str">
            <v>288;293</v>
          </cell>
          <cell r="S289" t="str">
            <v>EQUIPE TUB</v>
          </cell>
          <cell r="T289">
            <v>39010</v>
          </cell>
        </row>
        <row r="290">
          <cell r="B290" t="str">
            <v>DH.255.IS.01</v>
          </cell>
          <cell r="D290" t="str">
            <v>Isométrico</v>
          </cell>
          <cell r="E290" t="str">
            <v>11 dias</v>
          </cell>
          <cell r="F290">
            <v>38931.333333333336</v>
          </cell>
          <cell r="G290">
            <v>39013.333333333336</v>
          </cell>
          <cell r="H290" t="str">
            <v>NA</v>
          </cell>
          <cell r="I290">
            <v>38949.729166666664</v>
          </cell>
          <cell r="J290">
            <v>39029.729166666664</v>
          </cell>
          <cell r="K290" t="str">
            <v>NA</v>
          </cell>
          <cell r="L290">
            <v>0.39</v>
          </cell>
          <cell r="M290">
            <v>9</v>
          </cell>
          <cell r="N290">
            <v>0</v>
          </cell>
          <cell r="O290">
            <v>0</v>
          </cell>
          <cell r="P290">
            <v>0</v>
          </cell>
          <cell r="Q290">
            <v>287</v>
          </cell>
          <cell r="R290">
            <v>289</v>
          </cell>
          <cell r="S290" t="str">
            <v>EQUIPE TUB</v>
          </cell>
          <cell r="T290">
            <v>39029</v>
          </cell>
        </row>
        <row r="291">
          <cell r="B291" t="str">
            <v>DH.255.LM.01</v>
          </cell>
          <cell r="D291" t="str">
            <v>Lista De Materiais</v>
          </cell>
          <cell r="E291" t="str">
            <v>2 dias</v>
          </cell>
          <cell r="F291">
            <v>38954.333333333336</v>
          </cell>
          <cell r="G291">
            <v>39030.333333333336</v>
          </cell>
          <cell r="H291" t="str">
            <v>NA</v>
          </cell>
          <cell r="I291">
            <v>38958.729166666664</v>
          </cell>
          <cell r="J291">
            <v>39031.729166666664</v>
          </cell>
          <cell r="K291" t="str">
            <v>NA</v>
          </cell>
          <cell r="L291">
            <v>0.17</v>
          </cell>
          <cell r="M291">
            <v>4</v>
          </cell>
          <cell r="N291">
            <v>0</v>
          </cell>
          <cell r="O291">
            <v>0</v>
          </cell>
          <cell r="P291">
            <v>0</v>
          </cell>
          <cell r="Q291">
            <v>288</v>
          </cell>
          <cell r="S291" t="str">
            <v>EQUIPE TUB</v>
          </cell>
          <cell r="T291">
            <v>39031</v>
          </cell>
        </row>
        <row r="292">
          <cell r="D292" t="str">
            <v>Civil</v>
          </cell>
          <cell r="E292" t="str">
            <v>20 dias</v>
          </cell>
          <cell r="F292">
            <v>38911.333333333336</v>
          </cell>
          <cell r="G292">
            <v>38961.333333333336</v>
          </cell>
          <cell r="H292" t="str">
            <v>NA</v>
          </cell>
          <cell r="I292">
            <v>38919.729166666664</v>
          </cell>
          <cell r="J292">
            <v>38992.729166666664</v>
          </cell>
          <cell r="K292" t="str">
            <v>NA</v>
          </cell>
          <cell r="L292">
            <v>0.13</v>
          </cell>
          <cell r="M292">
            <v>3</v>
          </cell>
          <cell r="N292">
            <v>0</v>
          </cell>
          <cell r="O292">
            <v>0</v>
          </cell>
          <cell r="P292">
            <v>0</v>
          </cell>
          <cell r="T292">
            <v>38992</v>
          </cell>
        </row>
        <row r="293">
          <cell r="B293" t="str">
            <v>DC.255.DD.01</v>
          </cell>
          <cell r="D293" t="str">
            <v>Desenho De Detalhamento - Forma e Armação</v>
          </cell>
          <cell r="E293" t="str">
            <v>20 dias</v>
          </cell>
          <cell r="F293">
            <v>38911.333333333336</v>
          </cell>
          <cell r="G293">
            <v>38961.333333333336</v>
          </cell>
          <cell r="H293" t="str">
            <v>NA</v>
          </cell>
          <cell r="I293">
            <v>38919.729166666664</v>
          </cell>
          <cell r="J293">
            <v>38992.729166666664</v>
          </cell>
          <cell r="K293" t="str">
            <v>NA</v>
          </cell>
          <cell r="L293">
            <v>0.13</v>
          </cell>
          <cell r="M293">
            <v>3</v>
          </cell>
          <cell r="N293">
            <v>0</v>
          </cell>
          <cell r="O293">
            <v>0</v>
          </cell>
          <cell r="P293">
            <v>0</v>
          </cell>
          <cell r="Q293" t="str">
            <v>275;407</v>
          </cell>
          <cell r="R293">
            <v>298</v>
          </cell>
          <cell r="S293" t="str">
            <v>EQUIPE CIV[30%]</v>
          </cell>
          <cell r="T293">
            <v>38992</v>
          </cell>
        </row>
        <row r="294">
          <cell r="D294" t="str">
            <v>Estrutura Metálica</v>
          </cell>
          <cell r="E294" t="str">
            <v>7 dias</v>
          </cell>
          <cell r="F294">
            <v>38911.375</v>
          </cell>
          <cell r="G294">
            <v>39013.333333333336</v>
          </cell>
          <cell r="H294" t="str">
            <v>NA</v>
          </cell>
          <cell r="I294">
            <v>38931.375</v>
          </cell>
          <cell r="J294">
            <v>39021.729166666664</v>
          </cell>
          <cell r="K294" t="str">
            <v>NA</v>
          </cell>
          <cell r="L294">
            <v>0.51</v>
          </cell>
          <cell r="M294">
            <v>11.75</v>
          </cell>
          <cell r="N294">
            <v>0</v>
          </cell>
          <cell r="O294">
            <v>0</v>
          </cell>
          <cell r="P294">
            <v>0</v>
          </cell>
          <cell r="T294">
            <v>39021</v>
          </cell>
        </row>
        <row r="295">
          <cell r="B295" t="str">
            <v>DD.255.DP.01</v>
          </cell>
          <cell r="D295" t="str">
            <v>Desenho De Projeto</v>
          </cell>
          <cell r="E295" t="str">
            <v>6 dias</v>
          </cell>
          <cell r="F295">
            <v>38911.375</v>
          </cell>
          <cell r="G295">
            <v>39013.333333333336</v>
          </cell>
          <cell r="H295" t="str">
            <v>NA</v>
          </cell>
          <cell r="I295">
            <v>38919.375</v>
          </cell>
          <cell r="J295">
            <v>39020.729166666664</v>
          </cell>
          <cell r="K295" t="str">
            <v>NA</v>
          </cell>
          <cell r="L295">
            <v>0.17</v>
          </cell>
          <cell r="M295">
            <v>4</v>
          </cell>
          <cell r="N295">
            <v>0</v>
          </cell>
          <cell r="O295">
            <v>0</v>
          </cell>
          <cell r="P295">
            <v>0</v>
          </cell>
          <cell r="Q295" t="str">
            <v>286;287</v>
          </cell>
          <cell r="R295" t="str">
            <v>294;295II</v>
          </cell>
          <cell r="S295" t="str">
            <v>EQUIPE MET</v>
          </cell>
          <cell r="T295">
            <v>39020</v>
          </cell>
        </row>
        <row r="296">
          <cell r="B296" t="str">
            <v>DD.255.LM.01</v>
          </cell>
          <cell r="D296" t="str">
            <v>Lista De Materiais</v>
          </cell>
          <cell r="E296" t="str">
            <v>1 dia</v>
          </cell>
          <cell r="F296">
            <v>38919.375</v>
          </cell>
          <cell r="G296">
            <v>39021.333333333336</v>
          </cell>
          <cell r="H296" t="str">
            <v>NA</v>
          </cell>
          <cell r="I296">
            <v>38922.375</v>
          </cell>
          <cell r="J296">
            <v>39021.729166666664</v>
          </cell>
          <cell r="K296" t="str">
            <v>NA</v>
          </cell>
          <cell r="L296">
            <v>0.01</v>
          </cell>
          <cell r="M296">
            <v>0.25</v>
          </cell>
          <cell r="N296">
            <v>0</v>
          </cell>
          <cell r="O296">
            <v>0</v>
          </cell>
          <cell r="P296">
            <v>0</v>
          </cell>
          <cell r="Q296">
            <v>293</v>
          </cell>
          <cell r="S296" t="str">
            <v>EQUIPE MET</v>
          </cell>
          <cell r="T296">
            <v>39021</v>
          </cell>
        </row>
        <row r="297">
          <cell r="B297" t="str">
            <v>DD.255.MC.01</v>
          </cell>
          <cell r="D297" t="str">
            <v>Memória De Cálculo</v>
          </cell>
          <cell r="E297" t="str">
            <v>7 dias</v>
          </cell>
          <cell r="F297">
            <v>38922.375</v>
          </cell>
          <cell r="G297">
            <v>39013.333333333336</v>
          </cell>
          <cell r="H297" t="str">
            <v>NA</v>
          </cell>
          <cell r="I297">
            <v>38931.375</v>
          </cell>
          <cell r="J297">
            <v>39021.729166666664</v>
          </cell>
          <cell r="K297" t="str">
            <v>NA</v>
          </cell>
          <cell r="L297">
            <v>0.33</v>
          </cell>
          <cell r="M297">
            <v>7.5</v>
          </cell>
          <cell r="N297">
            <v>0</v>
          </cell>
          <cell r="O297">
            <v>0</v>
          </cell>
          <cell r="P297">
            <v>0</v>
          </cell>
          <cell r="Q297" t="str">
            <v>293II</v>
          </cell>
          <cell r="S297" t="str">
            <v>EQUIPE MET</v>
          </cell>
          <cell r="T297">
            <v>39021</v>
          </cell>
        </row>
        <row r="298">
          <cell r="D298" t="str">
            <v>Elétrica</v>
          </cell>
          <cell r="E298" t="str">
            <v>37 dias</v>
          </cell>
          <cell r="F298">
            <v>38919.333333333336</v>
          </cell>
          <cell r="G298">
            <v>38993.333333333336</v>
          </cell>
          <cell r="H298" t="str">
            <v>NA</v>
          </cell>
          <cell r="I298">
            <v>38953.729166666664</v>
          </cell>
          <cell r="J298">
            <v>39050.729166666664</v>
          </cell>
          <cell r="K298" t="str">
            <v>NA</v>
          </cell>
          <cell r="L298">
            <v>0.74</v>
          </cell>
          <cell r="M298">
            <v>17</v>
          </cell>
          <cell r="N298">
            <v>0</v>
          </cell>
          <cell r="O298">
            <v>0</v>
          </cell>
          <cell r="P298">
            <v>0</v>
          </cell>
          <cell r="T298">
            <v>39050</v>
          </cell>
        </row>
        <row r="299">
          <cell r="D299" t="str">
            <v>Desenho De Detalhamento</v>
          </cell>
          <cell r="E299" t="str">
            <v>30 dias</v>
          </cell>
          <cell r="F299">
            <v>38919.333333333336</v>
          </cell>
          <cell r="G299">
            <v>38993.333333333336</v>
          </cell>
          <cell r="H299" t="str">
            <v>NA</v>
          </cell>
          <cell r="I299">
            <v>38939.729166666664</v>
          </cell>
          <cell r="J299">
            <v>39041.729166666664</v>
          </cell>
          <cell r="K299" t="str">
            <v>NA</v>
          </cell>
          <cell r="L299">
            <v>0.61</v>
          </cell>
          <cell r="M299">
            <v>14</v>
          </cell>
          <cell r="N299">
            <v>0</v>
          </cell>
          <cell r="O299">
            <v>0</v>
          </cell>
          <cell r="P299">
            <v>0</v>
          </cell>
          <cell r="R299">
            <v>300</v>
          </cell>
          <cell r="T299">
            <v>39041</v>
          </cell>
        </row>
        <row r="300">
          <cell r="B300" t="str">
            <v>DE.255.DD.01</v>
          </cell>
          <cell r="D300" t="str">
            <v>Disposição De Força, Controle e Aterramento</v>
          </cell>
          <cell r="E300" t="str">
            <v>15 dias</v>
          </cell>
          <cell r="F300">
            <v>38919.333333333336</v>
          </cell>
          <cell r="G300">
            <v>38993.333333333336</v>
          </cell>
          <cell r="H300" t="str">
            <v>NA</v>
          </cell>
          <cell r="I300">
            <v>38939.729166666664</v>
          </cell>
          <cell r="J300">
            <v>39015.729166666664</v>
          </cell>
          <cell r="K300" t="str">
            <v>NA</v>
          </cell>
          <cell r="L300">
            <v>0.31</v>
          </cell>
          <cell r="M300">
            <v>7</v>
          </cell>
          <cell r="N300">
            <v>0</v>
          </cell>
          <cell r="O300">
            <v>0</v>
          </cell>
          <cell r="P300">
            <v>0</v>
          </cell>
          <cell r="Q300">
            <v>291</v>
          </cell>
          <cell r="R300">
            <v>299</v>
          </cell>
          <cell r="S300" t="str">
            <v>EQUIPE ELE</v>
          </cell>
          <cell r="T300">
            <v>39015</v>
          </cell>
        </row>
        <row r="301">
          <cell r="B301" t="str">
            <v>DE.255.DD.02</v>
          </cell>
          <cell r="D301" t="str">
            <v>Iluminação</v>
          </cell>
          <cell r="E301" t="str">
            <v>15 dias</v>
          </cell>
          <cell r="F301">
            <v>38919.333333333336</v>
          </cell>
          <cell r="G301">
            <v>39016.333333333336</v>
          </cell>
          <cell r="H301" t="str">
            <v>NA</v>
          </cell>
          <cell r="I301">
            <v>38939.729166666664</v>
          </cell>
          <cell r="J301">
            <v>39041.729166666664</v>
          </cell>
          <cell r="K301" t="str">
            <v>NA</v>
          </cell>
          <cell r="L301">
            <v>0.31</v>
          </cell>
          <cell r="M301">
            <v>7</v>
          </cell>
          <cell r="N301">
            <v>0</v>
          </cell>
          <cell r="O301">
            <v>0</v>
          </cell>
          <cell r="P301">
            <v>0</v>
          </cell>
          <cell r="Q301">
            <v>298</v>
          </cell>
          <cell r="S301" t="str">
            <v>EQUIPE ELE</v>
          </cell>
          <cell r="T301">
            <v>39041</v>
          </cell>
        </row>
        <row r="302">
          <cell r="B302" t="str">
            <v>DE.255.LC.01</v>
          </cell>
          <cell r="D302" t="str">
            <v>Lista De Linhas/ Cabos</v>
          </cell>
          <cell r="E302" t="str">
            <v>7 dias</v>
          </cell>
          <cell r="F302">
            <v>38940.333333333336</v>
          </cell>
          <cell r="G302">
            <v>39042.333333333336</v>
          </cell>
          <cell r="H302" t="str">
            <v>NA</v>
          </cell>
          <cell r="I302">
            <v>38953.729166666664</v>
          </cell>
          <cell r="J302">
            <v>39050.729166666664</v>
          </cell>
          <cell r="K302" t="str">
            <v>NA</v>
          </cell>
          <cell r="L302">
            <v>0.13</v>
          </cell>
          <cell r="M302">
            <v>3</v>
          </cell>
          <cell r="N302">
            <v>0</v>
          </cell>
          <cell r="O302">
            <v>0</v>
          </cell>
          <cell r="P302">
            <v>0</v>
          </cell>
          <cell r="Q302">
            <v>297</v>
          </cell>
          <cell r="S302" t="str">
            <v>EQUIPE ELE</v>
          </cell>
          <cell r="T302">
            <v>39050</v>
          </cell>
        </row>
        <row r="303">
          <cell r="D303" t="str">
            <v>Instrumentação</v>
          </cell>
          <cell r="E303" t="str">
            <v>8 dias</v>
          </cell>
          <cell r="F303">
            <v>38911.333333333336</v>
          </cell>
          <cell r="G303">
            <v>39027.333333333336</v>
          </cell>
          <cell r="H303" t="str">
            <v>NA</v>
          </cell>
          <cell r="I303">
            <v>38923.729166666664</v>
          </cell>
          <cell r="J303">
            <v>39037.729166666664</v>
          </cell>
          <cell r="K303" t="str">
            <v>NA</v>
          </cell>
          <cell r="L303">
            <v>0.09</v>
          </cell>
          <cell r="M303">
            <v>2</v>
          </cell>
          <cell r="N303">
            <v>0</v>
          </cell>
          <cell r="O303">
            <v>0</v>
          </cell>
          <cell r="P303">
            <v>0</v>
          </cell>
          <cell r="T303">
            <v>39037</v>
          </cell>
        </row>
        <row r="304">
          <cell r="B304" t="str">
            <v>DT.255.AJ.01</v>
          </cell>
          <cell r="D304" t="str">
            <v>Arranjos/ Layout’s/ Plano Diretor - Locação De Instrumentos</v>
          </cell>
          <cell r="E304" t="str">
            <v>8 dias</v>
          </cell>
          <cell r="F304">
            <v>38911.333333333336</v>
          </cell>
          <cell r="G304">
            <v>39027.333333333336</v>
          </cell>
          <cell r="H304" t="str">
            <v>NA</v>
          </cell>
          <cell r="I304">
            <v>38923.729166666664</v>
          </cell>
          <cell r="J304">
            <v>39037.729166666664</v>
          </cell>
          <cell r="K304" t="str">
            <v>NA</v>
          </cell>
          <cell r="L304">
            <v>0.09</v>
          </cell>
          <cell r="M304">
            <v>2</v>
          </cell>
          <cell r="N304">
            <v>0</v>
          </cell>
          <cell r="O304">
            <v>0</v>
          </cell>
          <cell r="P304">
            <v>0</v>
          </cell>
          <cell r="Q304">
            <v>417</v>
          </cell>
          <cell r="R304" t="str">
            <v>180;456</v>
          </cell>
          <cell r="S304" t="str">
            <v>EQUIPE TSA</v>
          </cell>
          <cell r="T304">
            <v>39037</v>
          </cell>
        </row>
        <row r="305">
          <cell r="B305" t="str">
            <v>1.1.10</v>
          </cell>
          <cell r="C305" t="str">
            <v>260A</v>
          </cell>
          <cell r="D305" t="str">
            <v>Espessamento de Lamas (1B)</v>
          </cell>
          <cell r="E305" t="str">
            <v>98 dias</v>
          </cell>
          <cell r="F305">
            <v>38863.333333333336</v>
          </cell>
          <cell r="G305">
            <v>38877.333333333336</v>
          </cell>
          <cell r="H305">
            <v>38877.333333333336</v>
          </cell>
          <cell r="I305">
            <v>38958.729166666664</v>
          </cell>
          <cell r="J305">
            <v>39028.729166666664</v>
          </cell>
          <cell r="K305" t="str">
            <v>NA</v>
          </cell>
          <cell r="L305">
            <v>2.29</v>
          </cell>
          <cell r="M305">
            <v>52.5</v>
          </cell>
          <cell r="N305">
            <v>9.65</v>
          </cell>
          <cell r="O305">
            <v>18.38</v>
          </cell>
          <cell r="P305">
            <v>18.38</v>
          </cell>
          <cell r="T305">
            <v>39028</v>
          </cell>
        </row>
        <row r="306">
          <cell r="D306" t="str">
            <v>Projeto Básico</v>
          </cell>
          <cell r="E306" t="str">
            <v>45 dias</v>
          </cell>
          <cell r="F306">
            <v>38863.333333333336</v>
          </cell>
          <cell r="G306">
            <v>38877.333333333336</v>
          </cell>
          <cell r="H306">
            <v>38877.333333333336</v>
          </cell>
          <cell r="I306">
            <v>38898.729166666664</v>
          </cell>
          <cell r="J306">
            <v>38945.729166666664</v>
          </cell>
          <cell r="K306" t="str">
            <v>NA</v>
          </cell>
          <cell r="L306">
            <v>0.55000000000000004</v>
          </cell>
          <cell r="M306">
            <v>12.5</v>
          </cell>
          <cell r="N306">
            <v>9.65</v>
          </cell>
          <cell r="O306">
            <v>77.2</v>
          </cell>
          <cell r="P306">
            <v>77.2</v>
          </cell>
          <cell r="T306">
            <v>38945</v>
          </cell>
        </row>
        <row r="307">
          <cell r="D307" t="str">
            <v>Processo</v>
          </cell>
          <cell r="E307" t="str">
            <v>2 dias</v>
          </cell>
          <cell r="F307">
            <v>38863.333333333336</v>
          </cell>
          <cell r="G307">
            <v>38930.333333333336</v>
          </cell>
          <cell r="H307">
            <v>38930.333333333336</v>
          </cell>
          <cell r="I307">
            <v>38866.729166666664</v>
          </cell>
          <cell r="J307">
            <v>38931.729166666664</v>
          </cell>
          <cell r="K307">
            <v>38931.729166666664</v>
          </cell>
          <cell r="L307">
            <v>0.09</v>
          </cell>
          <cell r="M307">
            <v>2</v>
          </cell>
          <cell r="N307">
            <v>2</v>
          </cell>
          <cell r="O307">
            <v>100</v>
          </cell>
          <cell r="P307">
            <v>100</v>
          </cell>
          <cell r="T307">
            <v>38931</v>
          </cell>
        </row>
        <row r="308">
          <cell r="B308" t="str">
            <v>BP.260.FD.01</v>
          </cell>
          <cell r="D308" t="str">
            <v>Folha De Dados - Espessador de Lamas</v>
          </cell>
          <cell r="E308" t="str">
            <v>2 dias</v>
          </cell>
          <cell r="F308">
            <v>38863.333333333336</v>
          </cell>
          <cell r="G308">
            <v>38930.333333333336</v>
          </cell>
          <cell r="H308">
            <v>38930.333333333336</v>
          </cell>
          <cell r="I308">
            <v>38866.729166666664</v>
          </cell>
          <cell r="J308">
            <v>38931.729166666664</v>
          </cell>
          <cell r="K308">
            <v>38931.729166666664</v>
          </cell>
          <cell r="L308">
            <v>0.09</v>
          </cell>
          <cell r="M308">
            <v>2</v>
          </cell>
          <cell r="N308">
            <v>2</v>
          </cell>
          <cell r="O308">
            <v>100</v>
          </cell>
          <cell r="P308">
            <v>100</v>
          </cell>
          <cell r="Q308" t="str">
            <v>14II</v>
          </cell>
          <cell r="R308" t="str">
            <v>315TI+30 dias;318TI+15 dias</v>
          </cell>
          <cell r="S308" t="str">
            <v>EQUIPE PRO</v>
          </cell>
          <cell r="T308">
            <v>38931</v>
          </cell>
        </row>
        <row r="309">
          <cell r="D309" t="str">
            <v>Mecânica</v>
          </cell>
          <cell r="E309" t="str">
            <v>11 dias</v>
          </cell>
          <cell r="F309">
            <v>38866.333333333336</v>
          </cell>
          <cell r="G309">
            <v>38882.333333333336</v>
          </cell>
          <cell r="H309">
            <v>38882.333333333336</v>
          </cell>
          <cell r="I309">
            <v>38881.729166666664</v>
          </cell>
          <cell r="J309">
            <v>38898.729166666664</v>
          </cell>
          <cell r="K309" t="str">
            <v>NA</v>
          </cell>
          <cell r="L309">
            <v>0.1</v>
          </cell>
          <cell r="M309">
            <v>2.25</v>
          </cell>
          <cell r="N309">
            <v>2.0299999999999998</v>
          </cell>
          <cell r="O309">
            <v>90</v>
          </cell>
          <cell r="P309">
            <v>90</v>
          </cell>
          <cell r="T309">
            <v>38898</v>
          </cell>
        </row>
        <row r="310">
          <cell r="B310" t="str">
            <v>BB.260.DB.01</v>
          </cell>
          <cell r="D310" t="str">
            <v>Desenho Básico - Planta e Cortes</v>
          </cell>
          <cell r="E310" t="str">
            <v>6 dias</v>
          </cell>
          <cell r="F310">
            <v>38866.333333333336</v>
          </cell>
          <cell r="G310">
            <v>38882.333333333336</v>
          </cell>
          <cell r="H310">
            <v>38882.333333333336</v>
          </cell>
          <cell r="I310">
            <v>38873.729166666664</v>
          </cell>
          <cell r="J310">
            <v>38891.729166666664</v>
          </cell>
          <cell r="K310" t="str">
            <v>NA</v>
          </cell>
          <cell r="L310">
            <v>0.1</v>
          </cell>
          <cell r="M310">
            <v>2.25</v>
          </cell>
          <cell r="N310">
            <v>2.0299999999999998</v>
          </cell>
          <cell r="O310">
            <v>90</v>
          </cell>
          <cell r="P310">
            <v>90</v>
          </cell>
          <cell r="Q310" t="str">
            <v>90II</v>
          </cell>
          <cell r="R310" t="str">
            <v>309;311;315;318</v>
          </cell>
          <cell r="S310" t="str">
            <v>EQUIPE MEC</v>
          </cell>
          <cell r="T310">
            <v>38891</v>
          </cell>
        </row>
        <row r="311">
          <cell r="D311" t="str">
            <v>APROVAÇÃO EBX</v>
          </cell>
          <cell r="E311" t="str">
            <v>5 dias</v>
          </cell>
          <cell r="F311">
            <v>38874.333333333336</v>
          </cell>
          <cell r="G311">
            <v>38894.333333333336</v>
          </cell>
          <cell r="H311" t="str">
            <v>NA</v>
          </cell>
          <cell r="I311">
            <v>38881.729166666664</v>
          </cell>
          <cell r="J311">
            <v>38898.729166666664</v>
          </cell>
          <cell r="K311" t="str">
            <v>NA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 t="str">
            <v>#ERRO</v>
          </cell>
          <cell r="Q311">
            <v>308</v>
          </cell>
          <cell r="T311">
            <v>38898</v>
          </cell>
        </row>
        <row r="312">
          <cell r="D312" t="str">
            <v>Tubulação</v>
          </cell>
          <cell r="E312" t="str">
            <v>45 dias</v>
          </cell>
          <cell r="F312">
            <v>38874.333333333336</v>
          </cell>
          <cell r="G312">
            <v>38877.333333333336</v>
          </cell>
          <cell r="H312">
            <v>38877.333333333336</v>
          </cell>
          <cell r="I312">
            <v>38898.729166666664</v>
          </cell>
          <cell r="J312">
            <v>38945.729166666664</v>
          </cell>
          <cell r="K312" t="str">
            <v>NA</v>
          </cell>
          <cell r="L312">
            <v>0.36</v>
          </cell>
          <cell r="M312">
            <v>8.25</v>
          </cell>
          <cell r="N312">
            <v>5.63</v>
          </cell>
          <cell r="O312">
            <v>68.180000000000007</v>
          </cell>
          <cell r="P312">
            <v>68.180000000000007</v>
          </cell>
          <cell r="T312">
            <v>38945</v>
          </cell>
        </row>
        <row r="313">
          <cell r="B313" t="str">
            <v>BH.260.DB.01</v>
          </cell>
          <cell r="D313" t="str">
            <v>Desenho Básico - Planta/ Cortes</v>
          </cell>
          <cell r="E313" t="str">
            <v>6 dias</v>
          </cell>
          <cell r="F313">
            <v>38874.333333333336</v>
          </cell>
          <cell r="G313">
            <v>38936.333333333336</v>
          </cell>
          <cell r="H313" t="str">
            <v>NA</v>
          </cell>
          <cell r="I313">
            <v>38890.729166666664</v>
          </cell>
          <cell r="J313">
            <v>38945.729166666664</v>
          </cell>
          <cell r="K313" t="str">
            <v>NA</v>
          </cell>
          <cell r="L313">
            <v>0.09</v>
          </cell>
          <cell r="M313">
            <v>2</v>
          </cell>
          <cell r="N313">
            <v>0</v>
          </cell>
          <cell r="O313">
            <v>0</v>
          </cell>
          <cell r="P313">
            <v>0</v>
          </cell>
          <cell r="Q313" t="str">
            <v>39II;244II;308</v>
          </cell>
          <cell r="S313" t="str">
            <v>EQUIPE TUB</v>
          </cell>
          <cell r="T313">
            <v>38945</v>
          </cell>
        </row>
        <row r="314">
          <cell r="B314" t="str">
            <v>BH.260.MC.01</v>
          </cell>
          <cell r="D314" t="str">
            <v>Memória De Cálculo - Bombas</v>
          </cell>
          <cell r="E314" t="str">
            <v>12 dias</v>
          </cell>
          <cell r="F314">
            <v>38891.333333333336</v>
          </cell>
          <cell r="G314">
            <v>38877.333333333336</v>
          </cell>
          <cell r="H314">
            <v>38877.333333333336</v>
          </cell>
          <cell r="I314">
            <v>38898.729166666664</v>
          </cell>
          <cell r="J314">
            <v>38896.729166666664</v>
          </cell>
          <cell r="K314" t="str">
            <v>NA</v>
          </cell>
          <cell r="L314">
            <v>0.27</v>
          </cell>
          <cell r="M314">
            <v>6.25</v>
          </cell>
          <cell r="N314">
            <v>5.63</v>
          </cell>
          <cell r="O314">
            <v>90</v>
          </cell>
          <cell r="P314">
            <v>90</v>
          </cell>
          <cell r="Q314" t="str">
            <v>39II</v>
          </cell>
          <cell r="S314" t="str">
            <v>EQUIPE TUB</v>
          </cell>
          <cell r="T314">
            <v>38896</v>
          </cell>
        </row>
        <row r="315">
          <cell r="D315" t="str">
            <v>Projeto Detalhado</v>
          </cell>
          <cell r="E315" t="str">
            <v>47 dias</v>
          </cell>
          <cell r="F315">
            <v>38898.333333333336</v>
          </cell>
          <cell r="G315">
            <v>38954.333333333336</v>
          </cell>
          <cell r="H315" t="str">
            <v>NA</v>
          </cell>
          <cell r="I315">
            <v>38958.729166666664</v>
          </cell>
          <cell r="J315">
            <v>39028.729166666664</v>
          </cell>
          <cell r="K315" t="str">
            <v>NA</v>
          </cell>
          <cell r="L315">
            <v>1.75</v>
          </cell>
          <cell r="M315">
            <v>40</v>
          </cell>
          <cell r="N315">
            <v>0</v>
          </cell>
          <cell r="O315">
            <v>0</v>
          </cell>
          <cell r="P315">
            <v>0</v>
          </cell>
          <cell r="T315">
            <v>39028</v>
          </cell>
        </row>
        <row r="316">
          <cell r="D316" t="str">
            <v>Mecânica</v>
          </cell>
          <cell r="E316" t="str">
            <v>5 dias</v>
          </cell>
          <cell r="F316">
            <v>38898.333333333336</v>
          </cell>
          <cell r="G316">
            <v>38980.333333333336</v>
          </cell>
          <cell r="H316" t="str">
            <v>NA</v>
          </cell>
          <cell r="I316">
            <v>38905.729166666664</v>
          </cell>
          <cell r="J316">
            <v>38986.729166666664</v>
          </cell>
          <cell r="K316" t="str">
            <v>NA</v>
          </cell>
          <cell r="L316">
            <v>0.09</v>
          </cell>
          <cell r="M316">
            <v>2</v>
          </cell>
          <cell r="N316">
            <v>0</v>
          </cell>
          <cell r="O316">
            <v>0</v>
          </cell>
          <cell r="P316">
            <v>0</v>
          </cell>
          <cell r="T316">
            <v>38986</v>
          </cell>
        </row>
        <row r="317">
          <cell r="B317" t="str">
            <v>DB.260.DM.01</v>
          </cell>
          <cell r="D317" t="str">
            <v>Diagrama De Montagem</v>
          </cell>
          <cell r="E317" t="str">
            <v>5 dias</v>
          </cell>
          <cell r="F317">
            <v>38898.333333333336</v>
          </cell>
          <cell r="G317">
            <v>38980.333333333336</v>
          </cell>
          <cell r="H317" t="str">
            <v>NA</v>
          </cell>
          <cell r="I317">
            <v>38905.729166666664</v>
          </cell>
          <cell r="J317">
            <v>38986.729166666664</v>
          </cell>
          <cell r="K317" t="str">
            <v>NA</v>
          </cell>
          <cell r="L317">
            <v>0.09</v>
          </cell>
          <cell r="M317">
            <v>2</v>
          </cell>
          <cell r="N317">
            <v>0</v>
          </cell>
          <cell r="O317">
            <v>0</v>
          </cell>
          <cell r="P317">
            <v>0</v>
          </cell>
          <cell r="Q317" t="str">
            <v>306TI+30 dias;308</v>
          </cell>
          <cell r="R317">
            <v>322</v>
          </cell>
          <cell r="S317" t="str">
            <v>EQUIPE MEC</v>
          </cell>
          <cell r="T317">
            <v>38986</v>
          </cell>
        </row>
        <row r="318">
          <cell r="D318" t="str">
            <v>Civil</v>
          </cell>
          <cell r="E318" t="str">
            <v>8 dias</v>
          </cell>
          <cell r="F318">
            <v>38905.333333333336</v>
          </cell>
          <cell r="G318">
            <v>38954.333333333336</v>
          </cell>
          <cell r="H318" t="str">
            <v>NA</v>
          </cell>
          <cell r="I318">
            <v>38936.729166666664</v>
          </cell>
          <cell r="J318">
            <v>38965.729166666664</v>
          </cell>
          <cell r="K318" t="str">
            <v>NA</v>
          </cell>
          <cell r="L318">
            <v>0.52</v>
          </cell>
          <cell r="M318">
            <v>12</v>
          </cell>
          <cell r="N318">
            <v>0</v>
          </cell>
          <cell r="O318">
            <v>0</v>
          </cell>
          <cell r="P318">
            <v>0</v>
          </cell>
          <cell r="T318">
            <v>38965</v>
          </cell>
        </row>
        <row r="319">
          <cell r="D319" t="str">
            <v>Desenho De Detalhamento</v>
          </cell>
          <cell r="E319" t="str">
            <v>8 dias</v>
          </cell>
          <cell r="F319">
            <v>38905.333333333336</v>
          </cell>
          <cell r="G319">
            <v>38954.333333333336</v>
          </cell>
          <cell r="H319" t="str">
            <v>NA</v>
          </cell>
          <cell r="I319">
            <v>38936.729166666664</v>
          </cell>
          <cell r="J319">
            <v>38965.729166666664</v>
          </cell>
          <cell r="K319" t="str">
            <v>NA</v>
          </cell>
          <cell r="L319">
            <v>0.52</v>
          </cell>
          <cell r="M319">
            <v>12</v>
          </cell>
          <cell r="N319">
            <v>0</v>
          </cell>
          <cell r="O319">
            <v>0</v>
          </cell>
          <cell r="P319">
            <v>0</v>
          </cell>
          <cell r="R319">
            <v>327</v>
          </cell>
          <cell r="T319">
            <v>38965</v>
          </cell>
        </row>
        <row r="320">
          <cell r="B320" t="str">
            <v>DC.260.DD.01</v>
          </cell>
          <cell r="D320" t="str">
            <v>Ciclone - Fundação e Formas</v>
          </cell>
          <cell r="E320" t="str">
            <v>7 dias</v>
          </cell>
          <cell r="F320">
            <v>38905.333333333336</v>
          </cell>
          <cell r="G320">
            <v>38957.333333333336</v>
          </cell>
          <cell r="H320" t="str">
            <v>NA</v>
          </cell>
          <cell r="I320">
            <v>38915.729166666664</v>
          </cell>
          <cell r="J320">
            <v>38965.729166666664</v>
          </cell>
          <cell r="K320" t="str">
            <v>NA</v>
          </cell>
          <cell r="L320">
            <v>0.17</v>
          </cell>
          <cell r="M320">
            <v>4</v>
          </cell>
          <cell r="N320">
            <v>0</v>
          </cell>
          <cell r="O320">
            <v>0</v>
          </cell>
          <cell r="P320">
            <v>0</v>
          </cell>
          <cell r="Q320" t="str">
            <v>306TI+15 dias;308</v>
          </cell>
          <cell r="R320" t="str">
            <v>319TT;320TT;374TT</v>
          </cell>
          <cell r="S320" t="str">
            <v>EQUIPE CIV</v>
          </cell>
          <cell r="T320">
            <v>38965</v>
          </cell>
        </row>
        <row r="321">
          <cell r="B321" t="str">
            <v>DC.260.DD.02</v>
          </cell>
          <cell r="D321" t="str">
            <v>Espessador - Armação</v>
          </cell>
          <cell r="E321" t="str">
            <v>6 dias</v>
          </cell>
          <cell r="F321">
            <v>38916.333333333336</v>
          </cell>
          <cell r="G321">
            <v>38958.333333333336</v>
          </cell>
          <cell r="H321" t="str">
            <v>NA</v>
          </cell>
          <cell r="I321">
            <v>38923.729166666664</v>
          </cell>
          <cell r="J321">
            <v>38965.729166666664</v>
          </cell>
          <cell r="K321" t="str">
            <v>NA</v>
          </cell>
          <cell r="L321">
            <v>0.13</v>
          </cell>
          <cell r="M321">
            <v>3</v>
          </cell>
          <cell r="N321">
            <v>0</v>
          </cell>
          <cell r="O321">
            <v>0</v>
          </cell>
          <cell r="P321">
            <v>0</v>
          </cell>
          <cell r="Q321" t="str">
            <v>318TT</v>
          </cell>
          <cell r="S321" t="str">
            <v>EQUIPE CIV</v>
          </cell>
          <cell r="T321">
            <v>38965</v>
          </cell>
        </row>
        <row r="322">
          <cell r="B322" t="str">
            <v>DC.260.DD.03</v>
          </cell>
          <cell r="D322" t="str">
            <v>Elevação - Fundação, Forma e Armação</v>
          </cell>
          <cell r="E322" t="str">
            <v>8 dias</v>
          </cell>
          <cell r="F322">
            <v>38924.333333333336</v>
          </cell>
          <cell r="G322">
            <v>38954.333333333336</v>
          </cell>
          <cell r="H322" t="str">
            <v>NA</v>
          </cell>
          <cell r="I322">
            <v>38936.729166666664</v>
          </cell>
          <cell r="J322">
            <v>38965.729166666664</v>
          </cell>
          <cell r="K322" t="str">
            <v>NA</v>
          </cell>
          <cell r="L322">
            <v>0.22</v>
          </cell>
          <cell r="M322">
            <v>5</v>
          </cell>
          <cell r="N322">
            <v>0</v>
          </cell>
          <cell r="O322">
            <v>0</v>
          </cell>
          <cell r="P322">
            <v>0</v>
          </cell>
          <cell r="Q322" t="str">
            <v>318TT</v>
          </cell>
          <cell r="S322" t="str">
            <v>EQUIPE CIV</v>
          </cell>
          <cell r="T322">
            <v>38965</v>
          </cell>
        </row>
        <row r="323">
          <cell r="D323" t="str">
            <v>Estrutura Metálica</v>
          </cell>
          <cell r="E323" t="str">
            <v>11 dias</v>
          </cell>
          <cell r="F323">
            <v>38905.333333333336</v>
          </cell>
          <cell r="G323">
            <v>38987.333333333336</v>
          </cell>
          <cell r="H323" t="str">
            <v>NA</v>
          </cell>
          <cell r="I323">
            <v>38932.729166666664</v>
          </cell>
          <cell r="J323">
            <v>39001.729166666664</v>
          </cell>
          <cell r="K323" t="str">
            <v>NA</v>
          </cell>
          <cell r="L323">
            <v>0.72</v>
          </cell>
          <cell r="M323">
            <v>16.5</v>
          </cell>
          <cell r="N323">
            <v>0</v>
          </cell>
          <cell r="O323">
            <v>0</v>
          </cell>
          <cell r="P323">
            <v>0</v>
          </cell>
          <cell r="T323">
            <v>39001</v>
          </cell>
        </row>
        <row r="324">
          <cell r="B324" t="str">
            <v>DD.260.DP.01</v>
          </cell>
          <cell r="D324" t="str">
            <v>Desenho De Projeto</v>
          </cell>
          <cell r="E324" t="str">
            <v>7 dias</v>
          </cell>
          <cell r="F324">
            <v>38905.333333333336</v>
          </cell>
          <cell r="G324">
            <v>38987.333333333336</v>
          </cell>
          <cell r="H324" t="str">
            <v>NA</v>
          </cell>
          <cell r="I324">
            <v>38915.729166666664</v>
          </cell>
          <cell r="J324">
            <v>38995.729166666664</v>
          </cell>
          <cell r="K324" t="str">
            <v>NA</v>
          </cell>
          <cell r="L324">
            <v>0.22</v>
          </cell>
          <cell r="M324">
            <v>5</v>
          </cell>
          <cell r="N324">
            <v>0</v>
          </cell>
          <cell r="O324">
            <v>0</v>
          </cell>
          <cell r="P324">
            <v>0</v>
          </cell>
          <cell r="Q324">
            <v>315</v>
          </cell>
          <cell r="R324" t="str">
            <v>323;324II</v>
          </cell>
          <cell r="S324" t="str">
            <v>EQUIPE MET</v>
          </cell>
          <cell r="T324">
            <v>38995</v>
          </cell>
        </row>
        <row r="325">
          <cell r="B325" t="str">
            <v>DD.260.LM.01</v>
          </cell>
          <cell r="D325" t="str">
            <v>Lista De Materiais</v>
          </cell>
          <cell r="E325" t="str">
            <v>1 dia</v>
          </cell>
          <cell r="F325">
            <v>38916.333333333336</v>
          </cell>
          <cell r="G325">
            <v>38996.333333333336</v>
          </cell>
          <cell r="H325" t="str">
            <v>NA</v>
          </cell>
          <cell r="I325">
            <v>38916.729166666664</v>
          </cell>
          <cell r="J325">
            <v>38996.729166666664</v>
          </cell>
          <cell r="K325" t="str">
            <v>NA</v>
          </cell>
          <cell r="L325">
            <v>0.01</v>
          </cell>
          <cell r="M325">
            <v>0.25</v>
          </cell>
          <cell r="N325">
            <v>0</v>
          </cell>
          <cell r="O325">
            <v>0</v>
          </cell>
          <cell r="P325">
            <v>0</v>
          </cell>
          <cell r="Q325">
            <v>322</v>
          </cell>
          <cell r="S325" t="str">
            <v>EQUIPE MET</v>
          </cell>
          <cell r="T325">
            <v>38996</v>
          </cell>
        </row>
        <row r="326">
          <cell r="B326" t="str">
            <v>DD.260.MC.01</v>
          </cell>
          <cell r="D326" t="str">
            <v>Memória De Cálculo</v>
          </cell>
          <cell r="E326" t="str">
            <v>11 dias</v>
          </cell>
          <cell r="F326">
            <v>38917.333333333336</v>
          </cell>
          <cell r="G326">
            <v>38987.333333333336</v>
          </cell>
          <cell r="H326" t="str">
            <v>NA</v>
          </cell>
          <cell r="I326">
            <v>38932.729166666664</v>
          </cell>
          <cell r="J326">
            <v>39001.729166666664</v>
          </cell>
          <cell r="K326" t="str">
            <v>NA</v>
          </cell>
          <cell r="L326">
            <v>0.49</v>
          </cell>
          <cell r="M326">
            <v>11.25</v>
          </cell>
          <cell r="N326">
            <v>0</v>
          </cell>
          <cell r="O326">
            <v>0</v>
          </cell>
          <cell r="P326">
            <v>0</v>
          </cell>
          <cell r="Q326" t="str">
            <v>322II</v>
          </cell>
          <cell r="S326" t="str">
            <v>EQUIPE MET</v>
          </cell>
          <cell r="T326">
            <v>39001</v>
          </cell>
        </row>
        <row r="327">
          <cell r="D327" t="str">
            <v>Elétrica</v>
          </cell>
          <cell r="E327" t="str">
            <v>21 dias</v>
          </cell>
          <cell r="F327">
            <v>38936.333333333336</v>
          </cell>
          <cell r="G327">
            <v>38966.333333333336</v>
          </cell>
          <cell r="H327" t="str">
            <v>NA</v>
          </cell>
          <cell r="I327">
            <v>38958.729166666664</v>
          </cell>
          <cell r="J327">
            <v>38996.729166666664</v>
          </cell>
          <cell r="K327" t="str">
            <v>NA</v>
          </cell>
          <cell r="L327">
            <v>0.37</v>
          </cell>
          <cell r="M327">
            <v>8.5</v>
          </cell>
          <cell r="N327">
            <v>0</v>
          </cell>
          <cell r="O327">
            <v>0</v>
          </cell>
          <cell r="P327">
            <v>0</v>
          </cell>
          <cell r="T327">
            <v>38996</v>
          </cell>
        </row>
        <row r="328">
          <cell r="D328" t="str">
            <v>Desenho De Detalhamento</v>
          </cell>
          <cell r="E328" t="str">
            <v>17 dias</v>
          </cell>
          <cell r="F328">
            <v>38936.333333333336</v>
          </cell>
          <cell r="G328">
            <v>38966.333333333336</v>
          </cell>
          <cell r="H328" t="str">
            <v>NA</v>
          </cell>
          <cell r="I328">
            <v>38951.729166666664</v>
          </cell>
          <cell r="J328">
            <v>38992.729166666664</v>
          </cell>
          <cell r="K328" t="str">
            <v>NA</v>
          </cell>
          <cell r="L328">
            <v>0.31</v>
          </cell>
          <cell r="M328">
            <v>7</v>
          </cell>
          <cell r="N328">
            <v>0</v>
          </cell>
          <cell r="O328">
            <v>0</v>
          </cell>
          <cell r="P328">
            <v>0</v>
          </cell>
          <cell r="R328">
            <v>329</v>
          </cell>
          <cell r="T328">
            <v>38992</v>
          </cell>
        </row>
        <row r="329">
          <cell r="B329" t="str">
            <v>DE.260.DD.01</v>
          </cell>
          <cell r="D329" t="str">
            <v>Disposição De Força, Controle e Aterramento</v>
          </cell>
          <cell r="E329" t="str">
            <v>9 dias</v>
          </cell>
          <cell r="F329">
            <v>38936.333333333336</v>
          </cell>
          <cell r="G329">
            <v>38966.333333333336</v>
          </cell>
          <cell r="H329" t="str">
            <v>NA</v>
          </cell>
          <cell r="I329">
            <v>38951.729166666664</v>
          </cell>
          <cell r="J329">
            <v>38980.729166666664</v>
          </cell>
          <cell r="K329" t="str">
            <v>NA</v>
          </cell>
          <cell r="L329">
            <v>0.17</v>
          </cell>
          <cell r="M329">
            <v>4</v>
          </cell>
          <cell r="N329">
            <v>0</v>
          </cell>
          <cell r="O329">
            <v>0</v>
          </cell>
          <cell r="P329">
            <v>0</v>
          </cell>
          <cell r="Q329">
            <v>317</v>
          </cell>
          <cell r="R329">
            <v>328</v>
          </cell>
          <cell r="S329" t="str">
            <v>EQUIPE ELE</v>
          </cell>
          <cell r="T329">
            <v>38980</v>
          </cell>
        </row>
        <row r="330">
          <cell r="B330" t="str">
            <v>DE.260.DD.02</v>
          </cell>
          <cell r="D330" t="str">
            <v>Iluminação</v>
          </cell>
          <cell r="E330" t="str">
            <v>8 dias</v>
          </cell>
          <cell r="F330">
            <v>38936.333333333336</v>
          </cell>
          <cell r="G330">
            <v>38981.333333333336</v>
          </cell>
          <cell r="H330" t="str">
            <v>NA</v>
          </cell>
          <cell r="I330">
            <v>38950.729166666664</v>
          </cell>
          <cell r="J330">
            <v>38992.729166666664</v>
          </cell>
          <cell r="K330" t="str">
            <v>NA</v>
          </cell>
          <cell r="L330">
            <v>0.13</v>
          </cell>
          <cell r="M330">
            <v>3</v>
          </cell>
          <cell r="N330">
            <v>0</v>
          </cell>
          <cell r="O330">
            <v>0</v>
          </cell>
          <cell r="P330">
            <v>0</v>
          </cell>
          <cell r="Q330">
            <v>327</v>
          </cell>
          <cell r="S330" t="str">
            <v>EQUIPE ELE</v>
          </cell>
          <cell r="T330">
            <v>38992</v>
          </cell>
        </row>
        <row r="331">
          <cell r="B331" t="str">
            <v>DE.260.LC.01</v>
          </cell>
          <cell r="D331" t="str">
            <v>Lista De Linhas/ Cabos</v>
          </cell>
          <cell r="E331" t="str">
            <v>4 dias</v>
          </cell>
          <cell r="F331">
            <v>38952.333333333336</v>
          </cell>
          <cell r="G331">
            <v>38993.333333333336</v>
          </cell>
          <cell r="H331" t="str">
            <v>NA</v>
          </cell>
          <cell r="I331">
            <v>38958.729166666664</v>
          </cell>
          <cell r="J331">
            <v>38996.729166666664</v>
          </cell>
          <cell r="K331" t="str">
            <v>NA</v>
          </cell>
          <cell r="L331">
            <v>7.0000000000000007E-2</v>
          </cell>
          <cell r="M331">
            <v>1.5</v>
          </cell>
          <cell r="N331">
            <v>0</v>
          </cell>
          <cell r="O331">
            <v>0</v>
          </cell>
          <cell r="P331">
            <v>0</v>
          </cell>
          <cell r="Q331">
            <v>326</v>
          </cell>
          <cell r="S331" t="str">
            <v>EQUIPE ELE</v>
          </cell>
          <cell r="T331">
            <v>38996</v>
          </cell>
        </row>
        <row r="332">
          <cell r="D332" t="str">
            <v>Instrumentação</v>
          </cell>
          <cell r="E332" t="str">
            <v>5 dias</v>
          </cell>
          <cell r="F332">
            <v>38951.333333333336</v>
          </cell>
          <cell r="G332">
            <v>39020.333333333336</v>
          </cell>
          <cell r="H332" t="str">
            <v>NA</v>
          </cell>
          <cell r="I332">
            <v>38958.729166666664</v>
          </cell>
          <cell r="J332">
            <v>39028.729166666664</v>
          </cell>
          <cell r="K332" t="str">
            <v>NA</v>
          </cell>
          <cell r="L332">
            <v>0.04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T332">
            <v>39028</v>
          </cell>
        </row>
        <row r="333">
          <cell r="B333" t="str">
            <v>DT.260.AJ.01</v>
          </cell>
          <cell r="D333" t="str">
            <v>Arranjos/ Layout’s/ Plano Diretor - Locação De Instrumentos</v>
          </cell>
          <cell r="E333" t="str">
            <v>5 dias</v>
          </cell>
          <cell r="F333">
            <v>38951.333333333336</v>
          </cell>
          <cell r="G333">
            <v>39020.333333333336</v>
          </cell>
          <cell r="H333" t="str">
            <v>NA</v>
          </cell>
          <cell r="I333">
            <v>38958.729166666664</v>
          </cell>
          <cell r="J333">
            <v>39028.729166666664</v>
          </cell>
          <cell r="K333" t="str">
            <v>NA</v>
          </cell>
          <cell r="L333">
            <v>0.04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134</v>
          </cell>
          <cell r="S333" t="str">
            <v>EQUIPE TSA</v>
          </cell>
          <cell r="T333">
            <v>39028</v>
          </cell>
        </row>
        <row r="334">
          <cell r="B334" t="str">
            <v>1.1.11</v>
          </cell>
          <cell r="C334" t="str">
            <v>265A</v>
          </cell>
          <cell r="D334" t="str">
            <v>Flotação (2B)</v>
          </cell>
          <cell r="E334" t="str">
            <v>142 dias</v>
          </cell>
          <cell r="F334">
            <v>38807.333333333336</v>
          </cell>
          <cell r="G334">
            <v>38807.333333333336</v>
          </cell>
          <cell r="H334">
            <v>38807.333333333336</v>
          </cell>
          <cell r="I334">
            <v>38958.729166666664</v>
          </cell>
          <cell r="J334">
            <v>39022.729166666664</v>
          </cell>
          <cell r="K334" t="str">
            <v>NA</v>
          </cell>
          <cell r="L334">
            <v>5.29</v>
          </cell>
          <cell r="M334">
            <v>121.13</v>
          </cell>
          <cell r="N334">
            <v>19.28</v>
          </cell>
          <cell r="O334">
            <v>15.91</v>
          </cell>
          <cell r="P334">
            <v>15.91</v>
          </cell>
          <cell r="T334">
            <v>39022</v>
          </cell>
        </row>
        <row r="335">
          <cell r="D335" t="str">
            <v>Projeto Básico</v>
          </cell>
          <cell r="E335" t="str">
            <v>99 dias</v>
          </cell>
          <cell r="F335">
            <v>38807.333333333336</v>
          </cell>
          <cell r="G335">
            <v>38807.333333333336</v>
          </cell>
          <cell r="H335">
            <v>38807.333333333336</v>
          </cell>
          <cell r="I335">
            <v>38869.729166666664</v>
          </cell>
          <cell r="J335">
            <v>38957.729166666664</v>
          </cell>
          <cell r="K335" t="str">
            <v>NA</v>
          </cell>
          <cell r="L335">
            <v>1.75</v>
          </cell>
          <cell r="M335">
            <v>40.130000000000003</v>
          </cell>
          <cell r="N335">
            <v>19.28</v>
          </cell>
          <cell r="O335">
            <v>48.04</v>
          </cell>
          <cell r="P335">
            <v>48.04</v>
          </cell>
          <cell r="T335">
            <v>38957</v>
          </cell>
        </row>
        <row r="336">
          <cell r="D336" t="str">
            <v>Processo</v>
          </cell>
          <cell r="E336" t="str">
            <v>2 dias</v>
          </cell>
          <cell r="F336">
            <v>38807.333333333336</v>
          </cell>
          <cell r="G336">
            <v>38939.333333333336</v>
          </cell>
          <cell r="H336">
            <v>38939.333333333336</v>
          </cell>
          <cell r="I336">
            <v>38810.729166666664</v>
          </cell>
          <cell r="J336">
            <v>38940.729166666664</v>
          </cell>
          <cell r="K336" t="str">
            <v>NA</v>
          </cell>
          <cell r="L336">
            <v>7.0000000000000007E-2</v>
          </cell>
          <cell r="M336">
            <v>1.5</v>
          </cell>
          <cell r="N336">
            <v>0.45</v>
          </cell>
          <cell r="O336">
            <v>30</v>
          </cell>
          <cell r="P336">
            <v>30</v>
          </cell>
          <cell r="T336">
            <v>38940</v>
          </cell>
        </row>
        <row r="337">
          <cell r="B337" t="str">
            <v>BP.265.FD.01</v>
          </cell>
          <cell r="D337" t="str">
            <v>Folha De Dados - Agitador e Células de Flotação</v>
          </cell>
          <cell r="E337" t="str">
            <v>2 dias</v>
          </cell>
          <cell r="F337">
            <v>38807.333333333336</v>
          </cell>
          <cell r="G337">
            <v>38939.333333333336</v>
          </cell>
          <cell r="H337">
            <v>38939.333333333336</v>
          </cell>
          <cell r="I337">
            <v>38810.729166666664</v>
          </cell>
          <cell r="J337">
            <v>38940.729166666664</v>
          </cell>
          <cell r="K337" t="str">
            <v>NA</v>
          </cell>
          <cell r="L337">
            <v>7.0000000000000007E-2</v>
          </cell>
          <cell r="M337">
            <v>1.5</v>
          </cell>
          <cell r="N337">
            <v>0.45</v>
          </cell>
          <cell r="O337">
            <v>30</v>
          </cell>
          <cell r="P337">
            <v>30</v>
          </cell>
          <cell r="Q337" t="str">
            <v>14II</v>
          </cell>
          <cell r="S337" t="str">
            <v>EQUIPE PRO</v>
          </cell>
          <cell r="T337">
            <v>38940</v>
          </cell>
        </row>
        <row r="338">
          <cell r="D338" t="str">
            <v>Mecânica</v>
          </cell>
          <cell r="E338" t="str">
            <v>90 dias</v>
          </cell>
          <cell r="F338">
            <v>38827.375</v>
          </cell>
          <cell r="G338">
            <v>38807.333333333336</v>
          </cell>
          <cell r="H338">
            <v>38807.333333333336</v>
          </cell>
          <cell r="I338">
            <v>38867.729166666664</v>
          </cell>
          <cell r="J338">
            <v>38940.729166666664</v>
          </cell>
          <cell r="K338" t="str">
            <v>NA</v>
          </cell>
          <cell r="L338">
            <v>0.73</v>
          </cell>
          <cell r="M338">
            <v>16.75</v>
          </cell>
          <cell r="N338">
            <v>12.53</v>
          </cell>
          <cell r="O338">
            <v>74.78</v>
          </cell>
          <cell r="P338">
            <v>74.78</v>
          </cell>
          <cell r="T338">
            <v>38940</v>
          </cell>
        </row>
        <row r="339">
          <cell r="B339" t="str">
            <v>BB.265.DB.01</v>
          </cell>
          <cell r="D339" t="str">
            <v>Desenho Básico - Planta e Cortes (Reagentes)</v>
          </cell>
          <cell r="E339" t="str">
            <v>27 dias</v>
          </cell>
          <cell r="F339">
            <v>38827.333333333336</v>
          </cell>
          <cell r="G339">
            <v>38807.333333333336</v>
          </cell>
          <cell r="H339">
            <v>38807.333333333336</v>
          </cell>
          <cell r="I339">
            <v>38845.729166666664</v>
          </cell>
          <cell r="J339">
            <v>38849.729166666664</v>
          </cell>
          <cell r="K339" t="str">
            <v>NA</v>
          </cell>
          <cell r="L339">
            <v>0.54</v>
          </cell>
          <cell r="M339">
            <v>12.25</v>
          </cell>
          <cell r="N339">
            <v>11.03</v>
          </cell>
          <cell r="O339">
            <v>90</v>
          </cell>
          <cell r="P339">
            <v>90</v>
          </cell>
          <cell r="Q339" t="str">
            <v>14II</v>
          </cell>
          <cell r="R339" t="str">
            <v>344;341;347;354;384</v>
          </cell>
          <cell r="S339" t="str">
            <v>EQUIPE MEC</v>
          </cell>
          <cell r="T339">
            <v>38849</v>
          </cell>
        </row>
        <row r="340">
          <cell r="B340" t="str">
            <v>BB.265.DB.02</v>
          </cell>
          <cell r="D340" t="str">
            <v>Desenho Básico - Caixa de Polpa</v>
          </cell>
          <cell r="E340" t="str">
            <v>5 dias</v>
          </cell>
          <cell r="F340">
            <v>38846.333333333336</v>
          </cell>
          <cell r="G340">
            <v>38936.333333333336</v>
          </cell>
          <cell r="H340" t="str">
            <v>NA</v>
          </cell>
          <cell r="I340">
            <v>38853.729166666664</v>
          </cell>
          <cell r="J340">
            <v>38940.729166666664</v>
          </cell>
          <cell r="K340" t="str">
            <v>NA</v>
          </cell>
          <cell r="L340">
            <v>7.0000000000000007E-2</v>
          </cell>
          <cell r="M340">
            <v>1.5</v>
          </cell>
          <cell r="N340">
            <v>0</v>
          </cell>
          <cell r="O340">
            <v>0</v>
          </cell>
          <cell r="P340">
            <v>0</v>
          </cell>
          <cell r="Q340">
            <v>240</v>
          </cell>
          <cell r="R340" t="str">
            <v>339TT;347</v>
          </cell>
          <cell r="S340" t="str">
            <v>EQUIPE MEC</v>
          </cell>
          <cell r="T340">
            <v>38940</v>
          </cell>
        </row>
        <row r="341">
          <cell r="B341" t="str">
            <v>BB.265.ET.01</v>
          </cell>
          <cell r="D341" t="str">
            <v>Espec. Téc. - Transportador De Parafuso (Reagentes)</v>
          </cell>
          <cell r="E341" t="str">
            <v>15 dias</v>
          </cell>
          <cell r="F341">
            <v>38846.333333333336</v>
          </cell>
          <cell r="G341">
            <v>38922.333333333336</v>
          </cell>
          <cell r="H341">
            <v>38922.333333333336</v>
          </cell>
          <cell r="I341">
            <v>38867.729166666664</v>
          </cell>
          <cell r="J341">
            <v>38940.729166666664</v>
          </cell>
          <cell r="K341" t="str">
            <v>NA</v>
          </cell>
          <cell r="L341">
            <v>0.13</v>
          </cell>
          <cell r="M341">
            <v>3</v>
          </cell>
          <cell r="N341">
            <v>1.5</v>
          </cell>
          <cell r="O341">
            <v>50</v>
          </cell>
          <cell r="P341">
            <v>50</v>
          </cell>
          <cell r="Q341" t="str">
            <v>338TT</v>
          </cell>
          <cell r="S341" t="str">
            <v>EQUIPE MEC</v>
          </cell>
          <cell r="T341">
            <v>38940</v>
          </cell>
        </row>
        <row r="342">
          <cell r="D342" t="str">
            <v>Tubulação</v>
          </cell>
          <cell r="E342" t="str">
            <v>55 dias</v>
          </cell>
          <cell r="F342">
            <v>38846.333333333336</v>
          </cell>
          <cell r="G342">
            <v>38875.333333333336</v>
          </cell>
          <cell r="H342">
            <v>38875.333333333336</v>
          </cell>
          <cell r="I342">
            <v>38869.729166666664</v>
          </cell>
          <cell r="J342">
            <v>38957.729166666664</v>
          </cell>
          <cell r="K342" t="str">
            <v>NA</v>
          </cell>
          <cell r="L342">
            <v>0.66</v>
          </cell>
          <cell r="M342">
            <v>15</v>
          </cell>
          <cell r="N342">
            <v>6.3</v>
          </cell>
          <cell r="O342">
            <v>42</v>
          </cell>
          <cell r="P342">
            <v>42</v>
          </cell>
          <cell r="T342">
            <v>38957</v>
          </cell>
        </row>
        <row r="343">
          <cell r="B343" t="str">
            <v>BH.265.DB.01</v>
          </cell>
          <cell r="D343" t="str">
            <v>Des. Básico - Ciclonagem/ Flotação/ Amino, Amido e Soda</v>
          </cell>
          <cell r="E343" t="str">
            <v>10 dias</v>
          </cell>
          <cell r="F343">
            <v>38846.333333333336</v>
          </cell>
          <cell r="G343">
            <v>38940.333333333336</v>
          </cell>
          <cell r="H343" t="str">
            <v>NA</v>
          </cell>
          <cell r="I343">
            <v>38861.729166666664</v>
          </cell>
          <cell r="J343">
            <v>38957.729166666664</v>
          </cell>
          <cell r="K343" t="str">
            <v>NA</v>
          </cell>
          <cell r="L343">
            <v>0.35</v>
          </cell>
          <cell r="M343">
            <v>8</v>
          </cell>
          <cell r="N343">
            <v>0</v>
          </cell>
          <cell r="O343">
            <v>0</v>
          </cell>
          <cell r="P343">
            <v>0</v>
          </cell>
          <cell r="Q343" t="str">
            <v>14;39II;337</v>
          </cell>
          <cell r="R343">
            <v>349</v>
          </cell>
          <cell r="S343" t="str">
            <v>EQUIPE TUB</v>
          </cell>
          <cell r="T343">
            <v>38957</v>
          </cell>
        </row>
        <row r="344">
          <cell r="B344" t="str">
            <v>BH.265.MC.01</v>
          </cell>
          <cell r="D344" t="str">
            <v>Memória De Cálculo - Bombas</v>
          </cell>
          <cell r="E344" t="str">
            <v>14 dias</v>
          </cell>
          <cell r="F344">
            <v>38862.333333333336</v>
          </cell>
          <cell r="G344">
            <v>38875.333333333336</v>
          </cell>
          <cell r="H344">
            <v>38875.333333333336</v>
          </cell>
          <cell r="I344">
            <v>38869.729166666664</v>
          </cell>
          <cell r="J344">
            <v>38896.729166666664</v>
          </cell>
          <cell r="K344" t="str">
            <v>NA</v>
          </cell>
          <cell r="L344">
            <v>0.31</v>
          </cell>
          <cell r="M344">
            <v>7</v>
          </cell>
          <cell r="N344">
            <v>6.3</v>
          </cell>
          <cell r="O344">
            <v>90</v>
          </cell>
          <cell r="P344">
            <v>90</v>
          </cell>
          <cell r="Q344" t="str">
            <v>39II</v>
          </cell>
          <cell r="S344" t="str">
            <v>EQUIPE TUB</v>
          </cell>
          <cell r="T344">
            <v>38896</v>
          </cell>
        </row>
        <row r="345">
          <cell r="D345" t="str">
            <v>Estrutura Metálica</v>
          </cell>
          <cell r="E345" t="str">
            <v>6 dias</v>
          </cell>
          <cell r="F345">
            <v>38846.333333333336</v>
          </cell>
          <cell r="G345">
            <v>38937.333333333336</v>
          </cell>
          <cell r="H345">
            <v>38937.333333333336</v>
          </cell>
          <cell r="I345">
            <v>38859.375</v>
          </cell>
          <cell r="J345">
            <v>38946.729166666664</v>
          </cell>
          <cell r="K345" t="str">
            <v>NA</v>
          </cell>
          <cell r="L345">
            <v>0.3</v>
          </cell>
          <cell r="M345">
            <v>6.88</v>
          </cell>
          <cell r="N345">
            <v>0</v>
          </cell>
          <cell r="O345">
            <v>0</v>
          </cell>
          <cell r="P345">
            <v>0</v>
          </cell>
          <cell r="T345">
            <v>38946</v>
          </cell>
        </row>
        <row r="346">
          <cell r="B346" t="str">
            <v>BD.265.MC.01</v>
          </cell>
          <cell r="D346" t="str">
            <v>Memória De Cálculo</v>
          </cell>
          <cell r="E346" t="str">
            <v>6 dias</v>
          </cell>
          <cell r="F346">
            <v>38846.333333333336</v>
          </cell>
          <cell r="G346">
            <v>38937.333333333336</v>
          </cell>
          <cell r="H346">
            <v>38937.333333333336</v>
          </cell>
          <cell r="I346">
            <v>38856.375</v>
          </cell>
          <cell r="J346">
            <v>38946.729166666664</v>
          </cell>
          <cell r="K346" t="str">
            <v>NA</v>
          </cell>
          <cell r="L346">
            <v>0.3</v>
          </cell>
          <cell r="M346">
            <v>6.88</v>
          </cell>
          <cell r="N346">
            <v>0</v>
          </cell>
          <cell r="O346">
            <v>0</v>
          </cell>
          <cell r="P346">
            <v>0</v>
          </cell>
          <cell r="Q346">
            <v>337</v>
          </cell>
          <cell r="R346" t="str">
            <v>354II</v>
          </cell>
          <cell r="S346" t="str">
            <v>EQUIPE MET</v>
          </cell>
          <cell r="T346">
            <v>38946</v>
          </cell>
        </row>
        <row r="347">
          <cell r="D347" t="str">
            <v>Projeto Detalhado</v>
          </cell>
          <cell r="E347" t="str">
            <v>56 dias</v>
          </cell>
          <cell r="F347">
            <v>38881.333333333336</v>
          </cell>
          <cell r="G347">
            <v>38937.333333333336</v>
          </cell>
          <cell r="H347" t="str">
            <v>NA</v>
          </cell>
          <cell r="I347">
            <v>38958.729166666664</v>
          </cell>
          <cell r="J347">
            <v>39022.729166666664</v>
          </cell>
          <cell r="K347" t="str">
            <v>NA</v>
          </cell>
          <cell r="L347">
            <v>3.54</v>
          </cell>
          <cell r="M347">
            <v>81</v>
          </cell>
          <cell r="N347">
            <v>0</v>
          </cell>
          <cell r="O347">
            <v>0</v>
          </cell>
          <cell r="P347">
            <v>0</v>
          </cell>
          <cell r="T347">
            <v>39022</v>
          </cell>
        </row>
        <row r="348">
          <cell r="D348" t="str">
            <v>Mecânica</v>
          </cell>
          <cell r="E348" t="str">
            <v>6 dias</v>
          </cell>
          <cell r="F348">
            <v>38881.375</v>
          </cell>
          <cell r="G348">
            <v>38952.333333333336</v>
          </cell>
          <cell r="H348" t="str">
            <v>NA</v>
          </cell>
          <cell r="I348">
            <v>38922.729166666664</v>
          </cell>
          <cell r="J348">
            <v>38959.729166666664</v>
          </cell>
          <cell r="K348" t="str">
            <v>NA</v>
          </cell>
          <cell r="L348">
            <v>0.13</v>
          </cell>
          <cell r="M348">
            <v>3</v>
          </cell>
          <cell r="N348">
            <v>0</v>
          </cell>
          <cell r="O348">
            <v>0</v>
          </cell>
          <cell r="P348">
            <v>0</v>
          </cell>
          <cell r="T348">
            <v>38959</v>
          </cell>
        </row>
        <row r="349">
          <cell r="B349" t="str">
            <v>DB.265.DD.02</v>
          </cell>
          <cell r="D349" t="str">
            <v>Desenho De Detalhamento - Caldeiraria</v>
          </cell>
          <cell r="E349" t="str">
            <v>6 dias</v>
          </cell>
          <cell r="F349">
            <v>38881.333333333336</v>
          </cell>
          <cell r="G349">
            <v>38952.333333333336</v>
          </cell>
          <cell r="H349" t="str">
            <v>NA</v>
          </cell>
          <cell r="I349">
            <v>38922.729166666664</v>
          </cell>
          <cell r="J349">
            <v>38959.729166666664</v>
          </cell>
          <cell r="K349" t="str">
            <v>NA</v>
          </cell>
          <cell r="L349">
            <v>0.13</v>
          </cell>
          <cell r="M349">
            <v>3</v>
          </cell>
          <cell r="N349">
            <v>0</v>
          </cell>
          <cell r="O349">
            <v>0</v>
          </cell>
          <cell r="P349">
            <v>0</v>
          </cell>
          <cell r="Q349" t="str">
            <v>30TI+10 dias;337;338</v>
          </cell>
          <cell r="S349" t="str">
            <v>EQUIPE MEC</v>
          </cell>
          <cell r="T349">
            <v>38959</v>
          </cell>
        </row>
        <row r="350">
          <cell r="D350" t="str">
            <v>Tubulação</v>
          </cell>
          <cell r="E350" t="str">
            <v>40 dias</v>
          </cell>
          <cell r="F350">
            <v>38881.375</v>
          </cell>
          <cell r="G350">
            <v>38958.333333333336</v>
          </cell>
          <cell r="H350" t="str">
            <v>NA</v>
          </cell>
          <cell r="I350">
            <v>38953.604166666664</v>
          </cell>
          <cell r="J350">
            <v>39017.729166666664</v>
          </cell>
          <cell r="K350" t="str">
            <v>NA</v>
          </cell>
          <cell r="L350">
            <v>2.23</v>
          </cell>
          <cell r="M350">
            <v>51</v>
          </cell>
          <cell r="N350">
            <v>0</v>
          </cell>
          <cell r="O350">
            <v>0</v>
          </cell>
          <cell r="P350">
            <v>0</v>
          </cell>
          <cell r="T350">
            <v>39017</v>
          </cell>
        </row>
        <row r="351">
          <cell r="B351" t="str">
            <v>DH.265.DD.01</v>
          </cell>
          <cell r="D351" t="str">
            <v>Desenho De Detalhamento - Planta de Tubulação</v>
          </cell>
          <cell r="E351" t="str">
            <v>30 dias</v>
          </cell>
          <cell r="F351">
            <v>38881.375</v>
          </cell>
          <cell r="G351">
            <v>38958.333333333336</v>
          </cell>
          <cell r="H351" t="str">
            <v>NA</v>
          </cell>
          <cell r="I351">
            <v>38924.604166666664</v>
          </cell>
          <cell r="J351">
            <v>39001.729166666664</v>
          </cell>
          <cell r="K351" t="str">
            <v>NA</v>
          </cell>
          <cell r="L351">
            <v>1.88</v>
          </cell>
          <cell r="M351">
            <v>43</v>
          </cell>
          <cell r="N351">
            <v>0</v>
          </cell>
          <cell r="O351">
            <v>0</v>
          </cell>
          <cell r="P351">
            <v>0</v>
          </cell>
          <cell r="Q351" t="str">
            <v>39II;341</v>
          </cell>
          <cell r="R351" t="str">
            <v>350;357</v>
          </cell>
          <cell r="S351" t="str">
            <v>EQUIPE TUB</v>
          </cell>
          <cell r="T351">
            <v>39001</v>
          </cell>
        </row>
        <row r="352">
          <cell r="B352" t="str">
            <v>DH.265.IS.01</v>
          </cell>
          <cell r="D352" t="str">
            <v>Isométrico</v>
          </cell>
          <cell r="E352" t="str">
            <v>10 dias</v>
          </cell>
          <cell r="F352">
            <v>38924.604166666664</v>
          </cell>
          <cell r="G352">
            <v>39006.333333333336</v>
          </cell>
          <cell r="H352" t="str">
            <v>NA</v>
          </cell>
          <cell r="I352">
            <v>38947.604166666664</v>
          </cell>
          <cell r="J352">
            <v>39017.729166666664</v>
          </cell>
          <cell r="K352" t="str">
            <v>NA</v>
          </cell>
          <cell r="L352">
            <v>0.35</v>
          </cell>
          <cell r="M352">
            <v>8</v>
          </cell>
          <cell r="N352">
            <v>0</v>
          </cell>
          <cell r="O352">
            <v>0</v>
          </cell>
          <cell r="P352">
            <v>0</v>
          </cell>
          <cell r="Q352">
            <v>349</v>
          </cell>
          <cell r="S352" t="str">
            <v>EQUIPE TUB</v>
          </cell>
          <cell r="T352">
            <v>39017</v>
          </cell>
        </row>
        <row r="353">
          <cell r="D353" t="str">
            <v>Civil</v>
          </cell>
          <cell r="E353" t="str">
            <v>21 dias</v>
          </cell>
          <cell r="F353">
            <v>38922.333333333336</v>
          </cell>
          <cell r="G353">
            <v>38937.333333333336</v>
          </cell>
          <cell r="H353" t="str">
            <v>NA</v>
          </cell>
          <cell r="I353">
            <v>38954.729166666664</v>
          </cell>
          <cell r="J353">
            <v>38971.729166666664</v>
          </cell>
          <cell r="K353" t="str">
            <v>NA</v>
          </cell>
          <cell r="L353">
            <v>0.48</v>
          </cell>
          <cell r="M353">
            <v>11</v>
          </cell>
          <cell r="N353">
            <v>0</v>
          </cell>
          <cell r="O353">
            <v>0</v>
          </cell>
          <cell r="P353">
            <v>0</v>
          </cell>
          <cell r="T353">
            <v>38971</v>
          </cell>
        </row>
        <row r="354">
          <cell r="D354" t="str">
            <v>Desenho De Detalhamento</v>
          </cell>
          <cell r="E354" t="str">
            <v>21 dias</v>
          </cell>
          <cell r="F354">
            <v>38922.333333333336</v>
          </cell>
          <cell r="G354">
            <v>38937.333333333336</v>
          </cell>
          <cell r="H354" t="str">
            <v>NA</v>
          </cell>
          <cell r="I354">
            <v>38954.729166666664</v>
          </cell>
          <cell r="J354">
            <v>38971.729166666664</v>
          </cell>
          <cell r="K354" t="str">
            <v>NA</v>
          </cell>
          <cell r="L354">
            <v>0.48</v>
          </cell>
          <cell r="M354">
            <v>11</v>
          </cell>
          <cell r="N354">
            <v>0</v>
          </cell>
          <cell r="O354">
            <v>0</v>
          </cell>
          <cell r="P354">
            <v>0</v>
          </cell>
          <cell r="T354">
            <v>38971</v>
          </cell>
        </row>
        <row r="355">
          <cell r="B355" t="str">
            <v>DC.265.DD.01</v>
          </cell>
          <cell r="D355" t="str">
            <v>Casa De Floculantes - Fundação</v>
          </cell>
          <cell r="E355" t="str">
            <v>6 dias</v>
          </cell>
          <cell r="F355">
            <v>38931.333333333336</v>
          </cell>
          <cell r="G355">
            <v>38953.333333333336</v>
          </cell>
          <cell r="H355" t="str">
            <v>NA</v>
          </cell>
          <cell r="I355">
            <v>38945.729166666664</v>
          </cell>
          <cell r="J355">
            <v>38960.729166666664</v>
          </cell>
          <cell r="K355" t="str">
            <v>NA</v>
          </cell>
          <cell r="L355">
            <v>0.13</v>
          </cell>
          <cell r="M355">
            <v>3</v>
          </cell>
          <cell r="N355">
            <v>0</v>
          </cell>
          <cell r="O355">
            <v>0</v>
          </cell>
          <cell r="P355">
            <v>0</v>
          </cell>
          <cell r="Q355">
            <v>354</v>
          </cell>
          <cell r="R355" t="str">
            <v>355;360</v>
          </cell>
          <cell r="S355" t="str">
            <v>EQUIPE CIV</v>
          </cell>
          <cell r="T355">
            <v>38960</v>
          </cell>
        </row>
        <row r="356">
          <cell r="B356" t="str">
            <v>DC.265.DD.02</v>
          </cell>
          <cell r="D356" t="str">
            <v>Planta De Reagentes - Fundação e Inseridos</v>
          </cell>
          <cell r="E356" t="str">
            <v>10 dias</v>
          </cell>
          <cell r="F356">
            <v>38922.333333333336</v>
          </cell>
          <cell r="G356">
            <v>38937.333333333336</v>
          </cell>
          <cell r="H356" t="str">
            <v>NA</v>
          </cell>
          <cell r="I356">
            <v>38930.729166666664</v>
          </cell>
          <cell r="J356">
            <v>38952.729166666664</v>
          </cell>
          <cell r="K356" t="str">
            <v>NA</v>
          </cell>
          <cell r="L356">
            <v>0.31</v>
          </cell>
          <cell r="M356">
            <v>7</v>
          </cell>
          <cell r="N356">
            <v>0</v>
          </cell>
          <cell r="O356">
            <v>0</v>
          </cell>
          <cell r="P356">
            <v>0</v>
          </cell>
          <cell r="Q356" t="str">
            <v>337;344II</v>
          </cell>
          <cell r="R356">
            <v>353</v>
          </cell>
          <cell r="S356" t="str">
            <v>EQUIPE CIV</v>
          </cell>
          <cell r="T356">
            <v>38952</v>
          </cell>
        </row>
        <row r="357">
          <cell r="B357" t="str">
            <v>DC.265.DD.03</v>
          </cell>
          <cell r="D357" t="str">
            <v>Ciclone e Flotação - Fundação</v>
          </cell>
          <cell r="E357" t="str">
            <v>5 dias</v>
          </cell>
          <cell r="F357">
            <v>38946.333333333336</v>
          </cell>
          <cell r="G357">
            <v>38961.333333333336</v>
          </cell>
          <cell r="H357" t="str">
            <v>NA</v>
          </cell>
          <cell r="I357">
            <v>38954.729166666664</v>
          </cell>
          <cell r="J357">
            <v>38971.729166666664</v>
          </cell>
          <cell r="K357" t="str">
            <v>NA</v>
          </cell>
          <cell r="L357">
            <v>0.04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353</v>
          </cell>
          <cell r="S357" t="str">
            <v>EQUIPE CIV</v>
          </cell>
          <cell r="T357">
            <v>38971</v>
          </cell>
        </row>
        <row r="358">
          <cell r="D358" t="str">
            <v>Estrutura Metálica</v>
          </cell>
          <cell r="E358" t="str">
            <v>13 dias</v>
          </cell>
          <cell r="F358">
            <v>38922.333333333336</v>
          </cell>
          <cell r="G358">
            <v>39006.333333333336</v>
          </cell>
          <cell r="H358" t="str">
            <v>NA</v>
          </cell>
          <cell r="I358">
            <v>38947.729166666664</v>
          </cell>
          <cell r="J358">
            <v>39022.729166666664</v>
          </cell>
          <cell r="K358" t="str">
            <v>NA</v>
          </cell>
          <cell r="L358">
            <v>0.48</v>
          </cell>
          <cell r="M358">
            <v>11</v>
          </cell>
          <cell r="N358">
            <v>0</v>
          </cell>
          <cell r="O358">
            <v>0</v>
          </cell>
          <cell r="P358">
            <v>0</v>
          </cell>
          <cell r="T358">
            <v>39022</v>
          </cell>
        </row>
        <row r="359">
          <cell r="B359" t="str">
            <v>DD.265.DP.01</v>
          </cell>
          <cell r="D359" t="str">
            <v>Desenho De Projeto</v>
          </cell>
          <cell r="E359" t="str">
            <v>13 dias</v>
          </cell>
          <cell r="F359">
            <v>38922.333333333336</v>
          </cell>
          <cell r="G359">
            <v>39006.333333333336</v>
          </cell>
          <cell r="H359" t="str">
            <v>NA</v>
          </cell>
          <cell r="I359">
            <v>38947.729166666664</v>
          </cell>
          <cell r="J359">
            <v>39022.729166666664</v>
          </cell>
          <cell r="K359" t="str">
            <v>NA</v>
          </cell>
          <cell r="L359">
            <v>0.48</v>
          </cell>
          <cell r="M359">
            <v>11</v>
          </cell>
          <cell r="N359">
            <v>0</v>
          </cell>
          <cell r="O359">
            <v>0</v>
          </cell>
          <cell r="P359">
            <v>0</v>
          </cell>
          <cell r="Q359">
            <v>349</v>
          </cell>
          <cell r="S359" t="str">
            <v>EQUIPE MET</v>
          </cell>
          <cell r="T359">
            <v>39022</v>
          </cell>
        </row>
        <row r="360">
          <cell r="D360" t="str">
            <v>Elétrica</v>
          </cell>
          <cell r="E360" t="str">
            <v>14 dias</v>
          </cell>
          <cell r="F360">
            <v>38922.333333333336</v>
          </cell>
          <cell r="G360">
            <v>38961.333333333336</v>
          </cell>
          <cell r="H360" t="str">
            <v>NA</v>
          </cell>
          <cell r="I360">
            <v>38958.729166666664</v>
          </cell>
          <cell r="J360">
            <v>38982.729166666664</v>
          </cell>
          <cell r="K360" t="str">
            <v>NA</v>
          </cell>
          <cell r="L360">
            <v>0.22</v>
          </cell>
          <cell r="M360">
            <v>5</v>
          </cell>
          <cell r="N360">
            <v>0</v>
          </cell>
          <cell r="O360">
            <v>0</v>
          </cell>
          <cell r="P360">
            <v>0</v>
          </cell>
          <cell r="T360">
            <v>38982</v>
          </cell>
        </row>
        <row r="361">
          <cell r="D361" t="str">
            <v>Desenho De Detalhamento</v>
          </cell>
          <cell r="E361" t="str">
            <v>14 dias</v>
          </cell>
          <cell r="F361">
            <v>38922.333333333336</v>
          </cell>
          <cell r="G361">
            <v>38961.333333333336</v>
          </cell>
          <cell r="H361" t="str">
            <v>NA</v>
          </cell>
          <cell r="I361">
            <v>38958.729166666664</v>
          </cell>
          <cell r="J361">
            <v>38982.729166666664</v>
          </cell>
          <cell r="K361" t="str">
            <v>NA</v>
          </cell>
          <cell r="L361">
            <v>0.22</v>
          </cell>
          <cell r="M361">
            <v>5</v>
          </cell>
          <cell r="N361">
            <v>0</v>
          </cell>
          <cell r="O361">
            <v>0</v>
          </cell>
          <cell r="P361">
            <v>0</v>
          </cell>
          <cell r="T361">
            <v>38982</v>
          </cell>
        </row>
        <row r="362">
          <cell r="B362" t="str">
            <v>DE.265.DD.01</v>
          </cell>
          <cell r="D362" t="str">
            <v>Disposição De Força, Controle e Aterramento</v>
          </cell>
          <cell r="E362" t="str">
            <v>6 dias</v>
          </cell>
          <cell r="F362">
            <v>38922.333333333336</v>
          </cell>
          <cell r="G362">
            <v>38961.333333333336</v>
          </cell>
          <cell r="H362" t="str">
            <v>NA</v>
          </cell>
          <cell r="I362">
            <v>38938.729166666664</v>
          </cell>
          <cell r="J362">
            <v>38972.729166666664</v>
          </cell>
          <cell r="K362" t="str">
            <v>NA</v>
          </cell>
          <cell r="L362">
            <v>0.09</v>
          </cell>
          <cell r="M362">
            <v>2</v>
          </cell>
          <cell r="N362">
            <v>0</v>
          </cell>
          <cell r="O362">
            <v>0</v>
          </cell>
          <cell r="P362">
            <v>0</v>
          </cell>
          <cell r="Q362">
            <v>353</v>
          </cell>
          <cell r="R362">
            <v>361</v>
          </cell>
          <cell r="S362" t="str">
            <v>EQUIPE ELE</v>
          </cell>
          <cell r="T362">
            <v>38972</v>
          </cell>
        </row>
        <row r="363">
          <cell r="B363" t="str">
            <v>DE.265.DD.02</v>
          </cell>
          <cell r="D363" t="str">
            <v>Iluminação</v>
          </cell>
          <cell r="E363" t="str">
            <v>8 dias</v>
          </cell>
          <cell r="F363">
            <v>38939.333333333336</v>
          </cell>
          <cell r="G363">
            <v>38973.333333333336</v>
          </cell>
          <cell r="H363" t="str">
            <v>NA</v>
          </cell>
          <cell r="I363">
            <v>38958.729166666664</v>
          </cell>
          <cell r="J363">
            <v>38982.729166666664</v>
          </cell>
          <cell r="K363" t="str">
            <v>NA</v>
          </cell>
          <cell r="L363">
            <v>0.13</v>
          </cell>
          <cell r="M363">
            <v>3</v>
          </cell>
          <cell r="N363">
            <v>0</v>
          </cell>
          <cell r="O363">
            <v>0</v>
          </cell>
          <cell r="P363">
            <v>0</v>
          </cell>
          <cell r="Q363">
            <v>360</v>
          </cell>
          <cell r="S363" t="str">
            <v>EQUIPE ELE</v>
          </cell>
          <cell r="T363">
            <v>38982</v>
          </cell>
        </row>
        <row r="364">
          <cell r="B364" t="str">
            <v>1.1.12</v>
          </cell>
          <cell r="C364" t="str">
            <v>270A</v>
          </cell>
          <cell r="D364" t="str">
            <v>Espessamento de Concentrados (1B)</v>
          </cell>
          <cell r="E364" t="str">
            <v>71 dias</v>
          </cell>
          <cell r="F364">
            <v>38866.375</v>
          </cell>
          <cell r="G364">
            <v>38881.333333333336</v>
          </cell>
          <cell r="H364">
            <v>38881.333333333336</v>
          </cell>
          <cell r="I364">
            <v>38932.729166666664</v>
          </cell>
          <cell r="J364">
            <v>38987.729166666664</v>
          </cell>
          <cell r="K364" t="str">
            <v>NA</v>
          </cell>
          <cell r="L364">
            <v>0.99</v>
          </cell>
          <cell r="M364">
            <v>22.75</v>
          </cell>
          <cell r="N364">
            <v>7.5</v>
          </cell>
          <cell r="O364">
            <v>32.97</v>
          </cell>
          <cell r="P364">
            <v>32.97</v>
          </cell>
          <cell r="T364">
            <v>38987</v>
          </cell>
        </row>
        <row r="365">
          <cell r="D365" t="str">
            <v>Projeto Básico</v>
          </cell>
          <cell r="E365" t="str">
            <v>43 dias</v>
          </cell>
          <cell r="F365">
            <v>38866.333333333336</v>
          </cell>
          <cell r="G365">
            <v>38881.333333333336</v>
          </cell>
          <cell r="H365">
            <v>38881.333333333336</v>
          </cell>
          <cell r="I365">
            <v>38894.729166666664</v>
          </cell>
          <cell r="J365">
            <v>38945.729166666664</v>
          </cell>
          <cell r="K365" t="str">
            <v>NA</v>
          </cell>
          <cell r="L365">
            <v>0.56000000000000005</v>
          </cell>
          <cell r="M365">
            <v>12.75</v>
          </cell>
          <cell r="N365">
            <v>7.5</v>
          </cell>
          <cell r="O365">
            <v>58.82</v>
          </cell>
          <cell r="P365">
            <v>58.82</v>
          </cell>
          <cell r="T365">
            <v>38945</v>
          </cell>
        </row>
        <row r="366">
          <cell r="D366" t="str">
            <v>Processo</v>
          </cell>
          <cell r="E366" t="str">
            <v>3 dias</v>
          </cell>
          <cell r="F366">
            <v>38866.333333333336</v>
          </cell>
          <cell r="G366">
            <v>38924.333333333336</v>
          </cell>
          <cell r="H366">
            <v>38924.333333333336</v>
          </cell>
          <cell r="I366">
            <v>38868.729166666664</v>
          </cell>
          <cell r="J366">
            <v>38926.729166666664</v>
          </cell>
          <cell r="K366" t="str">
            <v>NA</v>
          </cell>
          <cell r="L366">
            <v>0.16</v>
          </cell>
          <cell r="M366">
            <v>3.75</v>
          </cell>
          <cell r="N366">
            <v>3</v>
          </cell>
          <cell r="O366">
            <v>80</v>
          </cell>
          <cell r="P366">
            <v>80</v>
          </cell>
          <cell r="T366">
            <v>38926</v>
          </cell>
        </row>
        <row r="367">
          <cell r="B367" t="str">
            <v>BP.270.FD.01</v>
          </cell>
          <cell r="D367" t="str">
            <v>Folha De Dados - Espessador/ Agitador</v>
          </cell>
          <cell r="E367" t="str">
            <v>3 dias</v>
          </cell>
          <cell r="F367">
            <v>38866.333333333336</v>
          </cell>
          <cell r="G367">
            <v>38924.333333333336</v>
          </cell>
          <cell r="H367">
            <v>38924.333333333336</v>
          </cell>
          <cell r="I367">
            <v>38868.729166666664</v>
          </cell>
          <cell r="J367">
            <v>38926.729166666664</v>
          </cell>
          <cell r="K367" t="str">
            <v>NA</v>
          </cell>
          <cell r="L367">
            <v>0.16</v>
          </cell>
          <cell r="M367">
            <v>3.75</v>
          </cell>
          <cell r="N367">
            <v>3</v>
          </cell>
          <cell r="O367">
            <v>80</v>
          </cell>
          <cell r="P367">
            <v>80</v>
          </cell>
          <cell r="Q367" t="str">
            <v>88II</v>
          </cell>
          <cell r="S367" t="str">
            <v>EQUIPE PRO</v>
          </cell>
          <cell r="T367">
            <v>38926</v>
          </cell>
        </row>
        <row r="368">
          <cell r="D368" t="str">
            <v>Mecânica</v>
          </cell>
          <cell r="E368" t="str">
            <v>11 dias</v>
          </cell>
          <cell r="F368">
            <v>38867.333333333336</v>
          </cell>
          <cell r="G368">
            <v>38926.333333333336</v>
          </cell>
          <cell r="H368" t="str">
            <v>NA</v>
          </cell>
          <cell r="I368">
            <v>38882.729166666664</v>
          </cell>
          <cell r="J368">
            <v>38940.729166666664</v>
          </cell>
          <cell r="K368" t="str">
            <v>NA</v>
          </cell>
          <cell r="L368">
            <v>0.09</v>
          </cell>
          <cell r="M368">
            <v>2</v>
          </cell>
          <cell r="N368">
            <v>0</v>
          </cell>
          <cell r="O368">
            <v>0</v>
          </cell>
          <cell r="P368">
            <v>0</v>
          </cell>
          <cell r="T368">
            <v>38940</v>
          </cell>
        </row>
        <row r="369">
          <cell r="B369" t="str">
            <v>BB.270.DB.01</v>
          </cell>
          <cell r="D369" t="str">
            <v>Desenho Básico - Planta e Cortes</v>
          </cell>
          <cell r="E369" t="str">
            <v>6 dias</v>
          </cell>
          <cell r="F369">
            <v>38867.333333333336</v>
          </cell>
          <cell r="G369">
            <v>38926.333333333336</v>
          </cell>
          <cell r="H369" t="str">
            <v>NA</v>
          </cell>
          <cell r="I369">
            <v>38874.729166666664</v>
          </cell>
          <cell r="J369">
            <v>38933.729166666664</v>
          </cell>
          <cell r="K369" t="str">
            <v>NA</v>
          </cell>
          <cell r="L369">
            <v>0.09</v>
          </cell>
          <cell r="M369">
            <v>2</v>
          </cell>
          <cell r="N369">
            <v>0</v>
          </cell>
          <cell r="O369">
            <v>0</v>
          </cell>
          <cell r="P369">
            <v>0</v>
          </cell>
          <cell r="Q369">
            <v>90</v>
          </cell>
          <cell r="R369" t="str">
            <v>368;370;374</v>
          </cell>
          <cell r="S369" t="str">
            <v>EQUIPE MEC</v>
          </cell>
          <cell r="T369">
            <v>38933</v>
          </cell>
        </row>
        <row r="370">
          <cell r="D370" t="str">
            <v>APROVAÇÃO EBX</v>
          </cell>
          <cell r="E370" t="str">
            <v>5 dias</v>
          </cell>
          <cell r="F370">
            <v>38875.333333333336</v>
          </cell>
          <cell r="G370">
            <v>38936.333333333336</v>
          </cell>
          <cell r="H370" t="str">
            <v>NA</v>
          </cell>
          <cell r="I370">
            <v>38882.729166666664</v>
          </cell>
          <cell r="J370">
            <v>38940.729166666664</v>
          </cell>
          <cell r="K370" t="str">
            <v>NA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 t="str">
            <v>#ERRO</v>
          </cell>
          <cell r="Q370">
            <v>367</v>
          </cell>
          <cell r="T370">
            <v>38940</v>
          </cell>
        </row>
        <row r="371">
          <cell r="D371" t="str">
            <v>Tubulação</v>
          </cell>
          <cell r="E371" t="str">
            <v>43 dias</v>
          </cell>
          <cell r="F371">
            <v>38875.333333333336</v>
          </cell>
          <cell r="G371">
            <v>38881.333333333336</v>
          </cell>
          <cell r="H371">
            <v>38881.333333333336</v>
          </cell>
          <cell r="I371">
            <v>38894.729166666664</v>
          </cell>
          <cell r="J371">
            <v>38945.729166666664</v>
          </cell>
          <cell r="K371" t="str">
            <v>NA</v>
          </cell>
          <cell r="L371">
            <v>0.31</v>
          </cell>
          <cell r="M371">
            <v>7</v>
          </cell>
          <cell r="N371">
            <v>4.5</v>
          </cell>
          <cell r="O371">
            <v>64.290000000000006</v>
          </cell>
          <cell r="P371">
            <v>64.290000000000006</v>
          </cell>
          <cell r="T371">
            <v>38945</v>
          </cell>
        </row>
        <row r="372">
          <cell r="B372" t="str">
            <v>BH.270.DB.01</v>
          </cell>
          <cell r="D372" t="str">
            <v>Desenho Básico - Planta/ Cortes</v>
          </cell>
          <cell r="E372" t="str">
            <v>6 dias</v>
          </cell>
          <cell r="F372">
            <v>38875.333333333336</v>
          </cell>
          <cell r="G372">
            <v>38936.333333333336</v>
          </cell>
          <cell r="H372" t="str">
            <v>NA</v>
          </cell>
          <cell r="I372">
            <v>38886.729166666664</v>
          </cell>
          <cell r="J372">
            <v>38945.729166666664</v>
          </cell>
          <cell r="K372" t="str">
            <v>NA</v>
          </cell>
          <cell r="L372">
            <v>0.09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Q372" t="str">
            <v>39II;367</v>
          </cell>
          <cell r="S372" t="str">
            <v>EQUIPE TUB</v>
          </cell>
          <cell r="T372">
            <v>38945</v>
          </cell>
        </row>
        <row r="373">
          <cell r="B373" t="str">
            <v>BH.270.MC.01</v>
          </cell>
          <cell r="D373" t="str">
            <v>Memória De Cálculo - Bombas</v>
          </cell>
          <cell r="E373" t="str">
            <v>10 dias</v>
          </cell>
          <cell r="F373">
            <v>38887.333333333336</v>
          </cell>
          <cell r="G373">
            <v>38881.333333333336</v>
          </cell>
          <cell r="H373">
            <v>38881.333333333336</v>
          </cell>
          <cell r="I373">
            <v>38894.729166666664</v>
          </cell>
          <cell r="J373">
            <v>38896.729166666664</v>
          </cell>
          <cell r="K373" t="str">
            <v>NA</v>
          </cell>
          <cell r="L373">
            <v>0.22</v>
          </cell>
          <cell r="M373">
            <v>5</v>
          </cell>
          <cell r="N373">
            <v>4.5</v>
          </cell>
          <cell r="O373">
            <v>90</v>
          </cell>
          <cell r="P373">
            <v>90</v>
          </cell>
          <cell r="Q373" t="str">
            <v>39II</v>
          </cell>
          <cell r="S373" t="str">
            <v>EQUIPE TUB</v>
          </cell>
          <cell r="T373">
            <v>38896</v>
          </cell>
        </row>
        <row r="374">
          <cell r="D374" t="str">
            <v>Projeto Detalhado</v>
          </cell>
          <cell r="E374" t="str">
            <v>22 dias</v>
          </cell>
          <cell r="F374">
            <v>38905.333333333336</v>
          </cell>
          <cell r="G374">
            <v>38954.333333333336</v>
          </cell>
          <cell r="H374" t="str">
            <v>NA</v>
          </cell>
          <cell r="I374">
            <v>38932.729166666664</v>
          </cell>
          <cell r="J374">
            <v>38987.729166666664</v>
          </cell>
          <cell r="K374" t="str">
            <v>NA</v>
          </cell>
          <cell r="L374">
            <v>0.44</v>
          </cell>
          <cell r="M374">
            <v>10</v>
          </cell>
          <cell r="N374">
            <v>0</v>
          </cell>
          <cell r="O374">
            <v>0</v>
          </cell>
          <cell r="P374">
            <v>0</v>
          </cell>
          <cell r="T374">
            <v>38987</v>
          </cell>
        </row>
        <row r="375">
          <cell r="D375" t="str">
            <v>Civil</v>
          </cell>
          <cell r="E375" t="str">
            <v>8 dias</v>
          </cell>
          <cell r="F375">
            <v>38905.333333333336</v>
          </cell>
          <cell r="G375">
            <v>38954.333333333336</v>
          </cell>
          <cell r="H375" t="str">
            <v>NA</v>
          </cell>
          <cell r="I375">
            <v>38915.729166666664</v>
          </cell>
          <cell r="J375">
            <v>38965.729166666664</v>
          </cell>
          <cell r="K375" t="str">
            <v>NA</v>
          </cell>
          <cell r="L375">
            <v>0.22</v>
          </cell>
          <cell r="M375">
            <v>5</v>
          </cell>
          <cell r="N375">
            <v>0</v>
          </cell>
          <cell r="O375">
            <v>0</v>
          </cell>
          <cell r="P375">
            <v>0</v>
          </cell>
          <cell r="T375">
            <v>38965</v>
          </cell>
        </row>
        <row r="376">
          <cell r="B376" t="str">
            <v>DC.270.DD.01</v>
          </cell>
          <cell r="D376" t="str">
            <v>Desenho De Detalhamento - Forma e Armação</v>
          </cell>
          <cell r="E376" t="str">
            <v>8 dias</v>
          </cell>
          <cell r="F376">
            <v>38905.333333333336</v>
          </cell>
          <cell r="G376">
            <v>38954.333333333336</v>
          </cell>
          <cell r="H376" t="str">
            <v>NA</v>
          </cell>
          <cell r="I376">
            <v>38915.729166666664</v>
          </cell>
          <cell r="J376">
            <v>38965.729166666664</v>
          </cell>
          <cell r="K376" t="str">
            <v>NA</v>
          </cell>
          <cell r="L376">
            <v>0.22</v>
          </cell>
          <cell r="M376">
            <v>5</v>
          </cell>
          <cell r="N376">
            <v>0</v>
          </cell>
          <cell r="O376">
            <v>0</v>
          </cell>
          <cell r="P376">
            <v>0</v>
          </cell>
          <cell r="Q376" t="str">
            <v>318TT;367</v>
          </cell>
          <cell r="R376">
            <v>377</v>
          </cell>
          <cell r="S376" t="str">
            <v>EQUIPE CIV</v>
          </cell>
          <cell r="T376">
            <v>38965</v>
          </cell>
        </row>
        <row r="377">
          <cell r="D377" t="str">
            <v>Elétrica</v>
          </cell>
          <cell r="E377" t="str">
            <v>14 dias</v>
          </cell>
          <cell r="F377">
            <v>38919.333333333336</v>
          </cell>
          <cell r="G377">
            <v>38966.333333333336</v>
          </cell>
          <cell r="H377" t="str">
            <v>NA</v>
          </cell>
          <cell r="I377">
            <v>38932.729166666664</v>
          </cell>
          <cell r="J377">
            <v>38987.729166666664</v>
          </cell>
          <cell r="K377" t="str">
            <v>NA</v>
          </cell>
          <cell r="L377">
            <v>0.22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T377">
            <v>38987</v>
          </cell>
        </row>
        <row r="378">
          <cell r="D378" t="str">
            <v>Desenho De Detalhamento</v>
          </cell>
          <cell r="E378" t="str">
            <v>14 dias</v>
          </cell>
          <cell r="F378">
            <v>38919.333333333336</v>
          </cell>
          <cell r="G378">
            <v>38966.333333333336</v>
          </cell>
          <cell r="H378" t="str">
            <v>NA</v>
          </cell>
          <cell r="I378">
            <v>38932.729166666664</v>
          </cell>
          <cell r="J378">
            <v>38987.729166666664</v>
          </cell>
          <cell r="K378" t="str">
            <v>NA</v>
          </cell>
          <cell r="L378">
            <v>0.22</v>
          </cell>
          <cell r="M378">
            <v>5</v>
          </cell>
          <cell r="N378">
            <v>0</v>
          </cell>
          <cell r="O378">
            <v>0</v>
          </cell>
          <cell r="P378">
            <v>0</v>
          </cell>
          <cell r="T378">
            <v>38987</v>
          </cell>
        </row>
        <row r="379">
          <cell r="B379" t="str">
            <v>DE.270.DD.01</v>
          </cell>
          <cell r="D379" t="str">
            <v>Disposição De Força, Controle e Aterramento</v>
          </cell>
          <cell r="E379" t="str">
            <v>8 dias</v>
          </cell>
          <cell r="F379">
            <v>38919.333333333336</v>
          </cell>
          <cell r="G379">
            <v>38966.333333333336</v>
          </cell>
          <cell r="H379" t="str">
            <v>NA</v>
          </cell>
          <cell r="I379">
            <v>38932.729166666664</v>
          </cell>
          <cell r="J379">
            <v>38979.729166666664</v>
          </cell>
          <cell r="K379" t="str">
            <v>NA</v>
          </cell>
          <cell r="L379">
            <v>0.13</v>
          </cell>
          <cell r="M379">
            <v>3</v>
          </cell>
          <cell r="N379">
            <v>0</v>
          </cell>
          <cell r="O379">
            <v>0</v>
          </cell>
          <cell r="P379">
            <v>0</v>
          </cell>
          <cell r="Q379">
            <v>374</v>
          </cell>
          <cell r="R379">
            <v>378</v>
          </cell>
          <cell r="S379" t="str">
            <v>EQUIPE ELE</v>
          </cell>
          <cell r="T379">
            <v>38979</v>
          </cell>
        </row>
        <row r="380">
          <cell r="B380" t="str">
            <v>DE.270.DD.02</v>
          </cell>
          <cell r="D380" t="str">
            <v>Iluminação</v>
          </cell>
          <cell r="E380" t="str">
            <v>6 dias</v>
          </cell>
          <cell r="F380">
            <v>38919.333333333336</v>
          </cell>
          <cell r="G380">
            <v>38980.333333333336</v>
          </cell>
          <cell r="H380" t="str">
            <v>NA</v>
          </cell>
          <cell r="I380">
            <v>38931.729166666664</v>
          </cell>
          <cell r="J380">
            <v>38987.729166666664</v>
          </cell>
          <cell r="K380" t="str">
            <v>NA</v>
          </cell>
          <cell r="L380">
            <v>0.09</v>
          </cell>
          <cell r="M380">
            <v>2</v>
          </cell>
          <cell r="N380">
            <v>0</v>
          </cell>
          <cell r="O380">
            <v>0</v>
          </cell>
          <cell r="P380">
            <v>0</v>
          </cell>
          <cell r="Q380">
            <v>377</v>
          </cell>
          <cell r="S380" t="str">
            <v>EQUIPE ELE</v>
          </cell>
          <cell r="T380">
            <v>38987</v>
          </cell>
        </row>
        <row r="381">
          <cell r="B381" t="str">
            <v>1.1.13</v>
          </cell>
          <cell r="C381" t="str">
            <v>275A</v>
          </cell>
          <cell r="D381" t="str">
            <v>Planta de Reagentes (2B)</v>
          </cell>
          <cell r="E381" t="str">
            <v>74 dias</v>
          </cell>
          <cell r="F381">
            <v>38814.375</v>
          </cell>
          <cell r="G381">
            <v>38824.333333333336</v>
          </cell>
          <cell r="H381">
            <v>38824.333333333336</v>
          </cell>
          <cell r="I381">
            <v>38833.375</v>
          </cell>
          <cell r="J381">
            <v>38931.729166666664</v>
          </cell>
          <cell r="K381" t="str">
            <v>NA</v>
          </cell>
          <cell r="L381">
            <v>1.26</v>
          </cell>
          <cell r="M381">
            <v>28.88</v>
          </cell>
          <cell r="N381">
            <v>25.99</v>
          </cell>
          <cell r="O381">
            <v>90</v>
          </cell>
          <cell r="P381">
            <v>90</v>
          </cell>
          <cell r="T381">
            <v>38931</v>
          </cell>
        </row>
        <row r="382">
          <cell r="D382" t="str">
            <v>Projeto Básico</v>
          </cell>
          <cell r="E382" t="str">
            <v>74 dias</v>
          </cell>
          <cell r="F382">
            <v>38814.333333333336</v>
          </cell>
          <cell r="G382">
            <v>38824.333333333336</v>
          </cell>
          <cell r="H382">
            <v>38824.333333333336</v>
          </cell>
          <cell r="I382">
            <v>38833.729166666664</v>
          </cell>
          <cell r="J382">
            <v>38931.729166666664</v>
          </cell>
          <cell r="K382" t="str">
            <v>NA</v>
          </cell>
          <cell r="L382">
            <v>1.26</v>
          </cell>
          <cell r="M382">
            <v>28.88</v>
          </cell>
          <cell r="N382">
            <v>25.99</v>
          </cell>
          <cell r="O382">
            <v>90</v>
          </cell>
          <cell r="P382">
            <v>90</v>
          </cell>
          <cell r="T382">
            <v>38931</v>
          </cell>
        </row>
        <row r="383">
          <cell r="D383" t="str">
            <v>Processo</v>
          </cell>
          <cell r="E383" t="str">
            <v>10 dias</v>
          </cell>
          <cell r="F383">
            <v>38814.333333333336</v>
          </cell>
          <cell r="G383">
            <v>38824.333333333336</v>
          </cell>
          <cell r="H383">
            <v>38824.333333333336</v>
          </cell>
          <cell r="I383">
            <v>38833.729166666664</v>
          </cell>
          <cell r="J383">
            <v>38839.729166666664</v>
          </cell>
          <cell r="K383" t="str">
            <v>NA</v>
          </cell>
          <cell r="L383">
            <v>0.11</v>
          </cell>
          <cell r="M383">
            <v>2.5</v>
          </cell>
          <cell r="N383">
            <v>2.25</v>
          </cell>
          <cell r="O383">
            <v>90</v>
          </cell>
          <cell r="P383">
            <v>90</v>
          </cell>
          <cell r="T383">
            <v>38839</v>
          </cell>
        </row>
        <row r="384">
          <cell r="B384" t="str">
            <v>BP.275.FP.01</v>
          </cell>
          <cell r="D384" t="str">
            <v>Fluxograma De Processo</v>
          </cell>
          <cell r="E384" t="str">
            <v>10 dias</v>
          </cell>
          <cell r="F384">
            <v>38814.333333333336</v>
          </cell>
          <cell r="G384">
            <v>38824.333333333336</v>
          </cell>
          <cell r="H384">
            <v>38824.333333333336</v>
          </cell>
          <cell r="I384">
            <v>38833.729166666664</v>
          </cell>
          <cell r="J384">
            <v>38839.729166666664</v>
          </cell>
          <cell r="K384" t="str">
            <v>NA</v>
          </cell>
          <cell r="L384">
            <v>0.11</v>
          </cell>
          <cell r="M384">
            <v>2.5</v>
          </cell>
          <cell r="N384">
            <v>2.25</v>
          </cell>
          <cell r="O384">
            <v>90</v>
          </cell>
          <cell r="P384">
            <v>90</v>
          </cell>
          <cell r="Q384" t="str">
            <v>14II</v>
          </cell>
          <cell r="S384" t="str">
            <v>EQUIPE PRO</v>
          </cell>
          <cell r="T384">
            <v>38839</v>
          </cell>
        </row>
        <row r="385">
          <cell r="D385" t="str">
            <v>Estrutura Metálica</v>
          </cell>
          <cell r="E385" t="str">
            <v>15 dias</v>
          </cell>
          <cell r="F385" t="str">
            <v>NA</v>
          </cell>
          <cell r="G385">
            <v>38911.333333333336</v>
          </cell>
          <cell r="H385">
            <v>38911.333333333336</v>
          </cell>
          <cell r="I385" t="str">
            <v>NA</v>
          </cell>
          <cell r="J385">
            <v>38931.729166666664</v>
          </cell>
          <cell r="K385" t="str">
            <v>NA</v>
          </cell>
          <cell r="L385">
            <v>1.1499999999999999</v>
          </cell>
          <cell r="M385">
            <v>26.38</v>
          </cell>
          <cell r="N385">
            <v>23.74</v>
          </cell>
          <cell r="O385">
            <v>90</v>
          </cell>
          <cell r="P385">
            <v>90</v>
          </cell>
          <cell r="T385">
            <v>38931</v>
          </cell>
        </row>
        <row r="386">
          <cell r="B386" t="str">
            <v>BD.275.MC.01</v>
          </cell>
          <cell r="D386" t="str">
            <v>Memória De Cálculo</v>
          </cell>
          <cell r="E386" t="str">
            <v>15 dias</v>
          </cell>
          <cell r="F386" t="str">
            <v>NA</v>
          </cell>
          <cell r="G386">
            <v>38911.333333333336</v>
          </cell>
          <cell r="H386">
            <v>38911.333333333336</v>
          </cell>
          <cell r="I386" t="str">
            <v>NA</v>
          </cell>
          <cell r="J386">
            <v>38931.729166666664</v>
          </cell>
          <cell r="K386" t="str">
            <v>NA</v>
          </cell>
          <cell r="L386">
            <v>1.1499999999999999</v>
          </cell>
          <cell r="M386">
            <v>26.38</v>
          </cell>
          <cell r="N386">
            <v>23.74</v>
          </cell>
          <cell r="O386">
            <v>90</v>
          </cell>
          <cell r="P386">
            <v>90</v>
          </cell>
          <cell r="Q386">
            <v>337</v>
          </cell>
          <cell r="S386" t="str">
            <v>EQUIPE MET</v>
          </cell>
          <cell r="T386">
            <v>38931</v>
          </cell>
        </row>
        <row r="387">
          <cell r="B387" t="str">
            <v>1.1.14</v>
          </cell>
          <cell r="C387" t="str">
            <v>280A</v>
          </cell>
          <cell r="D387" t="str">
            <v>Filtragem (2C)</v>
          </cell>
          <cell r="E387" t="str">
            <v>144 dias</v>
          </cell>
          <cell r="F387">
            <v>38825.333333333336</v>
          </cell>
          <cell r="G387">
            <v>38819.333333333336</v>
          </cell>
          <cell r="H387">
            <v>38819.333333333336</v>
          </cell>
          <cell r="I387">
            <v>38947.729166666664</v>
          </cell>
          <cell r="J387">
            <v>39041.729166666664</v>
          </cell>
          <cell r="K387" t="str">
            <v>NA</v>
          </cell>
          <cell r="L387">
            <v>5.94</v>
          </cell>
          <cell r="M387">
            <v>136</v>
          </cell>
          <cell r="N387">
            <v>9.1</v>
          </cell>
          <cell r="O387">
            <v>6.69</v>
          </cell>
          <cell r="P387">
            <v>6.69</v>
          </cell>
          <cell r="T387">
            <v>39041</v>
          </cell>
        </row>
        <row r="388">
          <cell r="D388" t="str">
            <v>Projeto Básico</v>
          </cell>
          <cell r="E388" t="str">
            <v>87 dias</v>
          </cell>
          <cell r="F388">
            <v>38825.333333333336</v>
          </cell>
          <cell r="G388">
            <v>38819.333333333336</v>
          </cell>
          <cell r="H388">
            <v>38819.333333333336</v>
          </cell>
          <cell r="I388">
            <v>38873.729166666664</v>
          </cell>
          <cell r="J388">
            <v>38951.729166666664</v>
          </cell>
          <cell r="K388" t="str">
            <v>NA</v>
          </cell>
          <cell r="L388">
            <v>0.85</v>
          </cell>
          <cell r="M388">
            <v>19.5</v>
          </cell>
          <cell r="N388">
            <v>9.1</v>
          </cell>
          <cell r="O388">
            <v>46.67</v>
          </cell>
          <cell r="P388">
            <v>46.67</v>
          </cell>
          <cell r="T388">
            <v>38951</v>
          </cell>
        </row>
        <row r="389">
          <cell r="D389" t="str">
            <v>Processo</v>
          </cell>
          <cell r="E389" t="str">
            <v>2 dias</v>
          </cell>
          <cell r="F389">
            <v>38825.333333333336</v>
          </cell>
          <cell r="G389">
            <v>38939.333333333336</v>
          </cell>
          <cell r="H389">
            <v>38939.333333333336</v>
          </cell>
          <cell r="I389">
            <v>38826.729166666664</v>
          </cell>
          <cell r="J389">
            <v>38940.729166666664</v>
          </cell>
          <cell r="K389" t="str">
            <v>NA</v>
          </cell>
          <cell r="L389">
            <v>0.11</v>
          </cell>
          <cell r="M389">
            <v>2.5</v>
          </cell>
          <cell r="N389">
            <v>1.45</v>
          </cell>
          <cell r="O389">
            <v>58</v>
          </cell>
          <cell r="P389">
            <v>58</v>
          </cell>
          <cell r="T389">
            <v>38940</v>
          </cell>
        </row>
        <row r="390">
          <cell r="B390" t="str">
            <v>BP.280.FD.01</v>
          </cell>
          <cell r="D390" t="str">
            <v>Folha De Dados - Filtros/ Agitador</v>
          </cell>
          <cell r="E390" t="str">
            <v>2 dias</v>
          </cell>
          <cell r="F390">
            <v>38825.333333333336</v>
          </cell>
          <cell r="G390">
            <v>38939.333333333336</v>
          </cell>
          <cell r="H390">
            <v>38939.333333333336</v>
          </cell>
          <cell r="I390">
            <v>38826.729166666664</v>
          </cell>
          <cell r="J390">
            <v>38940.729166666664</v>
          </cell>
          <cell r="K390" t="str">
            <v>NA</v>
          </cell>
          <cell r="L390">
            <v>0.11</v>
          </cell>
          <cell r="M390">
            <v>2.5</v>
          </cell>
          <cell r="N390">
            <v>1.45</v>
          </cell>
          <cell r="O390">
            <v>58</v>
          </cell>
          <cell r="P390">
            <v>58</v>
          </cell>
          <cell r="Q390" t="str">
            <v>14II</v>
          </cell>
          <cell r="S390" t="str">
            <v>EQUIPE PRO</v>
          </cell>
          <cell r="T390">
            <v>38940</v>
          </cell>
        </row>
        <row r="391">
          <cell r="D391" t="str">
            <v>Mecânica</v>
          </cell>
          <cell r="E391" t="str">
            <v>86 dias</v>
          </cell>
          <cell r="F391">
            <v>38833.333333333336</v>
          </cell>
          <cell r="G391">
            <v>38819.333333333336</v>
          </cell>
          <cell r="H391">
            <v>38819.333333333336</v>
          </cell>
          <cell r="I391">
            <v>38863.729166666664</v>
          </cell>
          <cell r="J391">
            <v>38950.729166666664</v>
          </cell>
          <cell r="K391" t="str">
            <v>NA</v>
          </cell>
          <cell r="L391">
            <v>0.48</v>
          </cell>
          <cell r="M391">
            <v>11</v>
          </cell>
          <cell r="N391">
            <v>4.05</v>
          </cell>
          <cell r="O391">
            <v>36.82</v>
          </cell>
          <cell r="P391">
            <v>36.82</v>
          </cell>
          <cell r="T391">
            <v>38950</v>
          </cell>
        </row>
        <row r="392">
          <cell r="B392" t="str">
            <v>BB.280.DB.01</v>
          </cell>
          <cell r="D392" t="str">
            <v>Desenho Básico - Planta e Cortes</v>
          </cell>
          <cell r="E392" t="str">
            <v>77 dias</v>
          </cell>
          <cell r="F392">
            <v>38833.333333333336</v>
          </cell>
          <cell r="G392">
            <v>38819.333333333336</v>
          </cell>
          <cell r="H392">
            <v>38819.333333333336</v>
          </cell>
          <cell r="I392">
            <v>38855.729166666664</v>
          </cell>
          <cell r="J392">
            <v>38933.729166666664</v>
          </cell>
          <cell r="K392" t="str">
            <v>NA</v>
          </cell>
          <cell r="L392">
            <v>0.2</v>
          </cell>
          <cell r="M392">
            <v>4.5</v>
          </cell>
          <cell r="N392">
            <v>4.05</v>
          </cell>
          <cell r="O392">
            <v>90</v>
          </cell>
          <cell r="P392">
            <v>90</v>
          </cell>
          <cell r="Q392" t="str">
            <v>14II</v>
          </cell>
          <cell r="R392" t="str">
            <v>391;392;394;400;407;397</v>
          </cell>
          <cell r="S392" t="str">
            <v>EQUIPE MEC</v>
          </cell>
          <cell r="T392">
            <v>38933</v>
          </cell>
        </row>
        <row r="393">
          <cell r="B393" t="str">
            <v>BB.280.DB.02</v>
          </cell>
          <cell r="D393" t="str">
            <v>Desenho Básico - Transportador/ Caixa Polpa</v>
          </cell>
          <cell r="E393" t="str">
            <v>9 dias</v>
          </cell>
          <cell r="F393">
            <v>38856.333333333336</v>
          </cell>
          <cell r="G393">
            <v>38936.333333333336</v>
          </cell>
          <cell r="H393" t="str">
            <v>NA</v>
          </cell>
          <cell r="I393">
            <v>38863.729166666664</v>
          </cell>
          <cell r="J393">
            <v>38950.729166666664</v>
          </cell>
          <cell r="K393" t="str">
            <v>NA</v>
          </cell>
          <cell r="L393">
            <v>0.15</v>
          </cell>
          <cell r="M393">
            <v>3.5</v>
          </cell>
          <cell r="N393">
            <v>0</v>
          </cell>
          <cell r="O393">
            <v>0</v>
          </cell>
          <cell r="P393">
            <v>0</v>
          </cell>
          <cell r="Q393">
            <v>390</v>
          </cell>
          <cell r="R393">
            <v>400</v>
          </cell>
          <cell r="S393" t="str">
            <v>EQUIPE MEC</v>
          </cell>
          <cell r="T393">
            <v>38950</v>
          </cell>
        </row>
        <row r="394">
          <cell r="B394" t="str">
            <v>BB.280.FD.01</v>
          </cell>
          <cell r="D394" t="str">
            <v>Folha De Dados - Transport. e Bombas</v>
          </cell>
          <cell r="E394" t="str">
            <v>4 dias</v>
          </cell>
          <cell r="F394">
            <v>38856.333333333336</v>
          </cell>
          <cell r="G394">
            <v>38936.333333333336</v>
          </cell>
          <cell r="H394" t="str">
            <v>NA</v>
          </cell>
          <cell r="I394">
            <v>38861.729166666664</v>
          </cell>
          <cell r="J394">
            <v>38939.729166666664</v>
          </cell>
          <cell r="K394" t="str">
            <v>NA</v>
          </cell>
          <cell r="L394">
            <v>0.13</v>
          </cell>
          <cell r="M394">
            <v>3</v>
          </cell>
          <cell r="N394">
            <v>0</v>
          </cell>
          <cell r="O394">
            <v>0</v>
          </cell>
          <cell r="P394">
            <v>0</v>
          </cell>
          <cell r="Q394">
            <v>390</v>
          </cell>
          <cell r="S394" t="str">
            <v>EQUIPE MEC</v>
          </cell>
          <cell r="T394">
            <v>38939</v>
          </cell>
        </row>
        <row r="395">
          <cell r="D395" t="str">
            <v>Tubulação</v>
          </cell>
          <cell r="E395" t="str">
            <v>45 dias</v>
          </cell>
          <cell r="F395">
            <v>38856.333333333336</v>
          </cell>
          <cell r="G395">
            <v>38887.333333333336</v>
          </cell>
          <cell r="H395">
            <v>38887.333333333336</v>
          </cell>
          <cell r="I395">
            <v>38873.729166666664</v>
          </cell>
          <cell r="J395">
            <v>38951.729166666664</v>
          </cell>
          <cell r="K395" t="str">
            <v>NA</v>
          </cell>
          <cell r="L395">
            <v>0.26</v>
          </cell>
          <cell r="M395">
            <v>6</v>
          </cell>
          <cell r="N395">
            <v>3.6</v>
          </cell>
          <cell r="O395">
            <v>60</v>
          </cell>
          <cell r="P395">
            <v>60</v>
          </cell>
          <cell r="T395">
            <v>38951</v>
          </cell>
        </row>
        <row r="396">
          <cell r="B396" t="str">
            <v>BH.280.DB.01</v>
          </cell>
          <cell r="D396" t="str">
            <v>Desenho Básico</v>
          </cell>
          <cell r="E396" t="str">
            <v>10 dias</v>
          </cell>
          <cell r="F396">
            <v>38856.333333333336</v>
          </cell>
          <cell r="G396">
            <v>38936.333333333336</v>
          </cell>
          <cell r="H396" t="str">
            <v>NA</v>
          </cell>
          <cell r="I396">
            <v>38865.729166666664</v>
          </cell>
          <cell r="J396">
            <v>38951.729166666664</v>
          </cell>
          <cell r="K396" t="str">
            <v>NA</v>
          </cell>
          <cell r="L396">
            <v>0.09</v>
          </cell>
          <cell r="M396">
            <v>2</v>
          </cell>
          <cell r="N396">
            <v>0</v>
          </cell>
          <cell r="O396">
            <v>0</v>
          </cell>
          <cell r="P396">
            <v>0</v>
          </cell>
          <cell r="Q396" t="str">
            <v>14II;39II;390</v>
          </cell>
          <cell r="R396">
            <v>403</v>
          </cell>
          <cell r="S396" t="str">
            <v>EQUIPE TUB[60%]</v>
          </cell>
          <cell r="T396">
            <v>38951</v>
          </cell>
        </row>
        <row r="397">
          <cell r="B397" t="str">
            <v>BH.280.MC.01</v>
          </cell>
          <cell r="D397" t="str">
            <v>Memória De Cálculo - Bombas</v>
          </cell>
          <cell r="E397" t="str">
            <v>8 dias</v>
          </cell>
          <cell r="F397">
            <v>38866.333333333336</v>
          </cell>
          <cell r="G397">
            <v>38887.333333333336</v>
          </cell>
          <cell r="H397">
            <v>38887.333333333336</v>
          </cell>
          <cell r="I397">
            <v>38873.729166666664</v>
          </cell>
          <cell r="J397">
            <v>38896.729166666664</v>
          </cell>
          <cell r="K397" t="str">
            <v>NA</v>
          </cell>
          <cell r="L397">
            <v>0.17</v>
          </cell>
          <cell r="M397">
            <v>4</v>
          </cell>
          <cell r="N397">
            <v>3.6</v>
          </cell>
          <cell r="O397">
            <v>90</v>
          </cell>
          <cell r="P397">
            <v>90</v>
          </cell>
          <cell r="Q397" t="str">
            <v>39II</v>
          </cell>
          <cell r="S397" t="str">
            <v>EQUIPE TUB</v>
          </cell>
          <cell r="T397">
            <v>38896</v>
          </cell>
        </row>
        <row r="398">
          <cell r="D398" t="str">
            <v>Estrutura Metálica</v>
          </cell>
          <cell r="E398" t="str">
            <v>10 dias</v>
          </cell>
          <cell r="F398" t="str">
            <v>NA</v>
          </cell>
          <cell r="G398">
            <v>38936.333333333336</v>
          </cell>
          <cell r="H398" t="str">
            <v>NA</v>
          </cell>
          <cell r="I398" t="str">
            <v>NA</v>
          </cell>
          <cell r="J398">
            <v>38951.729166666664</v>
          </cell>
          <cell r="K398" t="str">
            <v>NA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 t="str">
            <v>#ERRO</v>
          </cell>
          <cell r="T398">
            <v>38951</v>
          </cell>
        </row>
        <row r="399">
          <cell r="B399" t="str">
            <v>BD.280.MC</v>
          </cell>
          <cell r="D399" t="str">
            <v>Memória De Cálculo</v>
          </cell>
          <cell r="E399" t="str">
            <v>10 dias</v>
          </cell>
          <cell r="F399" t="str">
            <v>NA</v>
          </cell>
          <cell r="G399">
            <v>38936.333333333336</v>
          </cell>
          <cell r="H399" t="str">
            <v>NA</v>
          </cell>
          <cell r="I399" t="str">
            <v>NA</v>
          </cell>
          <cell r="J399">
            <v>38951.729166666664</v>
          </cell>
          <cell r="K399" t="str">
            <v>NA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 t="str">
            <v>#ERRO</v>
          </cell>
          <cell r="Q399">
            <v>390</v>
          </cell>
          <cell r="R399">
            <v>407</v>
          </cell>
          <cell r="S399" t="str">
            <v>EQUIPE MET</v>
          </cell>
          <cell r="T399">
            <v>38951</v>
          </cell>
        </row>
        <row r="400">
          <cell r="D400" t="str">
            <v>Projeto Detalhado</v>
          </cell>
          <cell r="E400" t="str">
            <v>59 dias</v>
          </cell>
          <cell r="F400">
            <v>38887.333333333336</v>
          </cell>
          <cell r="G400">
            <v>38950.333333333336</v>
          </cell>
          <cell r="H400" t="str">
            <v>NA</v>
          </cell>
          <cell r="I400">
            <v>38947.729166666664</v>
          </cell>
          <cell r="J400">
            <v>39041.729166666664</v>
          </cell>
          <cell r="K400" t="str">
            <v>NA</v>
          </cell>
          <cell r="L400">
            <v>5.09</v>
          </cell>
          <cell r="M400">
            <v>116.5</v>
          </cell>
          <cell r="N400">
            <v>0</v>
          </cell>
          <cell r="O400">
            <v>0</v>
          </cell>
          <cell r="P400">
            <v>0</v>
          </cell>
          <cell r="T400">
            <v>39041</v>
          </cell>
        </row>
        <row r="401">
          <cell r="D401" t="str">
            <v>Mecânica</v>
          </cell>
          <cell r="E401" t="str">
            <v>7 dias</v>
          </cell>
          <cell r="F401">
            <v>38887.333333333336</v>
          </cell>
          <cell r="G401">
            <v>38950.333333333336</v>
          </cell>
          <cell r="H401" t="str">
            <v>NA</v>
          </cell>
          <cell r="I401">
            <v>38908.729166666664</v>
          </cell>
          <cell r="J401">
            <v>38958.729166666664</v>
          </cell>
          <cell r="K401" t="str">
            <v>NA</v>
          </cell>
          <cell r="L401">
            <v>0.31</v>
          </cell>
          <cell r="M401">
            <v>7</v>
          </cell>
          <cell r="N401">
            <v>0</v>
          </cell>
          <cell r="O401">
            <v>0</v>
          </cell>
          <cell r="P401">
            <v>0</v>
          </cell>
          <cell r="T401">
            <v>38958</v>
          </cell>
        </row>
        <row r="402">
          <cell r="B402" t="str">
            <v>DB.280.DD.01</v>
          </cell>
          <cell r="D402" t="str">
            <v>Desenho De Detalhamento - Chutes</v>
          </cell>
          <cell r="E402" t="str">
            <v>5 dias</v>
          </cell>
          <cell r="F402">
            <v>38887.333333333336</v>
          </cell>
          <cell r="G402">
            <v>38952.333333333336</v>
          </cell>
          <cell r="H402" t="str">
            <v>NA</v>
          </cell>
          <cell r="I402">
            <v>38894.729166666664</v>
          </cell>
          <cell r="J402">
            <v>38958.729166666664</v>
          </cell>
          <cell r="K402" t="str">
            <v>NA</v>
          </cell>
          <cell r="L402">
            <v>0.09</v>
          </cell>
          <cell r="M402">
            <v>2</v>
          </cell>
          <cell r="N402">
            <v>0</v>
          </cell>
          <cell r="O402">
            <v>0</v>
          </cell>
          <cell r="P402">
            <v>0</v>
          </cell>
          <cell r="Q402" t="str">
            <v>30TI+10 dias;390;391</v>
          </cell>
          <cell r="R402" t="str">
            <v>401TT</v>
          </cell>
          <cell r="S402" t="str">
            <v>EQUIPE MEC</v>
          </cell>
          <cell r="T402">
            <v>38958</v>
          </cell>
        </row>
        <row r="403">
          <cell r="B403" t="str">
            <v>DB.280.DM.01</v>
          </cell>
          <cell r="D403" t="str">
            <v>Diagrama De Montagem</v>
          </cell>
          <cell r="E403" t="str">
            <v>7 dias</v>
          </cell>
          <cell r="F403">
            <v>38895.333333333336</v>
          </cell>
          <cell r="G403">
            <v>38950.333333333336</v>
          </cell>
          <cell r="H403" t="str">
            <v>NA</v>
          </cell>
          <cell r="I403">
            <v>38908.729166666664</v>
          </cell>
          <cell r="J403">
            <v>38958.729166666664</v>
          </cell>
          <cell r="K403" t="str">
            <v>NA</v>
          </cell>
          <cell r="L403">
            <v>0.22</v>
          </cell>
          <cell r="M403">
            <v>5</v>
          </cell>
          <cell r="N403">
            <v>0</v>
          </cell>
          <cell r="O403">
            <v>0</v>
          </cell>
          <cell r="P403">
            <v>0</v>
          </cell>
          <cell r="Q403" t="str">
            <v>400TT</v>
          </cell>
          <cell r="S403" t="str">
            <v>EQUIPE MEC</v>
          </cell>
          <cell r="T403">
            <v>38958</v>
          </cell>
        </row>
        <row r="404">
          <cell r="D404" t="str">
            <v>Tubulação</v>
          </cell>
          <cell r="E404" t="str">
            <v>57 dias</v>
          </cell>
          <cell r="F404">
            <v>38895.333333333336</v>
          </cell>
          <cell r="G404">
            <v>38952.333333333336</v>
          </cell>
          <cell r="H404" t="str">
            <v>NA</v>
          </cell>
          <cell r="I404">
            <v>38947.729166666664</v>
          </cell>
          <cell r="J404">
            <v>39041.729166666664</v>
          </cell>
          <cell r="K404" t="str">
            <v>NA</v>
          </cell>
          <cell r="L404">
            <v>2.14</v>
          </cell>
          <cell r="M404">
            <v>49</v>
          </cell>
          <cell r="N404">
            <v>0</v>
          </cell>
          <cell r="O404">
            <v>0</v>
          </cell>
          <cell r="P404">
            <v>0</v>
          </cell>
          <cell r="T404">
            <v>39041</v>
          </cell>
        </row>
        <row r="405">
          <cell r="B405" t="str">
            <v>DH.280.DD.01</v>
          </cell>
          <cell r="D405" t="str">
            <v>Desenho De Detalhamento - Planta Tubulação</v>
          </cell>
          <cell r="E405" t="str">
            <v>33 dias</v>
          </cell>
          <cell r="F405">
            <v>38895.333333333336</v>
          </cell>
          <cell r="G405">
            <v>38952.333333333336</v>
          </cell>
          <cell r="H405" t="str">
            <v>NA</v>
          </cell>
          <cell r="I405">
            <v>38944.729166666664</v>
          </cell>
          <cell r="J405">
            <v>39000.729166666664</v>
          </cell>
          <cell r="K405" t="str">
            <v>NA</v>
          </cell>
          <cell r="L405">
            <v>1.18</v>
          </cell>
          <cell r="M405">
            <v>27</v>
          </cell>
          <cell r="N405">
            <v>0</v>
          </cell>
          <cell r="O405">
            <v>0</v>
          </cell>
          <cell r="P405">
            <v>0</v>
          </cell>
          <cell r="Q405" t="str">
            <v>39II;394</v>
          </cell>
          <cell r="R405" t="str">
            <v>404;409</v>
          </cell>
          <cell r="S405" t="str">
            <v>EQUIPE TUB</v>
          </cell>
          <cell r="T405">
            <v>39000</v>
          </cell>
        </row>
        <row r="406">
          <cell r="B406" t="str">
            <v>DH.280.IS.01</v>
          </cell>
          <cell r="D406" t="str">
            <v>Isométrico</v>
          </cell>
          <cell r="E406" t="str">
            <v>22 dias</v>
          </cell>
          <cell r="F406">
            <v>38895.333333333336</v>
          </cell>
          <cell r="G406">
            <v>39001.333333333336</v>
          </cell>
          <cell r="H406" t="str">
            <v>NA</v>
          </cell>
          <cell r="I406">
            <v>38932.729166666664</v>
          </cell>
          <cell r="J406">
            <v>39037.729166666664</v>
          </cell>
          <cell r="K406" t="str">
            <v>NA</v>
          </cell>
          <cell r="L406">
            <v>0.79</v>
          </cell>
          <cell r="M406">
            <v>18</v>
          </cell>
          <cell r="N406">
            <v>0</v>
          </cell>
          <cell r="O406">
            <v>0</v>
          </cell>
          <cell r="P406">
            <v>0</v>
          </cell>
          <cell r="Q406">
            <v>403</v>
          </cell>
          <cell r="R406">
            <v>405</v>
          </cell>
          <cell r="S406" t="str">
            <v>EQUIPE TUB</v>
          </cell>
          <cell r="T406">
            <v>39037</v>
          </cell>
        </row>
        <row r="407">
          <cell r="B407" t="str">
            <v>DH.280.LM.01</v>
          </cell>
          <cell r="D407" t="str">
            <v>Lista De Materiais</v>
          </cell>
          <cell r="E407" t="str">
            <v>2 dias</v>
          </cell>
          <cell r="F407">
            <v>38945.333333333336</v>
          </cell>
          <cell r="G407">
            <v>39038.333333333336</v>
          </cell>
          <cell r="H407" t="str">
            <v>NA</v>
          </cell>
          <cell r="I407">
            <v>38947.729166666664</v>
          </cell>
          <cell r="J407">
            <v>39041.729166666664</v>
          </cell>
          <cell r="K407" t="str">
            <v>NA</v>
          </cell>
          <cell r="L407">
            <v>0.17</v>
          </cell>
          <cell r="M407">
            <v>4</v>
          </cell>
          <cell r="N407">
            <v>0</v>
          </cell>
          <cell r="O407">
            <v>0</v>
          </cell>
          <cell r="P407">
            <v>0</v>
          </cell>
          <cell r="Q407">
            <v>404</v>
          </cell>
          <cell r="S407" t="str">
            <v>EQUIPE TUB</v>
          </cell>
          <cell r="T407">
            <v>39041</v>
          </cell>
        </row>
        <row r="408">
          <cell r="D408" t="str">
            <v>Civil</v>
          </cell>
          <cell r="E408" t="str">
            <v>7 dias</v>
          </cell>
          <cell r="F408">
            <v>38895.333333333336</v>
          </cell>
          <cell r="G408">
            <v>38952.333333333336</v>
          </cell>
          <cell r="H408" t="str">
            <v>NA</v>
          </cell>
          <cell r="I408">
            <v>38908.729166666664</v>
          </cell>
          <cell r="J408">
            <v>38960.729166666664</v>
          </cell>
          <cell r="K408" t="str">
            <v>NA</v>
          </cell>
          <cell r="L408">
            <v>0.22</v>
          </cell>
          <cell r="M408">
            <v>5</v>
          </cell>
          <cell r="N408">
            <v>0</v>
          </cell>
          <cell r="O408">
            <v>0</v>
          </cell>
          <cell r="P408">
            <v>0</v>
          </cell>
          <cell r="T408">
            <v>38960</v>
          </cell>
        </row>
        <row r="409">
          <cell r="B409" t="str">
            <v>DC.280.DD.01</v>
          </cell>
          <cell r="D409" t="str">
            <v>Desenho De Detalhamento - Fundações, Bases e Pisos</v>
          </cell>
          <cell r="E409" t="str">
            <v>7 dias</v>
          </cell>
          <cell r="F409">
            <v>38895.333333333336</v>
          </cell>
          <cell r="G409">
            <v>38952.333333333336</v>
          </cell>
          <cell r="H409" t="str">
            <v>NA</v>
          </cell>
          <cell r="I409">
            <v>38908.729166666664</v>
          </cell>
          <cell r="J409">
            <v>38960.729166666664</v>
          </cell>
          <cell r="K409" t="str">
            <v>NA</v>
          </cell>
          <cell r="L409">
            <v>0.22</v>
          </cell>
          <cell r="M409">
            <v>5</v>
          </cell>
          <cell r="N409">
            <v>0</v>
          </cell>
          <cell r="O409">
            <v>0</v>
          </cell>
          <cell r="P409">
            <v>0</v>
          </cell>
          <cell r="Q409" t="str">
            <v>390;397</v>
          </cell>
          <cell r="R409" t="str">
            <v>414;291</v>
          </cell>
          <cell r="S409" t="str">
            <v>EQUIPE CIV</v>
          </cell>
          <cell r="T409">
            <v>38960</v>
          </cell>
        </row>
        <row r="410">
          <cell r="D410" t="str">
            <v>Estrutura Metálica</v>
          </cell>
          <cell r="E410" t="str">
            <v>22 dias</v>
          </cell>
          <cell r="F410">
            <v>38895.333333333336</v>
          </cell>
          <cell r="G410">
            <v>39001.333333333336</v>
          </cell>
          <cell r="H410" t="str">
            <v>NA</v>
          </cell>
          <cell r="I410">
            <v>38924.729166666664</v>
          </cell>
          <cell r="J410">
            <v>39037.729166666664</v>
          </cell>
          <cell r="K410" t="str">
            <v>NA</v>
          </cell>
          <cell r="L410">
            <v>1.81</v>
          </cell>
          <cell r="M410">
            <v>41.5</v>
          </cell>
          <cell r="N410">
            <v>0</v>
          </cell>
          <cell r="O410">
            <v>0</v>
          </cell>
          <cell r="P410">
            <v>0</v>
          </cell>
          <cell r="T410">
            <v>39037</v>
          </cell>
        </row>
        <row r="411">
          <cell r="B411" t="str">
            <v>DD.280.DP.01</v>
          </cell>
          <cell r="D411" t="str">
            <v>Desenho De Projeto</v>
          </cell>
          <cell r="E411" t="str">
            <v>21 dias</v>
          </cell>
          <cell r="F411">
            <v>38895.333333333336</v>
          </cell>
          <cell r="G411">
            <v>39001.333333333336</v>
          </cell>
          <cell r="H411" t="str">
            <v>NA</v>
          </cell>
          <cell r="I411">
            <v>38923.729166666664</v>
          </cell>
          <cell r="J411">
            <v>39035.729166666664</v>
          </cell>
          <cell r="K411" t="str">
            <v>NA</v>
          </cell>
          <cell r="L411">
            <v>0.83</v>
          </cell>
          <cell r="M411">
            <v>19</v>
          </cell>
          <cell r="N411">
            <v>0</v>
          </cell>
          <cell r="O411">
            <v>0</v>
          </cell>
          <cell r="P411">
            <v>0</v>
          </cell>
          <cell r="Q411">
            <v>403</v>
          </cell>
          <cell r="R411" t="str">
            <v>410;411II</v>
          </cell>
          <cell r="S411" t="str">
            <v>EQUIPE MET</v>
          </cell>
          <cell r="T411">
            <v>39035</v>
          </cell>
        </row>
        <row r="412">
          <cell r="B412" t="str">
            <v>DD.280.LM.01</v>
          </cell>
          <cell r="D412" t="str">
            <v>Lista De Materiais</v>
          </cell>
          <cell r="E412" t="str">
            <v>1 dia</v>
          </cell>
          <cell r="F412">
            <v>38924.333333333336</v>
          </cell>
          <cell r="G412">
            <v>39037.333333333336</v>
          </cell>
          <cell r="H412" t="str">
            <v>NA</v>
          </cell>
          <cell r="I412">
            <v>38924.729166666664</v>
          </cell>
          <cell r="J412">
            <v>39037.729166666664</v>
          </cell>
          <cell r="K412" t="str">
            <v>NA</v>
          </cell>
          <cell r="L412">
            <v>0.01</v>
          </cell>
          <cell r="M412">
            <v>0.25</v>
          </cell>
          <cell r="N412">
            <v>0</v>
          </cell>
          <cell r="O412">
            <v>0</v>
          </cell>
          <cell r="P412">
            <v>0</v>
          </cell>
          <cell r="Q412">
            <v>409</v>
          </cell>
          <cell r="S412" t="str">
            <v>EQUIPE MET</v>
          </cell>
          <cell r="T412">
            <v>39037</v>
          </cell>
        </row>
        <row r="413">
          <cell r="B413" t="str">
            <v>DD.280.MC.01</v>
          </cell>
          <cell r="D413" t="str">
            <v>Memória De Cálculo</v>
          </cell>
          <cell r="E413" t="str">
            <v>22 dias</v>
          </cell>
          <cell r="F413">
            <v>38924.333333333336</v>
          </cell>
          <cell r="G413">
            <v>39001.333333333336</v>
          </cell>
          <cell r="H413" t="str">
            <v>NA</v>
          </cell>
          <cell r="I413">
            <v>38924.729166666664</v>
          </cell>
          <cell r="J413">
            <v>39037.729166666664</v>
          </cell>
          <cell r="K413" t="str">
            <v>NA</v>
          </cell>
          <cell r="L413">
            <v>0.97</v>
          </cell>
          <cell r="M413">
            <v>22.25</v>
          </cell>
          <cell r="N413">
            <v>0</v>
          </cell>
          <cell r="O413">
            <v>0</v>
          </cell>
          <cell r="P413">
            <v>0</v>
          </cell>
          <cell r="Q413" t="str">
            <v>409II</v>
          </cell>
          <cell r="S413" t="str">
            <v>EQUIPE MET</v>
          </cell>
          <cell r="T413">
            <v>39037</v>
          </cell>
        </row>
        <row r="414">
          <cell r="D414" t="str">
            <v>Elétrica</v>
          </cell>
          <cell r="E414" t="str">
            <v>26 dias</v>
          </cell>
          <cell r="F414">
            <v>38908.333333333336</v>
          </cell>
          <cell r="G414">
            <v>38961.333333333336</v>
          </cell>
          <cell r="H414" t="str">
            <v>NA</v>
          </cell>
          <cell r="I414">
            <v>38929.729166666664</v>
          </cell>
          <cell r="J414">
            <v>39000.729166666664</v>
          </cell>
          <cell r="K414" t="str">
            <v>NA</v>
          </cell>
          <cell r="L414">
            <v>0.52</v>
          </cell>
          <cell r="M414">
            <v>12</v>
          </cell>
          <cell r="N414">
            <v>0</v>
          </cell>
          <cell r="O414">
            <v>0</v>
          </cell>
          <cell r="P414">
            <v>0</v>
          </cell>
          <cell r="T414">
            <v>39000</v>
          </cell>
        </row>
        <row r="415">
          <cell r="D415" t="str">
            <v>Desenho De Detalhamento</v>
          </cell>
          <cell r="E415" t="str">
            <v>26 dias</v>
          </cell>
          <cell r="F415">
            <v>38908.333333333336</v>
          </cell>
          <cell r="G415">
            <v>38961.333333333336</v>
          </cell>
          <cell r="H415" t="str">
            <v>NA</v>
          </cell>
          <cell r="I415">
            <v>38929.729166666664</v>
          </cell>
          <cell r="J415">
            <v>39000.729166666664</v>
          </cell>
          <cell r="K415" t="str">
            <v>NA</v>
          </cell>
          <cell r="L415">
            <v>0.52</v>
          </cell>
          <cell r="M415">
            <v>12</v>
          </cell>
          <cell r="N415">
            <v>0</v>
          </cell>
          <cell r="O415">
            <v>0</v>
          </cell>
          <cell r="P415">
            <v>0</v>
          </cell>
          <cell r="T415">
            <v>39000</v>
          </cell>
        </row>
        <row r="416">
          <cell r="B416" t="str">
            <v>DE.280.DD.01</v>
          </cell>
          <cell r="D416" t="str">
            <v>Disposição De Força, Controle e Aterramento</v>
          </cell>
          <cell r="E416" t="str">
            <v>15 dias</v>
          </cell>
          <cell r="F416">
            <v>38908.333333333336</v>
          </cell>
          <cell r="G416">
            <v>38961.333333333336</v>
          </cell>
          <cell r="H416" t="str">
            <v>NA</v>
          </cell>
          <cell r="I416">
            <v>38929.729166666664</v>
          </cell>
          <cell r="J416">
            <v>38985.729166666664</v>
          </cell>
          <cell r="K416" t="str">
            <v>NA</v>
          </cell>
          <cell r="L416">
            <v>0.31</v>
          </cell>
          <cell r="M416">
            <v>7</v>
          </cell>
          <cell r="N416">
            <v>0</v>
          </cell>
          <cell r="O416">
            <v>0</v>
          </cell>
          <cell r="P416">
            <v>0</v>
          </cell>
          <cell r="Q416">
            <v>407</v>
          </cell>
          <cell r="R416">
            <v>415</v>
          </cell>
          <cell r="S416" t="str">
            <v>EQUIPE ELE</v>
          </cell>
          <cell r="T416">
            <v>38985</v>
          </cell>
        </row>
        <row r="417">
          <cell r="B417" t="str">
            <v>DE.280.DD.02</v>
          </cell>
          <cell r="D417" t="str">
            <v>Iluminação</v>
          </cell>
          <cell r="E417" t="str">
            <v>11 dias</v>
          </cell>
          <cell r="F417">
            <v>38908.333333333336</v>
          </cell>
          <cell r="G417">
            <v>38986.333333333336</v>
          </cell>
          <cell r="H417" t="str">
            <v>NA</v>
          </cell>
          <cell r="I417">
            <v>38929.729166666664</v>
          </cell>
          <cell r="J417">
            <v>39000.729166666664</v>
          </cell>
          <cell r="K417" t="str">
            <v>NA</v>
          </cell>
          <cell r="L417">
            <v>0.22</v>
          </cell>
          <cell r="M417">
            <v>5</v>
          </cell>
          <cell r="N417">
            <v>0</v>
          </cell>
          <cell r="O417">
            <v>0</v>
          </cell>
          <cell r="P417">
            <v>0</v>
          </cell>
          <cell r="Q417">
            <v>414</v>
          </cell>
          <cell r="S417" t="str">
            <v>EQUIPE ELE</v>
          </cell>
          <cell r="T417">
            <v>39000</v>
          </cell>
        </row>
        <row r="418">
          <cell r="D418" t="str">
            <v>Instrumentação</v>
          </cell>
          <cell r="E418" t="str">
            <v>8 dias</v>
          </cell>
          <cell r="F418">
            <v>38895.333333333336</v>
          </cell>
          <cell r="G418">
            <v>39013.333333333336</v>
          </cell>
          <cell r="H418" t="str">
            <v>NA</v>
          </cell>
          <cell r="I418">
            <v>38905.729166666664</v>
          </cell>
          <cell r="J418">
            <v>39022.729166666664</v>
          </cell>
          <cell r="K418" t="str">
            <v>NA</v>
          </cell>
          <cell r="L418">
            <v>0.09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T418">
            <v>39022</v>
          </cell>
        </row>
        <row r="419">
          <cell r="B419" t="str">
            <v>DT.280.AJ.01</v>
          </cell>
          <cell r="D419" t="str">
            <v>Arranjos/ Layout’s/ Plano Diretor - Locação De Instrumentos</v>
          </cell>
          <cell r="E419" t="str">
            <v>8 dias</v>
          </cell>
          <cell r="F419">
            <v>38895.333333333336</v>
          </cell>
          <cell r="G419">
            <v>39013.333333333336</v>
          </cell>
          <cell r="H419" t="str">
            <v>NA</v>
          </cell>
          <cell r="I419">
            <v>38905.729166666664</v>
          </cell>
          <cell r="J419">
            <v>39022.729166666664</v>
          </cell>
          <cell r="K419" t="str">
            <v>NA</v>
          </cell>
          <cell r="L419">
            <v>0.09</v>
          </cell>
          <cell r="M419">
            <v>2</v>
          </cell>
          <cell r="N419">
            <v>0</v>
          </cell>
          <cell r="O419">
            <v>0</v>
          </cell>
          <cell r="P419">
            <v>0</v>
          </cell>
          <cell r="Q419">
            <v>82</v>
          </cell>
          <cell r="R419" t="str">
            <v>205;302</v>
          </cell>
          <cell r="S419" t="str">
            <v>EQUIPE TSA</v>
          </cell>
          <cell r="T419">
            <v>39022</v>
          </cell>
        </row>
        <row r="420">
          <cell r="B420" t="str">
            <v>1.1.15</v>
          </cell>
          <cell r="C420" t="str">
            <v>290A</v>
          </cell>
          <cell r="D420" t="str">
            <v>Estocagem/ Carregamento Ferrovia (1D)</v>
          </cell>
          <cell r="E420" t="str">
            <v>189 dias</v>
          </cell>
          <cell r="F420">
            <v>38783.333333333336</v>
          </cell>
          <cell r="G420">
            <v>38783.333333333336</v>
          </cell>
          <cell r="H420">
            <v>38783.333333333336</v>
          </cell>
          <cell r="I420" t="str">
            <v>NA</v>
          </cell>
          <cell r="J420">
            <v>39066.729166666664</v>
          </cell>
          <cell r="K420" t="str">
            <v>NA</v>
          </cell>
          <cell r="L420">
            <v>8.65</v>
          </cell>
          <cell r="M420">
            <v>197.88</v>
          </cell>
          <cell r="N420">
            <v>3.6</v>
          </cell>
          <cell r="O420">
            <v>1.82</v>
          </cell>
          <cell r="P420">
            <v>1.82</v>
          </cell>
          <cell r="T420">
            <v>39066</v>
          </cell>
        </row>
        <row r="421">
          <cell r="D421" t="str">
            <v>Projeto Básico</v>
          </cell>
          <cell r="E421" t="str">
            <v>127 dias</v>
          </cell>
          <cell r="F421">
            <v>38783.333333333336</v>
          </cell>
          <cell r="G421">
            <v>38783.333333333336</v>
          </cell>
          <cell r="H421">
            <v>38783.333333333336</v>
          </cell>
          <cell r="I421">
            <v>38789.729166666664</v>
          </cell>
          <cell r="J421">
            <v>38973.729166666664</v>
          </cell>
          <cell r="K421" t="str">
            <v>NA</v>
          </cell>
          <cell r="L421">
            <v>1.54</v>
          </cell>
          <cell r="M421">
            <v>35.130000000000003</v>
          </cell>
          <cell r="N421">
            <v>3.6</v>
          </cell>
          <cell r="O421">
            <v>10.25</v>
          </cell>
          <cell r="P421">
            <v>10.25</v>
          </cell>
          <cell r="T421">
            <v>38973</v>
          </cell>
        </row>
        <row r="422">
          <cell r="D422" t="str">
            <v>Processo</v>
          </cell>
          <cell r="E422" t="str">
            <v>20 dias</v>
          </cell>
          <cell r="F422">
            <v>38783.333333333336</v>
          </cell>
          <cell r="G422">
            <v>38783.333333333336</v>
          </cell>
          <cell r="H422">
            <v>38783.333333333336</v>
          </cell>
          <cell r="I422">
            <v>38789.729166666664</v>
          </cell>
          <cell r="J422">
            <v>38810.729166666664</v>
          </cell>
          <cell r="K422" t="str">
            <v>NA</v>
          </cell>
          <cell r="L422">
            <v>0.08</v>
          </cell>
          <cell r="M422">
            <v>1.75</v>
          </cell>
          <cell r="N422">
            <v>1.58</v>
          </cell>
          <cell r="O422">
            <v>90</v>
          </cell>
          <cell r="P422">
            <v>90</v>
          </cell>
          <cell r="T422">
            <v>38810</v>
          </cell>
        </row>
        <row r="423">
          <cell r="B423" t="str">
            <v>BP.290.RT.01</v>
          </cell>
          <cell r="D423" t="str">
            <v>Relatório Técnico - Estudos Viabilidade Carregamento</v>
          </cell>
          <cell r="E423" t="str">
            <v>20 dias</v>
          </cell>
          <cell r="F423">
            <v>38783.333333333336</v>
          </cell>
          <cell r="G423">
            <v>38783.333333333336</v>
          </cell>
          <cell r="H423">
            <v>38783.333333333336</v>
          </cell>
          <cell r="I423">
            <v>38789.729166666664</v>
          </cell>
          <cell r="J423">
            <v>38810.729166666664</v>
          </cell>
          <cell r="K423" t="str">
            <v>NA</v>
          </cell>
          <cell r="L423">
            <v>0.08</v>
          </cell>
          <cell r="M423">
            <v>1.75</v>
          </cell>
          <cell r="N423">
            <v>1.58</v>
          </cell>
          <cell r="O423">
            <v>90</v>
          </cell>
          <cell r="P423">
            <v>90</v>
          </cell>
          <cell r="Q423" t="str">
            <v>14II</v>
          </cell>
          <cell r="S423" t="str">
            <v>EQUIPE PRO</v>
          </cell>
          <cell r="T423">
            <v>38810</v>
          </cell>
        </row>
        <row r="424">
          <cell r="D424" t="str">
            <v>Mecânica</v>
          </cell>
          <cell r="E424" t="str">
            <v>18 dias</v>
          </cell>
          <cell r="F424" t="str">
            <v>NA</v>
          </cell>
          <cell r="G424">
            <v>38940.333333333336</v>
          </cell>
          <cell r="H424" t="str">
            <v>NA</v>
          </cell>
          <cell r="I424" t="str">
            <v>NA</v>
          </cell>
          <cell r="J424">
            <v>38971.729166666664</v>
          </cell>
          <cell r="K424" t="str">
            <v>NA</v>
          </cell>
          <cell r="L424">
            <v>0.94</v>
          </cell>
          <cell r="M424">
            <v>21.5</v>
          </cell>
          <cell r="N424">
            <v>0</v>
          </cell>
          <cell r="O424">
            <v>0</v>
          </cell>
          <cell r="P424">
            <v>0</v>
          </cell>
          <cell r="T424">
            <v>38971</v>
          </cell>
        </row>
        <row r="425">
          <cell r="D425" t="str">
            <v>Desenho Básico</v>
          </cell>
          <cell r="E425" t="str">
            <v>18 dias</v>
          </cell>
          <cell r="F425" t="str">
            <v>NA</v>
          </cell>
          <cell r="G425">
            <v>38940.333333333336</v>
          </cell>
          <cell r="H425" t="str">
            <v>NA</v>
          </cell>
          <cell r="I425" t="str">
            <v>NA</v>
          </cell>
          <cell r="J425">
            <v>38971.729166666664</v>
          </cell>
          <cell r="K425" t="str">
            <v>NA</v>
          </cell>
          <cell r="L425">
            <v>0.61</v>
          </cell>
          <cell r="M425">
            <v>14</v>
          </cell>
          <cell r="N425">
            <v>0</v>
          </cell>
          <cell r="O425">
            <v>0</v>
          </cell>
          <cell r="P425">
            <v>0</v>
          </cell>
          <cell r="R425">
            <v>436</v>
          </cell>
          <cell r="T425">
            <v>38971</v>
          </cell>
        </row>
        <row r="426">
          <cell r="B426" t="str">
            <v>BB.290.DB.01</v>
          </cell>
          <cell r="D426" t="str">
            <v>Arranjo Geral</v>
          </cell>
          <cell r="E426" t="str">
            <v>10 dias</v>
          </cell>
          <cell r="F426" t="str">
            <v>NA</v>
          </cell>
          <cell r="G426">
            <v>38940.333333333336</v>
          </cell>
          <cell r="H426" t="str">
            <v>NA</v>
          </cell>
          <cell r="I426" t="str">
            <v>NA</v>
          </cell>
          <cell r="J426">
            <v>38957.729166666664</v>
          </cell>
          <cell r="K426" t="str">
            <v>NA</v>
          </cell>
          <cell r="L426">
            <v>0.31</v>
          </cell>
          <cell r="M426">
            <v>7</v>
          </cell>
          <cell r="N426">
            <v>0</v>
          </cell>
          <cell r="O426">
            <v>0</v>
          </cell>
          <cell r="P426">
            <v>0</v>
          </cell>
          <cell r="Q426" t="str">
            <v>162II</v>
          </cell>
          <cell r="R426" t="str">
            <v>425;426II;428;433;444</v>
          </cell>
          <cell r="S426" t="str">
            <v>EQUIPE MEC</v>
          </cell>
          <cell r="T426">
            <v>38957</v>
          </cell>
        </row>
        <row r="427">
          <cell r="B427" t="str">
            <v>BB.290.DB.02</v>
          </cell>
          <cell r="D427" t="str">
            <v>Transportador/ Alimentador</v>
          </cell>
          <cell r="E427" t="str">
            <v>8 dias</v>
          </cell>
          <cell r="F427" t="str">
            <v>NA</v>
          </cell>
          <cell r="G427">
            <v>38958.333333333336</v>
          </cell>
          <cell r="H427" t="str">
            <v>NA</v>
          </cell>
          <cell r="I427" t="str">
            <v>NA</v>
          </cell>
          <cell r="J427">
            <v>38971.729166666664</v>
          </cell>
          <cell r="K427" t="str">
            <v>NA</v>
          </cell>
          <cell r="L427">
            <v>0.31</v>
          </cell>
          <cell r="M427">
            <v>7</v>
          </cell>
          <cell r="N427">
            <v>0</v>
          </cell>
          <cell r="O427">
            <v>0</v>
          </cell>
          <cell r="P427">
            <v>0</v>
          </cell>
          <cell r="Q427">
            <v>424</v>
          </cell>
          <cell r="S427" t="str">
            <v>EQUIPE MEC</v>
          </cell>
          <cell r="T427">
            <v>38971</v>
          </cell>
        </row>
        <row r="428">
          <cell r="B428" t="str">
            <v>BB.290.FD.01</v>
          </cell>
          <cell r="D428" t="str">
            <v>Folha De Dados - Transportador/ Alimentador</v>
          </cell>
          <cell r="E428" t="str">
            <v>7 dias</v>
          </cell>
          <cell r="F428" t="str">
            <v>NA</v>
          </cell>
          <cell r="G428">
            <v>38940.333333333336</v>
          </cell>
          <cell r="H428" t="str">
            <v>NA</v>
          </cell>
          <cell r="I428" t="str">
            <v>NA</v>
          </cell>
          <cell r="J428">
            <v>38952.729166666664</v>
          </cell>
          <cell r="K428" t="str">
            <v>NA</v>
          </cell>
          <cell r="L428">
            <v>0.33</v>
          </cell>
          <cell r="M428">
            <v>7.5</v>
          </cell>
          <cell r="N428">
            <v>0</v>
          </cell>
          <cell r="O428">
            <v>0</v>
          </cell>
          <cell r="P428">
            <v>0</v>
          </cell>
          <cell r="Q428" t="str">
            <v>424II</v>
          </cell>
          <cell r="S428" t="str">
            <v>EQUIPE MEC</v>
          </cell>
          <cell r="T428">
            <v>38952</v>
          </cell>
        </row>
        <row r="429">
          <cell r="D429" t="str">
            <v>Tubulação</v>
          </cell>
          <cell r="E429" t="str">
            <v>10 dias</v>
          </cell>
          <cell r="F429" t="str">
            <v>NA</v>
          </cell>
          <cell r="G429">
            <v>38958.333333333336</v>
          </cell>
          <cell r="H429" t="str">
            <v>NA</v>
          </cell>
          <cell r="I429" t="str">
            <v>NA</v>
          </cell>
          <cell r="J429">
            <v>38973.729166666664</v>
          </cell>
          <cell r="K429" t="str">
            <v>NA</v>
          </cell>
          <cell r="L429">
            <v>0.17</v>
          </cell>
          <cell r="M429">
            <v>4</v>
          </cell>
          <cell r="N429">
            <v>0</v>
          </cell>
          <cell r="O429">
            <v>0</v>
          </cell>
          <cell r="P429">
            <v>0</v>
          </cell>
          <cell r="T429">
            <v>38973</v>
          </cell>
        </row>
        <row r="430">
          <cell r="B430" t="str">
            <v>BH.290.DB.01</v>
          </cell>
          <cell r="D430" t="str">
            <v>Desenho Básico - Planta/ Cortes</v>
          </cell>
          <cell r="E430" t="str">
            <v>6 dias</v>
          </cell>
          <cell r="F430" t="str">
            <v>NA</v>
          </cell>
          <cell r="G430">
            <v>38958.333333333336</v>
          </cell>
          <cell r="H430" t="str">
            <v>NA</v>
          </cell>
          <cell r="I430" t="str">
            <v>NA</v>
          </cell>
          <cell r="J430">
            <v>38965.729166666664</v>
          </cell>
          <cell r="K430" t="str">
            <v>NA</v>
          </cell>
          <cell r="L430">
            <v>0.09</v>
          </cell>
          <cell r="M430">
            <v>2</v>
          </cell>
          <cell r="N430">
            <v>0</v>
          </cell>
          <cell r="O430">
            <v>0</v>
          </cell>
          <cell r="P430">
            <v>0</v>
          </cell>
          <cell r="Q430" t="str">
            <v>39II;424</v>
          </cell>
          <cell r="R430" t="str">
            <v>429II;438TI+20 dias</v>
          </cell>
          <cell r="S430" t="str">
            <v>EQUIPE TUB</v>
          </cell>
          <cell r="T430">
            <v>38965</v>
          </cell>
        </row>
        <row r="431">
          <cell r="B431" t="str">
            <v>BH.290.ET.01</v>
          </cell>
          <cell r="D431" t="str">
            <v>Especificação Técnica</v>
          </cell>
          <cell r="E431" t="str">
            <v>10 dias</v>
          </cell>
          <cell r="F431" t="str">
            <v>NA</v>
          </cell>
          <cell r="G431">
            <v>38958.333333333336</v>
          </cell>
          <cell r="H431" t="str">
            <v>NA</v>
          </cell>
          <cell r="I431" t="str">
            <v>NA</v>
          </cell>
          <cell r="J431">
            <v>38973.729166666664</v>
          </cell>
          <cell r="K431" t="str">
            <v>NA</v>
          </cell>
          <cell r="L431">
            <v>0.09</v>
          </cell>
          <cell r="M431">
            <v>2</v>
          </cell>
          <cell r="N431">
            <v>0</v>
          </cell>
          <cell r="O431">
            <v>0</v>
          </cell>
          <cell r="P431">
            <v>0</v>
          </cell>
          <cell r="Q431" t="str">
            <v>39II;428II</v>
          </cell>
          <cell r="S431" t="str">
            <v>EQUIPE TUB</v>
          </cell>
          <cell r="T431">
            <v>38973</v>
          </cell>
        </row>
        <row r="432">
          <cell r="D432" t="str">
            <v>Civil</v>
          </cell>
          <cell r="E432" t="str">
            <v>6 dias</v>
          </cell>
          <cell r="F432" t="str">
            <v>NA</v>
          </cell>
          <cell r="G432">
            <v>38918.333333333336</v>
          </cell>
          <cell r="H432">
            <v>38918.333333333336</v>
          </cell>
          <cell r="I432" t="str">
            <v>NA</v>
          </cell>
          <cell r="J432">
            <v>38925.729166666664</v>
          </cell>
          <cell r="K432" t="str">
            <v>NA</v>
          </cell>
          <cell r="L432">
            <v>0.1</v>
          </cell>
          <cell r="M432">
            <v>2.25</v>
          </cell>
          <cell r="N432">
            <v>2.0299999999999998</v>
          </cell>
          <cell r="O432">
            <v>90</v>
          </cell>
          <cell r="P432">
            <v>90</v>
          </cell>
          <cell r="T432">
            <v>38925</v>
          </cell>
        </row>
        <row r="433">
          <cell r="B433" t="str">
            <v>BC.290.DB.01</v>
          </cell>
          <cell r="D433" t="str">
            <v>Desenho Básico - Locação De Sondagens</v>
          </cell>
          <cell r="E433" t="str">
            <v>6 dias</v>
          </cell>
          <cell r="F433" t="str">
            <v>NA</v>
          </cell>
          <cell r="G433">
            <v>38918.333333333336</v>
          </cell>
          <cell r="H433">
            <v>38918.333333333336</v>
          </cell>
          <cell r="I433" t="str">
            <v>NA</v>
          </cell>
          <cell r="J433">
            <v>38925.729166666664</v>
          </cell>
          <cell r="K433" t="str">
            <v>NA</v>
          </cell>
          <cell r="L433">
            <v>0.1</v>
          </cell>
          <cell r="M433">
            <v>2.25</v>
          </cell>
          <cell r="N433">
            <v>2.0299999999999998</v>
          </cell>
          <cell r="O433">
            <v>90</v>
          </cell>
          <cell r="P433">
            <v>90</v>
          </cell>
          <cell r="Q433" t="str">
            <v>16II</v>
          </cell>
          <cell r="S433" t="str">
            <v>EQUIPE CIV</v>
          </cell>
          <cell r="T433">
            <v>38925</v>
          </cell>
        </row>
        <row r="434">
          <cell r="D434" t="str">
            <v>Estrutura Metálica</v>
          </cell>
          <cell r="E434" t="str">
            <v>5 dias</v>
          </cell>
          <cell r="F434" t="str">
            <v>NA</v>
          </cell>
          <cell r="G434">
            <v>38958.333333333336</v>
          </cell>
          <cell r="H434" t="str">
            <v>NA</v>
          </cell>
          <cell r="I434" t="str">
            <v>NA</v>
          </cell>
          <cell r="J434">
            <v>38964.729166666664</v>
          </cell>
          <cell r="K434" t="str">
            <v>NA</v>
          </cell>
          <cell r="L434">
            <v>0.25</v>
          </cell>
          <cell r="M434">
            <v>5.63</v>
          </cell>
          <cell r="N434">
            <v>0</v>
          </cell>
          <cell r="O434">
            <v>0</v>
          </cell>
          <cell r="P434">
            <v>0</v>
          </cell>
          <cell r="T434">
            <v>38964</v>
          </cell>
        </row>
        <row r="435">
          <cell r="B435" t="str">
            <v>BD.290.MC.01</v>
          </cell>
          <cell r="D435" t="str">
            <v>Memória De Cálculo</v>
          </cell>
          <cell r="E435" t="str">
            <v>5 dias</v>
          </cell>
          <cell r="F435" t="str">
            <v>NA</v>
          </cell>
          <cell r="G435">
            <v>38958.333333333336</v>
          </cell>
          <cell r="H435" t="str">
            <v>NA</v>
          </cell>
          <cell r="I435" t="str">
            <v>NA</v>
          </cell>
          <cell r="J435">
            <v>38964.729166666664</v>
          </cell>
          <cell r="K435" t="str">
            <v>NA</v>
          </cell>
          <cell r="L435">
            <v>0.25</v>
          </cell>
          <cell r="M435">
            <v>5.63</v>
          </cell>
          <cell r="N435">
            <v>0</v>
          </cell>
          <cell r="O435">
            <v>0</v>
          </cell>
          <cell r="P435">
            <v>0</v>
          </cell>
          <cell r="Q435">
            <v>424</v>
          </cell>
          <cell r="R435" t="str">
            <v>467TI+20 dias</v>
          </cell>
          <cell r="S435" t="str">
            <v>EQUIPE MET</v>
          </cell>
          <cell r="T435">
            <v>38964</v>
          </cell>
        </row>
        <row r="436">
          <cell r="D436" t="str">
            <v>Projeto Detalhado</v>
          </cell>
          <cell r="E436" t="str">
            <v>72 dias</v>
          </cell>
          <cell r="F436" t="str">
            <v>NA</v>
          </cell>
          <cell r="G436">
            <v>38958.333333333336</v>
          </cell>
          <cell r="H436" t="str">
            <v>NA</v>
          </cell>
          <cell r="I436" t="str">
            <v>NA</v>
          </cell>
          <cell r="J436">
            <v>39066.729166666664</v>
          </cell>
          <cell r="K436" t="str">
            <v>NA</v>
          </cell>
          <cell r="L436">
            <v>7.11</v>
          </cell>
          <cell r="M436">
            <v>162.75</v>
          </cell>
          <cell r="N436">
            <v>0</v>
          </cell>
          <cell r="O436">
            <v>0</v>
          </cell>
          <cell r="P436">
            <v>0</v>
          </cell>
          <cell r="T436">
            <v>39066</v>
          </cell>
        </row>
        <row r="437">
          <cell r="D437" t="str">
            <v>Mecânica</v>
          </cell>
          <cell r="E437" t="str">
            <v>20 dias</v>
          </cell>
          <cell r="F437" t="str">
            <v>NA</v>
          </cell>
          <cell r="G437">
            <v>38993.333333333336</v>
          </cell>
          <cell r="H437" t="str">
            <v>NA</v>
          </cell>
          <cell r="I437" t="str">
            <v>NA</v>
          </cell>
          <cell r="J437">
            <v>39022.729166666664</v>
          </cell>
          <cell r="K437" t="str">
            <v>NA</v>
          </cell>
          <cell r="L437">
            <v>0.52</v>
          </cell>
          <cell r="M437">
            <v>12</v>
          </cell>
          <cell r="N437">
            <v>0</v>
          </cell>
          <cell r="O437">
            <v>0</v>
          </cell>
          <cell r="P437">
            <v>0</v>
          </cell>
          <cell r="T437">
            <v>39022</v>
          </cell>
        </row>
        <row r="438">
          <cell r="B438" t="str">
            <v>DB.290.DD.01</v>
          </cell>
          <cell r="D438" t="str">
            <v>Des. Det. - Silo/ Moega/ Válvula Carregamento</v>
          </cell>
          <cell r="E438" t="str">
            <v>20 dias</v>
          </cell>
          <cell r="F438" t="str">
            <v>NA</v>
          </cell>
          <cell r="G438">
            <v>38993.333333333336</v>
          </cell>
          <cell r="H438" t="str">
            <v>NA</v>
          </cell>
          <cell r="I438" t="str">
            <v>NA</v>
          </cell>
          <cell r="J438">
            <v>39022.729166666664</v>
          </cell>
          <cell r="K438" t="str">
            <v>NA</v>
          </cell>
          <cell r="L438">
            <v>0.52</v>
          </cell>
          <cell r="M438">
            <v>12</v>
          </cell>
          <cell r="N438">
            <v>0</v>
          </cell>
          <cell r="O438">
            <v>0</v>
          </cell>
          <cell r="P438">
            <v>0</v>
          </cell>
          <cell r="Q438" t="str">
            <v>170;423</v>
          </cell>
          <cell r="S438" t="str">
            <v>EQUIPE MEC</v>
          </cell>
          <cell r="T438">
            <v>39022</v>
          </cell>
        </row>
        <row r="439">
          <cell r="D439" t="str">
            <v>Tubulação</v>
          </cell>
          <cell r="E439" t="str">
            <v>22 dias</v>
          </cell>
          <cell r="F439" t="str">
            <v>NA</v>
          </cell>
          <cell r="G439">
            <v>38996.333333333336</v>
          </cell>
          <cell r="H439" t="str">
            <v>NA</v>
          </cell>
          <cell r="I439" t="str">
            <v>NA</v>
          </cell>
          <cell r="J439">
            <v>39031.729166666664</v>
          </cell>
          <cell r="K439" t="str">
            <v>NA</v>
          </cell>
          <cell r="L439">
            <v>0.7</v>
          </cell>
          <cell r="M439">
            <v>16.13</v>
          </cell>
          <cell r="N439">
            <v>0</v>
          </cell>
          <cell r="O439">
            <v>0</v>
          </cell>
          <cell r="P439">
            <v>0</v>
          </cell>
          <cell r="T439">
            <v>39031</v>
          </cell>
        </row>
        <row r="440">
          <cell r="B440" t="str">
            <v>DH.290.DD.01</v>
          </cell>
          <cell r="D440" t="str">
            <v>Des. Det. - Agua Serviço e Incêndio/ Ar</v>
          </cell>
          <cell r="E440" t="str">
            <v>8 dias</v>
          </cell>
          <cell r="F440" t="str">
            <v>NA</v>
          </cell>
          <cell r="G440">
            <v>38996.333333333336</v>
          </cell>
          <cell r="H440" t="str">
            <v>NA</v>
          </cell>
          <cell r="I440" t="str">
            <v>NA</v>
          </cell>
          <cell r="J440">
            <v>39009.729166666664</v>
          </cell>
          <cell r="K440" t="str">
            <v>NA</v>
          </cell>
          <cell r="L440">
            <v>0.22</v>
          </cell>
          <cell r="M440">
            <v>5</v>
          </cell>
          <cell r="N440">
            <v>0</v>
          </cell>
          <cell r="O440">
            <v>0</v>
          </cell>
          <cell r="P440">
            <v>0</v>
          </cell>
          <cell r="Q440" t="str">
            <v>39II;428TI+20 dias</v>
          </cell>
          <cell r="R440" t="str">
            <v>439;448</v>
          </cell>
          <cell r="S440" t="str">
            <v>EQUIPE TUB</v>
          </cell>
          <cell r="T440">
            <v>39009</v>
          </cell>
        </row>
        <row r="441">
          <cell r="B441" t="str">
            <v>DH.290.IS.01</v>
          </cell>
          <cell r="D441" t="str">
            <v>Isométrico</v>
          </cell>
          <cell r="E441" t="str">
            <v>10 dias</v>
          </cell>
          <cell r="F441" t="str">
            <v>NA</v>
          </cell>
          <cell r="G441">
            <v>39010.333333333336</v>
          </cell>
          <cell r="H441" t="str">
            <v>NA</v>
          </cell>
          <cell r="I441" t="str">
            <v>NA</v>
          </cell>
          <cell r="J441">
            <v>39027.729166666664</v>
          </cell>
          <cell r="K441" t="str">
            <v>NA</v>
          </cell>
          <cell r="L441">
            <v>0.35</v>
          </cell>
          <cell r="M441">
            <v>8</v>
          </cell>
          <cell r="N441">
            <v>0</v>
          </cell>
          <cell r="O441">
            <v>0</v>
          </cell>
          <cell r="P441">
            <v>0</v>
          </cell>
          <cell r="Q441">
            <v>438</v>
          </cell>
          <cell r="R441">
            <v>440</v>
          </cell>
          <cell r="S441" t="str">
            <v>EQUIPE TUB</v>
          </cell>
          <cell r="T441">
            <v>39027</v>
          </cell>
        </row>
        <row r="442">
          <cell r="B442" t="str">
            <v>DH.290.LC.01</v>
          </cell>
          <cell r="D442" t="str">
            <v>Lista De Linhas/ Cabos</v>
          </cell>
          <cell r="E442" t="str">
            <v>2 dias</v>
          </cell>
          <cell r="F442" t="str">
            <v>NA</v>
          </cell>
          <cell r="G442">
            <v>39028.333333333336</v>
          </cell>
          <cell r="H442" t="str">
            <v>NA</v>
          </cell>
          <cell r="I442" t="str">
            <v>NA</v>
          </cell>
          <cell r="J442">
            <v>39029.729166666664</v>
          </cell>
          <cell r="K442" t="str">
            <v>NA</v>
          </cell>
          <cell r="L442">
            <v>0.05</v>
          </cell>
          <cell r="M442">
            <v>1.25</v>
          </cell>
          <cell r="N442">
            <v>0</v>
          </cell>
          <cell r="O442">
            <v>0</v>
          </cell>
          <cell r="P442">
            <v>0</v>
          </cell>
          <cell r="Q442">
            <v>439</v>
          </cell>
          <cell r="R442">
            <v>441</v>
          </cell>
          <cell r="S442" t="str">
            <v>EQUIPE TUB</v>
          </cell>
          <cell r="T442">
            <v>39029</v>
          </cell>
        </row>
        <row r="443">
          <cell r="B443" t="str">
            <v>DH.290.LM.01</v>
          </cell>
          <cell r="D443" t="str">
            <v>Lista De Materiais</v>
          </cell>
          <cell r="E443" t="str">
            <v>2 dias</v>
          </cell>
          <cell r="F443" t="str">
            <v>NA</v>
          </cell>
          <cell r="G443">
            <v>39030.333333333336</v>
          </cell>
          <cell r="H443" t="str">
            <v>NA</v>
          </cell>
          <cell r="I443" t="str">
            <v>NA</v>
          </cell>
          <cell r="J443">
            <v>39031.729166666664</v>
          </cell>
          <cell r="K443" t="str">
            <v>NA</v>
          </cell>
          <cell r="L443">
            <v>0.08</v>
          </cell>
          <cell r="M443">
            <v>1.88</v>
          </cell>
          <cell r="N443">
            <v>0</v>
          </cell>
          <cell r="O443">
            <v>0</v>
          </cell>
          <cell r="P443">
            <v>0</v>
          </cell>
          <cell r="Q443">
            <v>440</v>
          </cell>
          <cell r="S443" t="str">
            <v>EQUIPE TUB</v>
          </cell>
          <cell r="T443">
            <v>39031</v>
          </cell>
        </row>
        <row r="444">
          <cell r="D444" t="str">
            <v>Civil</v>
          </cell>
          <cell r="E444" t="str">
            <v>72 dias</v>
          </cell>
          <cell r="F444" t="str">
            <v>NA</v>
          </cell>
          <cell r="G444">
            <v>38958.333333333336</v>
          </cell>
          <cell r="H444" t="str">
            <v>NA</v>
          </cell>
          <cell r="I444" t="str">
            <v>NA</v>
          </cell>
          <cell r="J444">
            <v>39066.729166666664</v>
          </cell>
          <cell r="K444" t="str">
            <v>NA</v>
          </cell>
          <cell r="L444">
            <v>3.98</v>
          </cell>
          <cell r="M444">
            <v>91</v>
          </cell>
          <cell r="N444">
            <v>0</v>
          </cell>
          <cell r="O444">
            <v>0</v>
          </cell>
          <cell r="P444">
            <v>0</v>
          </cell>
          <cell r="T444">
            <v>39066</v>
          </cell>
        </row>
        <row r="445">
          <cell r="D445" t="str">
            <v>Desenho De Detalhamento</v>
          </cell>
          <cell r="E445" t="str">
            <v>72 dias</v>
          </cell>
          <cell r="F445" t="str">
            <v>NA</v>
          </cell>
          <cell r="G445">
            <v>38958.333333333336</v>
          </cell>
          <cell r="H445" t="str">
            <v>NA</v>
          </cell>
          <cell r="I445" t="str">
            <v>NA</v>
          </cell>
          <cell r="J445">
            <v>39066.729166666664</v>
          </cell>
          <cell r="K445" t="str">
            <v>NA</v>
          </cell>
          <cell r="L445">
            <v>3.98</v>
          </cell>
          <cell r="M445">
            <v>91</v>
          </cell>
          <cell r="N445">
            <v>0</v>
          </cell>
          <cell r="O445">
            <v>0</v>
          </cell>
          <cell r="P445">
            <v>0</v>
          </cell>
          <cell r="T445">
            <v>39066</v>
          </cell>
        </row>
        <row r="446">
          <cell r="B446" t="str">
            <v>DC.290.DD.01</v>
          </cell>
          <cell r="D446" t="str">
            <v>Terraplenagem/ Drenagem</v>
          </cell>
          <cell r="E446" t="str">
            <v>20 dias</v>
          </cell>
          <cell r="F446" t="str">
            <v>NA</v>
          </cell>
          <cell r="G446">
            <v>38958.333333333336</v>
          </cell>
          <cell r="H446" t="str">
            <v>NA</v>
          </cell>
          <cell r="I446" t="str">
            <v>NA</v>
          </cell>
          <cell r="J446">
            <v>38987.729166666664</v>
          </cell>
          <cell r="K446" t="str">
            <v>NA</v>
          </cell>
          <cell r="L446">
            <v>0.96</v>
          </cell>
          <cell r="M446">
            <v>22</v>
          </cell>
          <cell r="N446">
            <v>0</v>
          </cell>
          <cell r="O446">
            <v>0</v>
          </cell>
          <cell r="P446">
            <v>0</v>
          </cell>
          <cell r="Q446">
            <v>424</v>
          </cell>
          <cell r="R446">
            <v>445</v>
          </cell>
          <cell r="S446" t="str">
            <v>EQUIPE CIV</v>
          </cell>
          <cell r="T446">
            <v>38987</v>
          </cell>
        </row>
        <row r="447">
          <cell r="B447" t="str">
            <v>DC.290.DD.02</v>
          </cell>
          <cell r="D447" t="str">
            <v>Arquitetura - Casa De Bombas/ Sala Elétrica</v>
          </cell>
          <cell r="E447" t="str">
            <v>12 dias</v>
          </cell>
          <cell r="F447" t="str">
            <v>NA</v>
          </cell>
          <cell r="G447">
            <v>38988.333333333336</v>
          </cell>
          <cell r="H447" t="str">
            <v>NA</v>
          </cell>
          <cell r="I447" t="str">
            <v>NA</v>
          </cell>
          <cell r="J447">
            <v>39007.729166666664</v>
          </cell>
          <cell r="K447" t="str">
            <v>NA</v>
          </cell>
          <cell r="L447">
            <v>0.39</v>
          </cell>
          <cell r="M447">
            <v>9</v>
          </cell>
          <cell r="N447">
            <v>0</v>
          </cell>
          <cell r="O447">
            <v>0</v>
          </cell>
          <cell r="P447">
            <v>0</v>
          </cell>
          <cell r="Q447">
            <v>444</v>
          </cell>
          <cell r="R447" t="str">
            <v>446II+2 dias;453;471</v>
          </cell>
          <cell r="S447" t="str">
            <v>EQUIPE ARQ</v>
          </cell>
          <cell r="T447">
            <v>39007</v>
          </cell>
        </row>
        <row r="448">
          <cell r="B448" t="str">
            <v>DC.290.DD.03</v>
          </cell>
          <cell r="D448" t="str">
            <v>Civil - Moega/ Casa Transf./ Silo Carregto. / Tranport./ Ramal Ferroviário</v>
          </cell>
          <cell r="E448" t="str">
            <v>50 dias</v>
          </cell>
          <cell r="F448" t="str">
            <v>NA</v>
          </cell>
          <cell r="G448">
            <v>38992.333333333336</v>
          </cell>
          <cell r="H448" t="str">
            <v>NA</v>
          </cell>
          <cell r="I448" t="str">
            <v>NA</v>
          </cell>
          <cell r="J448">
            <v>39066.729166666664</v>
          </cell>
          <cell r="K448" t="str">
            <v>NA</v>
          </cell>
          <cell r="L448">
            <v>2.62</v>
          </cell>
          <cell r="M448">
            <v>60</v>
          </cell>
          <cell r="N448">
            <v>0</v>
          </cell>
          <cell r="O448">
            <v>0</v>
          </cell>
          <cell r="P448">
            <v>0</v>
          </cell>
          <cell r="Q448" t="str">
            <v>445II+2 dias</v>
          </cell>
          <cell r="R448" t="str">
            <v>453II+35 dias</v>
          </cell>
          <cell r="S448" t="str">
            <v>EQUIPE CIV</v>
          </cell>
          <cell r="T448">
            <v>39066</v>
          </cell>
        </row>
        <row r="449">
          <cell r="D449" t="str">
            <v>Estrutura Metálica</v>
          </cell>
          <cell r="E449" t="str">
            <v>20 dias</v>
          </cell>
          <cell r="F449" t="str">
            <v>NA</v>
          </cell>
          <cell r="G449">
            <v>39010.333333333336</v>
          </cell>
          <cell r="H449" t="str">
            <v>NA</v>
          </cell>
          <cell r="I449" t="str">
            <v>NA</v>
          </cell>
          <cell r="J449">
            <v>39042.729166666664</v>
          </cell>
          <cell r="K449" t="str">
            <v>NA</v>
          </cell>
          <cell r="L449">
            <v>1.43</v>
          </cell>
          <cell r="M449">
            <v>32.630000000000003</v>
          </cell>
          <cell r="N449">
            <v>0</v>
          </cell>
          <cell r="O449">
            <v>0</v>
          </cell>
          <cell r="P449">
            <v>0</v>
          </cell>
          <cell r="T449">
            <v>39042</v>
          </cell>
        </row>
        <row r="450">
          <cell r="B450" t="str">
            <v>DD.290.DP.01</v>
          </cell>
          <cell r="D450" t="str">
            <v>Desenho De Projeto</v>
          </cell>
          <cell r="E450" t="str">
            <v>10 dias</v>
          </cell>
          <cell r="F450" t="str">
            <v>NA</v>
          </cell>
          <cell r="G450">
            <v>39010.333333333336</v>
          </cell>
          <cell r="H450" t="str">
            <v>NA</v>
          </cell>
          <cell r="I450" t="str">
            <v>NA</v>
          </cell>
          <cell r="J450">
            <v>39027.729166666664</v>
          </cell>
          <cell r="K450" t="str">
            <v>NA</v>
          </cell>
          <cell r="L450">
            <v>0.35</v>
          </cell>
          <cell r="M450">
            <v>8</v>
          </cell>
          <cell r="N450">
            <v>0</v>
          </cell>
          <cell r="O450">
            <v>0</v>
          </cell>
          <cell r="P450">
            <v>0</v>
          </cell>
          <cell r="Q450">
            <v>438</v>
          </cell>
          <cell r="R450" t="str">
            <v>449;450II</v>
          </cell>
          <cell r="S450" t="str">
            <v>EQUIPE MET</v>
          </cell>
          <cell r="T450">
            <v>39027</v>
          </cell>
        </row>
        <row r="451">
          <cell r="B451" t="str">
            <v>DD.290.LM.01</v>
          </cell>
          <cell r="D451" t="str">
            <v>Lista De Materiais</v>
          </cell>
          <cell r="E451" t="str">
            <v>1 dia</v>
          </cell>
          <cell r="F451" t="str">
            <v>NA</v>
          </cell>
          <cell r="G451">
            <v>39028.333333333336</v>
          </cell>
          <cell r="H451" t="str">
            <v>NA</v>
          </cell>
          <cell r="I451" t="str">
            <v>NA</v>
          </cell>
          <cell r="J451">
            <v>39028.729166666664</v>
          </cell>
          <cell r="K451" t="str">
            <v>NA</v>
          </cell>
          <cell r="L451">
            <v>0.01</v>
          </cell>
          <cell r="M451">
            <v>0.25</v>
          </cell>
          <cell r="N451">
            <v>0</v>
          </cell>
          <cell r="O451">
            <v>0</v>
          </cell>
          <cell r="P451">
            <v>0</v>
          </cell>
          <cell r="Q451">
            <v>448</v>
          </cell>
          <cell r="S451" t="str">
            <v>EQUIPE MET</v>
          </cell>
          <cell r="T451">
            <v>39028</v>
          </cell>
        </row>
        <row r="452">
          <cell r="B452" t="str">
            <v>DD.290.MC.01</v>
          </cell>
          <cell r="D452" t="str">
            <v>Memória De Cálculo</v>
          </cell>
          <cell r="E452" t="str">
            <v>20 dias</v>
          </cell>
          <cell r="F452" t="str">
            <v>NA</v>
          </cell>
          <cell r="G452">
            <v>39010.333333333336</v>
          </cell>
          <cell r="H452" t="str">
            <v>NA</v>
          </cell>
          <cell r="I452" t="str">
            <v>NA</v>
          </cell>
          <cell r="J452">
            <v>39042.729166666664</v>
          </cell>
          <cell r="K452" t="str">
            <v>NA</v>
          </cell>
          <cell r="L452">
            <v>1.07</v>
          </cell>
          <cell r="M452">
            <v>24.38</v>
          </cell>
          <cell r="N452">
            <v>0</v>
          </cell>
          <cell r="O452">
            <v>0</v>
          </cell>
          <cell r="P452">
            <v>0</v>
          </cell>
          <cell r="Q452" t="str">
            <v>448II</v>
          </cell>
          <cell r="S452" t="str">
            <v>EQUIPE MET</v>
          </cell>
          <cell r="T452">
            <v>39042</v>
          </cell>
        </row>
        <row r="453">
          <cell r="D453" t="str">
            <v>Elétrica</v>
          </cell>
          <cell r="E453" t="str">
            <v>11 dias</v>
          </cell>
          <cell r="F453" t="str">
            <v>NA</v>
          </cell>
          <cell r="G453">
            <v>39048.333333333336</v>
          </cell>
          <cell r="H453" t="str">
            <v>NA</v>
          </cell>
          <cell r="I453" t="str">
            <v>NA</v>
          </cell>
          <cell r="J453">
            <v>39062.729166666664</v>
          </cell>
          <cell r="K453" t="str">
            <v>NA</v>
          </cell>
          <cell r="L453">
            <v>0.39</v>
          </cell>
          <cell r="M453">
            <v>9</v>
          </cell>
          <cell r="N453">
            <v>0</v>
          </cell>
          <cell r="O453">
            <v>0</v>
          </cell>
          <cell r="P453">
            <v>0</v>
          </cell>
          <cell r="T453">
            <v>39062</v>
          </cell>
        </row>
        <row r="454">
          <cell r="D454" t="str">
            <v>Desenho De Detalhamento</v>
          </cell>
          <cell r="E454" t="str">
            <v>11 dias</v>
          </cell>
          <cell r="F454" t="str">
            <v>NA</v>
          </cell>
          <cell r="G454">
            <v>39048.333333333336</v>
          </cell>
          <cell r="H454" t="str">
            <v>NA</v>
          </cell>
          <cell r="I454" t="str">
            <v>NA</v>
          </cell>
          <cell r="J454">
            <v>39062.729166666664</v>
          </cell>
          <cell r="K454" t="str">
            <v>NA</v>
          </cell>
          <cell r="L454">
            <v>0.39</v>
          </cell>
          <cell r="M454">
            <v>9</v>
          </cell>
          <cell r="N454">
            <v>0</v>
          </cell>
          <cell r="O454">
            <v>0</v>
          </cell>
          <cell r="P454">
            <v>0</v>
          </cell>
          <cell r="T454">
            <v>39062</v>
          </cell>
        </row>
        <row r="455">
          <cell r="B455" t="str">
            <v>DE.290.DD.01</v>
          </cell>
          <cell r="D455" t="str">
            <v>Malha Aterramento/ Projeto SE</v>
          </cell>
          <cell r="E455" t="str">
            <v>9 dias</v>
          </cell>
          <cell r="F455" t="str">
            <v>NA</v>
          </cell>
          <cell r="G455">
            <v>39048.333333333336</v>
          </cell>
          <cell r="H455" t="str">
            <v>NA</v>
          </cell>
          <cell r="I455" t="str">
            <v>NA</v>
          </cell>
          <cell r="J455">
            <v>39058.729166666664</v>
          </cell>
          <cell r="K455" t="str">
            <v>NA</v>
          </cell>
          <cell r="L455">
            <v>0.17</v>
          </cell>
          <cell r="M455">
            <v>4</v>
          </cell>
          <cell r="N455">
            <v>0</v>
          </cell>
          <cell r="O455">
            <v>0</v>
          </cell>
          <cell r="P455">
            <v>0</v>
          </cell>
          <cell r="Q455" t="str">
            <v>445;446II+35 dias</v>
          </cell>
          <cell r="R455" t="str">
            <v>454II</v>
          </cell>
          <cell r="S455" t="str">
            <v>EQUIPE ELE</v>
          </cell>
          <cell r="T455">
            <v>39058</v>
          </cell>
        </row>
        <row r="456">
          <cell r="B456" t="str">
            <v>DE.290.DD.02</v>
          </cell>
          <cell r="D456" t="str">
            <v>Iluminação</v>
          </cell>
          <cell r="E456" t="str">
            <v>11 dias</v>
          </cell>
          <cell r="F456" t="str">
            <v>NA</v>
          </cell>
          <cell r="G456">
            <v>39048.333333333336</v>
          </cell>
          <cell r="H456" t="str">
            <v>NA</v>
          </cell>
          <cell r="I456" t="str">
            <v>NA</v>
          </cell>
          <cell r="J456">
            <v>39062.729166666664</v>
          </cell>
          <cell r="K456" t="str">
            <v>NA</v>
          </cell>
          <cell r="L456">
            <v>0.22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 t="str">
            <v>453II</v>
          </cell>
          <cell r="S456" t="str">
            <v>EQUIPE ELE</v>
          </cell>
          <cell r="T456">
            <v>39062</v>
          </cell>
        </row>
        <row r="457">
          <cell r="D457" t="str">
            <v>Instrumentação</v>
          </cell>
          <cell r="E457" t="str">
            <v>8 dias</v>
          </cell>
          <cell r="F457" t="str">
            <v>NA</v>
          </cell>
          <cell r="G457">
            <v>39038.333333333336</v>
          </cell>
          <cell r="H457" t="str">
            <v>NA</v>
          </cell>
          <cell r="I457" t="str">
            <v>NA</v>
          </cell>
          <cell r="J457">
            <v>39049.729166666664</v>
          </cell>
          <cell r="K457" t="str">
            <v>NA</v>
          </cell>
          <cell r="L457">
            <v>0.09</v>
          </cell>
          <cell r="M457">
            <v>2</v>
          </cell>
          <cell r="N457">
            <v>0</v>
          </cell>
          <cell r="O457">
            <v>0</v>
          </cell>
          <cell r="P457">
            <v>0</v>
          </cell>
          <cell r="T457">
            <v>39049</v>
          </cell>
        </row>
        <row r="458">
          <cell r="B458" t="str">
            <v>DT.290.AJ.01</v>
          </cell>
          <cell r="D458" t="str">
            <v>Arranjos/ Layout’s/ Plano Diretor - Locação De Instrumentos</v>
          </cell>
          <cell r="E458" t="str">
            <v>8 dias</v>
          </cell>
          <cell r="F458" t="str">
            <v>NA</v>
          </cell>
          <cell r="G458">
            <v>39038.333333333336</v>
          </cell>
          <cell r="H458" t="str">
            <v>NA</v>
          </cell>
          <cell r="I458" t="str">
            <v>NA</v>
          </cell>
          <cell r="J458">
            <v>39049.729166666664</v>
          </cell>
          <cell r="K458" t="str">
            <v>NA</v>
          </cell>
          <cell r="L458">
            <v>0.09</v>
          </cell>
          <cell r="M458">
            <v>2</v>
          </cell>
          <cell r="N458">
            <v>0</v>
          </cell>
          <cell r="O458">
            <v>0</v>
          </cell>
          <cell r="P458">
            <v>0</v>
          </cell>
          <cell r="Q458">
            <v>302</v>
          </cell>
          <cell r="S458" t="str">
            <v>EQUIPE TSA</v>
          </cell>
          <cell r="T458">
            <v>39049</v>
          </cell>
        </row>
        <row r="459">
          <cell r="B459" t="str">
            <v>1.2</v>
          </cell>
          <cell r="C459" t="str">
            <v>300A</v>
          </cell>
          <cell r="D459" t="str">
            <v>APOIO OPERACIONAL</v>
          </cell>
          <cell r="E459" t="str">
            <v>117 dias</v>
          </cell>
          <cell r="F459">
            <v>38819.375</v>
          </cell>
          <cell r="G459">
            <v>38891.333333333336</v>
          </cell>
          <cell r="H459">
            <v>38891.333333333336</v>
          </cell>
          <cell r="I459">
            <v>38916.375</v>
          </cell>
          <cell r="J459">
            <v>39066.729166666664</v>
          </cell>
          <cell r="K459" t="str">
            <v>NA</v>
          </cell>
          <cell r="L459">
            <v>3.4</v>
          </cell>
          <cell r="M459">
            <v>77.88</v>
          </cell>
          <cell r="N459">
            <v>5.48</v>
          </cell>
          <cell r="O459">
            <v>7.03</v>
          </cell>
          <cell r="P459">
            <v>7.03</v>
          </cell>
          <cell r="T459">
            <v>39066</v>
          </cell>
        </row>
        <row r="460">
          <cell r="B460" t="str">
            <v>1.2.1</v>
          </cell>
          <cell r="C460" t="str">
            <v>305A</v>
          </cell>
          <cell r="D460" t="str">
            <v>Geral</v>
          </cell>
          <cell r="E460" t="str">
            <v>23 dias</v>
          </cell>
          <cell r="F460" t="str">
            <v>NA</v>
          </cell>
          <cell r="G460">
            <v>38891.333333333336</v>
          </cell>
          <cell r="H460">
            <v>38891.333333333336</v>
          </cell>
          <cell r="I460" t="str">
            <v>NA</v>
          </cell>
          <cell r="J460">
            <v>38923.729166666664</v>
          </cell>
          <cell r="K460" t="str">
            <v>NA</v>
          </cell>
          <cell r="L460">
            <v>0.26</v>
          </cell>
          <cell r="M460">
            <v>6</v>
          </cell>
          <cell r="N460">
            <v>5.48</v>
          </cell>
          <cell r="O460">
            <v>0</v>
          </cell>
          <cell r="P460">
            <v>91.25</v>
          </cell>
          <cell r="T460">
            <v>38923</v>
          </cell>
        </row>
        <row r="461">
          <cell r="D461" t="str">
            <v>Projeto Básico</v>
          </cell>
          <cell r="E461" t="str">
            <v>23 dias</v>
          </cell>
          <cell r="F461" t="str">
            <v>NA</v>
          </cell>
          <cell r="G461">
            <v>38891.333333333336</v>
          </cell>
          <cell r="H461">
            <v>38891.333333333336</v>
          </cell>
          <cell r="I461" t="str">
            <v>NA</v>
          </cell>
          <cell r="J461">
            <v>38923.729166666664</v>
          </cell>
          <cell r="K461" t="str">
            <v>NA</v>
          </cell>
          <cell r="L461">
            <v>0.26</v>
          </cell>
          <cell r="M461">
            <v>6</v>
          </cell>
          <cell r="N461">
            <v>5.48</v>
          </cell>
          <cell r="O461">
            <v>0</v>
          </cell>
          <cell r="P461">
            <v>91.25</v>
          </cell>
          <cell r="T461">
            <v>38923</v>
          </cell>
        </row>
        <row r="462">
          <cell r="D462" t="str">
            <v>Mecânica</v>
          </cell>
          <cell r="E462" t="str">
            <v>9 dias</v>
          </cell>
          <cell r="F462" t="str">
            <v>NA</v>
          </cell>
          <cell r="G462">
            <v>38891.333333333336</v>
          </cell>
          <cell r="H462">
            <v>38891.333333333336</v>
          </cell>
          <cell r="I462" t="str">
            <v>NA</v>
          </cell>
          <cell r="J462">
            <v>38903.729166666664</v>
          </cell>
          <cell r="K462" t="str">
            <v>NA</v>
          </cell>
          <cell r="L462">
            <v>0.16</v>
          </cell>
          <cell r="M462">
            <v>3.63</v>
          </cell>
          <cell r="N462">
            <v>3.26</v>
          </cell>
          <cell r="O462">
            <v>0</v>
          </cell>
          <cell r="P462">
            <v>90</v>
          </cell>
          <cell r="T462">
            <v>38903</v>
          </cell>
        </row>
        <row r="463">
          <cell r="B463" t="str">
            <v>BB.305.OI.01</v>
          </cell>
          <cell r="D463" t="str">
            <v>Orçamento De Investimentos</v>
          </cell>
          <cell r="E463" t="str">
            <v>9 dias</v>
          </cell>
          <cell r="F463" t="str">
            <v>NA</v>
          </cell>
          <cell r="G463">
            <v>38891.333333333336</v>
          </cell>
          <cell r="H463">
            <v>38891.333333333336</v>
          </cell>
          <cell r="I463" t="str">
            <v>NA</v>
          </cell>
          <cell r="J463">
            <v>38903.729166666664</v>
          </cell>
          <cell r="K463" t="str">
            <v>NA</v>
          </cell>
          <cell r="L463">
            <v>0.16</v>
          </cell>
          <cell r="M463">
            <v>3.63</v>
          </cell>
          <cell r="N463">
            <v>3.26</v>
          </cell>
          <cell r="O463">
            <v>0</v>
          </cell>
          <cell r="P463">
            <v>90</v>
          </cell>
          <cell r="Q463" t="str">
            <v>34II</v>
          </cell>
          <cell r="S463" t="str">
            <v>EQUIPE MEC</v>
          </cell>
          <cell r="T463">
            <v>38903</v>
          </cell>
        </row>
        <row r="464">
          <cell r="D464" t="str">
            <v>Civil</v>
          </cell>
          <cell r="E464" t="str">
            <v>5 dias</v>
          </cell>
          <cell r="F464" t="str">
            <v>NA</v>
          </cell>
          <cell r="G464">
            <v>38917.333333333336</v>
          </cell>
          <cell r="H464">
            <v>38917.333333333336</v>
          </cell>
          <cell r="I464" t="str">
            <v>NA</v>
          </cell>
          <cell r="J464">
            <v>38923.729166666664</v>
          </cell>
          <cell r="K464" t="str">
            <v>NA</v>
          </cell>
          <cell r="L464">
            <v>0.1</v>
          </cell>
          <cell r="M464">
            <v>2.38</v>
          </cell>
          <cell r="N464">
            <v>2.21</v>
          </cell>
          <cell r="O464">
            <v>0</v>
          </cell>
          <cell r="P464">
            <v>93.16</v>
          </cell>
          <cell r="T464">
            <v>38923</v>
          </cell>
        </row>
        <row r="465">
          <cell r="B465" t="str">
            <v>BC.305.PQ.01</v>
          </cell>
          <cell r="D465" t="str">
            <v>Planilha De Quantitativos - Arquitetura</v>
          </cell>
          <cell r="E465" t="str">
            <v>5 dias</v>
          </cell>
          <cell r="F465" t="str">
            <v>NA</v>
          </cell>
          <cell r="G465">
            <v>38917.333333333336</v>
          </cell>
          <cell r="H465">
            <v>38917.333333333336</v>
          </cell>
          <cell r="I465" t="str">
            <v>NA</v>
          </cell>
          <cell r="J465">
            <v>38923.729166666664</v>
          </cell>
          <cell r="K465" t="str">
            <v>NA</v>
          </cell>
          <cell r="L465">
            <v>0.1</v>
          </cell>
          <cell r="M465">
            <v>2.38</v>
          </cell>
          <cell r="N465">
            <v>2.21</v>
          </cell>
          <cell r="O465">
            <v>0</v>
          </cell>
          <cell r="P465">
            <v>93.16</v>
          </cell>
          <cell r="Q465">
            <v>16</v>
          </cell>
          <cell r="S465" t="str">
            <v>EQUIPE CIV</v>
          </cell>
          <cell r="T465">
            <v>38923</v>
          </cell>
        </row>
        <row r="466">
          <cell r="B466" t="str">
            <v>1.2.2</v>
          </cell>
          <cell r="C466" t="str">
            <v>310A</v>
          </cell>
          <cell r="D466" t="str">
            <v>Oficina de Manutenção</v>
          </cell>
          <cell r="E466" t="str">
            <v>44 dias</v>
          </cell>
          <cell r="F466" t="str">
            <v>NA</v>
          </cell>
          <cell r="G466">
            <v>38995.333333333336</v>
          </cell>
          <cell r="H466" t="str">
            <v>NA</v>
          </cell>
          <cell r="I466" t="str">
            <v>NA</v>
          </cell>
          <cell r="J466">
            <v>39063.729166666664</v>
          </cell>
          <cell r="K466" t="str">
            <v>NA</v>
          </cell>
          <cell r="L466">
            <v>1.41</v>
          </cell>
          <cell r="M466">
            <v>32.25</v>
          </cell>
          <cell r="N466">
            <v>0</v>
          </cell>
          <cell r="O466">
            <v>0</v>
          </cell>
          <cell r="P466">
            <v>0</v>
          </cell>
          <cell r="T466">
            <v>39063</v>
          </cell>
        </row>
        <row r="467">
          <cell r="D467" t="str">
            <v>Projeto Básico</v>
          </cell>
          <cell r="E467" t="str">
            <v>5 dias</v>
          </cell>
          <cell r="F467" t="str">
            <v>NA</v>
          </cell>
          <cell r="G467">
            <v>38995.333333333336</v>
          </cell>
          <cell r="H467" t="str">
            <v>NA</v>
          </cell>
          <cell r="I467" t="str">
            <v>NA</v>
          </cell>
          <cell r="J467">
            <v>39001.729166666664</v>
          </cell>
          <cell r="K467" t="str">
            <v>NA</v>
          </cell>
          <cell r="L467">
            <v>0.22</v>
          </cell>
          <cell r="M467">
            <v>5</v>
          </cell>
          <cell r="N467">
            <v>0</v>
          </cell>
          <cell r="O467">
            <v>0</v>
          </cell>
          <cell r="P467">
            <v>0</v>
          </cell>
          <cell r="T467">
            <v>39001</v>
          </cell>
        </row>
        <row r="468">
          <cell r="D468" t="str">
            <v>Estrutura Metálica</v>
          </cell>
          <cell r="E468" t="str">
            <v>5 dias</v>
          </cell>
          <cell r="F468" t="str">
            <v>NA</v>
          </cell>
          <cell r="G468">
            <v>38995.333333333336</v>
          </cell>
          <cell r="H468" t="str">
            <v>NA</v>
          </cell>
          <cell r="I468" t="str">
            <v>NA</v>
          </cell>
          <cell r="J468">
            <v>39001.729166666664</v>
          </cell>
          <cell r="K468" t="str">
            <v>NA</v>
          </cell>
          <cell r="L468">
            <v>0.22</v>
          </cell>
          <cell r="M468">
            <v>5</v>
          </cell>
          <cell r="N468">
            <v>0</v>
          </cell>
          <cell r="O468">
            <v>0</v>
          </cell>
          <cell r="P468">
            <v>0</v>
          </cell>
          <cell r="T468">
            <v>39001</v>
          </cell>
        </row>
        <row r="469">
          <cell r="B469" t="str">
            <v>BD.310.MC.01</v>
          </cell>
          <cell r="D469" t="str">
            <v>Memória De Cálculo</v>
          </cell>
          <cell r="E469" t="str">
            <v>5 dias</v>
          </cell>
          <cell r="F469" t="str">
            <v>NA</v>
          </cell>
          <cell r="G469">
            <v>38995.333333333336</v>
          </cell>
          <cell r="H469" t="str">
            <v>NA</v>
          </cell>
          <cell r="I469" t="str">
            <v>NA</v>
          </cell>
          <cell r="J469">
            <v>39001.729166666664</v>
          </cell>
          <cell r="K469" t="str">
            <v>NA</v>
          </cell>
          <cell r="L469">
            <v>0.22</v>
          </cell>
          <cell r="M469">
            <v>5</v>
          </cell>
          <cell r="N469">
            <v>0</v>
          </cell>
          <cell r="O469">
            <v>0</v>
          </cell>
          <cell r="P469">
            <v>0</v>
          </cell>
          <cell r="Q469" t="str">
            <v>433TI+20 dias</v>
          </cell>
          <cell r="R469">
            <v>629</v>
          </cell>
          <cell r="S469" t="str">
            <v>EQUIPE MET</v>
          </cell>
          <cell r="T469">
            <v>39001</v>
          </cell>
        </row>
        <row r="470">
          <cell r="D470" t="str">
            <v>Projeto Detalhado</v>
          </cell>
          <cell r="E470" t="str">
            <v>37 dias</v>
          </cell>
          <cell r="F470">
            <v>38839.333333333336</v>
          </cell>
          <cell r="G470">
            <v>39008.333333333336</v>
          </cell>
          <cell r="H470" t="str">
            <v>NA</v>
          </cell>
          <cell r="I470">
            <v>38896.729166666664</v>
          </cell>
          <cell r="J470">
            <v>39063.729166666664</v>
          </cell>
          <cell r="K470" t="str">
            <v>NA</v>
          </cell>
          <cell r="L470">
            <v>1.19</v>
          </cell>
          <cell r="M470">
            <v>27.25</v>
          </cell>
          <cell r="N470">
            <v>0</v>
          </cell>
          <cell r="O470">
            <v>0</v>
          </cell>
          <cell r="P470">
            <v>0</v>
          </cell>
          <cell r="T470">
            <v>39063</v>
          </cell>
        </row>
        <row r="471">
          <cell r="D471" t="str">
            <v>Civil</v>
          </cell>
          <cell r="E471" t="str">
            <v>18 dias</v>
          </cell>
          <cell r="F471">
            <v>38839.333333333336</v>
          </cell>
          <cell r="G471">
            <v>39008.333333333336</v>
          </cell>
          <cell r="H471" t="str">
            <v>NA</v>
          </cell>
          <cell r="I471">
            <v>38859.729166666664</v>
          </cell>
          <cell r="J471">
            <v>39035.729166666664</v>
          </cell>
          <cell r="K471" t="str">
            <v>NA</v>
          </cell>
          <cell r="L471">
            <v>0.66</v>
          </cell>
          <cell r="M471">
            <v>15</v>
          </cell>
          <cell r="N471">
            <v>0</v>
          </cell>
          <cell r="O471">
            <v>0</v>
          </cell>
          <cell r="P471">
            <v>0</v>
          </cell>
          <cell r="T471">
            <v>39035</v>
          </cell>
        </row>
        <row r="472">
          <cell r="D472" t="str">
            <v>Desenho De Detalhamento</v>
          </cell>
          <cell r="E472" t="str">
            <v>18 dias</v>
          </cell>
          <cell r="F472">
            <v>38839.333333333336</v>
          </cell>
          <cell r="G472">
            <v>39008.333333333336</v>
          </cell>
          <cell r="H472" t="str">
            <v>NA</v>
          </cell>
          <cell r="I472">
            <v>38859.729166666664</v>
          </cell>
          <cell r="J472">
            <v>39035.729166666664</v>
          </cell>
          <cell r="K472" t="str">
            <v>NA</v>
          </cell>
          <cell r="L472">
            <v>0.66</v>
          </cell>
          <cell r="M472">
            <v>15</v>
          </cell>
          <cell r="N472">
            <v>0</v>
          </cell>
          <cell r="O472">
            <v>0</v>
          </cell>
          <cell r="P472">
            <v>0</v>
          </cell>
          <cell r="R472" t="str">
            <v>476;477</v>
          </cell>
          <cell r="T472">
            <v>39035</v>
          </cell>
        </row>
        <row r="473">
          <cell r="B473" t="str">
            <v>DC.310.DD.01</v>
          </cell>
          <cell r="D473" t="str">
            <v>Arquitetura</v>
          </cell>
          <cell r="E473" t="str">
            <v>10 dias</v>
          </cell>
          <cell r="F473">
            <v>38839.333333333336</v>
          </cell>
          <cell r="G473">
            <v>39008.333333333336</v>
          </cell>
          <cell r="H473" t="str">
            <v>NA</v>
          </cell>
          <cell r="I473">
            <v>38853.729166666664</v>
          </cell>
          <cell r="J473">
            <v>39021.729166666664</v>
          </cell>
          <cell r="K473" t="str">
            <v>NA</v>
          </cell>
          <cell r="L473">
            <v>0.31</v>
          </cell>
          <cell r="M473">
            <v>7</v>
          </cell>
          <cell r="N473">
            <v>0</v>
          </cell>
          <cell r="O473">
            <v>0</v>
          </cell>
          <cell r="P473">
            <v>0</v>
          </cell>
          <cell r="Q473" t="str">
            <v>26;445</v>
          </cell>
          <cell r="R473" t="str">
            <v>472;473;496;519;535;542;565</v>
          </cell>
          <cell r="S473" t="str">
            <v>EQUIPE ARQ</v>
          </cell>
          <cell r="T473">
            <v>39021</v>
          </cell>
        </row>
        <row r="474">
          <cell r="B474" t="str">
            <v>DC.310.DD.02</v>
          </cell>
          <cell r="D474" t="str">
            <v>Fundação</v>
          </cell>
          <cell r="E474" t="str">
            <v>8 dias</v>
          </cell>
          <cell r="F474">
            <v>38839.333333333336</v>
          </cell>
          <cell r="G474">
            <v>39022.333333333336</v>
          </cell>
          <cell r="H474" t="str">
            <v>NA</v>
          </cell>
          <cell r="I474">
            <v>38849.729166666664</v>
          </cell>
          <cell r="J474">
            <v>39035.729166666664</v>
          </cell>
          <cell r="K474" t="str">
            <v>NA</v>
          </cell>
          <cell r="L474">
            <v>0.22</v>
          </cell>
          <cell r="M474">
            <v>5</v>
          </cell>
          <cell r="N474">
            <v>0</v>
          </cell>
          <cell r="O474">
            <v>0</v>
          </cell>
          <cell r="P474">
            <v>0</v>
          </cell>
          <cell r="Q474">
            <v>471</v>
          </cell>
          <cell r="R474">
            <v>484</v>
          </cell>
          <cell r="S474" t="str">
            <v>EQUIPE CIV</v>
          </cell>
          <cell r="T474">
            <v>39035</v>
          </cell>
        </row>
        <row r="475">
          <cell r="B475" t="str">
            <v>DC.310.DD.03</v>
          </cell>
          <cell r="D475" t="str">
            <v>Hidráulica</v>
          </cell>
          <cell r="E475" t="str">
            <v>6 dias</v>
          </cell>
          <cell r="F475">
            <v>38849.333333333336</v>
          </cell>
          <cell r="G475">
            <v>39022.333333333336</v>
          </cell>
          <cell r="H475" t="str">
            <v>NA</v>
          </cell>
          <cell r="I475">
            <v>38859.729166666664</v>
          </cell>
          <cell r="J475">
            <v>39031.729166666664</v>
          </cell>
          <cell r="K475" t="str">
            <v>NA</v>
          </cell>
          <cell r="L475">
            <v>0.13</v>
          </cell>
          <cell r="M475">
            <v>3</v>
          </cell>
          <cell r="N475">
            <v>0</v>
          </cell>
          <cell r="O475">
            <v>0</v>
          </cell>
          <cell r="P475">
            <v>0</v>
          </cell>
          <cell r="Q475">
            <v>471</v>
          </cell>
          <cell r="S475" t="str">
            <v>EQUIPE CIV</v>
          </cell>
          <cell r="T475">
            <v>39031</v>
          </cell>
        </row>
        <row r="476">
          <cell r="D476" t="str">
            <v>Elétrica</v>
          </cell>
          <cell r="E476" t="str">
            <v>19 dias</v>
          </cell>
          <cell r="F476">
            <v>38859.375</v>
          </cell>
          <cell r="G476">
            <v>39037.333333333336</v>
          </cell>
          <cell r="H476" t="str">
            <v>NA</v>
          </cell>
          <cell r="I476">
            <v>38896.729166666664</v>
          </cell>
          <cell r="J476">
            <v>39063.729166666664</v>
          </cell>
          <cell r="K476" t="str">
            <v>NA</v>
          </cell>
          <cell r="L476">
            <v>0.54</v>
          </cell>
          <cell r="M476">
            <v>12.25</v>
          </cell>
          <cell r="N476">
            <v>0</v>
          </cell>
          <cell r="O476">
            <v>0</v>
          </cell>
          <cell r="P476">
            <v>0</v>
          </cell>
          <cell r="T476">
            <v>39063</v>
          </cell>
        </row>
        <row r="477">
          <cell r="D477" t="str">
            <v>Desenho De Detalhamento</v>
          </cell>
          <cell r="E477" t="str">
            <v>15 dias</v>
          </cell>
          <cell r="F477">
            <v>38859.375</v>
          </cell>
          <cell r="G477">
            <v>39037.333333333336</v>
          </cell>
          <cell r="H477" t="str">
            <v>NA</v>
          </cell>
          <cell r="I477">
            <v>38880.729166666664</v>
          </cell>
          <cell r="J477">
            <v>39057.729166666664</v>
          </cell>
          <cell r="K477" t="str">
            <v>NA</v>
          </cell>
          <cell r="L477">
            <v>0.48</v>
          </cell>
          <cell r="M477">
            <v>11</v>
          </cell>
          <cell r="N477">
            <v>0</v>
          </cell>
          <cell r="O477">
            <v>0</v>
          </cell>
          <cell r="P477">
            <v>0</v>
          </cell>
          <cell r="R477">
            <v>479</v>
          </cell>
          <cell r="T477">
            <v>39057</v>
          </cell>
        </row>
        <row r="478">
          <cell r="B478" t="str">
            <v>DE.310.DD.01</v>
          </cell>
          <cell r="D478" t="str">
            <v>Disposição De Força, Controle e Aterramento</v>
          </cell>
          <cell r="E478" t="str">
            <v>6 dias</v>
          </cell>
          <cell r="F478">
            <v>38859.375</v>
          </cell>
          <cell r="G478">
            <v>39037.333333333336</v>
          </cell>
          <cell r="H478" t="str">
            <v>NA</v>
          </cell>
          <cell r="I478">
            <v>38867.729166666664</v>
          </cell>
          <cell r="J478">
            <v>39044.729166666664</v>
          </cell>
          <cell r="K478" t="str">
            <v>NA</v>
          </cell>
          <cell r="L478">
            <v>0.09</v>
          </cell>
          <cell r="M478">
            <v>2</v>
          </cell>
          <cell r="N478">
            <v>0</v>
          </cell>
          <cell r="O478">
            <v>0</v>
          </cell>
          <cell r="P478">
            <v>0</v>
          </cell>
          <cell r="Q478">
            <v>470</v>
          </cell>
          <cell r="R478">
            <v>478</v>
          </cell>
          <cell r="S478" t="str">
            <v>EQUIPE ELE</v>
          </cell>
          <cell r="T478">
            <v>39044</v>
          </cell>
        </row>
        <row r="479">
          <cell r="B479" t="str">
            <v>DE.310.DD.02</v>
          </cell>
          <cell r="D479" t="str">
            <v>Iluminação</v>
          </cell>
          <cell r="E479" t="str">
            <v>15 dias</v>
          </cell>
          <cell r="F479">
            <v>38859.375</v>
          </cell>
          <cell r="G479">
            <v>39037.333333333336</v>
          </cell>
          <cell r="H479" t="str">
            <v>NA</v>
          </cell>
          <cell r="I479">
            <v>38880.729166666664</v>
          </cell>
          <cell r="J479">
            <v>39057.729166666664</v>
          </cell>
          <cell r="K479" t="str">
            <v>NA</v>
          </cell>
          <cell r="L479">
            <v>0.31</v>
          </cell>
          <cell r="M479">
            <v>7</v>
          </cell>
          <cell r="N479">
            <v>0</v>
          </cell>
          <cell r="O479">
            <v>0</v>
          </cell>
          <cell r="P479">
            <v>0</v>
          </cell>
          <cell r="Q479">
            <v>470</v>
          </cell>
          <cell r="S479" t="str">
            <v>EQUIPE ELE</v>
          </cell>
          <cell r="T479">
            <v>39057</v>
          </cell>
        </row>
        <row r="480">
          <cell r="B480" t="str">
            <v>DE.310.DD.03</v>
          </cell>
          <cell r="D480" t="str">
            <v>Eletrodutos</v>
          </cell>
          <cell r="E480" t="str">
            <v>6 dias</v>
          </cell>
          <cell r="F480">
            <v>38867.375</v>
          </cell>
          <cell r="G480">
            <v>39045.333333333336</v>
          </cell>
          <cell r="H480" t="str">
            <v>NA</v>
          </cell>
          <cell r="I480">
            <v>38875.729166666664</v>
          </cell>
          <cell r="J480">
            <v>39052.729166666664</v>
          </cell>
          <cell r="K480" t="str">
            <v>NA</v>
          </cell>
          <cell r="L480">
            <v>0.09</v>
          </cell>
          <cell r="M480">
            <v>2</v>
          </cell>
          <cell r="N480">
            <v>0</v>
          </cell>
          <cell r="O480">
            <v>0</v>
          </cell>
          <cell r="P480">
            <v>0</v>
          </cell>
          <cell r="Q480">
            <v>476</v>
          </cell>
          <cell r="S480" t="str">
            <v>EQUIPE ELE</v>
          </cell>
          <cell r="T480">
            <v>39052</v>
          </cell>
        </row>
        <row r="481">
          <cell r="B481" t="str">
            <v>DE.310.LC.01</v>
          </cell>
          <cell r="D481" t="str">
            <v>Lista De Linhas/ Cabos</v>
          </cell>
          <cell r="E481" t="str">
            <v>4 dias</v>
          </cell>
          <cell r="F481">
            <v>38880.375</v>
          </cell>
          <cell r="G481">
            <v>39058.333333333336</v>
          </cell>
          <cell r="H481" t="str">
            <v>NA</v>
          </cell>
          <cell r="I481">
            <v>38888.729166666664</v>
          </cell>
          <cell r="J481">
            <v>39063.729166666664</v>
          </cell>
          <cell r="K481" t="str">
            <v>NA</v>
          </cell>
          <cell r="L481">
            <v>0.05</v>
          </cell>
          <cell r="M481">
            <v>1.25</v>
          </cell>
          <cell r="N481">
            <v>0</v>
          </cell>
          <cell r="O481">
            <v>0</v>
          </cell>
          <cell r="P481">
            <v>0</v>
          </cell>
          <cell r="Q481">
            <v>475</v>
          </cell>
          <cell r="S481" t="str">
            <v>EQUIPE ELE</v>
          </cell>
          <cell r="T481">
            <v>39063</v>
          </cell>
        </row>
        <row r="482">
          <cell r="B482" t="str">
            <v>1.2.3</v>
          </cell>
          <cell r="C482" t="str">
            <v>320A</v>
          </cell>
          <cell r="D482" t="str">
            <v>Almoxarifado</v>
          </cell>
          <cell r="E482" t="str">
            <v>22 dias</v>
          </cell>
          <cell r="F482">
            <v>38831.375</v>
          </cell>
          <cell r="G482">
            <v>39037.333333333336</v>
          </cell>
          <cell r="H482" t="str">
            <v>NA</v>
          </cell>
          <cell r="I482">
            <v>38916.375</v>
          </cell>
          <cell r="J482">
            <v>39066.729166666664</v>
          </cell>
          <cell r="K482" t="str">
            <v>NA</v>
          </cell>
          <cell r="L482">
            <v>0.75</v>
          </cell>
          <cell r="M482">
            <v>17.25</v>
          </cell>
          <cell r="N482">
            <v>0</v>
          </cell>
          <cell r="O482">
            <v>0</v>
          </cell>
          <cell r="P482">
            <v>0</v>
          </cell>
          <cell r="T482">
            <v>39066</v>
          </cell>
        </row>
        <row r="483">
          <cell r="D483" t="str">
            <v>Projeto Detalhado</v>
          </cell>
          <cell r="E483" t="str">
            <v>22 dias</v>
          </cell>
          <cell r="F483">
            <v>38846.375</v>
          </cell>
          <cell r="G483">
            <v>39037.333333333336</v>
          </cell>
          <cell r="H483" t="str">
            <v>NA</v>
          </cell>
          <cell r="I483">
            <v>38916.375</v>
          </cell>
          <cell r="J483">
            <v>39066.729166666664</v>
          </cell>
          <cell r="K483" t="str">
            <v>NA</v>
          </cell>
          <cell r="L483">
            <v>0.75</v>
          </cell>
          <cell r="M483">
            <v>17.25</v>
          </cell>
          <cell r="N483">
            <v>0</v>
          </cell>
          <cell r="O483">
            <v>0</v>
          </cell>
          <cell r="P483">
            <v>0</v>
          </cell>
          <cell r="T483">
            <v>39066</v>
          </cell>
        </row>
        <row r="484">
          <cell r="D484" t="str">
            <v>Civil</v>
          </cell>
          <cell r="E484" t="str">
            <v>11 dias</v>
          </cell>
          <cell r="F484">
            <v>38846.375</v>
          </cell>
          <cell r="G484">
            <v>39037.333333333336</v>
          </cell>
          <cell r="H484" t="str">
            <v>NA</v>
          </cell>
          <cell r="I484">
            <v>38861.375</v>
          </cell>
          <cell r="J484">
            <v>39051.729166666664</v>
          </cell>
          <cell r="K484" t="str">
            <v>NA</v>
          </cell>
          <cell r="L484">
            <v>0.22</v>
          </cell>
          <cell r="M484">
            <v>5</v>
          </cell>
          <cell r="N484">
            <v>0</v>
          </cell>
          <cell r="O484">
            <v>0</v>
          </cell>
          <cell r="P484">
            <v>0</v>
          </cell>
          <cell r="T484">
            <v>39051</v>
          </cell>
        </row>
        <row r="485">
          <cell r="D485" t="str">
            <v>Desenho De Detalhamento</v>
          </cell>
          <cell r="E485" t="str">
            <v>11 dias</v>
          </cell>
          <cell r="F485">
            <v>38846.375</v>
          </cell>
          <cell r="G485">
            <v>39037.333333333336</v>
          </cell>
          <cell r="H485" t="str">
            <v>NA</v>
          </cell>
          <cell r="I485">
            <v>38861.375</v>
          </cell>
          <cell r="J485">
            <v>39051.729166666664</v>
          </cell>
          <cell r="K485" t="str">
            <v>NA</v>
          </cell>
          <cell r="L485">
            <v>0.22</v>
          </cell>
          <cell r="M485">
            <v>5</v>
          </cell>
          <cell r="N485">
            <v>0</v>
          </cell>
          <cell r="O485">
            <v>0</v>
          </cell>
          <cell r="P485">
            <v>0</v>
          </cell>
          <cell r="R485">
            <v>488</v>
          </cell>
          <cell r="T485">
            <v>39051</v>
          </cell>
        </row>
        <row r="486">
          <cell r="B486" t="str">
            <v>DC.320.DD.01</v>
          </cell>
          <cell r="D486" t="str">
            <v>Fundação</v>
          </cell>
          <cell r="E486" t="str">
            <v>6 dias</v>
          </cell>
          <cell r="F486">
            <v>38846.375</v>
          </cell>
          <cell r="G486">
            <v>39037.333333333336</v>
          </cell>
          <cell r="H486" t="str">
            <v>NA</v>
          </cell>
          <cell r="I486">
            <v>38854.375</v>
          </cell>
          <cell r="J486">
            <v>39044.729166666664</v>
          </cell>
          <cell r="K486" t="str">
            <v>NA</v>
          </cell>
          <cell r="L486">
            <v>0.13</v>
          </cell>
          <cell r="M486">
            <v>3</v>
          </cell>
          <cell r="N486">
            <v>0</v>
          </cell>
          <cell r="O486">
            <v>0</v>
          </cell>
          <cell r="P486">
            <v>0</v>
          </cell>
          <cell r="Q486">
            <v>472</v>
          </cell>
          <cell r="R486">
            <v>485</v>
          </cell>
          <cell r="S486" t="str">
            <v>EQUIPE CIV</v>
          </cell>
          <cell r="T486">
            <v>39044</v>
          </cell>
        </row>
        <row r="487">
          <cell r="B487" t="str">
            <v>DC.320.DD.02</v>
          </cell>
          <cell r="D487" t="str">
            <v>Inseridos e Lajes</v>
          </cell>
          <cell r="E487" t="str">
            <v>5 dias</v>
          </cell>
          <cell r="F487">
            <v>38854.375</v>
          </cell>
          <cell r="G487">
            <v>39045.333333333336</v>
          </cell>
          <cell r="H487" t="str">
            <v>NA</v>
          </cell>
          <cell r="I487">
            <v>38861.375</v>
          </cell>
          <cell r="J487">
            <v>39051.729166666664</v>
          </cell>
          <cell r="K487" t="str">
            <v>NA</v>
          </cell>
          <cell r="L487">
            <v>0.09</v>
          </cell>
          <cell r="M487">
            <v>2</v>
          </cell>
          <cell r="N487">
            <v>0</v>
          </cell>
          <cell r="O487">
            <v>0</v>
          </cell>
          <cell r="P487">
            <v>0</v>
          </cell>
          <cell r="Q487">
            <v>484</v>
          </cell>
          <cell r="S487" t="str">
            <v>EQUIPE CIV</v>
          </cell>
          <cell r="T487">
            <v>39051</v>
          </cell>
        </row>
        <row r="488">
          <cell r="D488" t="str">
            <v>Elétrica</v>
          </cell>
          <cell r="E488" t="str">
            <v>11 dias</v>
          </cell>
          <cell r="F488">
            <v>38861.375</v>
          </cell>
          <cell r="G488">
            <v>39052.333333333336</v>
          </cell>
          <cell r="H488" t="str">
            <v>NA</v>
          </cell>
          <cell r="I488">
            <v>38916.375</v>
          </cell>
          <cell r="J488">
            <v>39066.729166666664</v>
          </cell>
          <cell r="K488" t="str">
            <v>NA</v>
          </cell>
          <cell r="L488">
            <v>0.54</v>
          </cell>
          <cell r="M488">
            <v>12.25</v>
          </cell>
          <cell r="N488">
            <v>0</v>
          </cell>
          <cell r="O488">
            <v>0</v>
          </cell>
          <cell r="P488">
            <v>0</v>
          </cell>
          <cell r="T488">
            <v>39066</v>
          </cell>
        </row>
        <row r="489">
          <cell r="D489" t="str">
            <v>Desenho De Detalhamento</v>
          </cell>
          <cell r="E489" t="str">
            <v>11 dias</v>
          </cell>
          <cell r="F489">
            <v>38861.375</v>
          </cell>
          <cell r="G489">
            <v>39052.333333333336</v>
          </cell>
          <cell r="H489" t="str">
            <v>NA</v>
          </cell>
          <cell r="I489">
            <v>38902.375</v>
          </cell>
          <cell r="J489">
            <v>39066.729166666664</v>
          </cell>
          <cell r="K489" t="str">
            <v>NA</v>
          </cell>
          <cell r="L489">
            <v>0.48</v>
          </cell>
          <cell r="M489">
            <v>11</v>
          </cell>
          <cell r="N489">
            <v>0</v>
          </cell>
          <cell r="O489">
            <v>0</v>
          </cell>
          <cell r="P489">
            <v>0</v>
          </cell>
          <cell r="R489" t="str">
            <v>491II</v>
          </cell>
          <cell r="T489">
            <v>39066</v>
          </cell>
        </row>
        <row r="490">
          <cell r="B490" t="str">
            <v>DE.320.DD.01</v>
          </cell>
          <cell r="D490" t="str">
            <v>Disposição De Força, Controle e Aterramento</v>
          </cell>
          <cell r="E490" t="str">
            <v>6 dias</v>
          </cell>
          <cell r="F490">
            <v>38861.375</v>
          </cell>
          <cell r="G490">
            <v>39052.333333333336</v>
          </cell>
          <cell r="H490" t="str">
            <v>NA</v>
          </cell>
          <cell r="I490">
            <v>38869.375</v>
          </cell>
          <cell r="J490">
            <v>39059.729166666664</v>
          </cell>
          <cell r="K490" t="str">
            <v>NA</v>
          </cell>
          <cell r="L490">
            <v>0.09</v>
          </cell>
          <cell r="M490">
            <v>2</v>
          </cell>
          <cell r="N490">
            <v>0</v>
          </cell>
          <cell r="O490">
            <v>0</v>
          </cell>
          <cell r="P490">
            <v>0</v>
          </cell>
          <cell r="Q490">
            <v>483</v>
          </cell>
          <cell r="R490" t="str">
            <v>489II;490II</v>
          </cell>
          <cell r="S490" t="str">
            <v>EQUIPE ELE</v>
          </cell>
          <cell r="T490">
            <v>39059</v>
          </cell>
        </row>
        <row r="491">
          <cell r="B491" t="str">
            <v>DE.320.DD.02</v>
          </cell>
          <cell r="D491" t="str">
            <v>Iluminação</v>
          </cell>
          <cell r="E491" t="str">
            <v>11 dias</v>
          </cell>
          <cell r="F491">
            <v>38869.375</v>
          </cell>
          <cell r="G491">
            <v>39052.333333333336</v>
          </cell>
          <cell r="H491" t="str">
            <v>NA</v>
          </cell>
          <cell r="I491">
            <v>38894.375</v>
          </cell>
          <cell r="J491">
            <v>39066.729166666664</v>
          </cell>
          <cell r="K491" t="str">
            <v>NA</v>
          </cell>
          <cell r="L491">
            <v>0.31</v>
          </cell>
          <cell r="M491">
            <v>7</v>
          </cell>
          <cell r="N491">
            <v>0</v>
          </cell>
          <cell r="O491">
            <v>0</v>
          </cell>
          <cell r="P491">
            <v>0</v>
          </cell>
          <cell r="Q491" t="str">
            <v>488II</v>
          </cell>
          <cell r="S491" t="str">
            <v>EQUIPE ELE</v>
          </cell>
          <cell r="T491">
            <v>39066</v>
          </cell>
        </row>
        <row r="492">
          <cell r="B492" t="str">
            <v>DE.320.DD.03</v>
          </cell>
          <cell r="D492" t="str">
            <v>Eletrodutos</v>
          </cell>
          <cell r="E492" t="str">
            <v>6 dias</v>
          </cell>
          <cell r="F492">
            <v>38894.375</v>
          </cell>
          <cell r="G492">
            <v>39052.333333333336</v>
          </cell>
          <cell r="H492" t="str">
            <v>NA</v>
          </cell>
          <cell r="I492">
            <v>38902.375</v>
          </cell>
          <cell r="J492">
            <v>39059.729166666664</v>
          </cell>
          <cell r="K492" t="str">
            <v>NA</v>
          </cell>
          <cell r="L492">
            <v>0.09</v>
          </cell>
          <cell r="M492">
            <v>2</v>
          </cell>
          <cell r="N492">
            <v>0</v>
          </cell>
          <cell r="O492">
            <v>0</v>
          </cell>
          <cell r="P492">
            <v>0</v>
          </cell>
          <cell r="Q492" t="str">
            <v>488II</v>
          </cell>
          <cell r="S492" t="str">
            <v>EQUIPE ELE</v>
          </cell>
          <cell r="T492">
            <v>39059</v>
          </cell>
        </row>
        <row r="493">
          <cell r="B493" t="str">
            <v>DE.320.LC.01</v>
          </cell>
          <cell r="D493" t="str">
            <v>Lista De Linhas/ Cabos</v>
          </cell>
          <cell r="E493" t="str">
            <v>8 dias</v>
          </cell>
          <cell r="F493">
            <v>38902.375</v>
          </cell>
          <cell r="G493">
            <v>39052.333333333336</v>
          </cell>
          <cell r="H493" t="str">
            <v>NA</v>
          </cell>
          <cell r="I493">
            <v>38908.375</v>
          </cell>
          <cell r="J493">
            <v>39063.729166666664</v>
          </cell>
          <cell r="K493" t="str">
            <v>NA</v>
          </cell>
          <cell r="L493">
            <v>0.05</v>
          </cell>
          <cell r="M493">
            <v>1.25</v>
          </cell>
          <cell r="N493">
            <v>0</v>
          </cell>
          <cell r="O493">
            <v>0</v>
          </cell>
          <cell r="P493">
            <v>0</v>
          </cell>
          <cell r="Q493" t="str">
            <v>487II</v>
          </cell>
          <cell r="S493" t="str">
            <v>EQUIPE ELE</v>
          </cell>
          <cell r="T493">
            <v>39063</v>
          </cell>
        </row>
        <row r="494">
          <cell r="B494" t="str">
            <v>1.2.4</v>
          </cell>
          <cell r="C494" t="str">
            <v>370A</v>
          </cell>
          <cell r="D494" t="str">
            <v>Laboratório de Análise Físico-Químicas</v>
          </cell>
          <cell r="E494" t="str">
            <v>30 dias</v>
          </cell>
          <cell r="F494">
            <v>38839.375</v>
          </cell>
          <cell r="G494">
            <v>39022.333333333336</v>
          </cell>
          <cell r="H494" t="str">
            <v>NA</v>
          </cell>
          <cell r="I494">
            <v>38904.375</v>
          </cell>
          <cell r="J494">
            <v>39066.729166666664</v>
          </cell>
          <cell r="K494" t="str">
            <v>NA</v>
          </cell>
          <cell r="L494">
            <v>0.98</v>
          </cell>
          <cell r="M494">
            <v>22.38</v>
          </cell>
          <cell r="N494">
            <v>0</v>
          </cell>
          <cell r="O494">
            <v>0</v>
          </cell>
          <cell r="P494">
            <v>0</v>
          </cell>
          <cell r="T494">
            <v>39066</v>
          </cell>
        </row>
        <row r="495">
          <cell r="D495" t="str">
            <v>Projeto Detalhado</v>
          </cell>
          <cell r="E495" t="str">
            <v>30 dias</v>
          </cell>
          <cell r="F495">
            <v>38853.375</v>
          </cell>
          <cell r="G495">
            <v>39022.333333333336</v>
          </cell>
          <cell r="H495" t="str">
            <v>NA</v>
          </cell>
          <cell r="I495">
            <v>38904.375</v>
          </cell>
          <cell r="J495">
            <v>39066.729166666664</v>
          </cell>
          <cell r="K495" t="str">
            <v>NA</v>
          </cell>
          <cell r="L495">
            <v>0.98</v>
          </cell>
          <cell r="M495">
            <v>22.38</v>
          </cell>
          <cell r="N495">
            <v>0</v>
          </cell>
          <cell r="O495">
            <v>0</v>
          </cell>
          <cell r="P495">
            <v>0</v>
          </cell>
          <cell r="T495">
            <v>39066</v>
          </cell>
        </row>
        <row r="496">
          <cell r="D496" t="str">
            <v>Civil</v>
          </cell>
          <cell r="E496" t="str">
            <v>29 dias</v>
          </cell>
          <cell r="F496">
            <v>38853.375</v>
          </cell>
          <cell r="G496">
            <v>39022.333333333336</v>
          </cell>
          <cell r="H496" t="str">
            <v>NA</v>
          </cell>
          <cell r="I496">
            <v>38881.375</v>
          </cell>
          <cell r="J496">
            <v>39065.729166666664</v>
          </cell>
          <cell r="K496" t="str">
            <v>NA</v>
          </cell>
          <cell r="L496">
            <v>0.74</v>
          </cell>
          <cell r="M496">
            <v>17</v>
          </cell>
          <cell r="N496">
            <v>0</v>
          </cell>
          <cell r="O496">
            <v>0</v>
          </cell>
          <cell r="P496">
            <v>0</v>
          </cell>
          <cell r="T496">
            <v>39065</v>
          </cell>
        </row>
        <row r="497">
          <cell r="D497" t="str">
            <v>Desenho De Detalhamento</v>
          </cell>
          <cell r="E497" t="str">
            <v>29 dias</v>
          </cell>
          <cell r="F497">
            <v>38853.375</v>
          </cell>
          <cell r="G497">
            <v>39022.333333333336</v>
          </cell>
          <cell r="H497" t="str">
            <v>NA</v>
          </cell>
          <cell r="I497">
            <v>38881.375</v>
          </cell>
          <cell r="J497">
            <v>39065.729166666664</v>
          </cell>
          <cell r="K497" t="str">
            <v>NA</v>
          </cell>
          <cell r="L497">
            <v>0.74</v>
          </cell>
          <cell r="M497">
            <v>17</v>
          </cell>
          <cell r="N497">
            <v>0</v>
          </cell>
          <cell r="O497">
            <v>0</v>
          </cell>
          <cell r="P497">
            <v>0</v>
          </cell>
          <cell r="T497">
            <v>39065</v>
          </cell>
        </row>
        <row r="498">
          <cell r="B498" t="str">
            <v>DC.370.DD.01</v>
          </cell>
          <cell r="D498" t="str">
            <v>Arquitetura</v>
          </cell>
          <cell r="E498" t="str">
            <v>9 dias</v>
          </cell>
          <cell r="F498">
            <v>38853.375</v>
          </cell>
          <cell r="G498">
            <v>39022.333333333336</v>
          </cell>
          <cell r="H498" t="str">
            <v>NA</v>
          </cell>
          <cell r="I498">
            <v>38866.375</v>
          </cell>
          <cell r="J498">
            <v>39037.729166666664</v>
          </cell>
          <cell r="K498" t="str">
            <v>NA</v>
          </cell>
          <cell r="L498">
            <v>0.26</v>
          </cell>
          <cell r="M498">
            <v>6</v>
          </cell>
          <cell r="N498">
            <v>0</v>
          </cell>
          <cell r="O498">
            <v>0</v>
          </cell>
          <cell r="P498">
            <v>0</v>
          </cell>
          <cell r="Q498">
            <v>471</v>
          </cell>
          <cell r="R498">
            <v>497</v>
          </cell>
          <cell r="S498" t="str">
            <v>EQUIPE ARQ</v>
          </cell>
          <cell r="T498">
            <v>39037</v>
          </cell>
        </row>
        <row r="499">
          <cell r="B499" t="str">
            <v>DC.370.DD.02</v>
          </cell>
          <cell r="D499" t="str">
            <v>Fundação</v>
          </cell>
          <cell r="E499" t="str">
            <v>6 dias</v>
          </cell>
          <cell r="F499">
            <v>38853.375</v>
          </cell>
          <cell r="G499">
            <v>39038.333333333336</v>
          </cell>
          <cell r="H499" t="str">
            <v>NA</v>
          </cell>
          <cell r="I499">
            <v>38861.375</v>
          </cell>
          <cell r="J499">
            <v>39045.729166666664</v>
          </cell>
          <cell r="K499" t="str">
            <v>NA</v>
          </cell>
          <cell r="L499">
            <v>0.13</v>
          </cell>
          <cell r="M499">
            <v>3</v>
          </cell>
          <cell r="N499">
            <v>0</v>
          </cell>
          <cell r="O499">
            <v>0</v>
          </cell>
          <cell r="P499">
            <v>0</v>
          </cell>
          <cell r="Q499">
            <v>496</v>
          </cell>
          <cell r="R499" t="str">
            <v>498;502</v>
          </cell>
          <cell r="S499" t="str">
            <v>EQUIPE CIV</v>
          </cell>
          <cell r="T499">
            <v>39045</v>
          </cell>
        </row>
        <row r="500">
          <cell r="B500" t="str">
            <v>DC.370.DD.03</v>
          </cell>
          <cell r="D500" t="str">
            <v>Pilares, Vigas e Lajes</v>
          </cell>
          <cell r="E500" t="str">
            <v>8 dias</v>
          </cell>
          <cell r="F500">
            <v>38861.375</v>
          </cell>
          <cell r="G500">
            <v>39048.333333333336</v>
          </cell>
          <cell r="H500" t="str">
            <v>NA</v>
          </cell>
          <cell r="I500">
            <v>38873.375</v>
          </cell>
          <cell r="J500">
            <v>39057.729166666664</v>
          </cell>
          <cell r="K500" t="str">
            <v>NA</v>
          </cell>
          <cell r="L500">
            <v>0.22</v>
          </cell>
          <cell r="M500">
            <v>5</v>
          </cell>
          <cell r="N500">
            <v>0</v>
          </cell>
          <cell r="O500">
            <v>0</v>
          </cell>
          <cell r="P500">
            <v>0</v>
          </cell>
          <cell r="Q500">
            <v>497</v>
          </cell>
          <cell r="R500">
            <v>499</v>
          </cell>
          <cell r="S500" t="str">
            <v>EQUIPE CIV</v>
          </cell>
          <cell r="T500">
            <v>39057</v>
          </cell>
        </row>
        <row r="501">
          <cell r="B501" t="str">
            <v>DC.370.DD.04</v>
          </cell>
          <cell r="D501" t="str">
            <v>Hidráulica</v>
          </cell>
          <cell r="E501" t="str">
            <v>6 dias</v>
          </cell>
          <cell r="F501">
            <v>38873.375</v>
          </cell>
          <cell r="G501">
            <v>39058.333333333336</v>
          </cell>
          <cell r="H501" t="str">
            <v>NA</v>
          </cell>
          <cell r="I501">
            <v>38881.375</v>
          </cell>
          <cell r="J501">
            <v>39065.729166666664</v>
          </cell>
          <cell r="K501" t="str">
            <v>NA</v>
          </cell>
          <cell r="L501">
            <v>0.13</v>
          </cell>
          <cell r="M501">
            <v>3</v>
          </cell>
          <cell r="N501">
            <v>0</v>
          </cell>
          <cell r="O501">
            <v>0</v>
          </cell>
          <cell r="P501">
            <v>0</v>
          </cell>
          <cell r="Q501">
            <v>498</v>
          </cell>
          <cell r="S501" t="str">
            <v>EQUIPE CIV</v>
          </cell>
          <cell r="T501">
            <v>39065</v>
          </cell>
        </row>
        <row r="502">
          <cell r="D502" t="str">
            <v>Elétrica</v>
          </cell>
          <cell r="E502" t="str">
            <v>15 dias</v>
          </cell>
          <cell r="F502">
            <v>38881.375</v>
          </cell>
          <cell r="G502">
            <v>39048.333333333336</v>
          </cell>
          <cell r="H502" t="str">
            <v>NA</v>
          </cell>
          <cell r="I502">
            <v>38904.375</v>
          </cell>
          <cell r="J502">
            <v>39066.729166666664</v>
          </cell>
          <cell r="K502" t="str">
            <v>NA</v>
          </cell>
          <cell r="L502">
            <v>0.23</v>
          </cell>
          <cell r="M502">
            <v>5.38</v>
          </cell>
          <cell r="N502">
            <v>0</v>
          </cell>
          <cell r="O502">
            <v>0</v>
          </cell>
          <cell r="P502">
            <v>0</v>
          </cell>
          <cell r="T502">
            <v>39066</v>
          </cell>
        </row>
        <row r="503">
          <cell r="D503" t="str">
            <v>Desenho De Detalhamento</v>
          </cell>
          <cell r="E503" t="str">
            <v>13 dias</v>
          </cell>
          <cell r="F503">
            <v>38881.375</v>
          </cell>
          <cell r="G503">
            <v>39048.333333333336</v>
          </cell>
          <cell r="H503" t="str">
            <v>NA</v>
          </cell>
          <cell r="I503">
            <v>38902.375</v>
          </cell>
          <cell r="J503">
            <v>39064.729166666664</v>
          </cell>
          <cell r="K503" t="str">
            <v>NA</v>
          </cell>
          <cell r="L503">
            <v>0.22</v>
          </cell>
          <cell r="M503">
            <v>5</v>
          </cell>
          <cell r="N503">
            <v>0</v>
          </cell>
          <cell r="O503">
            <v>0</v>
          </cell>
          <cell r="P503">
            <v>0</v>
          </cell>
          <cell r="R503">
            <v>504</v>
          </cell>
          <cell r="T503">
            <v>39064</v>
          </cell>
        </row>
        <row r="504">
          <cell r="B504" t="str">
            <v>DE.370.DD.01</v>
          </cell>
          <cell r="D504" t="str">
            <v>Aterramento</v>
          </cell>
          <cell r="E504" t="str">
            <v>4 dias</v>
          </cell>
          <cell r="F504">
            <v>38881.375</v>
          </cell>
          <cell r="G504">
            <v>39048.333333333336</v>
          </cell>
          <cell r="H504" t="str">
            <v>NA</v>
          </cell>
          <cell r="I504">
            <v>38889.375</v>
          </cell>
          <cell r="J504">
            <v>39051.729166666664</v>
          </cell>
          <cell r="K504" t="str">
            <v>NA</v>
          </cell>
          <cell r="L504">
            <v>0.04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497</v>
          </cell>
          <cell r="R504">
            <v>503</v>
          </cell>
          <cell r="S504" t="str">
            <v>EQUIPE ELE</v>
          </cell>
          <cell r="T504">
            <v>39051</v>
          </cell>
        </row>
        <row r="505">
          <cell r="B505" t="str">
            <v>DE.370.DD.02</v>
          </cell>
          <cell r="D505" t="str">
            <v>Iluminação</v>
          </cell>
          <cell r="E505" t="str">
            <v>9 dias</v>
          </cell>
          <cell r="F505">
            <v>38889.375</v>
          </cell>
          <cell r="G505">
            <v>39052.333333333336</v>
          </cell>
          <cell r="H505" t="str">
            <v>NA</v>
          </cell>
          <cell r="I505">
            <v>38902.375</v>
          </cell>
          <cell r="J505">
            <v>39064.729166666664</v>
          </cell>
          <cell r="K505" t="str">
            <v>NA</v>
          </cell>
          <cell r="L505">
            <v>0.17</v>
          </cell>
          <cell r="M505">
            <v>4</v>
          </cell>
          <cell r="N505">
            <v>0</v>
          </cell>
          <cell r="O505">
            <v>0</v>
          </cell>
          <cell r="P505">
            <v>0</v>
          </cell>
          <cell r="Q505">
            <v>502</v>
          </cell>
          <cell r="S505" t="str">
            <v>EQUIPE ELE</v>
          </cell>
          <cell r="T505">
            <v>39064</v>
          </cell>
        </row>
        <row r="506">
          <cell r="B506" t="str">
            <v>DE.370.LC.01</v>
          </cell>
          <cell r="D506" t="str">
            <v>Lista De Linhas/ Cabos</v>
          </cell>
          <cell r="E506" t="str">
            <v>2 dias</v>
          </cell>
          <cell r="F506">
            <v>38902.375</v>
          </cell>
          <cell r="G506">
            <v>39065.333333333336</v>
          </cell>
          <cell r="H506" t="str">
            <v>NA</v>
          </cell>
          <cell r="I506">
            <v>38904.375</v>
          </cell>
          <cell r="J506">
            <v>39066.729166666664</v>
          </cell>
          <cell r="K506" t="str">
            <v>NA</v>
          </cell>
          <cell r="L506">
            <v>0.02</v>
          </cell>
          <cell r="M506">
            <v>0.38</v>
          </cell>
          <cell r="N506">
            <v>0</v>
          </cell>
          <cell r="O506">
            <v>0</v>
          </cell>
          <cell r="P506">
            <v>0</v>
          </cell>
          <cell r="Q506">
            <v>501</v>
          </cell>
          <cell r="S506" t="str">
            <v>EQUIPE ELE</v>
          </cell>
          <cell r="T506">
            <v>39066</v>
          </cell>
        </row>
        <row r="507">
          <cell r="B507" t="str">
            <v>1.3</v>
          </cell>
          <cell r="C507" t="str">
            <v>400A</v>
          </cell>
          <cell r="D507" t="str">
            <v>APOIO ADMINISTRATIVO</v>
          </cell>
          <cell r="E507" t="str">
            <v>107 dias</v>
          </cell>
          <cell r="F507">
            <v>38853.375</v>
          </cell>
          <cell r="G507">
            <v>38905.333333333336</v>
          </cell>
          <cell r="H507">
            <v>38905.333333333336</v>
          </cell>
          <cell r="I507">
            <v>38966.375</v>
          </cell>
          <cell r="J507">
            <v>39066.729166666664</v>
          </cell>
          <cell r="K507" t="str">
            <v>NA</v>
          </cell>
          <cell r="L507">
            <v>4.63</v>
          </cell>
          <cell r="M507">
            <v>106</v>
          </cell>
          <cell r="N507">
            <v>10.58</v>
          </cell>
          <cell r="O507">
            <v>9.98</v>
          </cell>
          <cell r="P507">
            <v>9.98</v>
          </cell>
          <cell r="T507">
            <v>39066</v>
          </cell>
        </row>
        <row r="508">
          <cell r="B508" t="str">
            <v>1.3.1</v>
          </cell>
          <cell r="C508" t="str">
            <v>405A</v>
          </cell>
          <cell r="D508" t="str">
            <v>Geral</v>
          </cell>
          <cell r="E508" t="str">
            <v>40 dias</v>
          </cell>
          <cell r="F508" t="str">
            <v>NA</v>
          </cell>
          <cell r="G508">
            <v>38905.333333333336</v>
          </cell>
          <cell r="H508">
            <v>38905.333333333336</v>
          </cell>
          <cell r="I508" t="str">
            <v>NA</v>
          </cell>
          <cell r="J508">
            <v>38964.729166666664</v>
          </cell>
          <cell r="K508" t="str">
            <v>NA</v>
          </cell>
          <cell r="L508">
            <v>0.51</v>
          </cell>
          <cell r="M508">
            <v>11.63</v>
          </cell>
          <cell r="N508">
            <v>10.58</v>
          </cell>
          <cell r="O508">
            <v>90.97</v>
          </cell>
          <cell r="P508">
            <v>90.97</v>
          </cell>
          <cell r="T508">
            <v>38964</v>
          </cell>
        </row>
        <row r="509">
          <cell r="D509" t="str">
            <v>Projeto Básico</v>
          </cell>
          <cell r="E509" t="str">
            <v>32 dias</v>
          </cell>
          <cell r="F509" t="str">
            <v>NA</v>
          </cell>
          <cell r="G509">
            <v>38917.333333333336</v>
          </cell>
          <cell r="H509">
            <v>38917.333333333336</v>
          </cell>
          <cell r="I509" t="str">
            <v>NA</v>
          </cell>
          <cell r="J509">
            <v>38964.729166666664</v>
          </cell>
          <cell r="K509" t="str">
            <v>NA</v>
          </cell>
          <cell r="L509">
            <v>0.44</v>
          </cell>
          <cell r="M509">
            <v>10.130000000000001</v>
          </cell>
          <cell r="N509">
            <v>9.23</v>
          </cell>
          <cell r="O509">
            <v>91.11</v>
          </cell>
          <cell r="P509">
            <v>91.11</v>
          </cell>
          <cell r="T509">
            <v>38964</v>
          </cell>
        </row>
        <row r="510">
          <cell r="D510" t="str">
            <v>Mecânica</v>
          </cell>
          <cell r="E510" t="str">
            <v>9 dias</v>
          </cell>
          <cell r="F510" t="str">
            <v>NA</v>
          </cell>
          <cell r="G510">
            <v>38952.333333333336</v>
          </cell>
          <cell r="H510">
            <v>38952.333333333336</v>
          </cell>
          <cell r="I510" t="str">
            <v>NA</v>
          </cell>
          <cell r="J510">
            <v>38964.729166666664</v>
          </cell>
          <cell r="K510" t="str">
            <v>NA</v>
          </cell>
          <cell r="L510">
            <v>0.25</v>
          </cell>
          <cell r="M510">
            <v>5.63</v>
          </cell>
          <cell r="N510">
            <v>5.0599999999999996</v>
          </cell>
          <cell r="O510">
            <v>0</v>
          </cell>
          <cell r="P510">
            <v>90</v>
          </cell>
          <cell r="T510">
            <v>38964</v>
          </cell>
        </row>
        <row r="511">
          <cell r="B511" t="str">
            <v>BB.405.OI.01</v>
          </cell>
          <cell r="D511" t="str">
            <v>Orçamento De Investimentos</v>
          </cell>
          <cell r="E511" t="str">
            <v>9 dias</v>
          </cell>
          <cell r="F511" t="str">
            <v>NA</v>
          </cell>
          <cell r="G511">
            <v>38952.333333333336</v>
          </cell>
          <cell r="H511">
            <v>38952.333333333336</v>
          </cell>
          <cell r="I511" t="str">
            <v>NA</v>
          </cell>
          <cell r="J511">
            <v>38964.729166666664</v>
          </cell>
          <cell r="K511" t="str">
            <v>NA</v>
          </cell>
          <cell r="L511">
            <v>0.25</v>
          </cell>
          <cell r="M511">
            <v>5.63</v>
          </cell>
          <cell r="N511">
            <v>5.0599999999999996</v>
          </cell>
          <cell r="O511">
            <v>0</v>
          </cell>
          <cell r="P511">
            <v>90</v>
          </cell>
          <cell r="Q511" t="str">
            <v>34II</v>
          </cell>
          <cell r="S511" t="str">
            <v>EQUIPE MEC</v>
          </cell>
          <cell r="T511">
            <v>38964</v>
          </cell>
        </row>
        <row r="512">
          <cell r="D512" t="str">
            <v>Civil</v>
          </cell>
          <cell r="E512" t="str">
            <v>5 dias</v>
          </cell>
          <cell r="F512" t="str">
            <v>NA</v>
          </cell>
          <cell r="G512">
            <v>38917.333333333336</v>
          </cell>
          <cell r="H512">
            <v>38917.333333333336</v>
          </cell>
          <cell r="I512" t="str">
            <v>NA</v>
          </cell>
          <cell r="J512">
            <v>38923.729166666664</v>
          </cell>
          <cell r="K512" t="str">
            <v>NA</v>
          </cell>
          <cell r="L512">
            <v>0.2</v>
          </cell>
          <cell r="M512">
            <v>4.5</v>
          </cell>
          <cell r="N512">
            <v>4.16</v>
          </cell>
          <cell r="O512">
            <v>0</v>
          </cell>
          <cell r="P512">
            <v>92.5</v>
          </cell>
          <cell r="T512">
            <v>38923</v>
          </cell>
        </row>
        <row r="513">
          <cell r="B513" t="str">
            <v>BC.405.PQ.01</v>
          </cell>
          <cell r="D513" t="str">
            <v>Planilha De Quantitativos - Arquitetura</v>
          </cell>
          <cell r="E513" t="str">
            <v>5 dias</v>
          </cell>
          <cell r="F513" t="str">
            <v>NA</v>
          </cell>
          <cell r="G513">
            <v>38917.333333333336</v>
          </cell>
          <cell r="H513">
            <v>38917.333333333336</v>
          </cell>
          <cell r="I513" t="str">
            <v>NA</v>
          </cell>
          <cell r="J513">
            <v>38923.729166666664</v>
          </cell>
          <cell r="K513" t="str">
            <v>NA</v>
          </cell>
          <cell r="L513">
            <v>0.2</v>
          </cell>
          <cell r="M513">
            <v>4.5</v>
          </cell>
          <cell r="N513">
            <v>4.16</v>
          </cell>
          <cell r="O513">
            <v>0</v>
          </cell>
          <cell r="P513">
            <v>92.5</v>
          </cell>
          <cell r="Q513" t="str">
            <v>16II</v>
          </cell>
          <cell r="S513" t="str">
            <v>EQUIPE ARQ</v>
          </cell>
          <cell r="T513">
            <v>38923</v>
          </cell>
        </row>
        <row r="514">
          <cell r="D514" t="str">
            <v>Projeto Detalhado</v>
          </cell>
          <cell r="E514" t="str">
            <v>5 dias</v>
          </cell>
          <cell r="F514" t="str">
            <v>NA</v>
          </cell>
          <cell r="G514">
            <v>38905.333333333336</v>
          </cell>
          <cell r="H514">
            <v>38905.333333333336</v>
          </cell>
          <cell r="I514" t="str">
            <v>NA</v>
          </cell>
          <cell r="J514">
            <v>38911.729166666664</v>
          </cell>
          <cell r="K514" t="str">
            <v>NA</v>
          </cell>
          <cell r="L514">
            <v>7.0000000000000007E-2</v>
          </cell>
          <cell r="M514">
            <v>1.5</v>
          </cell>
          <cell r="N514">
            <v>1.35</v>
          </cell>
          <cell r="O514">
            <v>90</v>
          </cell>
          <cell r="P514">
            <v>90</v>
          </cell>
          <cell r="T514">
            <v>38911</v>
          </cell>
        </row>
        <row r="515">
          <cell r="D515" t="str">
            <v>Civil</v>
          </cell>
          <cell r="E515" t="str">
            <v>5 dias</v>
          </cell>
          <cell r="F515" t="str">
            <v>NA</v>
          </cell>
          <cell r="G515">
            <v>38905.333333333336</v>
          </cell>
          <cell r="H515">
            <v>38905.333333333336</v>
          </cell>
          <cell r="I515" t="str">
            <v>NA</v>
          </cell>
          <cell r="J515">
            <v>38911.729166666664</v>
          </cell>
          <cell r="K515" t="str">
            <v>NA</v>
          </cell>
          <cell r="L515">
            <v>7.0000000000000007E-2</v>
          </cell>
          <cell r="M515">
            <v>1.5</v>
          </cell>
          <cell r="N515">
            <v>1.35</v>
          </cell>
          <cell r="O515">
            <v>0</v>
          </cell>
          <cell r="P515">
            <v>90</v>
          </cell>
          <cell r="T515">
            <v>38911</v>
          </cell>
        </row>
        <row r="516">
          <cell r="B516" t="str">
            <v>DC.405.RT.01</v>
          </cell>
          <cell r="D516" t="str">
            <v>Relatório Técnico Arquitetura - Viagem</v>
          </cell>
          <cell r="E516" t="str">
            <v>5 dias</v>
          </cell>
          <cell r="F516" t="str">
            <v>NA</v>
          </cell>
          <cell r="G516">
            <v>38905.333333333336</v>
          </cell>
          <cell r="H516">
            <v>38905.333333333336</v>
          </cell>
          <cell r="I516" t="str">
            <v>NA</v>
          </cell>
          <cell r="J516">
            <v>38911.729166666664</v>
          </cell>
          <cell r="K516" t="str">
            <v>NA</v>
          </cell>
          <cell r="L516">
            <v>7.0000000000000007E-2</v>
          </cell>
          <cell r="M516">
            <v>1.5</v>
          </cell>
          <cell r="N516">
            <v>1.35</v>
          </cell>
          <cell r="O516">
            <v>0</v>
          </cell>
          <cell r="P516">
            <v>90</v>
          </cell>
          <cell r="Q516" t="str">
            <v>16II</v>
          </cell>
          <cell r="S516" t="str">
            <v>EQUIPE ARQ</v>
          </cell>
          <cell r="T516">
            <v>38911</v>
          </cell>
        </row>
        <row r="517">
          <cell r="B517" t="str">
            <v>1.3.2</v>
          </cell>
          <cell r="C517" t="str">
            <v>410A</v>
          </cell>
          <cell r="D517" t="str">
            <v>Escritórios</v>
          </cell>
          <cell r="E517" t="str">
            <v>28 dias</v>
          </cell>
          <cell r="F517">
            <v>38853.375</v>
          </cell>
          <cell r="G517">
            <v>39022.333333333336</v>
          </cell>
          <cell r="H517" t="str">
            <v>NA</v>
          </cell>
          <cell r="I517">
            <v>38926.375</v>
          </cell>
          <cell r="J517">
            <v>39064.729166666664</v>
          </cell>
          <cell r="K517" t="str">
            <v>NA</v>
          </cell>
          <cell r="L517">
            <v>1.02</v>
          </cell>
          <cell r="M517">
            <v>23.38</v>
          </cell>
          <cell r="N517">
            <v>0</v>
          </cell>
          <cell r="O517">
            <v>0</v>
          </cell>
          <cell r="P517">
            <v>0</v>
          </cell>
          <cell r="T517">
            <v>39064</v>
          </cell>
        </row>
        <row r="518">
          <cell r="D518" t="str">
            <v>Projeto Detalhado</v>
          </cell>
          <cell r="E518" t="str">
            <v>28 dias</v>
          </cell>
          <cell r="F518">
            <v>38867.375</v>
          </cell>
          <cell r="G518">
            <v>39022.333333333336</v>
          </cell>
          <cell r="H518" t="str">
            <v>NA</v>
          </cell>
          <cell r="I518">
            <v>38926.375</v>
          </cell>
          <cell r="J518">
            <v>39064.729166666664</v>
          </cell>
          <cell r="K518" t="str">
            <v>NA</v>
          </cell>
          <cell r="L518">
            <v>1.02</v>
          </cell>
          <cell r="M518">
            <v>23.38</v>
          </cell>
          <cell r="N518">
            <v>0</v>
          </cell>
          <cell r="O518">
            <v>0</v>
          </cell>
          <cell r="P518">
            <v>0</v>
          </cell>
          <cell r="T518">
            <v>39064</v>
          </cell>
        </row>
        <row r="519">
          <cell r="D519" t="str">
            <v>Civil</v>
          </cell>
          <cell r="E519" t="str">
            <v>28 dias</v>
          </cell>
          <cell r="F519">
            <v>38867.375</v>
          </cell>
          <cell r="G519">
            <v>39022.333333333336</v>
          </cell>
          <cell r="H519" t="str">
            <v>NA</v>
          </cell>
          <cell r="I519">
            <v>38904.375</v>
          </cell>
          <cell r="J519">
            <v>39064.729166666664</v>
          </cell>
          <cell r="K519" t="str">
            <v>NA</v>
          </cell>
          <cell r="L519">
            <v>0.83</v>
          </cell>
          <cell r="M519">
            <v>19</v>
          </cell>
          <cell r="N519">
            <v>0</v>
          </cell>
          <cell r="O519">
            <v>0</v>
          </cell>
          <cell r="P519">
            <v>0</v>
          </cell>
          <cell r="T519">
            <v>39064</v>
          </cell>
        </row>
        <row r="520">
          <cell r="D520" t="str">
            <v>Desenho De Detalhamento</v>
          </cell>
          <cell r="E520" t="str">
            <v>28 dias</v>
          </cell>
          <cell r="F520">
            <v>38867.375</v>
          </cell>
          <cell r="G520">
            <v>39022.333333333336</v>
          </cell>
          <cell r="H520" t="str">
            <v>NA</v>
          </cell>
          <cell r="I520">
            <v>38904.375</v>
          </cell>
          <cell r="J520">
            <v>39064.729166666664</v>
          </cell>
          <cell r="K520" t="str">
            <v>NA</v>
          </cell>
          <cell r="L520">
            <v>0.83</v>
          </cell>
          <cell r="M520">
            <v>19</v>
          </cell>
          <cell r="N520">
            <v>0</v>
          </cell>
          <cell r="O520">
            <v>0</v>
          </cell>
          <cell r="P520">
            <v>0</v>
          </cell>
          <cell r="T520">
            <v>39064</v>
          </cell>
        </row>
        <row r="521">
          <cell r="B521" t="str">
            <v>DC.410.DD.01</v>
          </cell>
          <cell r="D521" t="str">
            <v>Arquitetura</v>
          </cell>
          <cell r="E521" t="str">
            <v>9 dias</v>
          </cell>
          <cell r="F521">
            <v>38867.375</v>
          </cell>
          <cell r="G521">
            <v>39022.333333333336</v>
          </cell>
          <cell r="H521" t="str">
            <v>NA</v>
          </cell>
          <cell r="I521">
            <v>38880.375</v>
          </cell>
          <cell r="J521">
            <v>39037.729166666664</v>
          </cell>
          <cell r="K521" t="str">
            <v>NA</v>
          </cell>
          <cell r="L521">
            <v>0.26</v>
          </cell>
          <cell r="M521">
            <v>6</v>
          </cell>
          <cell r="N521">
            <v>0</v>
          </cell>
          <cell r="O521">
            <v>0</v>
          </cell>
          <cell r="P521">
            <v>0</v>
          </cell>
          <cell r="Q521">
            <v>471</v>
          </cell>
          <cell r="R521">
            <v>520</v>
          </cell>
          <cell r="S521" t="str">
            <v>EQUIPE ARQ</v>
          </cell>
          <cell r="T521">
            <v>39037</v>
          </cell>
        </row>
        <row r="522">
          <cell r="B522" t="str">
            <v>DC.410.DD.02</v>
          </cell>
          <cell r="D522" t="str">
            <v>Fundação</v>
          </cell>
          <cell r="E522" t="str">
            <v>5 dias</v>
          </cell>
          <cell r="F522">
            <v>38867.375</v>
          </cell>
          <cell r="G522">
            <v>39038.333333333336</v>
          </cell>
          <cell r="H522" t="str">
            <v>NA</v>
          </cell>
          <cell r="I522">
            <v>38874.375</v>
          </cell>
          <cell r="J522">
            <v>39044.729166666664</v>
          </cell>
          <cell r="K522" t="str">
            <v>NA</v>
          </cell>
          <cell r="L522">
            <v>0.09</v>
          </cell>
          <cell r="M522">
            <v>2</v>
          </cell>
          <cell r="N522">
            <v>0</v>
          </cell>
          <cell r="O522">
            <v>0</v>
          </cell>
          <cell r="P522">
            <v>0</v>
          </cell>
          <cell r="Q522">
            <v>519</v>
          </cell>
          <cell r="R522" t="str">
            <v>521;526</v>
          </cell>
          <cell r="S522" t="str">
            <v>EQUIPE CIV</v>
          </cell>
          <cell r="T522">
            <v>39044</v>
          </cell>
        </row>
        <row r="523">
          <cell r="B523" t="str">
            <v>DC.410.DD.03</v>
          </cell>
          <cell r="D523" t="str">
            <v>Sapatas e Pilares</v>
          </cell>
          <cell r="E523" t="str">
            <v>7 dias</v>
          </cell>
          <cell r="F523">
            <v>38874.375</v>
          </cell>
          <cell r="G523">
            <v>39045.333333333336</v>
          </cell>
          <cell r="H523" t="str">
            <v>NA</v>
          </cell>
          <cell r="I523">
            <v>38887.375</v>
          </cell>
          <cell r="J523">
            <v>39055.729166666664</v>
          </cell>
          <cell r="K523" t="str">
            <v>NA</v>
          </cell>
          <cell r="L523">
            <v>0.17</v>
          </cell>
          <cell r="M523">
            <v>4</v>
          </cell>
          <cell r="N523">
            <v>0</v>
          </cell>
          <cell r="O523">
            <v>0</v>
          </cell>
          <cell r="P523">
            <v>0</v>
          </cell>
          <cell r="Q523">
            <v>520</v>
          </cell>
          <cell r="R523" t="str">
            <v>522;523</v>
          </cell>
          <cell r="S523" t="str">
            <v>EQUIPE CIV</v>
          </cell>
          <cell r="T523">
            <v>39055</v>
          </cell>
        </row>
        <row r="524">
          <cell r="B524" t="str">
            <v>DC.410.DD.04</v>
          </cell>
          <cell r="D524" t="str">
            <v>Lajes</v>
          </cell>
          <cell r="E524" t="str">
            <v>7 dias</v>
          </cell>
          <cell r="F524">
            <v>38887.375</v>
          </cell>
          <cell r="G524">
            <v>39056.333333333336</v>
          </cell>
          <cell r="H524" t="str">
            <v>NA</v>
          </cell>
          <cell r="I524">
            <v>38896.375</v>
          </cell>
          <cell r="J524">
            <v>39064.729166666664</v>
          </cell>
          <cell r="K524" t="str">
            <v>NA</v>
          </cell>
          <cell r="L524">
            <v>0.17</v>
          </cell>
          <cell r="M524">
            <v>4</v>
          </cell>
          <cell r="N524">
            <v>0</v>
          </cell>
          <cell r="O524">
            <v>0</v>
          </cell>
          <cell r="P524">
            <v>0</v>
          </cell>
          <cell r="Q524">
            <v>521</v>
          </cell>
          <cell r="S524" t="str">
            <v>EQUIPE CIV</v>
          </cell>
          <cell r="T524">
            <v>39064</v>
          </cell>
        </row>
        <row r="525">
          <cell r="B525" t="str">
            <v>DC.410.DD.05</v>
          </cell>
          <cell r="D525" t="str">
            <v>Hidrosanitário</v>
          </cell>
          <cell r="E525" t="str">
            <v>6 dias</v>
          </cell>
          <cell r="F525">
            <v>38896.375</v>
          </cell>
          <cell r="G525">
            <v>39056.333333333336</v>
          </cell>
          <cell r="H525" t="str">
            <v>NA</v>
          </cell>
          <cell r="I525">
            <v>38904.375</v>
          </cell>
          <cell r="J525">
            <v>39063.729166666664</v>
          </cell>
          <cell r="K525" t="str">
            <v>NA</v>
          </cell>
          <cell r="L525">
            <v>0.13</v>
          </cell>
          <cell r="M525">
            <v>3</v>
          </cell>
          <cell r="N525">
            <v>0</v>
          </cell>
          <cell r="O525">
            <v>0</v>
          </cell>
          <cell r="P525">
            <v>0</v>
          </cell>
          <cell r="Q525">
            <v>521</v>
          </cell>
          <cell r="S525" t="str">
            <v>EQUIPE CIV</v>
          </cell>
          <cell r="T525">
            <v>39063</v>
          </cell>
        </row>
        <row r="526">
          <cell r="D526" t="str">
            <v>Elétrica</v>
          </cell>
          <cell r="E526" t="str">
            <v>14 dias</v>
          </cell>
          <cell r="F526">
            <v>38904.375</v>
          </cell>
          <cell r="G526">
            <v>39045.333333333336</v>
          </cell>
          <cell r="H526" t="str">
            <v>NA</v>
          </cell>
          <cell r="I526">
            <v>38926.375</v>
          </cell>
          <cell r="J526">
            <v>39064.729166666664</v>
          </cell>
          <cell r="K526" t="str">
            <v>NA</v>
          </cell>
          <cell r="L526">
            <v>0.19</v>
          </cell>
          <cell r="M526">
            <v>4.38</v>
          </cell>
          <cell r="N526">
            <v>0</v>
          </cell>
          <cell r="O526">
            <v>0</v>
          </cell>
          <cell r="P526">
            <v>0</v>
          </cell>
          <cell r="T526">
            <v>39064</v>
          </cell>
        </row>
        <row r="527">
          <cell r="D527" t="str">
            <v>Desenho De Detalhamento</v>
          </cell>
          <cell r="E527" t="str">
            <v>12 dias</v>
          </cell>
          <cell r="F527">
            <v>38904.375</v>
          </cell>
          <cell r="G527">
            <v>39045.333333333336</v>
          </cell>
          <cell r="H527" t="str">
            <v>NA</v>
          </cell>
          <cell r="I527">
            <v>38922.375</v>
          </cell>
          <cell r="J527">
            <v>39062.729166666664</v>
          </cell>
          <cell r="K527" t="str">
            <v>NA</v>
          </cell>
          <cell r="L527">
            <v>0.17</v>
          </cell>
          <cell r="M527">
            <v>4</v>
          </cell>
          <cell r="N527">
            <v>0</v>
          </cell>
          <cell r="O527">
            <v>0</v>
          </cell>
          <cell r="P527">
            <v>0</v>
          </cell>
          <cell r="R527">
            <v>528</v>
          </cell>
          <cell r="T527">
            <v>39062</v>
          </cell>
        </row>
        <row r="528">
          <cell r="B528" t="str">
            <v>DE.410.DD.01</v>
          </cell>
          <cell r="D528" t="str">
            <v>Iluminação</v>
          </cell>
          <cell r="E528" t="str">
            <v>6 dias</v>
          </cell>
          <cell r="F528">
            <v>38904.375</v>
          </cell>
          <cell r="G528">
            <v>39045.333333333336</v>
          </cell>
          <cell r="H528" t="str">
            <v>NA</v>
          </cell>
          <cell r="I528">
            <v>38912.375</v>
          </cell>
          <cell r="J528">
            <v>39052.729166666664</v>
          </cell>
          <cell r="K528" t="str">
            <v>NA</v>
          </cell>
          <cell r="L528">
            <v>0.09</v>
          </cell>
          <cell r="M528">
            <v>2</v>
          </cell>
          <cell r="N528">
            <v>0</v>
          </cell>
          <cell r="O528">
            <v>0</v>
          </cell>
          <cell r="P528">
            <v>0</v>
          </cell>
          <cell r="Q528">
            <v>520</v>
          </cell>
          <cell r="R528">
            <v>527</v>
          </cell>
          <cell r="S528" t="str">
            <v>EQUIPE ELE</v>
          </cell>
          <cell r="T528">
            <v>39052</v>
          </cell>
        </row>
        <row r="529">
          <cell r="B529" t="str">
            <v>DE.410.DD.02</v>
          </cell>
          <cell r="D529" t="str">
            <v>Eletrodutos</v>
          </cell>
          <cell r="E529" t="str">
            <v>6 dias</v>
          </cell>
          <cell r="F529">
            <v>38912.375</v>
          </cell>
          <cell r="G529">
            <v>39055.333333333336</v>
          </cell>
          <cell r="H529" t="str">
            <v>NA</v>
          </cell>
          <cell r="I529">
            <v>38922.375</v>
          </cell>
          <cell r="J529">
            <v>39062.729166666664</v>
          </cell>
          <cell r="K529" t="str">
            <v>NA</v>
          </cell>
          <cell r="L529">
            <v>0.09</v>
          </cell>
          <cell r="M529">
            <v>2</v>
          </cell>
          <cell r="N529">
            <v>0</v>
          </cell>
          <cell r="O529">
            <v>0</v>
          </cell>
          <cell r="P529">
            <v>0</v>
          </cell>
          <cell r="Q529">
            <v>526</v>
          </cell>
          <cell r="S529" t="str">
            <v>EQUIPE ELE</v>
          </cell>
          <cell r="T529">
            <v>39062</v>
          </cell>
        </row>
        <row r="530">
          <cell r="B530" t="str">
            <v>DE.410.LC.01</v>
          </cell>
          <cell r="D530" t="str">
            <v>Lista De Linhas/ Cabos</v>
          </cell>
          <cell r="E530" t="str">
            <v>2 dias</v>
          </cell>
          <cell r="F530">
            <v>38922.375</v>
          </cell>
          <cell r="G530">
            <v>39063.333333333336</v>
          </cell>
          <cell r="H530" t="str">
            <v>NA</v>
          </cell>
          <cell r="I530">
            <v>38924.375</v>
          </cell>
          <cell r="J530">
            <v>39064.729166666664</v>
          </cell>
          <cell r="K530" t="str">
            <v>NA</v>
          </cell>
          <cell r="L530">
            <v>0.02</v>
          </cell>
          <cell r="M530">
            <v>0.38</v>
          </cell>
          <cell r="N530">
            <v>0</v>
          </cell>
          <cell r="O530">
            <v>0</v>
          </cell>
          <cell r="P530">
            <v>0</v>
          </cell>
          <cell r="Q530">
            <v>525</v>
          </cell>
          <cell r="S530" t="str">
            <v>EQUIPE ELE</v>
          </cell>
          <cell r="T530">
            <v>39064</v>
          </cell>
        </row>
        <row r="531">
          <cell r="B531" t="str">
            <v>1.3.3</v>
          </cell>
          <cell r="C531" t="str">
            <v>420A</v>
          </cell>
          <cell r="D531" t="str">
            <v>Vestiários</v>
          </cell>
          <cell r="E531" t="str">
            <v>25 dias</v>
          </cell>
          <cell r="F531">
            <v>38860.375</v>
          </cell>
          <cell r="G531">
            <v>39022.333333333336</v>
          </cell>
          <cell r="H531" t="str">
            <v>NA</v>
          </cell>
          <cell r="I531">
            <v>38901.375</v>
          </cell>
          <cell r="J531">
            <v>39059.729166666664</v>
          </cell>
          <cell r="K531" t="str">
            <v>NA</v>
          </cell>
          <cell r="L531">
            <v>0.52</v>
          </cell>
          <cell r="M531">
            <v>12</v>
          </cell>
          <cell r="N531">
            <v>0</v>
          </cell>
          <cell r="O531">
            <v>0</v>
          </cell>
          <cell r="P531">
            <v>0</v>
          </cell>
          <cell r="T531">
            <v>39059</v>
          </cell>
        </row>
        <row r="532">
          <cell r="D532" t="str">
            <v>Projeto Detalhado</v>
          </cell>
          <cell r="E532" t="str">
            <v>25 dias</v>
          </cell>
          <cell r="F532">
            <v>38874.375</v>
          </cell>
          <cell r="G532">
            <v>39022.333333333336</v>
          </cell>
          <cell r="H532" t="str">
            <v>NA</v>
          </cell>
          <cell r="I532">
            <v>38901.375</v>
          </cell>
          <cell r="J532">
            <v>39059.729166666664</v>
          </cell>
          <cell r="K532" t="str">
            <v>NA</v>
          </cell>
          <cell r="L532">
            <v>0.52</v>
          </cell>
          <cell r="M532">
            <v>12</v>
          </cell>
          <cell r="N532">
            <v>0</v>
          </cell>
          <cell r="O532">
            <v>0</v>
          </cell>
          <cell r="P532">
            <v>0</v>
          </cell>
          <cell r="T532">
            <v>39059</v>
          </cell>
        </row>
        <row r="533">
          <cell r="D533" t="str">
            <v>Civil</v>
          </cell>
          <cell r="E533" t="str">
            <v>21 dias</v>
          </cell>
          <cell r="F533">
            <v>38874.375</v>
          </cell>
          <cell r="G533">
            <v>39022.333333333336</v>
          </cell>
          <cell r="H533" t="str">
            <v>NA</v>
          </cell>
          <cell r="I533">
            <v>38891.375</v>
          </cell>
          <cell r="J533">
            <v>39055.729166666664</v>
          </cell>
          <cell r="K533" t="str">
            <v>NA</v>
          </cell>
          <cell r="L533">
            <v>0.48</v>
          </cell>
          <cell r="M533">
            <v>11</v>
          </cell>
          <cell r="N533">
            <v>0</v>
          </cell>
          <cell r="O533">
            <v>0</v>
          </cell>
          <cell r="P533">
            <v>0</v>
          </cell>
          <cell r="T533">
            <v>39055</v>
          </cell>
        </row>
        <row r="534">
          <cell r="D534" t="str">
            <v>Desenho De Detalhamento</v>
          </cell>
          <cell r="E534" t="str">
            <v>21 dias</v>
          </cell>
          <cell r="F534">
            <v>38874.375</v>
          </cell>
          <cell r="G534">
            <v>39022.333333333336</v>
          </cell>
          <cell r="H534" t="str">
            <v>NA</v>
          </cell>
          <cell r="I534">
            <v>38891.375</v>
          </cell>
          <cell r="J534">
            <v>39055.729166666664</v>
          </cell>
          <cell r="K534" t="str">
            <v>NA</v>
          </cell>
          <cell r="L534">
            <v>0.48</v>
          </cell>
          <cell r="M534">
            <v>11</v>
          </cell>
          <cell r="N534">
            <v>0</v>
          </cell>
          <cell r="O534">
            <v>0</v>
          </cell>
          <cell r="P534">
            <v>0</v>
          </cell>
          <cell r="R534">
            <v>537</v>
          </cell>
          <cell r="T534">
            <v>39055</v>
          </cell>
        </row>
        <row r="535">
          <cell r="B535" t="str">
            <v>DC.420.DD.01</v>
          </cell>
          <cell r="D535" t="str">
            <v>Fundação</v>
          </cell>
          <cell r="E535" t="str">
            <v>6 dias</v>
          </cell>
          <cell r="F535">
            <v>38874.375</v>
          </cell>
          <cell r="G535">
            <v>39041.333333333336</v>
          </cell>
          <cell r="H535" t="str">
            <v>NA</v>
          </cell>
          <cell r="I535">
            <v>38882.375</v>
          </cell>
          <cell r="J535">
            <v>39048.729166666664</v>
          </cell>
          <cell r="K535" t="str">
            <v>NA</v>
          </cell>
          <cell r="L535">
            <v>0.13</v>
          </cell>
          <cell r="M535">
            <v>3</v>
          </cell>
          <cell r="N535">
            <v>0</v>
          </cell>
          <cell r="O535">
            <v>0</v>
          </cell>
          <cell r="P535">
            <v>0</v>
          </cell>
          <cell r="Q535">
            <v>535</v>
          </cell>
          <cell r="R535">
            <v>534</v>
          </cell>
          <cell r="S535" t="str">
            <v>EQUIPE CIV</v>
          </cell>
          <cell r="T535">
            <v>39048</v>
          </cell>
        </row>
        <row r="536">
          <cell r="B536" t="str">
            <v>DC.420.DD.02</v>
          </cell>
          <cell r="D536" t="str">
            <v>Lajes</v>
          </cell>
          <cell r="E536" t="str">
            <v>5 dias</v>
          </cell>
          <cell r="F536">
            <v>38882.375</v>
          </cell>
          <cell r="G536">
            <v>39049.333333333336</v>
          </cell>
          <cell r="H536" t="str">
            <v>NA</v>
          </cell>
          <cell r="I536">
            <v>38891.375</v>
          </cell>
          <cell r="J536">
            <v>39055.729166666664</v>
          </cell>
          <cell r="K536" t="str">
            <v>NA</v>
          </cell>
          <cell r="L536">
            <v>0.09</v>
          </cell>
          <cell r="M536">
            <v>2</v>
          </cell>
          <cell r="N536">
            <v>0</v>
          </cell>
          <cell r="O536">
            <v>0</v>
          </cell>
          <cell r="P536">
            <v>0</v>
          </cell>
          <cell r="Q536">
            <v>533</v>
          </cell>
          <cell r="S536" t="str">
            <v>EQUIPE CIV</v>
          </cell>
          <cell r="T536">
            <v>39055</v>
          </cell>
        </row>
        <row r="537">
          <cell r="B537" t="str">
            <v>DC.420.DD.03</v>
          </cell>
          <cell r="D537" t="str">
            <v>Arquitetura</v>
          </cell>
          <cell r="E537" t="str">
            <v>10 dias</v>
          </cell>
          <cell r="F537" t="str">
            <v>NA</v>
          </cell>
          <cell r="G537">
            <v>39022.333333333336</v>
          </cell>
          <cell r="H537" t="str">
            <v>NA</v>
          </cell>
          <cell r="I537" t="str">
            <v>NA</v>
          </cell>
          <cell r="J537">
            <v>39038.729166666664</v>
          </cell>
          <cell r="K537" t="str">
            <v>NA</v>
          </cell>
          <cell r="L537">
            <v>0.26</v>
          </cell>
          <cell r="M537">
            <v>6</v>
          </cell>
          <cell r="N537">
            <v>0</v>
          </cell>
          <cell r="O537">
            <v>0</v>
          </cell>
          <cell r="P537">
            <v>0</v>
          </cell>
          <cell r="Q537">
            <v>471</v>
          </cell>
          <cell r="R537">
            <v>533</v>
          </cell>
          <cell r="S537" t="str">
            <v>EQUIPE ARQ</v>
          </cell>
          <cell r="T537">
            <v>39038</v>
          </cell>
        </row>
        <row r="538">
          <cell r="D538" t="str">
            <v>Elétrica</v>
          </cell>
          <cell r="E538" t="str">
            <v>4 dias</v>
          </cell>
          <cell r="F538">
            <v>38891.375</v>
          </cell>
          <cell r="G538">
            <v>39056.333333333336</v>
          </cell>
          <cell r="H538" t="str">
            <v>NA</v>
          </cell>
          <cell r="I538">
            <v>38901.375</v>
          </cell>
          <cell r="J538">
            <v>39059.729166666664</v>
          </cell>
          <cell r="K538" t="str">
            <v>NA</v>
          </cell>
          <cell r="L538">
            <v>0.04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T538">
            <v>39059</v>
          </cell>
        </row>
        <row r="539">
          <cell r="B539" t="str">
            <v>DE.420.DD.01</v>
          </cell>
          <cell r="D539" t="str">
            <v>Desenho De Detalhamento - Iluminação</v>
          </cell>
          <cell r="E539" t="str">
            <v>4 dias</v>
          </cell>
          <cell r="F539">
            <v>38891.375</v>
          </cell>
          <cell r="G539">
            <v>39056.333333333336</v>
          </cell>
          <cell r="H539" t="str">
            <v>NA</v>
          </cell>
          <cell r="I539">
            <v>38897.375</v>
          </cell>
          <cell r="J539">
            <v>39059.729166666664</v>
          </cell>
          <cell r="K539" t="str">
            <v>NA</v>
          </cell>
          <cell r="L539">
            <v>0.04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532</v>
          </cell>
          <cell r="S539" t="str">
            <v>EQUIPE ELE</v>
          </cell>
          <cell r="T539">
            <v>39059</v>
          </cell>
        </row>
        <row r="540">
          <cell r="B540" t="str">
            <v>1.3.4</v>
          </cell>
          <cell r="C540" t="str">
            <v>430A</v>
          </cell>
          <cell r="D540" t="str">
            <v>Restaurante</v>
          </cell>
          <cell r="E540" t="str">
            <v>30 dias</v>
          </cell>
          <cell r="F540">
            <v>38867.375</v>
          </cell>
          <cell r="G540">
            <v>39022.333333333336</v>
          </cell>
          <cell r="H540" t="str">
            <v>NA</v>
          </cell>
          <cell r="I540">
            <v>38966.375</v>
          </cell>
          <cell r="J540">
            <v>39066.729166666664</v>
          </cell>
          <cell r="K540" t="str">
            <v>NA</v>
          </cell>
          <cell r="L540">
            <v>1.66</v>
          </cell>
          <cell r="M540">
            <v>38</v>
          </cell>
          <cell r="N540">
            <v>0</v>
          </cell>
          <cell r="O540">
            <v>0</v>
          </cell>
          <cell r="P540">
            <v>0</v>
          </cell>
          <cell r="T540">
            <v>39066</v>
          </cell>
        </row>
        <row r="541">
          <cell r="D541" t="str">
            <v>Projeto Detalhado</v>
          </cell>
          <cell r="E541" t="str">
            <v>30 dias</v>
          </cell>
          <cell r="F541">
            <v>38888.375</v>
          </cell>
          <cell r="G541">
            <v>39022.333333333336</v>
          </cell>
          <cell r="H541" t="str">
            <v>NA</v>
          </cell>
          <cell r="I541">
            <v>38966.375</v>
          </cell>
          <cell r="J541">
            <v>39066.729166666664</v>
          </cell>
          <cell r="K541" t="str">
            <v>NA</v>
          </cell>
          <cell r="L541">
            <v>1.66</v>
          </cell>
          <cell r="M541">
            <v>38</v>
          </cell>
          <cell r="N541">
            <v>0</v>
          </cell>
          <cell r="O541">
            <v>0</v>
          </cell>
          <cell r="P541">
            <v>0</v>
          </cell>
          <cell r="T541">
            <v>39066</v>
          </cell>
        </row>
        <row r="542">
          <cell r="D542" t="str">
            <v>Civil</v>
          </cell>
          <cell r="E542" t="str">
            <v>30 dias</v>
          </cell>
          <cell r="F542">
            <v>38888.375</v>
          </cell>
          <cell r="G542">
            <v>39022.333333333336</v>
          </cell>
          <cell r="H542" t="str">
            <v>NA</v>
          </cell>
          <cell r="I542">
            <v>38932.375</v>
          </cell>
          <cell r="J542">
            <v>39066.729166666664</v>
          </cell>
          <cell r="K542" t="str">
            <v>NA</v>
          </cell>
          <cell r="L542">
            <v>1.4</v>
          </cell>
          <cell r="M542">
            <v>32</v>
          </cell>
          <cell r="N542">
            <v>0</v>
          </cell>
          <cell r="O542">
            <v>0</v>
          </cell>
          <cell r="P542">
            <v>0</v>
          </cell>
          <cell r="T542">
            <v>39066</v>
          </cell>
        </row>
        <row r="543">
          <cell r="D543" t="str">
            <v>Desenho De Detalhamento</v>
          </cell>
          <cell r="E543" t="str">
            <v>30 dias</v>
          </cell>
          <cell r="F543">
            <v>38888.375</v>
          </cell>
          <cell r="G543">
            <v>39022.333333333336</v>
          </cell>
          <cell r="H543" t="str">
            <v>NA</v>
          </cell>
          <cell r="I543">
            <v>38932.375</v>
          </cell>
          <cell r="J543">
            <v>39066.729166666664</v>
          </cell>
          <cell r="K543" t="str">
            <v>NA</v>
          </cell>
          <cell r="L543">
            <v>1.4</v>
          </cell>
          <cell r="M543">
            <v>32</v>
          </cell>
          <cell r="N543">
            <v>0</v>
          </cell>
          <cell r="O543">
            <v>0</v>
          </cell>
          <cell r="P543">
            <v>0</v>
          </cell>
          <cell r="T543">
            <v>39066</v>
          </cell>
        </row>
        <row r="544">
          <cell r="B544" t="str">
            <v>DC.430.DD.01</v>
          </cell>
          <cell r="D544" t="str">
            <v>Arquitetura</v>
          </cell>
          <cell r="E544" t="str">
            <v>18 dias</v>
          </cell>
          <cell r="F544">
            <v>38888.375</v>
          </cell>
          <cell r="G544">
            <v>39022.333333333336</v>
          </cell>
          <cell r="H544" t="str">
            <v>NA</v>
          </cell>
          <cell r="I544">
            <v>38912.375</v>
          </cell>
          <cell r="J544">
            <v>39050.729166666664</v>
          </cell>
          <cell r="K544" t="str">
            <v>NA</v>
          </cell>
          <cell r="L544">
            <v>0.61</v>
          </cell>
          <cell r="M544">
            <v>14</v>
          </cell>
          <cell r="N544">
            <v>0</v>
          </cell>
          <cell r="O544">
            <v>0</v>
          </cell>
          <cell r="P544">
            <v>0</v>
          </cell>
          <cell r="Q544">
            <v>471</v>
          </cell>
          <cell r="R544" t="str">
            <v>543;546;556</v>
          </cell>
          <cell r="S544" t="str">
            <v>EQUIPE ARQ</v>
          </cell>
          <cell r="T544">
            <v>39050</v>
          </cell>
        </row>
        <row r="545">
          <cell r="B545" t="str">
            <v>DC.430.DD.02</v>
          </cell>
          <cell r="D545" t="str">
            <v>Fundação</v>
          </cell>
          <cell r="E545" t="str">
            <v>5 dias</v>
          </cell>
          <cell r="F545">
            <v>38888.375</v>
          </cell>
          <cell r="G545">
            <v>39051.333333333336</v>
          </cell>
          <cell r="H545" t="str">
            <v>NA</v>
          </cell>
          <cell r="I545">
            <v>38895.375</v>
          </cell>
          <cell r="J545">
            <v>39057.729166666664</v>
          </cell>
          <cell r="K545" t="str">
            <v>NA</v>
          </cell>
          <cell r="L545">
            <v>0.09</v>
          </cell>
          <cell r="M545">
            <v>2</v>
          </cell>
          <cell r="N545">
            <v>0</v>
          </cell>
          <cell r="O545">
            <v>0</v>
          </cell>
          <cell r="P545">
            <v>0</v>
          </cell>
          <cell r="Q545">
            <v>542</v>
          </cell>
          <cell r="R545" t="str">
            <v>544;545;549;550;551</v>
          </cell>
          <cell r="S545" t="str">
            <v>EQUIPE CIV</v>
          </cell>
          <cell r="T545">
            <v>39057</v>
          </cell>
        </row>
        <row r="546">
          <cell r="B546" t="str">
            <v>DC.430.DD.03</v>
          </cell>
          <cell r="D546" t="str">
            <v>Cintas, Sapatas e Pilares</v>
          </cell>
          <cell r="E546" t="str">
            <v>7 dias</v>
          </cell>
          <cell r="F546">
            <v>38895.375</v>
          </cell>
          <cell r="G546">
            <v>39058.333333333336</v>
          </cell>
          <cell r="H546" t="str">
            <v>NA</v>
          </cell>
          <cell r="I546">
            <v>38904.375</v>
          </cell>
          <cell r="J546">
            <v>39066.729166666664</v>
          </cell>
          <cell r="K546" t="str">
            <v>NA</v>
          </cell>
          <cell r="L546">
            <v>0.13</v>
          </cell>
          <cell r="M546">
            <v>3</v>
          </cell>
          <cell r="N546">
            <v>0</v>
          </cell>
          <cell r="O546">
            <v>0</v>
          </cell>
          <cell r="P546">
            <v>0</v>
          </cell>
          <cell r="Q546">
            <v>543</v>
          </cell>
          <cell r="S546" t="str">
            <v>EQUIPE CIV</v>
          </cell>
          <cell r="T546">
            <v>39066</v>
          </cell>
        </row>
        <row r="547">
          <cell r="B547" t="str">
            <v>DC.430.DD.04</v>
          </cell>
          <cell r="D547" t="str">
            <v>Vigas e Lajes</v>
          </cell>
          <cell r="E547" t="str">
            <v>7 dias</v>
          </cell>
          <cell r="F547">
            <v>38904.375</v>
          </cell>
          <cell r="G547">
            <v>39058.333333333336</v>
          </cell>
          <cell r="H547" t="str">
            <v>NA</v>
          </cell>
          <cell r="I547">
            <v>38915.375</v>
          </cell>
          <cell r="J547">
            <v>39066.729166666664</v>
          </cell>
          <cell r="K547" t="str">
            <v>NA</v>
          </cell>
          <cell r="L547">
            <v>0.17</v>
          </cell>
          <cell r="M547">
            <v>4</v>
          </cell>
          <cell r="N547">
            <v>0</v>
          </cell>
          <cell r="O547">
            <v>0</v>
          </cell>
          <cell r="P547">
            <v>0</v>
          </cell>
          <cell r="Q547">
            <v>543</v>
          </cell>
          <cell r="S547" t="str">
            <v>EQUIPE CIV</v>
          </cell>
          <cell r="T547">
            <v>39066</v>
          </cell>
        </row>
        <row r="548">
          <cell r="B548" t="str">
            <v>DC.430.DD.05</v>
          </cell>
          <cell r="D548" t="str">
            <v>Hidrosanitário</v>
          </cell>
          <cell r="E548" t="str">
            <v>12 dias</v>
          </cell>
          <cell r="F548">
            <v>38915.375</v>
          </cell>
          <cell r="G548">
            <v>39051.333333333336</v>
          </cell>
          <cell r="H548" t="str">
            <v>NA</v>
          </cell>
          <cell r="I548">
            <v>38932.375</v>
          </cell>
          <cell r="J548">
            <v>39066.729166666664</v>
          </cell>
          <cell r="K548" t="str">
            <v>NA</v>
          </cell>
          <cell r="L548">
            <v>0.39</v>
          </cell>
          <cell r="M548">
            <v>9</v>
          </cell>
          <cell r="N548">
            <v>0</v>
          </cell>
          <cell r="O548">
            <v>0</v>
          </cell>
          <cell r="P548">
            <v>0</v>
          </cell>
          <cell r="Q548">
            <v>542</v>
          </cell>
          <cell r="S548" t="str">
            <v>EQUIPE CIV</v>
          </cell>
          <cell r="T548">
            <v>39066</v>
          </cell>
        </row>
        <row r="549">
          <cell r="D549" t="str">
            <v>Elétrica</v>
          </cell>
          <cell r="E549" t="str">
            <v>7 dias</v>
          </cell>
          <cell r="F549">
            <v>38932.375</v>
          </cell>
          <cell r="G549">
            <v>39058.333333333336</v>
          </cell>
          <cell r="H549" t="str">
            <v>NA</v>
          </cell>
          <cell r="I549">
            <v>38966.375</v>
          </cell>
          <cell r="J549">
            <v>39066.729166666664</v>
          </cell>
          <cell r="K549" t="str">
            <v>NA</v>
          </cell>
          <cell r="L549">
            <v>0.26</v>
          </cell>
          <cell r="M549">
            <v>6</v>
          </cell>
          <cell r="N549">
            <v>0</v>
          </cell>
          <cell r="O549">
            <v>0</v>
          </cell>
          <cell r="P549">
            <v>0</v>
          </cell>
          <cell r="T549">
            <v>39066</v>
          </cell>
        </row>
        <row r="550">
          <cell r="D550" t="str">
            <v>Desenho De Detalhamento</v>
          </cell>
          <cell r="E550" t="str">
            <v>7 dias</v>
          </cell>
          <cell r="F550">
            <v>38932.375</v>
          </cell>
          <cell r="G550">
            <v>39058.333333333336</v>
          </cell>
          <cell r="H550" t="str">
            <v>NA</v>
          </cell>
          <cell r="I550">
            <v>38960.375</v>
          </cell>
          <cell r="J550">
            <v>39066.729166666664</v>
          </cell>
          <cell r="K550" t="str">
            <v>NA</v>
          </cell>
          <cell r="L550">
            <v>0.26</v>
          </cell>
          <cell r="M550">
            <v>6</v>
          </cell>
          <cell r="N550">
            <v>0</v>
          </cell>
          <cell r="O550">
            <v>0</v>
          </cell>
          <cell r="P550">
            <v>0</v>
          </cell>
          <cell r="T550">
            <v>39066</v>
          </cell>
        </row>
        <row r="551">
          <cell r="B551" t="str">
            <v>DE.430.DD.01</v>
          </cell>
          <cell r="D551" t="str">
            <v>Diagrama Trifilar</v>
          </cell>
          <cell r="E551" t="str">
            <v>4 dias</v>
          </cell>
          <cell r="F551">
            <v>38932.375</v>
          </cell>
          <cell r="G551">
            <v>39058.333333333336</v>
          </cell>
          <cell r="H551" t="str">
            <v>NA</v>
          </cell>
          <cell r="I551">
            <v>38938.375</v>
          </cell>
          <cell r="J551">
            <v>39063.729166666664</v>
          </cell>
          <cell r="K551" t="str">
            <v>NA</v>
          </cell>
          <cell r="L551">
            <v>0.04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543</v>
          </cell>
          <cell r="S551" t="str">
            <v>EQUIPE ELE</v>
          </cell>
          <cell r="T551">
            <v>39063</v>
          </cell>
        </row>
        <row r="552">
          <cell r="B552" t="str">
            <v>DE.430.DD.02</v>
          </cell>
          <cell r="D552" t="str">
            <v>Iluminação</v>
          </cell>
          <cell r="E552" t="str">
            <v>6 dias</v>
          </cell>
          <cell r="F552">
            <v>38938.375</v>
          </cell>
          <cell r="G552">
            <v>39058.333333333336</v>
          </cell>
          <cell r="H552" t="str">
            <v>NA</v>
          </cell>
          <cell r="I552">
            <v>38950.375</v>
          </cell>
          <cell r="J552">
            <v>39065.729166666664</v>
          </cell>
          <cell r="K552" t="str">
            <v>NA</v>
          </cell>
          <cell r="L552">
            <v>0.09</v>
          </cell>
          <cell r="M552">
            <v>2</v>
          </cell>
          <cell r="N552">
            <v>0</v>
          </cell>
          <cell r="O552">
            <v>0</v>
          </cell>
          <cell r="P552">
            <v>0</v>
          </cell>
          <cell r="Q552">
            <v>543</v>
          </cell>
          <cell r="S552" t="str">
            <v>EQUIPE ELE</v>
          </cell>
          <cell r="T552">
            <v>39065</v>
          </cell>
        </row>
        <row r="553">
          <cell r="B553" t="str">
            <v>DE.430.DD.03</v>
          </cell>
          <cell r="D553" t="str">
            <v>Eletrodutos</v>
          </cell>
          <cell r="E553" t="str">
            <v>7 dias</v>
          </cell>
          <cell r="F553">
            <v>38950.375</v>
          </cell>
          <cell r="G553">
            <v>39058.333333333336</v>
          </cell>
          <cell r="H553" t="str">
            <v>NA</v>
          </cell>
          <cell r="I553">
            <v>38960.375</v>
          </cell>
          <cell r="J553">
            <v>39066.729166666664</v>
          </cell>
          <cell r="K553" t="str">
            <v>NA</v>
          </cell>
          <cell r="L553">
            <v>0.13</v>
          </cell>
          <cell r="M553">
            <v>3</v>
          </cell>
          <cell r="N553">
            <v>0</v>
          </cell>
          <cell r="O553">
            <v>0</v>
          </cell>
          <cell r="P553">
            <v>0</v>
          </cell>
          <cell r="Q553">
            <v>543</v>
          </cell>
          <cell r="S553" t="str">
            <v>EQUIPE ELE</v>
          </cell>
          <cell r="T553">
            <v>39066</v>
          </cell>
        </row>
        <row r="554">
          <cell r="B554" t="str">
            <v>1.3.5</v>
          </cell>
          <cell r="C554" t="str">
            <v>440A</v>
          </cell>
          <cell r="D554" t="str">
            <v>Portaria e Segurança Patrimonial</v>
          </cell>
          <cell r="E554" t="str">
            <v>12 dias</v>
          </cell>
          <cell r="F554">
            <v>38877.375</v>
          </cell>
          <cell r="G554">
            <v>39051.333333333336</v>
          </cell>
          <cell r="H554" t="str">
            <v>NA</v>
          </cell>
          <cell r="I554">
            <v>38922.375</v>
          </cell>
          <cell r="J554">
            <v>39066.729166666664</v>
          </cell>
          <cell r="K554" t="str">
            <v>NA</v>
          </cell>
          <cell r="L554">
            <v>0.22</v>
          </cell>
          <cell r="M554">
            <v>5</v>
          </cell>
          <cell r="N554">
            <v>0</v>
          </cell>
          <cell r="O554">
            <v>0</v>
          </cell>
          <cell r="P554">
            <v>0</v>
          </cell>
          <cell r="T554">
            <v>39066</v>
          </cell>
        </row>
        <row r="555">
          <cell r="D555" t="str">
            <v>Projeto Detalhado</v>
          </cell>
          <cell r="E555" t="str">
            <v>12 dias</v>
          </cell>
          <cell r="F555">
            <v>38895.375</v>
          </cell>
          <cell r="G555">
            <v>39051.333333333336</v>
          </cell>
          <cell r="H555" t="str">
            <v>NA</v>
          </cell>
          <cell r="I555">
            <v>38922.375</v>
          </cell>
          <cell r="J555">
            <v>39066.729166666664</v>
          </cell>
          <cell r="K555" t="str">
            <v>NA</v>
          </cell>
          <cell r="L555">
            <v>0.22</v>
          </cell>
          <cell r="M555">
            <v>5</v>
          </cell>
          <cell r="N555">
            <v>0</v>
          </cell>
          <cell r="O555">
            <v>0</v>
          </cell>
          <cell r="P555">
            <v>0</v>
          </cell>
          <cell r="T555">
            <v>39066</v>
          </cell>
        </row>
        <row r="556">
          <cell r="D556" t="str">
            <v>Civil</v>
          </cell>
          <cell r="E556" t="str">
            <v>4 dias</v>
          </cell>
          <cell r="F556">
            <v>38895.375</v>
          </cell>
          <cell r="G556">
            <v>39051.333333333336</v>
          </cell>
          <cell r="H556" t="str">
            <v>NA</v>
          </cell>
          <cell r="I556">
            <v>38905.375</v>
          </cell>
          <cell r="J556">
            <v>39056.729166666664</v>
          </cell>
          <cell r="K556" t="str">
            <v>NA</v>
          </cell>
          <cell r="L556">
            <v>0.13</v>
          </cell>
          <cell r="M556">
            <v>3</v>
          </cell>
          <cell r="N556">
            <v>0</v>
          </cell>
          <cell r="O556">
            <v>0</v>
          </cell>
          <cell r="P556">
            <v>0</v>
          </cell>
          <cell r="T556">
            <v>39056</v>
          </cell>
        </row>
        <row r="557">
          <cell r="D557" t="str">
            <v>Desenho De Detalhamento</v>
          </cell>
          <cell r="E557" t="str">
            <v>4 dias</v>
          </cell>
          <cell r="F557">
            <v>38895.375</v>
          </cell>
          <cell r="G557">
            <v>39051.333333333336</v>
          </cell>
          <cell r="H557" t="str">
            <v>NA</v>
          </cell>
          <cell r="I557">
            <v>38905.375</v>
          </cell>
          <cell r="J557">
            <v>39056.729166666664</v>
          </cell>
          <cell r="K557" t="str">
            <v>NA</v>
          </cell>
          <cell r="L557">
            <v>0.13</v>
          </cell>
          <cell r="M557">
            <v>3</v>
          </cell>
          <cell r="N557">
            <v>0</v>
          </cell>
          <cell r="O557">
            <v>0</v>
          </cell>
          <cell r="P557">
            <v>0</v>
          </cell>
          <cell r="R557">
            <v>559</v>
          </cell>
          <cell r="T557">
            <v>39056</v>
          </cell>
        </row>
        <row r="558">
          <cell r="B558" t="str">
            <v>DC.440.DD.01</v>
          </cell>
          <cell r="D558" t="str">
            <v>Arquitetura</v>
          </cell>
          <cell r="E558" t="str">
            <v>4 dias</v>
          </cell>
          <cell r="F558">
            <v>38895.375</v>
          </cell>
          <cell r="G558">
            <v>39051.333333333336</v>
          </cell>
          <cell r="H558" t="str">
            <v>NA</v>
          </cell>
          <cell r="I558">
            <v>38901.375</v>
          </cell>
          <cell r="J558">
            <v>39056.729166666664</v>
          </cell>
          <cell r="K558" t="str">
            <v>NA</v>
          </cell>
          <cell r="L558">
            <v>0.13</v>
          </cell>
          <cell r="M558">
            <v>3</v>
          </cell>
          <cell r="N558">
            <v>0</v>
          </cell>
          <cell r="O558">
            <v>0</v>
          </cell>
          <cell r="P558">
            <v>0</v>
          </cell>
          <cell r="Q558">
            <v>542</v>
          </cell>
          <cell r="S558" t="str">
            <v>EQUIPE ARQ</v>
          </cell>
          <cell r="T558">
            <v>39056</v>
          </cell>
        </row>
        <row r="559">
          <cell r="D559" t="str">
            <v>Elétrica</v>
          </cell>
          <cell r="E559" t="str">
            <v>8 dias</v>
          </cell>
          <cell r="F559">
            <v>38905.375</v>
          </cell>
          <cell r="G559">
            <v>39057.333333333336</v>
          </cell>
          <cell r="H559" t="str">
            <v>NA</v>
          </cell>
          <cell r="I559">
            <v>38922.375</v>
          </cell>
          <cell r="J559">
            <v>39066.729166666664</v>
          </cell>
          <cell r="K559" t="str">
            <v>NA</v>
          </cell>
          <cell r="L559">
            <v>0.09</v>
          </cell>
          <cell r="M559">
            <v>2</v>
          </cell>
          <cell r="N559">
            <v>0</v>
          </cell>
          <cell r="O559">
            <v>0</v>
          </cell>
          <cell r="P559">
            <v>0</v>
          </cell>
          <cell r="T559">
            <v>39066</v>
          </cell>
        </row>
        <row r="560">
          <cell r="D560" t="str">
            <v>Desenho De Detalhamento</v>
          </cell>
          <cell r="E560" t="str">
            <v>8 dias</v>
          </cell>
          <cell r="F560">
            <v>38905.375</v>
          </cell>
          <cell r="G560">
            <v>39057.333333333336</v>
          </cell>
          <cell r="H560" t="str">
            <v>NA</v>
          </cell>
          <cell r="I560">
            <v>38917.375</v>
          </cell>
          <cell r="J560">
            <v>39066.729166666664</v>
          </cell>
          <cell r="K560" t="str">
            <v>NA</v>
          </cell>
          <cell r="L560">
            <v>0.09</v>
          </cell>
          <cell r="M560">
            <v>2</v>
          </cell>
          <cell r="N560">
            <v>0</v>
          </cell>
          <cell r="O560">
            <v>0</v>
          </cell>
          <cell r="P560">
            <v>0</v>
          </cell>
          <cell r="T560">
            <v>39066</v>
          </cell>
        </row>
        <row r="561">
          <cell r="B561" t="str">
            <v>DE.440.DD.01</v>
          </cell>
          <cell r="D561" t="str">
            <v>Diagrama Trifilar</v>
          </cell>
          <cell r="E561" t="str">
            <v>4 dias</v>
          </cell>
          <cell r="F561">
            <v>38905.375</v>
          </cell>
          <cell r="G561">
            <v>39057.333333333336</v>
          </cell>
          <cell r="H561" t="str">
            <v>NA</v>
          </cell>
          <cell r="I561">
            <v>38911.375</v>
          </cell>
          <cell r="J561">
            <v>39062.729166666664</v>
          </cell>
          <cell r="K561" t="str">
            <v>NA</v>
          </cell>
          <cell r="L561">
            <v>0.04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555</v>
          </cell>
          <cell r="R561">
            <v>560</v>
          </cell>
          <cell r="S561" t="str">
            <v>EQUIPE ELE</v>
          </cell>
          <cell r="T561">
            <v>39062</v>
          </cell>
        </row>
        <row r="562">
          <cell r="B562" t="str">
            <v>DE.440.DD.02</v>
          </cell>
          <cell r="D562" t="str">
            <v>Eletrodutos</v>
          </cell>
          <cell r="E562" t="str">
            <v>4 dias</v>
          </cell>
          <cell r="F562">
            <v>38911.375</v>
          </cell>
          <cell r="G562">
            <v>39063.333333333336</v>
          </cell>
          <cell r="H562" t="str">
            <v>NA</v>
          </cell>
          <cell r="I562">
            <v>38917.375</v>
          </cell>
          <cell r="J562">
            <v>39066.729166666664</v>
          </cell>
          <cell r="K562" t="str">
            <v>NA</v>
          </cell>
          <cell r="L562">
            <v>0.04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559</v>
          </cell>
          <cell r="S562" t="str">
            <v>EQUIPE ELE</v>
          </cell>
          <cell r="T562">
            <v>39066</v>
          </cell>
        </row>
        <row r="563">
          <cell r="B563" t="str">
            <v>1.3.6</v>
          </cell>
          <cell r="C563" t="str">
            <v>450A</v>
          </cell>
          <cell r="D563" t="str">
            <v>SESMT e Corpo de Bombeiros</v>
          </cell>
          <cell r="E563" t="str">
            <v>26 dias</v>
          </cell>
          <cell r="F563">
            <v>38877.375</v>
          </cell>
          <cell r="G563">
            <v>39022.333333333336</v>
          </cell>
          <cell r="H563" t="str">
            <v>NA</v>
          </cell>
          <cell r="I563">
            <v>38933.375</v>
          </cell>
          <cell r="J563">
            <v>39062.729166666664</v>
          </cell>
          <cell r="K563" t="str">
            <v>NA</v>
          </cell>
          <cell r="L563">
            <v>0.7</v>
          </cell>
          <cell r="M563">
            <v>16</v>
          </cell>
          <cell r="N563">
            <v>0</v>
          </cell>
          <cell r="O563">
            <v>0</v>
          </cell>
          <cell r="P563">
            <v>0</v>
          </cell>
          <cell r="T563">
            <v>39062</v>
          </cell>
        </row>
        <row r="564">
          <cell r="D564" t="str">
            <v>Projeto Detalhado</v>
          </cell>
          <cell r="E564" t="str">
            <v>26 dias</v>
          </cell>
          <cell r="F564">
            <v>38895.375</v>
          </cell>
          <cell r="G564">
            <v>39022.333333333336</v>
          </cell>
          <cell r="H564" t="str">
            <v>NA</v>
          </cell>
          <cell r="I564">
            <v>38933.375</v>
          </cell>
          <cell r="J564">
            <v>39062.729166666664</v>
          </cell>
          <cell r="K564" t="str">
            <v>NA</v>
          </cell>
          <cell r="L564">
            <v>0.7</v>
          </cell>
          <cell r="M564">
            <v>16</v>
          </cell>
          <cell r="N564">
            <v>0</v>
          </cell>
          <cell r="O564">
            <v>0</v>
          </cell>
          <cell r="P564">
            <v>0</v>
          </cell>
          <cell r="T564">
            <v>39062</v>
          </cell>
        </row>
        <row r="565">
          <cell r="D565" t="str">
            <v>Civil</v>
          </cell>
          <cell r="E565" t="str">
            <v>26 dias</v>
          </cell>
          <cell r="F565">
            <v>38895.375</v>
          </cell>
          <cell r="G565">
            <v>39022.333333333336</v>
          </cell>
          <cell r="H565" t="str">
            <v>NA</v>
          </cell>
          <cell r="I565">
            <v>38918.375</v>
          </cell>
          <cell r="J565">
            <v>39062.729166666664</v>
          </cell>
          <cell r="K565" t="str">
            <v>NA</v>
          </cell>
          <cell r="L565">
            <v>0.61</v>
          </cell>
          <cell r="M565">
            <v>14</v>
          </cell>
          <cell r="N565">
            <v>0</v>
          </cell>
          <cell r="O565">
            <v>0</v>
          </cell>
          <cell r="P565">
            <v>0</v>
          </cell>
          <cell r="T565">
            <v>39062</v>
          </cell>
        </row>
        <row r="566">
          <cell r="D566" t="str">
            <v>Desenho De Detalhamento</v>
          </cell>
          <cell r="E566" t="str">
            <v>26 dias</v>
          </cell>
          <cell r="F566">
            <v>38895.375</v>
          </cell>
          <cell r="G566">
            <v>39022.333333333336</v>
          </cell>
          <cell r="H566" t="str">
            <v>NA</v>
          </cell>
          <cell r="I566">
            <v>38918.375</v>
          </cell>
          <cell r="J566">
            <v>39062.729166666664</v>
          </cell>
          <cell r="K566" t="str">
            <v>NA</v>
          </cell>
          <cell r="L566">
            <v>0.61</v>
          </cell>
          <cell r="M566">
            <v>14</v>
          </cell>
          <cell r="N566">
            <v>0</v>
          </cell>
          <cell r="O566">
            <v>0</v>
          </cell>
          <cell r="P566">
            <v>0</v>
          </cell>
          <cell r="T566">
            <v>39062</v>
          </cell>
        </row>
        <row r="567">
          <cell r="B567" t="str">
            <v>DC.450.DD.01</v>
          </cell>
          <cell r="D567" t="str">
            <v>Arquitetura</v>
          </cell>
          <cell r="E567" t="str">
            <v>9 dias</v>
          </cell>
          <cell r="F567">
            <v>38895.375</v>
          </cell>
          <cell r="G567">
            <v>39022.333333333336</v>
          </cell>
          <cell r="H567" t="str">
            <v>NA</v>
          </cell>
          <cell r="I567">
            <v>38908.375</v>
          </cell>
          <cell r="J567">
            <v>39037.729166666664</v>
          </cell>
          <cell r="K567" t="str">
            <v>NA</v>
          </cell>
          <cell r="L567">
            <v>0.26</v>
          </cell>
          <cell r="M567">
            <v>6</v>
          </cell>
          <cell r="N567">
            <v>0</v>
          </cell>
          <cell r="O567">
            <v>0</v>
          </cell>
          <cell r="P567">
            <v>0</v>
          </cell>
          <cell r="Q567">
            <v>471</v>
          </cell>
          <cell r="R567">
            <v>566</v>
          </cell>
          <cell r="S567" t="str">
            <v>EQUIPE ARQ</v>
          </cell>
          <cell r="T567">
            <v>39037</v>
          </cell>
        </row>
        <row r="568">
          <cell r="B568" t="str">
            <v>DC.450.DD.02</v>
          </cell>
          <cell r="D568" t="str">
            <v>Fundação</v>
          </cell>
          <cell r="E568" t="str">
            <v>7 dias</v>
          </cell>
          <cell r="F568">
            <v>38895.375</v>
          </cell>
          <cell r="G568">
            <v>39038.333333333336</v>
          </cell>
          <cell r="H568" t="str">
            <v>NA</v>
          </cell>
          <cell r="I568">
            <v>38904.375</v>
          </cell>
          <cell r="J568">
            <v>39048.729166666664</v>
          </cell>
          <cell r="K568" t="str">
            <v>NA</v>
          </cell>
          <cell r="L568">
            <v>0.17</v>
          </cell>
          <cell r="M568">
            <v>4</v>
          </cell>
          <cell r="N568">
            <v>0</v>
          </cell>
          <cell r="O568">
            <v>0</v>
          </cell>
          <cell r="P568">
            <v>0</v>
          </cell>
          <cell r="Q568">
            <v>565</v>
          </cell>
          <cell r="R568" t="str">
            <v>567;571</v>
          </cell>
          <cell r="S568" t="str">
            <v>EQUIPE CIV</v>
          </cell>
          <cell r="T568">
            <v>39048</v>
          </cell>
        </row>
        <row r="569">
          <cell r="B569" t="str">
            <v>DC.450.DD.03</v>
          </cell>
          <cell r="D569" t="str">
            <v>Vigas e Lajes</v>
          </cell>
          <cell r="E569" t="str">
            <v>4 dias</v>
          </cell>
          <cell r="F569">
            <v>38904.375</v>
          </cell>
          <cell r="G569">
            <v>39049.333333333336</v>
          </cell>
          <cell r="H569" t="str">
            <v>NA</v>
          </cell>
          <cell r="I569">
            <v>38910.375</v>
          </cell>
          <cell r="J569">
            <v>39052.729166666664</v>
          </cell>
          <cell r="K569" t="str">
            <v>NA</v>
          </cell>
          <cell r="L569">
            <v>0.04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566</v>
          </cell>
          <cell r="R569">
            <v>568</v>
          </cell>
          <cell r="S569" t="str">
            <v>EQUIPE CIV</v>
          </cell>
          <cell r="T569">
            <v>39052</v>
          </cell>
        </row>
        <row r="570">
          <cell r="B570" t="str">
            <v>DC.450.DD.04</v>
          </cell>
          <cell r="D570" t="str">
            <v>Hidrosanitário</v>
          </cell>
          <cell r="E570" t="str">
            <v>6 dias</v>
          </cell>
          <cell r="F570">
            <v>38910.375</v>
          </cell>
          <cell r="G570">
            <v>39055.333333333336</v>
          </cell>
          <cell r="H570" t="str">
            <v>NA</v>
          </cell>
          <cell r="I570">
            <v>38918.375</v>
          </cell>
          <cell r="J570">
            <v>39062.729166666664</v>
          </cell>
          <cell r="K570" t="str">
            <v>NA</v>
          </cell>
          <cell r="L570">
            <v>0.13</v>
          </cell>
          <cell r="M570">
            <v>3</v>
          </cell>
          <cell r="N570">
            <v>0</v>
          </cell>
          <cell r="O570">
            <v>0</v>
          </cell>
          <cell r="P570">
            <v>0</v>
          </cell>
          <cell r="Q570">
            <v>567</v>
          </cell>
          <cell r="S570" t="str">
            <v>EQUIPE CIV</v>
          </cell>
          <cell r="T570">
            <v>39062</v>
          </cell>
        </row>
        <row r="571">
          <cell r="D571" t="str">
            <v>Elétrica</v>
          </cell>
          <cell r="E571" t="str">
            <v>8 dias</v>
          </cell>
          <cell r="F571">
            <v>38918.375</v>
          </cell>
          <cell r="G571">
            <v>39049.333333333336</v>
          </cell>
          <cell r="H571" t="str">
            <v>NA</v>
          </cell>
          <cell r="I571">
            <v>38933.375</v>
          </cell>
          <cell r="J571">
            <v>39058.729166666664</v>
          </cell>
          <cell r="K571" t="str">
            <v>NA</v>
          </cell>
          <cell r="L571">
            <v>0.09</v>
          </cell>
          <cell r="M571">
            <v>2</v>
          </cell>
          <cell r="N571">
            <v>0</v>
          </cell>
          <cell r="O571">
            <v>0</v>
          </cell>
          <cell r="P571">
            <v>0</v>
          </cell>
          <cell r="T571">
            <v>39058</v>
          </cell>
        </row>
        <row r="572">
          <cell r="D572" t="str">
            <v>Desenho De Detalhamento</v>
          </cell>
          <cell r="E572" t="str">
            <v>8 dias</v>
          </cell>
          <cell r="F572">
            <v>38918.375</v>
          </cell>
          <cell r="G572">
            <v>39049.333333333336</v>
          </cell>
          <cell r="H572" t="str">
            <v>NA</v>
          </cell>
          <cell r="I572">
            <v>38930.375</v>
          </cell>
          <cell r="J572">
            <v>39058.729166666664</v>
          </cell>
          <cell r="K572" t="str">
            <v>NA</v>
          </cell>
          <cell r="L572">
            <v>0.09</v>
          </cell>
          <cell r="M572">
            <v>2</v>
          </cell>
          <cell r="N572">
            <v>0</v>
          </cell>
          <cell r="O572">
            <v>0</v>
          </cell>
          <cell r="P572">
            <v>0</v>
          </cell>
          <cell r="T572">
            <v>39058</v>
          </cell>
        </row>
        <row r="573">
          <cell r="B573" t="str">
            <v>DE.450.DD.01</v>
          </cell>
          <cell r="D573" t="str">
            <v>Diagrama Trifilar</v>
          </cell>
          <cell r="E573" t="str">
            <v>4 dias</v>
          </cell>
          <cell r="F573">
            <v>38918.375</v>
          </cell>
          <cell r="G573">
            <v>39049.333333333336</v>
          </cell>
          <cell r="H573" t="str">
            <v>NA</v>
          </cell>
          <cell r="I573">
            <v>38924.375</v>
          </cell>
          <cell r="J573">
            <v>39052.729166666664</v>
          </cell>
          <cell r="K573" t="str">
            <v>NA</v>
          </cell>
          <cell r="L573">
            <v>0.04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566</v>
          </cell>
          <cell r="R573">
            <v>572</v>
          </cell>
          <cell r="S573" t="str">
            <v>EQUIPE ELE</v>
          </cell>
          <cell r="T573">
            <v>39052</v>
          </cell>
        </row>
        <row r="574">
          <cell r="B574" t="str">
            <v>DE.450.DD.02</v>
          </cell>
          <cell r="D574" t="str">
            <v>Eletrodutos</v>
          </cell>
          <cell r="E574" t="str">
            <v>4 dias</v>
          </cell>
          <cell r="F574">
            <v>38924.375</v>
          </cell>
          <cell r="G574">
            <v>39055.333333333336</v>
          </cell>
          <cell r="H574" t="str">
            <v>NA</v>
          </cell>
          <cell r="I574">
            <v>38930.375</v>
          </cell>
          <cell r="J574">
            <v>39058.729166666664</v>
          </cell>
          <cell r="K574" t="str">
            <v>NA</v>
          </cell>
          <cell r="L574">
            <v>0.04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571</v>
          </cell>
          <cell r="S574" t="str">
            <v>EQUIPE ELE</v>
          </cell>
          <cell r="T574">
            <v>39058</v>
          </cell>
        </row>
        <row r="575">
          <cell r="B575" t="str">
            <v>1.4</v>
          </cell>
          <cell r="C575" t="str">
            <v>500A</v>
          </cell>
          <cell r="D575" t="str">
            <v>INFRA-ESTRUTURA E UTILIDADES</v>
          </cell>
          <cell r="E575" t="str">
            <v>171 dias</v>
          </cell>
          <cell r="F575">
            <v>38793.375</v>
          </cell>
          <cell r="G575">
            <v>38807.333333333336</v>
          </cell>
          <cell r="H575">
            <v>38807.333333333336</v>
          </cell>
          <cell r="I575">
            <v>38988.604166666664</v>
          </cell>
          <cell r="J575">
            <v>39066.729166666664</v>
          </cell>
          <cell r="K575" t="str">
            <v>NA</v>
          </cell>
          <cell r="L575">
            <v>21.49</v>
          </cell>
          <cell r="M575">
            <v>491.75</v>
          </cell>
          <cell r="N575">
            <v>122.16</v>
          </cell>
          <cell r="O575">
            <v>24.84</v>
          </cell>
          <cell r="P575">
            <v>24.84</v>
          </cell>
          <cell r="T575">
            <v>39066</v>
          </cell>
        </row>
        <row r="576">
          <cell r="B576" t="str">
            <v>1.4.1</v>
          </cell>
          <cell r="C576" t="str">
            <v>505A</v>
          </cell>
          <cell r="D576" t="str">
            <v>Geral</v>
          </cell>
          <cell r="E576" t="str">
            <v>156 dias</v>
          </cell>
          <cell r="F576">
            <v>38793.375</v>
          </cell>
          <cell r="G576">
            <v>38807.333333333336</v>
          </cell>
          <cell r="H576">
            <v>38807.333333333336</v>
          </cell>
          <cell r="I576">
            <v>38988.604166666664</v>
          </cell>
          <cell r="J576">
            <v>39045.729166666664</v>
          </cell>
          <cell r="K576" t="str">
            <v>NA</v>
          </cell>
          <cell r="L576">
            <v>7.74</v>
          </cell>
          <cell r="M576">
            <v>177.13</v>
          </cell>
          <cell r="N576">
            <v>81.25</v>
          </cell>
          <cell r="O576">
            <v>45.87</v>
          </cell>
          <cell r="P576">
            <v>45.87</v>
          </cell>
          <cell r="T576">
            <v>39045</v>
          </cell>
        </row>
        <row r="577">
          <cell r="D577" t="str">
            <v>Projeto Básico</v>
          </cell>
          <cell r="E577" t="str">
            <v>101 dias</v>
          </cell>
          <cell r="F577">
            <v>38793.375</v>
          </cell>
          <cell r="G577">
            <v>38807.333333333336</v>
          </cell>
          <cell r="H577">
            <v>38807.333333333336</v>
          </cell>
          <cell r="I577">
            <v>38891.375</v>
          </cell>
          <cell r="J577">
            <v>38959.729166666664</v>
          </cell>
          <cell r="K577" t="str">
            <v>NA</v>
          </cell>
          <cell r="L577">
            <v>2.72</v>
          </cell>
          <cell r="M577">
            <v>62.13</v>
          </cell>
          <cell r="N577">
            <v>34.299999999999997</v>
          </cell>
          <cell r="O577">
            <v>55.21</v>
          </cell>
          <cell r="P577">
            <v>55.21</v>
          </cell>
          <cell r="R577" t="str">
            <v>605TI+50 dias;613TT</v>
          </cell>
          <cell r="T577">
            <v>38959</v>
          </cell>
        </row>
        <row r="578">
          <cell r="D578" t="str">
            <v>Mecânica</v>
          </cell>
          <cell r="E578" t="str">
            <v>9 dias</v>
          </cell>
          <cell r="F578" t="str">
            <v>NA</v>
          </cell>
          <cell r="G578">
            <v>38891.333333333336</v>
          </cell>
          <cell r="H578">
            <v>38891.333333333336</v>
          </cell>
          <cell r="I578" t="str">
            <v>NA</v>
          </cell>
          <cell r="J578">
            <v>38903.729166666664</v>
          </cell>
          <cell r="K578" t="str">
            <v>NA</v>
          </cell>
          <cell r="L578">
            <v>0.26</v>
          </cell>
          <cell r="M578">
            <v>6</v>
          </cell>
          <cell r="N578">
            <v>5.4</v>
          </cell>
          <cell r="O578">
            <v>0</v>
          </cell>
          <cell r="P578">
            <v>90</v>
          </cell>
          <cell r="T578">
            <v>38903</v>
          </cell>
        </row>
        <row r="579">
          <cell r="B579" t="str">
            <v>BB.505.OI.01</v>
          </cell>
          <cell r="D579" t="str">
            <v>Orçamento De Investimentos</v>
          </cell>
          <cell r="E579" t="str">
            <v>9 dias</v>
          </cell>
          <cell r="F579" t="str">
            <v>NA</v>
          </cell>
          <cell r="G579">
            <v>38891.333333333336</v>
          </cell>
          <cell r="H579">
            <v>38891.333333333336</v>
          </cell>
          <cell r="I579" t="str">
            <v>NA</v>
          </cell>
          <cell r="J579">
            <v>38903.729166666664</v>
          </cell>
          <cell r="K579" t="str">
            <v>NA</v>
          </cell>
          <cell r="L579">
            <v>0.26</v>
          </cell>
          <cell r="M579">
            <v>6</v>
          </cell>
          <cell r="N579">
            <v>5.4</v>
          </cell>
          <cell r="O579">
            <v>0</v>
          </cell>
          <cell r="P579">
            <v>90</v>
          </cell>
          <cell r="Q579" t="str">
            <v>34II</v>
          </cell>
          <cell r="S579" t="str">
            <v>EQUIPE MEC</v>
          </cell>
          <cell r="T579">
            <v>38903</v>
          </cell>
        </row>
        <row r="580">
          <cell r="D580" t="str">
            <v>Civil</v>
          </cell>
          <cell r="E580" t="str">
            <v>24 dias</v>
          </cell>
          <cell r="F580">
            <v>38819.333333333336</v>
          </cell>
          <cell r="G580">
            <v>38898.333333333336</v>
          </cell>
          <cell r="H580">
            <v>38898.333333333336</v>
          </cell>
          <cell r="I580">
            <v>38845.729166666664</v>
          </cell>
          <cell r="J580">
            <v>38931.729166666664</v>
          </cell>
          <cell r="K580" t="str">
            <v>NA</v>
          </cell>
          <cell r="L580">
            <v>0.39</v>
          </cell>
          <cell r="M580">
            <v>8.8800000000000008</v>
          </cell>
          <cell r="N580">
            <v>8.73</v>
          </cell>
          <cell r="O580">
            <v>0</v>
          </cell>
          <cell r="P580">
            <v>98.31</v>
          </cell>
          <cell r="T580">
            <v>38931</v>
          </cell>
        </row>
        <row r="581">
          <cell r="B581" t="str">
            <v>BC.505.DB.01</v>
          </cell>
          <cell r="D581" t="str">
            <v>Desenho Básico - Terraplenagem</v>
          </cell>
          <cell r="E581" t="str">
            <v>24 dias</v>
          </cell>
          <cell r="F581">
            <v>38819.333333333336</v>
          </cell>
          <cell r="G581">
            <v>38898.333333333336</v>
          </cell>
          <cell r="H581">
            <v>38898.333333333336</v>
          </cell>
          <cell r="I581">
            <v>38835.729166666664</v>
          </cell>
          <cell r="J581">
            <v>38931.729166666664</v>
          </cell>
          <cell r="K581">
            <v>38931.729166666664</v>
          </cell>
          <cell r="L581">
            <v>0.28000000000000003</v>
          </cell>
          <cell r="M581">
            <v>6.5</v>
          </cell>
          <cell r="N581">
            <v>6.5</v>
          </cell>
          <cell r="O581">
            <v>0</v>
          </cell>
          <cell r="P581">
            <v>100</v>
          </cell>
          <cell r="Q581" t="str">
            <v>16II;49II;55II</v>
          </cell>
          <cell r="R581" t="str">
            <v>75II;608II</v>
          </cell>
          <cell r="S581" t="str">
            <v>EQUIPE CIV</v>
          </cell>
          <cell r="T581">
            <v>38931</v>
          </cell>
        </row>
        <row r="582">
          <cell r="B582" t="str">
            <v>BC.505.PQ.01</v>
          </cell>
          <cell r="D582" t="str">
            <v>Planilha De Quantidades - Arquitetura</v>
          </cell>
          <cell r="E582" t="str">
            <v>5 dias</v>
          </cell>
          <cell r="F582">
            <v>38838.333333333336</v>
          </cell>
          <cell r="G582">
            <v>38917.333333333336</v>
          </cell>
          <cell r="H582">
            <v>38917.333333333336</v>
          </cell>
          <cell r="I582">
            <v>38842.375</v>
          </cell>
          <cell r="J582">
            <v>38923.729166666664</v>
          </cell>
          <cell r="K582" t="str">
            <v>NA</v>
          </cell>
          <cell r="L582">
            <v>0.1</v>
          </cell>
          <cell r="M582">
            <v>2.38</v>
          </cell>
          <cell r="N582">
            <v>2.23</v>
          </cell>
          <cell r="O582">
            <v>0</v>
          </cell>
          <cell r="P582">
            <v>93.68</v>
          </cell>
          <cell r="Q582" t="str">
            <v>16II</v>
          </cell>
          <cell r="S582" t="str">
            <v>EQUIPE ARQ</v>
          </cell>
          <cell r="T582">
            <v>38923</v>
          </cell>
        </row>
        <row r="583">
          <cell r="D583" t="str">
            <v>Elétrica</v>
          </cell>
          <cell r="E583" t="str">
            <v>101 dias</v>
          </cell>
          <cell r="F583">
            <v>38793.375</v>
          </cell>
          <cell r="G583">
            <v>38807.333333333336</v>
          </cell>
          <cell r="H583">
            <v>38807.333333333336</v>
          </cell>
          <cell r="I583">
            <v>38891.375</v>
          </cell>
          <cell r="J583">
            <v>38959.729166666664</v>
          </cell>
          <cell r="K583" t="str">
            <v>NA</v>
          </cell>
          <cell r="L583">
            <v>2.0699999999999998</v>
          </cell>
          <cell r="M583">
            <v>47.25</v>
          </cell>
          <cell r="N583">
            <v>20.18</v>
          </cell>
          <cell r="O583">
            <v>2.97</v>
          </cell>
          <cell r="P583">
            <v>42.7</v>
          </cell>
          <cell r="T583">
            <v>38959</v>
          </cell>
        </row>
        <row r="584">
          <cell r="B584" t="str">
            <v>BE.505.CP.01</v>
          </cell>
          <cell r="D584" t="str">
            <v>Critério De Projeto</v>
          </cell>
          <cell r="E584" t="str">
            <v>6 dias</v>
          </cell>
          <cell r="F584">
            <v>38793.375</v>
          </cell>
          <cell r="G584">
            <v>38807.333333333336</v>
          </cell>
          <cell r="H584">
            <v>38807.333333333336</v>
          </cell>
          <cell r="I584">
            <v>38819.375</v>
          </cell>
          <cell r="J584">
            <v>38814.729166666664</v>
          </cell>
          <cell r="K584" t="str">
            <v>NA</v>
          </cell>
          <cell r="L584">
            <v>0.11</v>
          </cell>
          <cell r="M584">
            <v>2.5</v>
          </cell>
          <cell r="N584">
            <v>2.25</v>
          </cell>
          <cell r="O584">
            <v>50</v>
          </cell>
          <cell r="P584">
            <v>90</v>
          </cell>
          <cell r="Q584">
            <v>3</v>
          </cell>
          <cell r="R584" t="str">
            <v>583;621II</v>
          </cell>
          <cell r="S584" t="str">
            <v>EQUIPE ELE</v>
          </cell>
          <cell r="T584">
            <v>38814</v>
          </cell>
        </row>
        <row r="585">
          <cell r="D585" t="str">
            <v>APROVAÇÃO EBX</v>
          </cell>
          <cell r="E585" t="str">
            <v>5 dias</v>
          </cell>
          <cell r="F585">
            <v>38832.375</v>
          </cell>
          <cell r="G585">
            <v>38817.333333333336</v>
          </cell>
          <cell r="H585" t="str">
            <v>NA</v>
          </cell>
          <cell r="I585">
            <v>38840.375</v>
          </cell>
          <cell r="J585">
            <v>38825.729166666664</v>
          </cell>
          <cell r="K585" t="str">
            <v>NA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 t="str">
            <v>#ERRO</v>
          </cell>
          <cell r="Q585">
            <v>582</v>
          </cell>
          <cell r="T585">
            <v>38825</v>
          </cell>
        </row>
        <row r="586">
          <cell r="B586" t="str">
            <v>BE.505.ED.01</v>
          </cell>
          <cell r="D586" t="str">
            <v>Estudos / Planos - Estudo Demanda</v>
          </cell>
          <cell r="E586" t="str">
            <v>15 dias</v>
          </cell>
          <cell r="F586">
            <v>38832.375</v>
          </cell>
          <cell r="G586">
            <v>38922.333333333336</v>
          </cell>
          <cell r="H586">
            <v>38922.333333333336</v>
          </cell>
          <cell r="I586">
            <v>38854.375</v>
          </cell>
          <cell r="J586">
            <v>38940.729166666664</v>
          </cell>
          <cell r="K586" t="str">
            <v>NA</v>
          </cell>
          <cell r="L586">
            <v>0.33</v>
          </cell>
          <cell r="M586">
            <v>7.5</v>
          </cell>
          <cell r="N586">
            <v>3.75</v>
          </cell>
          <cell r="O586">
            <v>0</v>
          </cell>
          <cell r="P586">
            <v>50</v>
          </cell>
          <cell r="Q586" t="str">
            <v>14II;33II</v>
          </cell>
          <cell r="R586" t="str">
            <v>586II+15 dias;590II;591;593II;594II;598II;599II;600II;601II;622;669II</v>
          </cell>
          <cell r="S586" t="str">
            <v>EQUIPE ELE</v>
          </cell>
          <cell r="T586">
            <v>38940</v>
          </cell>
        </row>
        <row r="587">
          <cell r="D587" t="str">
            <v>Folha De Dados</v>
          </cell>
          <cell r="E587" t="str">
            <v>24 dias</v>
          </cell>
          <cell r="F587">
            <v>38819.375</v>
          </cell>
          <cell r="G587">
            <v>38924.333333333336</v>
          </cell>
          <cell r="H587">
            <v>38924.333333333336</v>
          </cell>
          <cell r="I587">
            <v>38867.375</v>
          </cell>
          <cell r="J587">
            <v>38959.729166666664</v>
          </cell>
          <cell r="K587" t="str">
            <v>NA</v>
          </cell>
          <cell r="L587">
            <v>1.35</v>
          </cell>
          <cell r="M587">
            <v>30.88</v>
          </cell>
          <cell r="N587">
            <v>12.59</v>
          </cell>
          <cell r="O587">
            <v>0</v>
          </cell>
          <cell r="P587">
            <v>40.770000000000003</v>
          </cell>
          <cell r="R587" t="str">
            <v>623;625II</v>
          </cell>
          <cell r="T587">
            <v>38959</v>
          </cell>
        </row>
        <row r="588">
          <cell r="B588" t="str">
            <v>BE.505.FD.01</v>
          </cell>
          <cell r="D588" t="str">
            <v>CCM's</v>
          </cell>
          <cell r="E588" t="str">
            <v>11 dias</v>
          </cell>
          <cell r="F588">
            <v>38819.375</v>
          </cell>
          <cell r="G588">
            <v>38945.333333333336</v>
          </cell>
          <cell r="H588" t="str">
            <v>NA</v>
          </cell>
          <cell r="I588">
            <v>38833.375</v>
          </cell>
          <cell r="J588">
            <v>38959.729166666664</v>
          </cell>
          <cell r="K588" t="str">
            <v>NA</v>
          </cell>
          <cell r="L588">
            <v>0.09</v>
          </cell>
          <cell r="M588">
            <v>2</v>
          </cell>
          <cell r="N588">
            <v>0</v>
          </cell>
          <cell r="O588">
            <v>0</v>
          </cell>
          <cell r="P588">
            <v>0</v>
          </cell>
          <cell r="Q588" t="str">
            <v>584II+15 dias</v>
          </cell>
          <cell r="R588" t="str">
            <v>587TT;588TT;589TT;592TT;595TT;596TT;597TT</v>
          </cell>
          <cell r="S588" t="str">
            <v>EQUIPE ELE</v>
          </cell>
          <cell r="T588">
            <v>38959</v>
          </cell>
        </row>
        <row r="589">
          <cell r="B589" t="str">
            <v>BE.505.FD.02</v>
          </cell>
          <cell r="D589" t="str">
            <v>Transformadores</v>
          </cell>
          <cell r="E589" t="str">
            <v>12 dias</v>
          </cell>
          <cell r="F589">
            <v>38833.375</v>
          </cell>
          <cell r="G589">
            <v>38940.333333333336</v>
          </cell>
          <cell r="H589">
            <v>38940.333333333336</v>
          </cell>
          <cell r="I589">
            <v>38855.375</v>
          </cell>
          <cell r="J589">
            <v>38959.729166666664</v>
          </cell>
          <cell r="K589" t="str">
            <v>NA</v>
          </cell>
          <cell r="L589">
            <v>0.17</v>
          </cell>
          <cell r="M589">
            <v>4</v>
          </cell>
          <cell r="N589">
            <v>1.2</v>
          </cell>
          <cell r="O589">
            <v>0</v>
          </cell>
          <cell r="P589">
            <v>30</v>
          </cell>
          <cell r="Q589" t="str">
            <v>586TT</v>
          </cell>
          <cell r="S589" t="str">
            <v>EQUIPE ELE</v>
          </cell>
          <cell r="T589">
            <v>38959</v>
          </cell>
        </row>
        <row r="590">
          <cell r="B590" t="str">
            <v>BE.505.FD.03</v>
          </cell>
          <cell r="D590" t="str">
            <v>Quadros De Distribuição</v>
          </cell>
          <cell r="E590" t="str">
            <v>9 dias</v>
          </cell>
          <cell r="F590">
            <v>38833.375</v>
          </cell>
          <cell r="G590">
            <v>38947.333333333336</v>
          </cell>
          <cell r="H590" t="str">
            <v>NA</v>
          </cell>
          <cell r="I590">
            <v>38847.375</v>
          </cell>
          <cell r="J590">
            <v>38959.729166666664</v>
          </cell>
          <cell r="K590" t="str">
            <v>NA</v>
          </cell>
          <cell r="L590">
            <v>0.27</v>
          </cell>
          <cell r="M590">
            <v>6.25</v>
          </cell>
          <cell r="N590">
            <v>0</v>
          </cell>
          <cell r="O590">
            <v>0</v>
          </cell>
          <cell r="P590">
            <v>0</v>
          </cell>
          <cell r="Q590" t="str">
            <v>586TT</v>
          </cell>
          <cell r="S590" t="str">
            <v>EQUIPE ELE</v>
          </cell>
          <cell r="T590">
            <v>38959</v>
          </cell>
        </row>
        <row r="591">
          <cell r="B591" t="str">
            <v>BE.505.FD.06</v>
          </cell>
          <cell r="D591" t="str">
            <v>Painel De Capacitores</v>
          </cell>
          <cell r="E591" t="str">
            <v>2 dias</v>
          </cell>
          <cell r="F591">
            <v>38856.375</v>
          </cell>
          <cell r="G591">
            <v>38958.333333333336</v>
          </cell>
          <cell r="H591" t="str">
            <v>NA</v>
          </cell>
          <cell r="I591">
            <v>38859.375</v>
          </cell>
          <cell r="J591">
            <v>38959.729166666664</v>
          </cell>
          <cell r="K591" t="str">
            <v>NA</v>
          </cell>
          <cell r="L591">
            <v>7.0000000000000007E-2</v>
          </cell>
          <cell r="M591">
            <v>1.5</v>
          </cell>
          <cell r="N591">
            <v>0</v>
          </cell>
          <cell r="O591">
            <v>0</v>
          </cell>
          <cell r="P591">
            <v>0</v>
          </cell>
          <cell r="Q591" t="str">
            <v>586TT</v>
          </cell>
          <cell r="S591" t="str">
            <v>EQUIPE ELE</v>
          </cell>
          <cell r="T591">
            <v>38959</v>
          </cell>
        </row>
        <row r="592">
          <cell r="B592" t="str">
            <v>BE.505.FD.07</v>
          </cell>
          <cell r="D592" t="str">
            <v>Gerador Diesel</v>
          </cell>
          <cell r="E592" t="str">
            <v>2 dias</v>
          </cell>
          <cell r="F592">
            <v>38859.375</v>
          </cell>
          <cell r="G592">
            <v>38924.333333333336</v>
          </cell>
          <cell r="H592">
            <v>38924.333333333336</v>
          </cell>
          <cell r="I592">
            <v>38860.375</v>
          </cell>
          <cell r="J592">
            <v>38925.729166666664</v>
          </cell>
          <cell r="K592" t="str">
            <v>NA</v>
          </cell>
          <cell r="L592">
            <v>7.0000000000000007E-2</v>
          </cell>
          <cell r="M592">
            <v>1.63</v>
          </cell>
          <cell r="N592">
            <v>1.46</v>
          </cell>
          <cell r="O592">
            <v>0</v>
          </cell>
          <cell r="P592">
            <v>90</v>
          </cell>
          <cell r="Q592" t="str">
            <v>584II</v>
          </cell>
          <cell r="S592" t="str">
            <v>EQUIPE ELE</v>
          </cell>
          <cell r="T592">
            <v>38925</v>
          </cell>
        </row>
        <row r="593">
          <cell r="B593" t="str">
            <v>BE.505.FD.09</v>
          </cell>
          <cell r="D593" t="str">
            <v>Resistor De Aterramento</v>
          </cell>
          <cell r="E593" t="str">
            <v>2 dias</v>
          </cell>
          <cell r="F593">
            <v>38860.375</v>
          </cell>
          <cell r="G593">
            <v>38924.333333333336</v>
          </cell>
          <cell r="H593">
            <v>38924.333333333336</v>
          </cell>
          <cell r="I593">
            <v>38861.375</v>
          </cell>
          <cell r="J593">
            <v>38925.729166666664</v>
          </cell>
          <cell r="K593" t="str">
            <v>NA</v>
          </cell>
          <cell r="L593">
            <v>0.05</v>
          </cell>
          <cell r="M593">
            <v>1.1299999999999999</v>
          </cell>
          <cell r="N593">
            <v>1.01</v>
          </cell>
          <cell r="O593">
            <v>0</v>
          </cell>
          <cell r="P593">
            <v>90</v>
          </cell>
          <cell r="Q593">
            <v>584</v>
          </cell>
          <cell r="S593" t="str">
            <v>EQUIPE ELE</v>
          </cell>
          <cell r="T593">
            <v>38925</v>
          </cell>
        </row>
        <row r="594">
          <cell r="B594" t="str">
            <v>BE.505.FD.10</v>
          </cell>
          <cell r="D594" t="str">
            <v>Conjunto De Manobras Média Tensão</v>
          </cell>
          <cell r="E594" t="str">
            <v>2 dias</v>
          </cell>
          <cell r="F594">
            <v>38861.375</v>
          </cell>
          <cell r="G594">
            <v>38958.333333333336</v>
          </cell>
          <cell r="H594">
            <v>38958.333333333336</v>
          </cell>
          <cell r="I594">
            <v>38866.375</v>
          </cell>
          <cell r="J594">
            <v>38959.729166666664</v>
          </cell>
          <cell r="K594" t="str">
            <v>NA</v>
          </cell>
          <cell r="L594">
            <v>0.09</v>
          </cell>
          <cell r="M594">
            <v>2</v>
          </cell>
          <cell r="N594">
            <v>0.2</v>
          </cell>
          <cell r="O594">
            <v>0</v>
          </cell>
          <cell r="P594">
            <v>10</v>
          </cell>
          <cell r="Q594" t="str">
            <v>586TT</v>
          </cell>
          <cell r="S594" t="str">
            <v>EQUIPE ELE</v>
          </cell>
          <cell r="T594">
            <v>38959</v>
          </cell>
        </row>
        <row r="595">
          <cell r="B595" t="str">
            <v>BE.505.FD.12</v>
          </cell>
          <cell r="D595" t="str">
            <v>Chaves Seccionadoras 13,8kV e 69kV</v>
          </cell>
          <cell r="E595" t="str">
            <v>2 dias</v>
          </cell>
          <cell r="F595">
            <v>38847.375</v>
          </cell>
          <cell r="G595">
            <v>38924.333333333336</v>
          </cell>
          <cell r="H595">
            <v>38924.333333333336</v>
          </cell>
          <cell r="I595">
            <v>38849.375</v>
          </cell>
          <cell r="J595">
            <v>38925.729166666664</v>
          </cell>
          <cell r="K595" t="str">
            <v>NA</v>
          </cell>
          <cell r="L595">
            <v>0.13</v>
          </cell>
          <cell r="M595">
            <v>3</v>
          </cell>
          <cell r="N595">
            <v>2.7</v>
          </cell>
          <cell r="O595">
            <v>0</v>
          </cell>
          <cell r="P595">
            <v>90</v>
          </cell>
          <cell r="Q595" t="str">
            <v>584II</v>
          </cell>
          <cell r="S595" t="str">
            <v>EQUIPE ELE</v>
          </cell>
          <cell r="T595">
            <v>38925</v>
          </cell>
        </row>
        <row r="596">
          <cell r="B596" t="str">
            <v>BE.505.FD.13</v>
          </cell>
          <cell r="D596" t="str">
            <v>Resistor 4,16kV</v>
          </cell>
          <cell r="E596" t="str">
            <v>2 dias</v>
          </cell>
          <cell r="F596">
            <v>38847.375</v>
          </cell>
          <cell r="G596">
            <v>38924.333333333336</v>
          </cell>
          <cell r="H596">
            <v>38924.333333333336</v>
          </cell>
          <cell r="I596">
            <v>38848.375</v>
          </cell>
          <cell r="J596">
            <v>38925.729166666664</v>
          </cell>
          <cell r="K596" t="str">
            <v>NA</v>
          </cell>
          <cell r="L596">
            <v>0.05</v>
          </cell>
          <cell r="M596">
            <v>1.1299999999999999</v>
          </cell>
          <cell r="N596">
            <v>1.01</v>
          </cell>
          <cell r="O596">
            <v>0</v>
          </cell>
          <cell r="P596">
            <v>90</v>
          </cell>
          <cell r="Q596" t="str">
            <v>584II</v>
          </cell>
          <cell r="S596" t="str">
            <v>EQUIPE ELE</v>
          </cell>
          <cell r="T596">
            <v>38925</v>
          </cell>
        </row>
        <row r="597">
          <cell r="B597" t="str">
            <v>BE.505.FD.14</v>
          </cell>
          <cell r="D597" t="str">
            <v>Carregador Bat.</v>
          </cell>
          <cell r="E597" t="str">
            <v>2 dias</v>
          </cell>
          <cell r="F597">
            <v>38847.375</v>
          </cell>
          <cell r="G597">
            <v>38958.333333333336</v>
          </cell>
          <cell r="H597">
            <v>38958.333333333336</v>
          </cell>
          <cell r="I597">
            <v>38848.375</v>
          </cell>
          <cell r="J597">
            <v>38959.729166666664</v>
          </cell>
          <cell r="K597" t="str">
            <v>NA</v>
          </cell>
          <cell r="L597">
            <v>0.05</v>
          </cell>
          <cell r="M597">
            <v>1.25</v>
          </cell>
          <cell r="N597">
            <v>0.13</v>
          </cell>
          <cell r="O597">
            <v>0</v>
          </cell>
          <cell r="P597">
            <v>10</v>
          </cell>
          <cell r="Q597" t="str">
            <v>586TT</v>
          </cell>
          <cell r="S597" t="str">
            <v>EQUIPE ELE</v>
          </cell>
          <cell r="T597">
            <v>38959</v>
          </cell>
        </row>
        <row r="598">
          <cell r="B598" t="str">
            <v>BE.505.FD.15</v>
          </cell>
          <cell r="D598" t="str">
            <v>Banco Bat.</v>
          </cell>
          <cell r="E598" t="str">
            <v>1 dia</v>
          </cell>
          <cell r="F598">
            <v>38847.375</v>
          </cell>
          <cell r="G598">
            <v>38959.333333333336</v>
          </cell>
          <cell r="H598" t="str">
            <v>NA</v>
          </cell>
          <cell r="I598">
            <v>38848.375</v>
          </cell>
          <cell r="J598">
            <v>38959.729166666664</v>
          </cell>
          <cell r="K598" t="str">
            <v>NA</v>
          </cell>
          <cell r="L598">
            <v>0.03</v>
          </cell>
          <cell r="M598">
            <v>0.75</v>
          </cell>
          <cell r="N598">
            <v>0</v>
          </cell>
          <cell r="O598">
            <v>0</v>
          </cell>
          <cell r="P598">
            <v>0</v>
          </cell>
          <cell r="Q598" t="str">
            <v>586TT</v>
          </cell>
          <cell r="S598" t="str">
            <v>EQUIPE ELE</v>
          </cell>
          <cell r="T598">
            <v>38959</v>
          </cell>
        </row>
        <row r="599">
          <cell r="B599" t="str">
            <v>BE.505.FD.16</v>
          </cell>
          <cell r="D599" t="str">
            <v>Para-Raios 13,8kV e 69kV</v>
          </cell>
          <cell r="E599" t="str">
            <v>2 dias</v>
          </cell>
          <cell r="F599">
            <v>38847.375</v>
          </cell>
          <cell r="G599">
            <v>38958.333333333336</v>
          </cell>
          <cell r="H599">
            <v>38958.333333333336</v>
          </cell>
          <cell r="I599">
            <v>38848.375</v>
          </cell>
          <cell r="J599">
            <v>38959.729166666664</v>
          </cell>
          <cell r="K599" t="str">
            <v>NA</v>
          </cell>
          <cell r="L599">
            <v>7.0000000000000007E-2</v>
          </cell>
          <cell r="M599">
            <v>1.5</v>
          </cell>
          <cell r="N599">
            <v>0.6</v>
          </cell>
          <cell r="O599">
            <v>0</v>
          </cell>
          <cell r="P599">
            <v>40</v>
          </cell>
          <cell r="Q599" t="str">
            <v>586TT</v>
          </cell>
          <cell r="S599" t="str">
            <v>EQUIPE ELE</v>
          </cell>
          <cell r="T599">
            <v>38959</v>
          </cell>
        </row>
        <row r="600">
          <cell r="B600" t="str">
            <v>BE.505.FD.17</v>
          </cell>
          <cell r="D600" t="str">
            <v>Disjuntor 69kV</v>
          </cell>
          <cell r="E600" t="str">
            <v>2 dias</v>
          </cell>
          <cell r="F600">
            <v>38847.375</v>
          </cell>
          <cell r="G600">
            <v>38924.333333333336</v>
          </cell>
          <cell r="H600">
            <v>38924.333333333336</v>
          </cell>
          <cell r="I600">
            <v>38848.375</v>
          </cell>
          <cell r="J600">
            <v>38925.729166666664</v>
          </cell>
          <cell r="K600" t="str">
            <v>NA</v>
          </cell>
          <cell r="L600">
            <v>0.05</v>
          </cell>
          <cell r="M600">
            <v>1.1299999999999999</v>
          </cell>
          <cell r="N600">
            <v>1.01</v>
          </cell>
          <cell r="O600">
            <v>0</v>
          </cell>
          <cell r="P600">
            <v>90</v>
          </cell>
          <cell r="Q600" t="str">
            <v>584II</v>
          </cell>
          <cell r="S600" t="str">
            <v>EQUIPE ELE</v>
          </cell>
          <cell r="T600">
            <v>38925</v>
          </cell>
        </row>
        <row r="601">
          <cell r="B601" t="str">
            <v>BE.505.FD.18</v>
          </cell>
          <cell r="D601" t="str">
            <v>TC 69kV</v>
          </cell>
          <cell r="E601" t="str">
            <v>2 dias</v>
          </cell>
          <cell r="F601">
            <v>38847.375</v>
          </cell>
          <cell r="G601">
            <v>38930.333333333336</v>
          </cell>
          <cell r="H601">
            <v>38930.333333333336</v>
          </cell>
          <cell r="I601">
            <v>38848.375</v>
          </cell>
          <cell r="J601">
            <v>38931.729166666664</v>
          </cell>
          <cell r="K601" t="str">
            <v>NA</v>
          </cell>
          <cell r="L601">
            <v>0.08</v>
          </cell>
          <cell r="M601">
            <v>1.88</v>
          </cell>
          <cell r="N601">
            <v>1.69</v>
          </cell>
          <cell r="O601">
            <v>0</v>
          </cell>
          <cell r="P601">
            <v>90</v>
          </cell>
          <cell r="Q601" t="str">
            <v>584II</v>
          </cell>
          <cell r="S601" t="str">
            <v>EQUIPE ELE</v>
          </cell>
          <cell r="T601">
            <v>38931</v>
          </cell>
        </row>
        <row r="602">
          <cell r="B602" t="str">
            <v>BE.505.FD.19</v>
          </cell>
          <cell r="D602" t="str">
            <v>TP 69kV</v>
          </cell>
          <cell r="E602" t="str">
            <v>2 dias</v>
          </cell>
          <cell r="F602">
            <v>38847.375</v>
          </cell>
          <cell r="G602">
            <v>38932.333333333336</v>
          </cell>
          <cell r="H602">
            <v>38932.333333333336</v>
          </cell>
          <cell r="I602">
            <v>38848.375</v>
          </cell>
          <cell r="J602">
            <v>38933.729166666664</v>
          </cell>
          <cell r="K602" t="str">
            <v>NA</v>
          </cell>
          <cell r="L602">
            <v>0.08</v>
          </cell>
          <cell r="M602">
            <v>1.75</v>
          </cell>
          <cell r="N602">
            <v>1.58</v>
          </cell>
          <cell r="O602">
            <v>0</v>
          </cell>
          <cell r="P602">
            <v>90</v>
          </cell>
          <cell r="Q602" t="str">
            <v>584II</v>
          </cell>
          <cell r="S602" t="str">
            <v>EQUIPE ELE</v>
          </cell>
          <cell r="T602">
            <v>38933</v>
          </cell>
        </row>
        <row r="603">
          <cell r="B603" t="str">
            <v>BE.505.LE.01</v>
          </cell>
          <cell r="D603" t="str">
            <v>Lista De Equipamentos / Instrumentos</v>
          </cell>
          <cell r="E603" t="str">
            <v>2 dias</v>
          </cell>
          <cell r="F603">
            <v>38819.375</v>
          </cell>
          <cell r="G603">
            <v>38924.333333333336</v>
          </cell>
          <cell r="H603">
            <v>38924.333333333336</v>
          </cell>
          <cell r="I603">
            <v>38826.375</v>
          </cell>
          <cell r="J603">
            <v>38925.729166666664</v>
          </cell>
          <cell r="K603" t="str">
            <v>NA</v>
          </cell>
          <cell r="L603">
            <v>0.06</v>
          </cell>
          <cell r="M603">
            <v>1.38</v>
          </cell>
          <cell r="N603">
            <v>1.24</v>
          </cell>
          <cell r="O603">
            <v>0</v>
          </cell>
          <cell r="P603">
            <v>90</v>
          </cell>
          <cell r="Q603" t="str">
            <v>584II</v>
          </cell>
          <cell r="R603">
            <v>602</v>
          </cell>
          <cell r="S603" t="str">
            <v>EQUIPE ELE</v>
          </cell>
          <cell r="T603">
            <v>38925</v>
          </cell>
        </row>
        <row r="604">
          <cell r="B604" t="str">
            <v>BE.505.PQ.01</v>
          </cell>
          <cell r="D604" t="str">
            <v>Planilha De Quantitativos</v>
          </cell>
          <cell r="E604" t="str">
            <v>14 dias</v>
          </cell>
          <cell r="F604">
            <v>38826.375</v>
          </cell>
          <cell r="G604">
            <v>38926.333333333336</v>
          </cell>
          <cell r="H604">
            <v>38926.333333333336</v>
          </cell>
          <cell r="I604">
            <v>38848.375</v>
          </cell>
          <cell r="J604">
            <v>38947.729166666664</v>
          </cell>
          <cell r="K604" t="str">
            <v>NA</v>
          </cell>
          <cell r="L604">
            <v>0.22</v>
          </cell>
          <cell r="M604">
            <v>5</v>
          </cell>
          <cell r="N604">
            <v>0.35</v>
          </cell>
          <cell r="O604">
            <v>0</v>
          </cell>
          <cell r="P604">
            <v>7</v>
          </cell>
          <cell r="Q604">
            <v>601</v>
          </cell>
          <cell r="S604" t="str">
            <v>EQUIPE ELE</v>
          </cell>
          <cell r="T604">
            <v>38947</v>
          </cell>
        </row>
        <row r="605">
          <cell r="D605" t="str">
            <v>Projeto Detalhado</v>
          </cell>
          <cell r="E605" t="str">
            <v>135 dias</v>
          </cell>
          <cell r="F605">
            <v>38845.375</v>
          </cell>
          <cell r="G605">
            <v>38842.333333333336</v>
          </cell>
          <cell r="H605">
            <v>38842.333333333336</v>
          </cell>
          <cell r="I605">
            <v>38988.604166666664</v>
          </cell>
          <cell r="J605">
            <v>39045.729166666664</v>
          </cell>
          <cell r="K605" t="str">
            <v>NA</v>
          </cell>
          <cell r="L605">
            <v>5.03</v>
          </cell>
          <cell r="M605">
            <v>115</v>
          </cell>
          <cell r="N605">
            <v>46.95</v>
          </cell>
          <cell r="O605">
            <v>40.83</v>
          </cell>
          <cell r="P605">
            <v>40.83</v>
          </cell>
          <cell r="T605">
            <v>39045</v>
          </cell>
        </row>
        <row r="606">
          <cell r="D606" t="str">
            <v>Tubulação</v>
          </cell>
          <cell r="E606" t="str">
            <v>5 dias</v>
          </cell>
          <cell r="F606">
            <v>38891.375</v>
          </cell>
          <cell r="G606">
            <v>39041.333333333336</v>
          </cell>
          <cell r="H606" t="str">
            <v>NA</v>
          </cell>
          <cell r="I606">
            <v>38898.375</v>
          </cell>
          <cell r="J606">
            <v>39045.729166666664</v>
          </cell>
          <cell r="K606" t="str">
            <v>NA</v>
          </cell>
          <cell r="L606">
            <v>0.17</v>
          </cell>
          <cell r="M606">
            <v>4</v>
          </cell>
          <cell r="N606">
            <v>0</v>
          </cell>
          <cell r="O606">
            <v>0</v>
          </cell>
          <cell r="P606">
            <v>0</v>
          </cell>
          <cell r="T606">
            <v>39045</v>
          </cell>
        </row>
        <row r="607">
          <cell r="B607" t="str">
            <v>DH.505.RT.01</v>
          </cell>
          <cell r="D607" t="str">
            <v>Relatório Técnico - Análise Téc. Ar Condicionado</v>
          </cell>
          <cell r="E607" t="str">
            <v>5 dias</v>
          </cell>
          <cell r="F607">
            <v>38891.375</v>
          </cell>
          <cell r="G607">
            <v>39041.333333333336</v>
          </cell>
          <cell r="H607" t="str">
            <v>NA</v>
          </cell>
          <cell r="I607">
            <v>38898.375</v>
          </cell>
          <cell r="J607">
            <v>39045.729166666664</v>
          </cell>
          <cell r="K607" t="str">
            <v>NA</v>
          </cell>
          <cell r="L607">
            <v>0.17</v>
          </cell>
          <cell r="M607">
            <v>4</v>
          </cell>
          <cell r="N607">
            <v>0</v>
          </cell>
          <cell r="O607">
            <v>0</v>
          </cell>
          <cell r="P607">
            <v>0</v>
          </cell>
          <cell r="Q607" t="str">
            <v>575TI+50 dias</v>
          </cell>
          <cell r="S607" t="str">
            <v>EQUIPE TUB</v>
          </cell>
          <cell r="T607">
            <v>39045</v>
          </cell>
        </row>
        <row r="608">
          <cell r="D608" t="str">
            <v>Civil</v>
          </cell>
          <cell r="E608" t="str">
            <v>52 dias</v>
          </cell>
          <cell r="F608">
            <v>38845.333333333336</v>
          </cell>
          <cell r="G608">
            <v>38902.333333333336</v>
          </cell>
          <cell r="H608">
            <v>38902.333333333336</v>
          </cell>
          <cell r="I608">
            <v>38897.375</v>
          </cell>
          <cell r="J608">
            <v>38979.729166666664</v>
          </cell>
          <cell r="K608" t="str">
            <v>NA</v>
          </cell>
          <cell r="L608">
            <v>0.61</v>
          </cell>
          <cell r="M608">
            <v>14</v>
          </cell>
          <cell r="N608">
            <v>4</v>
          </cell>
          <cell r="O608">
            <v>0</v>
          </cell>
          <cell r="P608">
            <v>28.57</v>
          </cell>
          <cell r="T608">
            <v>38979</v>
          </cell>
        </row>
        <row r="609">
          <cell r="D609" t="str">
            <v>Desenho De Detalhamento</v>
          </cell>
          <cell r="E609" t="str">
            <v>52 dias</v>
          </cell>
          <cell r="F609">
            <v>38845.333333333336</v>
          </cell>
          <cell r="G609">
            <v>38902.333333333336</v>
          </cell>
          <cell r="H609">
            <v>38902.333333333336</v>
          </cell>
          <cell r="I609">
            <v>38897.375</v>
          </cell>
          <cell r="J609">
            <v>38979.729166666664</v>
          </cell>
          <cell r="K609" t="str">
            <v>NA</v>
          </cell>
          <cell r="L609">
            <v>0.61</v>
          </cell>
          <cell r="M609">
            <v>14</v>
          </cell>
          <cell r="N609">
            <v>4</v>
          </cell>
          <cell r="O609">
            <v>0</v>
          </cell>
          <cell r="P609">
            <v>28.57</v>
          </cell>
          <cell r="T609">
            <v>38979</v>
          </cell>
        </row>
        <row r="610">
          <cell r="B610" t="str">
            <v>DC.505.DD.01</v>
          </cell>
          <cell r="D610" t="str">
            <v>Terraplenagem - Platô Industrial</v>
          </cell>
          <cell r="E610" t="str">
            <v>23 dias</v>
          </cell>
          <cell r="F610">
            <v>38845.333333333336</v>
          </cell>
          <cell r="G610">
            <v>38902.333333333336</v>
          </cell>
          <cell r="H610">
            <v>38902.333333333336</v>
          </cell>
          <cell r="I610">
            <v>38855.729166666664</v>
          </cell>
          <cell r="J610">
            <v>38932.729166666664</v>
          </cell>
          <cell r="K610">
            <v>38932.729166666664</v>
          </cell>
          <cell r="L610">
            <v>0.17</v>
          </cell>
          <cell r="M610">
            <v>4</v>
          </cell>
          <cell r="N610">
            <v>4</v>
          </cell>
          <cell r="O610">
            <v>0</v>
          </cell>
          <cell r="P610">
            <v>100</v>
          </cell>
          <cell r="Q610" t="str">
            <v>579II</v>
          </cell>
          <cell r="R610">
            <v>690</v>
          </cell>
          <cell r="S610" t="str">
            <v>EQUIPE CIV</v>
          </cell>
          <cell r="T610">
            <v>38932</v>
          </cell>
        </row>
        <row r="611">
          <cell r="B611" t="str">
            <v>DC.505.DD.04</v>
          </cell>
          <cell r="D611" t="str">
            <v>Terraplenagem - Acesso Mina</v>
          </cell>
          <cell r="E611" t="str">
            <v>17 dias</v>
          </cell>
          <cell r="F611">
            <v>38861.333333333336</v>
          </cell>
          <cell r="G611">
            <v>38950.333333333336</v>
          </cell>
          <cell r="H611" t="str">
            <v>NA</v>
          </cell>
          <cell r="I611">
            <v>38888.375</v>
          </cell>
          <cell r="J611">
            <v>38974.729166666664</v>
          </cell>
          <cell r="K611" t="str">
            <v>NA</v>
          </cell>
          <cell r="L611">
            <v>0.26</v>
          </cell>
          <cell r="M611">
            <v>6</v>
          </cell>
          <cell r="N611">
            <v>0</v>
          </cell>
          <cell r="O611">
            <v>0</v>
          </cell>
          <cell r="P611">
            <v>0</v>
          </cell>
          <cell r="Q611">
            <v>719</v>
          </cell>
          <cell r="S611" t="str">
            <v>EQUIPE CIV</v>
          </cell>
          <cell r="T611">
            <v>38974</v>
          </cell>
        </row>
        <row r="612">
          <cell r="B612" t="str">
            <v>DC.505.DD.05</v>
          </cell>
          <cell r="D612" t="str">
            <v>Pavimentação</v>
          </cell>
          <cell r="E612" t="str">
            <v>7 dias</v>
          </cell>
          <cell r="F612">
            <v>38888.333333333336</v>
          </cell>
          <cell r="G612">
            <v>38971.333333333336</v>
          </cell>
          <cell r="H612" t="str">
            <v>NA</v>
          </cell>
          <cell r="I612">
            <v>38897.375</v>
          </cell>
          <cell r="J612">
            <v>38979.729166666664</v>
          </cell>
          <cell r="K612" t="str">
            <v>NA</v>
          </cell>
          <cell r="L612">
            <v>0.17</v>
          </cell>
          <cell r="M612">
            <v>4</v>
          </cell>
          <cell r="N612">
            <v>0</v>
          </cell>
          <cell r="O612">
            <v>0</v>
          </cell>
          <cell r="P612">
            <v>0</v>
          </cell>
          <cell r="Q612">
            <v>689</v>
          </cell>
          <cell r="S612" t="str">
            <v>EQUIPE CIV</v>
          </cell>
          <cell r="T612">
            <v>38979</v>
          </cell>
        </row>
        <row r="613">
          <cell r="D613" t="str">
            <v>Elétrica</v>
          </cell>
          <cell r="E613" t="str">
            <v>123 dias</v>
          </cell>
          <cell r="F613">
            <v>38891.375</v>
          </cell>
          <cell r="G613">
            <v>38842.333333333336</v>
          </cell>
          <cell r="H613">
            <v>38842.333333333336</v>
          </cell>
          <cell r="I613">
            <v>38988.604166666664</v>
          </cell>
          <cell r="J613">
            <v>39028.729166666664</v>
          </cell>
          <cell r="K613" t="str">
            <v>NA</v>
          </cell>
          <cell r="L613">
            <v>4.24</v>
          </cell>
          <cell r="M613">
            <v>97</v>
          </cell>
          <cell r="N613">
            <v>42.95</v>
          </cell>
          <cell r="O613">
            <v>0</v>
          </cell>
          <cell r="P613">
            <v>44.28</v>
          </cell>
          <cell r="T613">
            <v>39028</v>
          </cell>
        </row>
        <row r="614">
          <cell r="D614" t="str">
            <v>Diagrama Unifilar</v>
          </cell>
          <cell r="E614" t="str">
            <v>23 dias</v>
          </cell>
          <cell r="F614">
            <v>38891.375</v>
          </cell>
          <cell r="G614">
            <v>38925.333333333336</v>
          </cell>
          <cell r="H614">
            <v>38925.333333333336</v>
          </cell>
          <cell r="I614">
            <v>38923.375</v>
          </cell>
          <cell r="J614">
            <v>38959.729166666664</v>
          </cell>
          <cell r="K614" t="str">
            <v>NA</v>
          </cell>
          <cell r="L614">
            <v>0.66</v>
          </cell>
          <cell r="M614">
            <v>15</v>
          </cell>
          <cell r="N614">
            <v>6.3</v>
          </cell>
          <cell r="O614">
            <v>0</v>
          </cell>
          <cell r="P614">
            <v>42</v>
          </cell>
          <cell r="R614" t="str">
            <v>617;618</v>
          </cell>
          <cell r="T614">
            <v>38959</v>
          </cell>
        </row>
        <row r="615">
          <cell r="B615" t="str">
            <v>DE.505.DU.01</v>
          </cell>
          <cell r="D615" t="str">
            <v>Centro De Controle De Motores</v>
          </cell>
          <cell r="E615" t="str">
            <v>23 dias</v>
          </cell>
          <cell r="F615">
            <v>38891.375</v>
          </cell>
          <cell r="G615">
            <v>38925.333333333336</v>
          </cell>
          <cell r="H615">
            <v>38925.333333333336</v>
          </cell>
          <cell r="I615">
            <v>38910.375</v>
          </cell>
          <cell r="J615">
            <v>38959.729166666664</v>
          </cell>
          <cell r="K615" t="str">
            <v>NA</v>
          </cell>
          <cell r="L615">
            <v>0.48</v>
          </cell>
          <cell r="M615">
            <v>11</v>
          </cell>
          <cell r="N615">
            <v>6.3</v>
          </cell>
          <cell r="O615">
            <v>0</v>
          </cell>
          <cell r="P615">
            <v>57.27</v>
          </cell>
          <cell r="Q615" t="str">
            <v>575TT</v>
          </cell>
          <cell r="R615" t="str">
            <v>614TT</v>
          </cell>
          <cell r="S615" t="str">
            <v>EQUIPE ELE</v>
          </cell>
          <cell r="T615">
            <v>38959</v>
          </cell>
        </row>
        <row r="616">
          <cell r="B616" t="str">
            <v>DE.505.DU.02</v>
          </cell>
          <cell r="D616" t="str">
            <v>Quadro De Distribuição 4,16kV</v>
          </cell>
          <cell r="E616" t="str">
            <v>3 dias</v>
          </cell>
          <cell r="F616">
            <v>38910.375</v>
          </cell>
          <cell r="G616">
            <v>38957.333333333336</v>
          </cell>
          <cell r="H616" t="str">
            <v>NA</v>
          </cell>
          <cell r="I616">
            <v>38915.375</v>
          </cell>
          <cell r="J616">
            <v>38959.729166666664</v>
          </cell>
          <cell r="K616" t="str">
            <v>NA</v>
          </cell>
          <cell r="L616">
            <v>0.04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 t="str">
            <v>613TT</v>
          </cell>
          <cell r="R616" t="str">
            <v>615TT</v>
          </cell>
          <cell r="S616" t="str">
            <v>EQUIPE ELE</v>
          </cell>
          <cell r="T616">
            <v>38959</v>
          </cell>
        </row>
        <row r="617">
          <cell r="B617" t="str">
            <v>DE.505.DU.03</v>
          </cell>
          <cell r="D617" t="str">
            <v>Tomadas De Maquinas De Solda</v>
          </cell>
          <cell r="E617" t="str">
            <v>6 dias</v>
          </cell>
          <cell r="F617">
            <v>38915.375</v>
          </cell>
          <cell r="G617">
            <v>38952.333333333336</v>
          </cell>
          <cell r="H617" t="str">
            <v>NA</v>
          </cell>
          <cell r="I617">
            <v>38923.375</v>
          </cell>
          <cell r="J617">
            <v>38959.729166666664</v>
          </cell>
          <cell r="K617" t="str">
            <v>NA</v>
          </cell>
          <cell r="L617">
            <v>0.13</v>
          </cell>
          <cell r="M617">
            <v>3</v>
          </cell>
          <cell r="N617">
            <v>0</v>
          </cell>
          <cell r="O617">
            <v>0</v>
          </cell>
          <cell r="P617">
            <v>0</v>
          </cell>
          <cell r="Q617" t="str">
            <v>614TT</v>
          </cell>
          <cell r="S617" t="str">
            <v>EQUIPE ELE</v>
          </cell>
          <cell r="T617">
            <v>38959</v>
          </cell>
        </row>
        <row r="618">
          <cell r="D618" t="str">
            <v>Desenho De Detalhamento</v>
          </cell>
          <cell r="E618" t="str">
            <v>39 dias</v>
          </cell>
          <cell r="F618">
            <v>38923.375</v>
          </cell>
          <cell r="G618">
            <v>38960.333333333336</v>
          </cell>
          <cell r="H618">
            <v>38960.333333333336</v>
          </cell>
          <cell r="I618">
            <v>38982.375</v>
          </cell>
          <cell r="J618">
            <v>39020.729166666664</v>
          </cell>
          <cell r="K618" t="str">
            <v>NA</v>
          </cell>
          <cell r="L618">
            <v>0.89</v>
          </cell>
          <cell r="M618">
            <v>20.38</v>
          </cell>
          <cell r="N618">
            <v>0.9</v>
          </cell>
          <cell r="O618">
            <v>0</v>
          </cell>
          <cell r="P618">
            <v>4.42</v>
          </cell>
          <cell r="R618">
            <v>624</v>
          </cell>
          <cell r="T618">
            <v>39020</v>
          </cell>
        </row>
        <row r="619">
          <cell r="B619" t="str">
            <v>DE.505.DD.01</v>
          </cell>
          <cell r="D619" t="str">
            <v>Estudo De Fluxo De Potência</v>
          </cell>
          <cell r="E619" t="str">
            <v>22 dias</v>
          </cell>
          <cell r="F619">
            <v>38923.375</v>
          </cell>
          <cell r="G619">
            <v>38960.333333333336</v>
          </cell>
          <cell r="H619" t="str">
            <v>NA</v>
          </cell>
          <cell r="I619">
            <v>38957.375</v>
          </cell>
          <cell r="J619">
            <v>38993.729166666664</v>
          </cell>
          <cell r="K619" t="str">
            <v>NA</v>
          </cell>
          <cell r="L619">
            <v>0.5</v>
          </cell>
          <cell r="M619">
            <v>11.38</v>
          </cell>
          <cell r="N619">
            <v>0</v>
          </cell>
          <cell r="O619">
            <v>0</v>
          </cell>
          <cell r="P619">
            <v>0</v>
          </cell>
          <cell r="Q619">
            <v>612</v>
          </cell>
          <cell r="R619">
            <v>619</v>
          </cell>
          <cell r="S619" t="str">
            <v>EQUIPE ELE</v>
          </cell>
          <cell r="T619">
            <v>38993</v>
          </cell>
        </row>
        <row r="620">
          <cell r="B620" t="str">
            <v>DE.505.DD.02</v>
          </cell>
          <cell r="D620" t="str">
            <v>Malha Geral De Aterramento</v>
          </cell>
          <cell r="E620" t="str">
            <v>6 dias</v>
          </cell>
          <cell r="F620">
            <v>38957.375</v>
          </cell>
          <cell r="G620">
            <v>38987.333333333336</v>
          </cell>
          <cell r="H620">
            <v>38987.333333333336</v>
          </cell>
          <cell r="I620">
            <v>38965.375</v>
          </cell>
          <cell r="J620">
            <v>38994.729166666664</v>
          </cell>
          <cell r="K620" t="str">
            <v>NA</v>
          </cell>
          <cell r="L620">
            <v>0.09</v>
          </cell>
          <cell r="M620">
            <v>2</v>
          </cell>
          <cell r="N620">
            <v>0.9</v>
          </cell>
          <cell r="O620">
            <v>0</v>
          </cell>
          <cell r="P620">
            <v>45</v>
          </cell>
          <cell r="Q620">
            <v>612</v>
          </cell>
          <cell r="S620" t="str">
            <v>EQUIPE ELE</v>
          </cell>
          <cell r="T620">
            <v>38994</v>
          </cell>
        </row>
        <row r="621">
          <cell r="B621" t="str">
            <v>DE.505.DD.03</v>
          </cell>
          <cell r="D621" t="str">
            <v>Rede Geral De Dutos</v>
          </cell>
          <cell r="E621" t="str">
            <v>13 dias</v>
          </cell>
          <cell r="F621">
            <v>38957.375</v>
          </cell>
          <cell r="G621">
            <v>38994.333333333336</v>
          </cell>
          <cell r="H621" t="str">
            <v>NA</v>
          </cell>
          <cell r="I621">
            <v>38978.375</v>
          </cell>
          <cell r="J621">
            <v>39014.729166666664</v>
          </cell>
          <cell r="K621" t="str">
            <v>NA</v>
          </cell>
          <cell r="L621">
            <v>0.26</v>
          </cell>
          <cell r="M621">
            <v>6</v>
          </cell>
          <cell r="N621">
            <v>0</v>
          </cell>
          <cell r="O621">
            <v>0</v>
          </cell>
          <cell r="P621">
            <v>0</v>
          </cell>
          <cell r="Q621">
            <v>617</v>
          </cell>
          <cell r="R621">
            <v>620</v>
          </cell>
          <cell r="S621" t="str">
            <v>EQUIPE ELE</v>
          </cell>
          <cell r="T621">
            <v>39014</v>
          </cell>
        </row>
        <row r="622">
          <cell r="B622" t="str">
            <v>DE.505.DD.04</v>
          </cell>
          <cell r="D622" t="str">
            <v>Pipe Rack - Bandejamento</v>
          </cell>
          <cell r="E622" t="str">
            <v>4 dias</v>
          </cell>
          <cell r="F622">
            <v>38978.375</v>
          </cell>
          <cell r="G622">
            <v>39015.333333333336</v>
          </cell>
          <cell r="H622" t="str">
            <v>NA</v>
          </cell>
          <cell r="I622">
            <v>38982.375</v>
          </cell>
          <cell r="J622">
            <v>39020.729166666664</v>
          </cell>
          <cell r="K622" t="str">
            <v>NA</v>
          </cell>
          <cell r="L622">
            <v>0.04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619</v>
          </cell>
          <cell r="S622" t="str">
            <v>EQUIPE ELE</v>
          </cell>
          <cell r="T622">
            <v>39020</v>
          </cell>
        </row>
        <row r="623">
          <cell r="B623" t="str">
            <v>DE.505.DE.01</v>
          </cell>
          <cell r="D623" t="str">
            <v>Detalhes Típicos - Iluminação, Aterramento e Força</v>
          </cell>
          <cell r="E623" t="str">
            <v>15 dias</v>
          </cell>
          <cell r="F623">
            <v>38957.375</v>
          </cell>
          <cell r="G623">
            <v>38842.333333333336</v>
          </cell>
          <cell r="H623">
            <v>38842.333333333336</v>
          </cell>
          <cell r="I623">
            <v>38980.375</v>
          </cell>
          <cell r="J623">
            <v>38862.729166666664</v>
          </cell>
          <cell r="K623">
            <v>38862.729166666664</v>
          </cell>
          <cell r="L623">
            <v>1.48</v>
          </cell>
          <cell r="M623">
            <v>33.75</v>
          </cell>
          <cell r="N623">
            <v>33.75</v>
          </cell>
          <cell r="O623">
            <v>0</v>
          </cell>
          <cell r="P623">
            <v>100</v>
          </cell>
          <cell r="Q623" t="str">
            <v>582II</v>
          </cell>
          <cell r="S623" t="str">
            <v>EQUIPE ELE</v>
          </cell>
          <cell r="T623">
            <v>38862</v>
          </cell>
        </row>
        <row r="624">
          <cell r="B624" t="str">
            <v>DE.505.ED.01</v>
          </cell>
          <cell r="D624" t="str">
            <v>Estudos / Planos - Estudo Demanda</v>
          </cell>
          <cell r="E624" t="str">
            <v>25 dias</v>
          </cell>
          <cell r="F624">
            <v>38923.375</v>
          </cell>
          <cell r="G624">
            <v>38945.333333333336</v>
          </cell>
          <cell r="H624" t="str">
            <v>NA</v>
          </cell>
          <cell r="I624">
            <v>38932.375</v>
          </cell>
          <cell r="J624">
            <v>38981.729166666664</v>
          </cell>
          <cell r="K624" t="str">
            <v>NA</v>
          </cell>
          <cell r="L624">
            <v>0.93</v>
          </cell>
          <cell r="M624">
            <v>21.25</v>
          </cell>
          <cell r="N624">
            <v>0</v>
          </cell>
          <cell r="O624">
            <v>0</v>
          </cell>
          <cell r="P624">
            <v>0</v>
          </cell>
          <cell r="Q624">
            <v>584</v>
          </cell>
          <cell r="S624" t="str">
            <v>EQUIPE ELE</v>
          </cell>
          <cell r="T624">
            <v>38981</v>
          </cell>
        </row>
        <row r="625">
          <cell r="B625" t="str">
            <v>DE.505.FD.01</v>
          </cell>
          <cell r="D625" t="str">
            <v>FD's - Transformador, Painel e Torre de Iluminação</v>
          </cell>
          <cell r="E625" t="str">
            <v>5 dias</v>
          </cell>
          <cell r="F625" t="str">
            <v>NA</v>
          </cell>
          <cell r="G625">
            <v>38960.333333333336</v>
          </cell>
          <cell r="H625" t="str">
            <v>NA</v>
          </cell>
          <cell r="I625" t="str">
            <v>NA</v>
          </cell>
          <cell r="J625">
            <v>38966.729166666664</v>
          </cell>
          <cell r="K625" t="str">
            <v>NA</v>
          </cell>
          <cell r="L625">
            <v>0.17</v>
          </cell>
          <cell r="M625">
            <v>4</v>
          </cell>
          <cell r="N625">
            <v>0</v>
          </cell>
          <cell r="O625">
            <v>0</v>
          </cell>
          <cell r="P625">
            <v>0</v>
          </cell>
          <cell r="Q625">
            <v>585</v>
          </cell>
          <cell r="S625" t="str">
            <v>EQUIPE ELE</v>
          </cell>
          <cell r="T625">
            <v>38966</v>
          </cell>
        </row>
        <row r="626">
          <cell r="B626" t="str">
            <v>DE.505.LM.01</v>
          </cell>
          <cell r="D626" t="str">
            <v>Lista De Materiais</v>
          </cell>
          <cell r="E626" t="str">
            <v>4 dias</v>
          </cell>
          <cell r="F626">
            <v>38982.375</v>
          </cell>
          <cell r="G626">
            <v>39021.333333333336</v>
          </cell>
          <cell r="H626" t="str">
            <v>NA</v>
          </cell>
          <cell r="I626">
            <v>38988.375</v>
          </cell>
          <cell r="J626">
            <v>39028.729166666664</v>
          </cell>
          <cell r="K626" t="str">
            <v>NA</v>
          </cell>
          <cell r="L626">
            <v>0.03</v>
          </cell>
          <cell r="M626">
            <v>0.63</v>
          </cell>
          <cell r="N626">
            <v>0</v>
          </cell>
          <cell r="O626">
            <v>0</v>
          </cell>
          <cell r="P626">
            <v>0</v>
          </cell>
          <cell r="Q626">
            <v>616</v>
          </cell>
          <cell r="S626" t="str">
            <v>EQUIPE ELE[150%]</v>
          </cell>
          <cell r="T626">
            <v>39028</v>
          </cell>
        </row>
        <row r="627">
          <cell r="B627" t="str">
            <v>DE.505.PQ.01</v>
          </cell>
          <cell r="D627" t="str">
            <v>Planilha De Quantitativos</v>
          </cell>
          <cell r="E627" t="str">
            <v>10 dias</v>
          </cell>
          <cell r="F627">
            <v>38982.375</v>
          </cell>
          <cell r="G627">
            <v>38924.333333333336</v>
          </cell>
          <cell r="H627">
            <v>38924.333333333336</v>
          </cell>
          <cell r="I627">
            <v>38988.604166666664</v>
          </cell>
          <cell r="J627">
            <v>38937.729166666664</v>
          </cell>
          <cell r="K627">
            <v>38937.729166666664</v>
          </cell>
          <cell r="L627">
            <v>0.09</v>
          </cell>
          <cell r="M627">
            <v>2</v>
          </cell>
          <cell r="N627">
            <v>2</v>
          </cell>
          <cell r="O627">
            <v>0</v>
          </cell>
          <cell r="P627">
            <v>100</v>
          </cell>
          <cell r="Q627" t="str">
            <v>585II</v>
          </cell>
          <cell r="S627" t="str">
            <v>EQUIPE ELE</v>
          </cell>
          <cell r="T627">
            <v>38937</v>
          </cell>
        </row>
        <row r="628">
          <cell r="B628" t="str">
            <v>1.4.2</v>
          </cell>
          <cell r="C628" t="str">
            <v>510A</v>
          </cell>
          <cell r="D628" t="str">
            <v>Subestações, Linhas de Transmissão</v>
          </cell>
          <cell r="E628" t="str">
            <v>156 dias</v>
          </cell>
          <cell r="F628">
            <v>38793.375</v>
          </cell>
          <cell r="G628">
            <v>38833.333333333336</v>
          </cell>
          <cell r="H628">
            <v>38833.333333333336</v>
          </cell>
          <cell r="I628">
            <v>38988.375</v>
          </cell>
          <cell r="J628">
            <v>39066.729166666664</v>
          </cell>
          <cell r="K628" t="str">
            <v>NA</v>
          </cell>
          <cell r="L628">
            <v>8.23</v>
          </cell>
          <cell r="M628">
            <v>188.38</v>
          </cell>
          <cell r="N628">
            <v>12.16</v>
          </cell>
          <cell r="O628">
            <v>6.46</v>
          </cell>
          <cell r="P628">
            <v>6.46</v>
          </cell>
          <cell r="T628">
            <v>39066</v>
          </cell>
        </row>
        <row r="629">
          <cell r="D629" t="str">
            <v>Projeto Básico</v>
          </cell>
          <cell r="E629" t="str">
            <v>120 dias</v>
          </cell>
          <cell r="F629">
            <v>38793.375</v>
          </cell>
          <cell r="G629">
            <v>38833.333333333336</v>
          </cell>
          <cell r="H629">
            <v>38833.333333333336</v>
          </cell>
          <cell r="I629">
            <v>38877.375</v>
          </cell>
          <cell r="J629">
            <v>39013.729166666664</v>
          </cell>
          <cell r="K629" t="str">
            <v>NA</v>
          </cell>
          <cell r="L629">
            <v>1.08</v>
          </cell>
          <cell r="M629">
            <v>24.75</v>
          </cell>
          <cell r="N629">
            <v>10.08</v>
          </cell>
          <cell r="O629">
            <v>40.71</v>
          </cell>
          <cell r="P629">
            <v>40.71</v>
          </cell>
          <cell r="R629" t="str">
            <v>641;642</v>
          </cell>
          <cell r="T629">
            <v>39013</v>
          </cell>
        </row>
        <row r="630">
          <cell r="D630" t="str">
            <v>Estrutura Metálica</v>
          </cell>
          <cell r="E630" t="str">
            <v>6 dias</v>
          </cell>
          <cell r="F630" t="str">
            <v>NA</v>
          </cell>
          <cell r="G630">
            <v>39006.333333333336</v>
          </cell>
          <cell r="H630" t="str">
            <v>NA</v>
          </cell>
          <cell r="I630" t="str">
            <v>NA</v>
          </cell>
          <cell r="J630">
            <v>39013.729166666664</v>
          </cell>
          <cell r="K630" t="str">
            <v>NA</v>
          </cell>
          <cell r="L630">
            <v>0.3</v>
          </cell>
          <cell r="M630">
            <v>6.88</v>
          </cell>
          <cell r="N630">
            <v>0</v>
          </cell>
          <cell r="O630">
            <v>0</v>
          </cell>
          <cell r="P630">
            <v>0</v>
          </cell>
          <cell r="T630">
            <v>39013</v>
          </cell>
        </row>
        <row r="631">
          <cell r="B631" t="str">
            <v>BD.510.MC.01</v>
          </cell>
          <cell r="D631" t="str">
            <v>Memória De Cálculo</v>
          </cell>
          <cell r="E631" t="str">
            <v>6 dias</v>
          </cell>
          <cell r="F631" t="str">
            <v>NA</v>
          </cell>
          <cell r="G631">
            <v>39006.333333333336</v>
          </cell>
          <cell r="H631" t="str">
            <v>NA</v>
          </cell>
          <cell r="I631" t="str">
            <v>NA</v>
          </cell>
          <cell r="J631">
            <v>39013.729166666664</v>
          </cell>
          <cell r="K631" t="str">
            <v>NA</v>
          </cell>
          <cell r="L631">
            <v>0.3</v>
          </cell>
          <cell r="M631">
            <v>6.88</v>
          </cell>
          <cell r="N631">
            <v>0</v>
          </cell>
          <cell r="O631">
            <v>0</v>
          </cell>
          <cell r="P631">
            <v>0</v>
          </cell>
          <cell r="Q631">
            <v>467</v>
          </cell>
          <cell r="S631" t="str">
            <v>EQUIPE MET</v>
          </cell>
          <cell r="T631">
            <v>39013</v>
          </cell>
        </row>
        <row r="632">
          <cell r="D632" t="str">
            <v>Elétrica</v>
          </cell>
          <cell r="E632" t="str">
            <v>88 dias</v>
          </cell>
          <cell r="F632">
            <v>38793.375</v>
          </cell>
          <cell r="G632">
            <v>38833.333333333336</v>
          </cell>
          <cell r="H632">
            <v>38833.333333333336</v>
          </cell>
          <cell r="I632">
            <v>38877.375</v>
          </cell>
          <cell r="J632">
            <v>38961.729166666664</v>
          </cell>
          <cell r="K632" t="str">
            <v>NA</v>
          </cell>
          <cell r="L632">
            <v>0.78</v>
          </cell>
          <cell r="M632">
            <v>17.88</v>
          </cell>
          <cell r="N632">
            <v>10.08</v>
          </cell>
          <cell r="O632">
            <v>0</v>
          </cell>
          <cell r="P632">
            <v>56.36</v>
          </cell>
          <cell r="T632">
            <v>38961</v>
          </cell>
        </row>
        <row r="633">
          <cell r="B633" t="str">
            <v>BE.510.AJ.01</v>
          </cell>
          <cell r="D633" t="str">
            <v>Arranjos/ Layout’s/ Plano Diretor</v>
          </cell>
          <cell r="E633" t="str">
            <v>80 dias</v>
          </cell>
          <cell r="F633">
            <v>38793.375</v>
          </cell>
          <cell r="G633">
            <v>38833.333333333336</v>
          </cell>
          <cell r="H633">
            <v>38833.333333333336</v>
          </cell>
          <cell r="I633">
            <v>38839.375</v>
          </cell>
          <cell r="J633">
            <v>38951.729166666664</v>
          </cell>
          <cell r="K633" t="str">
            <v>NA</v>
          </cell>
          <cell r="L633">
            <v>0.43</v>
          </cell>
          <cell r="M633">
            <v>9.75</v>
          </cell>
          <cell r="N633">
            <v>4.05</v>
          </cell>
          <cell r="O633">
            <v>0</v>
          </cell>
          <cell r="P633">
            <v>41.54</v>
          </cell>
          <cell r="Q633" t="str">
            <v>16II</v>
          </cell>
          <cell r="R633" t="str">
            <v>632;633II;635</v>
          </cell>
          <cell r="S633" t="str">
            <v>EQUIPE ELE</v>
          </cell>
          <cell r="T633">
            <v>38951</v>
          </cell>
        </row>
        <row r="634">
          <cell r="D634" t="str">
            <v>APROVAÇÃO EBX</v>
          </cell>
          <cell r="E634" t="str">
            <v>5 dias</v>
          </cell>
          <cell r="F634">
            <v>38839.375</v>
          </cell>
          <cell r="G634">
            <v>38952.333333333336</v>
          </cell>
          <cell r="H634" t="str">
            <v>NA</v>
          </cell>
          <cell r="I634">
            <v>38846.375</v>
          </cell>
          <cell r="J634">
            <v>38958.729166666664</v>
          </cell>
          <cell r="K634" t="str">
            <v>NA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>#ERRO</v>
          </cell>
          <cell r="Q634">
            <v>631</v>
          </cell>
          <cell r="T634">
            <v>38958</v>
          </cell>
        </row>
        <row r="635">
          <cell r="B635" t="str">
            <v>BE.510.DB.01</v>
          </cell>
          <cell r="D635" t="str">
            <v>Desenho Básico</v>
          </cell>
          <cell r="E635" t="str">
            <v>23 dias</v>
          </cell>
          <cell r="F635">
            <v>38839.375</v>
          </cell>
          <cell r="G635">
            <v>38920.333333333336</v>
          </cell>
          <cell r="H635">
            <v>38920.333333333336</v>
          </cell>
          <cell r="I635">
            <v>38870.375</v>
          </cell>
          <cell r="J635">
            <v>38954.729166666664</v>
          </cell>
          <cell r="K635" t="str">
            <v>NA</v>
          </cell>
          <cell r="L635">
            <v>0.22</v>
          </cell>
          <cell r="M635">
            <v>5</v>
          </cell>
          <cell r="N635">
            <v>4</v>
          </cell>
          <cell r="O635">
            <v>0</v>
          </cell>
          <cell r="P635">
            <v>80</v>
          </cell>
          <cell r="Q635" t="str">
            <v>631II</v>
          </cell>
          <cell r="R635" t="str">
            <v>634;637II</v>
          </cell>
          <cell r="S635" t="str">
            <v>EQUIPE ELE</v>
          </cell>
          <cell r="T635">
            <v>38954</v>
          </cell>
        </row>
        <row r="636">
          <cell r="D636" t="str">
            <v>APROVAÇÃO EBX</v>
          </cell>
          <cell r="E636" t="str">
            <v>5 dias</v>
          </cell>
          <cell r="F636">
            <v>38870.375</v>
          </cell>
          <cell r="G636">
            <v>38957.333333333336</v>
          </cell>
          <cell r="H636" t="str">
            <v>NA</v>
          </cell>
          <cell r="I636">
            <v>38877.375</v>
          </cell>
          <cell r="J636">
            <v>38961.729166666664</v>
          </cell>
          <cell r="K636" t="str">
            <v>NA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 t="str">
            <v>#ERRO</v>
          </cell>
          <cell r="Q636">
            <v>633</v>
          </cell>
          <cell r="T636">
            <v>38961</v>
          </cell>
        </row>
        <row r="637">
          <cell r="B637" t="str">
            <v>BE.510.DU.01</v>
          </cell>
          <cell r="D637" t="str">
            <v>Diagrama Unifilar</v>
          </cell>
          <cell r="E637" t="str">
            <v>83 dias</v>
          </cell>
          <cell r="F637">
            <v>38839.375</v>
          </cell>
          <cell r="G637">
            <v>38833.333333333336</v>
          </cell>
          <cell r="H637">
            <v>38833.333333333336</v>
          </cell>
          <cell r="I637">
            <v>38845.375</v>
          </cell>
          <cell r="J637">
            <v>38954.729166666664</v>
          </cell>
          <cell r="K637" t="str">
            <v>NA</v>
          </cell>
          <cell r="L637">
            <v>0.09</v>
          </cell>
          <cell r="M637">
            <v>2</v>
          </cell>
          <cell r="N637">
            <v>1.8</v>
          </cell>
          <cell r="O637">
            <v>0</v>
          </cell>
          <cell r="P637">
            <v>90</v>
          </cell>
          <cell r="Q637">
            <v>631</v>
          </cell>
          <cell r="R637" t="str">
            <v>636;637II;646</v>
          </cell>
          <cell r="S637" t="str">
            <v>EQUIPE ELE</v>
          </cell>
          <cell r="T637">
            <v>38954</v>
          </cell>
        </row>
        <row r="638">
          <cell r="D638" t="str">
            <v>APROVAÇÃO EBX</v>
          </cell>
          <cell r="E638" t="str">
            <v>5 dias</v>
          </cell>
          <cell r="F638">
            <v>38845.375</v>
          </cell>
          <cell r="G638">
            <v>38957.333333333336</v>
          </cell>
          <cell r="H638" t="str">
            <v>NA</v>
          </cell>
          <cell r="I638">
            <v>38852.375</v>
          </cell>
          <cell r="J638">
            <v>38961.729166666664</v>
          </cell>
          <cell r="K638" t="str">
            <v>NA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>#ERRO</v>
          </cell>
          <cell r="Q638">
            <v>635</v>
          </cell>
          <cell r="T638">
            <v>38961</v>
          </cell>
        </row>
        <row r="639">
          <cell r="B639" t="str">
            <v>BE.510.FD.01</v>
          </cell>
          <cell r="D639" t="str">
            <v>Folha De Dadoes - Painel de Controle</v>
          </cell>
          <cell r="E639" t="str">
            <v>2 dias</v>
          </cell>
          <cell r="F639" t="str">
            <v>NA</v>
          </cell>
          <cell r="G639">
            <v>38958.333333333336</v>
          </cell>
          <cell r="H639">
            <v>38958.333333333336</v>
          </cell>
          <cell r="I639" t="str">
            <v>NA</v>
          </cell>
          <cell r="J639">
            <v>38959.729166666664</v>
          </cell>
          <cell r="K639" t="str">
            <v>NA</v>
          </cell>
          <cell r="L639">
            <v>0.05</v>
          </cell>
          <cell r="M639">
            <v>1.1299999999999999</v>
          </cell>
          <cell r="N639">
            <v>0.23</v>
          </cell>
          <cell r="O639">
            <v>0</v>
          </cell>
          <cell r="P639">
            <v>20</v>
          </cell>
          <cell r="Q639" t="str">
            <v>633II;635II</v>
          </cell>
          <cell r="S639" t="str">
            <v>EQUIPE ELE</v>
          </cell>
          <cell r="T639">
            <v>38959</v>
          </cell>
        </row>
        <row r="640">
          <cell r="D640" t="str">
            <v>Projeto Detalhado</v>
          </cell>
          <cell r="E640" t="str">
            <v>96 dias</v>
          </cell>
          <cell r="F640">
            <v>38877.375</v>
          </cell>
          <cell r="G640">
            <v>38922.333333333336</v>
          </cell>
          <cell r="H640">
            <v>38922.333333333336</v>
          </cell>
          <cell r="I640">
            <v>38988.375</v>
          </cell>
          <cell r="J640">
            <v>39066.729166666664</v>
          </cell>
          <cell r="K640" t="str">
            <v>NA</v>
          </cell>
          <cell r="L640">
            <v>7.15</v>
          </cell>
          <cell r="M640">
            <v>163.63</v>
          </cell>
          <cell r="N640">
            <v>2.09</v>
          </cell>
          <cell r="O640">
            <v>1.28</v>
          </cell>
          <cell r="P640">
            <v>1.28</v>
          </cell>
          <cell r="T640">
            <v>39066</v>
          </cell>
        </row>
        <row r="641">
          <cell r="D641" t="str">
            <v>Civil</v>
          </cell>
          <cell r="E641" t="str">
            <v>36 dias</v>
          </cell>
          <cell r="F641">
            <v>38877.375</v>
          </cell>
          <cell r="G641">
            <v>39014.333333333336</v>
          </cell>
          <cell r="H641" t="str">
            <v>NA</v>
          </cell>
          <cell r="I641">
            <v>38961.604166666664</v>
          </cell>
          <cell r="J641">
            <v>39066.729166666664</v>
          </cell>
          <cell r="K641" t="str">
            <v>NA</v>
          </cell>
          <cell r="L641">
            <v>3.19</v>
          </cell>
          <cell r="M641">
            <v>73</v>
          </cell>
          <cell r="N641">
            <v>0</v>
          </cell>
          <cell r="O641">
            <v>0</v>
          </cell>
          <cell r="P641">
            <v>0</v>
          </cell>
          <cell r="T641">
            <v>39066</v>
          </cell>
        </row>
        <row r="642">
          <cell r="D642" t="str">
            <v>Desenho De Detalhamento</v>
          </cell>
          <cell r="E642" t="str">
            <v>36 dias</v>
          </cell>
          <cell r="F642">
            <v>38877.375</v>
          </cell>
          <cell r="G642">
            <v>39014.333333333336</v>
          </cell>
          <cell r="H642" t="str">
            <v>NA</v>
          </cell>
          <cell r="I642">
            <v>38961.604166666664</v>
          </cell>
          <cell r="J642">
            <v>39066.729166666664</v>
          </cell>
          <cell r="K642" t="str">
            <v>NA</v>
          </cell>
          <cell r="L642">
            <v>3.19</v>
          </cell>
          <cell r="M642">
            <v>73</v>
          </cell>
          <cell r="N642">
            <v>0</v>
          </cell>
          <cell r="O642">
            <v>0</v>
          </cell>
          <cell r="P642">
            <v>0</v>
          </cell>
          <cell r="T642">
            <v>39066</v>
          </cell>
        </row>
        <row r="643">
          <cell r="B643" t="str">
            <v>DC.510.DD.01</v>
          </cell>
          <cell r="D643" t="str">
            <v>Arquitetura</v>
          </cell>
          <cell r="E643" t="str">
            <v>13 dias</v>
          </cell>
          <cell r="F643">
            <v>38877.375</v>
          </cell>
          <cell r="G643">
            <v>39014.333333333336</v>
          </cell>
          <cell r="H643" t="str">
            <v>NA</v>
          </cell>
          <cell r="I643">
            <v>38898.375</v>
          </cell>
          <cell r="J643">
            <v>39034.729166666664</v>
          </cell>
          <cell r="K643" t="str">
            <v>NA</v>
          </cell>
          <cell r="L643">
            <v>0.39</v>
          </cell>
          <cell r="M643">
            <v>9</v>
          </cell>
          <cell r="N643">
            <v>0</v>
          </cell>
          <cell r="O643">
            <v>0</v>
          </cell>
          <cell r="P643">
            <v>0</v>
          </cell>
          <cell r="Q643">
            <v>627</v>
          </cell>
          <cell r="S643" t="str">
            <v>EQUIPE ARQ</v>
          </cell>
          <cell r="T643">
            <v>39034</v>
          </cell>
        </row>
        <row r="644">
          <cell r="B644" t="str">
            <v>DC.510.DD.02</v>
          </cell>
          <cell r="D644" t="str">
            <v>Subestação 69kV - Fundação e Armação</v>
          </cell>
          <cell r="E644" t="str">
            <v>14 dias</v>
          </cell>
          <cell r="F644">
            <v>38877.375</v>
          </cell>
          <cell r="G644">
            <v>39014.333333333336</v>
          </cell>
          <cell r="H644" t="str">
            <v>NA</v>
          </cell>
          <cell r="I644">
            <v>38901.375</v>
          </cell>
          <cell r="J644">
            <v>39035.729166666664</v>
          </cell>
          <cell r="K644" t="str">
            <v>NA</v>
          </cell>
          <cell r="L644">
            <v>0.44</v>
          </cell>
          <cell r="M644">
            <v>10</v>
          </cell>
          <cell r="N644">
            <v>0</v>
          </cell>
          <cell r="O644">
            <v>0</v>
          </cell>
          <cell r="P644">
            <v>0</v>
          </cell>
          <cell r="Q644">
            <v>627</v>
          </cell>
          <cell r="R644" t="str">
            <v>643;676</v>
          </cell>
          <cell r="S644" t="str">
            <v>EQUIPE CIV</v>
          </cell>
          <cell r="T644">
            <v>39035</v>
          </cell>
        </row>
        <row r="645">
          <cell r="B645" t="str">
            <v>DC.510.DD.03</v>
          </cell>
          <cell r="D645" t="str">
            <v>Subestação Principal</v>
          </cell>
          <cell r="E645" t="str">
            <v>18 dias</v>
          </cell>
          <cell r="F645">
            <v>38901.375</v>
          </cell>
          <cell r="G645">
            <v>39037.333333333336</v>
          </cell>
          <cell r="H645" t="str">
            <v>NA</v>
          </cell>
          <cell r="I645">
            <v>38925.375</v>
          </cell>
          <cell r="J645">
            <v>39062.729166666664</v>
          </cell>
          <cell r="K645" t="str">
            <v>NA</v>
          </cell>
          <cell r="L645">
            <v>0.61</v>
          </cell>
          <cell r="M645">
            <v>14</v>
          </cell>
          <cell r="N645">
            <v>0</v>
          </cell>
          <cell r="O645">
            <v>0</v>
          </cell>
          <cell r="P645">
            <v>0</v>
          </cell>
          <cell r="Q645">
            <v>642</v>
          </cell>
          <cell r="R645" t="str">
            <v>644II</v>
          </cell>
          <cell r="S645" t="str">
            <v>EQUIPE CIV</v>
          </cell>
          <cell r="T645">
            <v>39062</v>
          </cell>
        </row>
        <row r="646">
          <cell r="B646" t="str">
            <v>DC.510.DD.04</v>
          </cell>
          <cell r="D646" t="str">
            <v>Salas Elétricas</v>
          </cell>
          <cell r="E646" t="str">
            <v>22 dias</v>
          </cell>
          <cell r="F646">
            <v>38925.375</v>
          </cell>
          <cell r="G646">
            <v>39037.333333333336</v>
          </cell>
          <cell r="H646" t="str">
            <v>NA</v>
          </cell>
          <cell r="I646">
            <v>38961.604166666664</v>
          </cell>
          <cell r="J646">
            <v>39066.729166666664</v>
          </cell>
          <cell r="K646" t="str">
            <v>NA</v>
          </cell>
          <cell r="L646">
            <v>1.75</v>
          </cell>
          <cell r="M646">
            <v>40</v>
          </cell>
          <cell r="N646">
            <v>0</v>
          </cell>
          <cell r="O646">
            <v>0</v>
          </cell>
          <cell r="P646">
            <v>0</v>
          </cell>
          <cell r="Q646" t="str">
            <v>643II</v>
          </cell>
          <cell r="S646" t="str">
            <v>EQUIPE CIV[200%]</v>
          </cell>
          <cell r="T646">
            <v>39066</v>
          </cell>
        </row>
        <row r="647">
          <cell r="D647" t="str">
            <v>Elétrica</v>
          </cell>
          <cell r="E647" t="str">
            <v>80 dias</v>
          </cell>
          <cell r="F647">
            <v>38901.375</v>
          </cell>
          <cell r="G647">
            <v>38922.333333333336</v>
          </cell>
          <cell r="H647">
            <v>38922.333333333336</v>
          </cell>
          <cell r="I647">
            <v>38988.375</v>
          </cell>
          <cell r="J647">
            <v>39044.729166666664</v>
          </cell>
          <cell r="K647" t="str">
            <v>NA</v>
          </cell>
          <cell r="L647">
            <v>3.96</v>
          </cell>
          <cell r="M647">
            <v>90.63</v>
          </cell>
          <cell r="N647">
            <v>2.09</v>
          </cell>
          <cell r="O647">
            <v>0</v>
          </cell>
          <cell r="P647">
            <v>2.2999999999999998</v>
          </cell>
          <cell r="T647">
            <v>39044</v>
          </cell>
        </row>
        <row r="648">
          <cell r="B648" t="str">
            <v>DE.510.DU.01</v>
          </cell>
          <cell r="D648" t="str">
            <v>Diagrama Unifilar - Subestações</v>
          </cell>
          <cell r="E648" t="str">
            <v>3 dias</v>
          </cell>
          <cell r="F648">
            <v>38901.375</v>
          </cell>
          <cell r="G648">
            <v>38957.333333333336</v>
          </cell>
          <cell r="H648">
            <v>38957.333333333336</v>
          </cell>
          <cell r="I648">
            <v>38904.375</v>
          </cell>
          <cell r="J648">
            <v>38959.729166666664</v>
          </cell>
          <cell r="K648" t="str">
            <v>NA</v>
          </cell>
          <cell r="L648">
            <v>7.0000000000000007E-2</v>
          </cell>
          <cell r="M648">
            <v>1.5</v>
          </cell>
          <cell r="N648">
            <v>1.1299999999999999</v>
          </cell>
          <cell r="O648">
            <v>0</v>
          </cell>
          <cell r="P648">
            <v>75</v>
          </cell>
          <cell r="Q648">
            <v>635</v>
          </cell>
          <cell r="R648" t="str">
            <v>648;656</v>
          </cell>
          <cell r="S648" t="str">
            <v>EQUIPE ELE</v>
          </cell>
          <cell r="T648">
            <v>38959</v>
          </cell>
        </row>
        <row r="649">
          <cell r="D649" t="str">
            <v>Desenho De Detalhamento</v>
          </cell>
          <cell r="E649" t="str">
            <v>51 dias</v>
          </cell>
          <cell r="F649">
            <v>38904.375</v>
          </cell>
          <cell r="G649">
            <v>38960.333333333336</v>
          </cell>
          <cell r="H649" t="str">
            <v>NA</v>
          </cell>
          <cell r="I649">
            <v>38981.375</v>
          </cell>
          <cell r="J649">
            <v>39041.729166666664</v>
          </cell>
          <cell r="K649" t="str">
            <v>NA</v>
          </cell>
          <cell r="L649">
            <v>2.1</v>
          </cell>
          <cell r="M649">
            <v>48</v>
          </cell>
          <cell r="N649">
            <v>0</v>
          </cell>
          <cell r="O649">
            <v>0</v>
          </cell>
          <cell r="P649">
            <v>0</v>
          </cell>
          <cell r="T649">
            <v>39041</v>
          </cell>
        </row>
        <row r="650">
          <cell r="B650" t="str">
            <v>DE.510.DD.01</v>
          </cell>
          <cell r="D650" t="str">
            <v>Distribuição De Eletrodutos</v>
          </cell>
          <cell r="E650" t="str">
            <v>8 dias</v>
          </cell>
          <cell r="F650">
            <v>38904.375</v>
          </cell>
          <cell r="G650">
            <v>38960.333333333336</v>
          </cell>
          <cell r="H650" t="str">
            <v>NA</v>
          </cell>
          <cell r="I650">
            <v>38916.375</v>
          </cell>
          <cell r="J650">
            <v>38973.729166666664</v>
          </cell>
          <cell r="K650" t="str">
            <v>NA</v>
          </cell>
          <cell r="L650">
            <v>0.13</v>
          </cell>
          <cell r="M650">
            <v>3</v>
          </cell>
          <cell r="N650">
            <v>0</v>
          </cell>
          <cell r="O650">
            <v>0</v>
          </cell>
          <cell r="P650">
            <v>0</v>
          </cell>
          <cell r="Q650">
            <v>646</v>
          </cell>
          <cell r="R650">
            <v>649</v>
          </cell>
          <cell r="S650" t="str">
            <v>EQUIPE ELE</v>
          </cell>
          <cell r="T650">
            <v>38973</v>
          </cell>
        </row>
        <row r="651">
          <cell r="B651" t="str">
            <v>DE.510.DD.02</v>
          </cell>
          <cell r="D651" t="str">
            <v>Malha De Terra</v>
          </cell>
          <cell r="E651" t="str">
            <v>8 dias</v>
          </cell>
          <cell r="F651">
            <v>38916.375</v>
          </cell>
          <cell r="G651">
            <v>38974.333333333336</v>
          </cell>
          <cell r="H651" t="str">
            <v>NA</v>
          </cell>
          <cell r="I651">
            <v>38926.375</v>
          </cell>
          <cell r="J651">
            <v>38985.729166666664</v>
          </cell>
          <cell r="K651" t="str">
            <v>NA</v>
          </cell>
          <cell r="L651">
            <v>0.13</v>
          </cell>
          <cell r="M651">
            <v>3</v>
          </cell>
          <cell r="N651">
            <v>0</v>
          </cell>
          <cell r="O651">
            <v>0</v>
          </cell>
          <cell r="P651">
            <v>0</v>
          </cell>
          <cell r="Q651">
            <v>648</v>
          </cell>
          <cell r="R651">
            <v>650</v>
          </cell>
          <cell r="S651" t="str">
            <v>EQUIPE ELE</v>
          </cell>
          <cell r="T651">
            <v>38985</v>
          </cell>
        </row>
        <row r="652">
          <cell r="B652" t="str">
            <v>DE.510.DD.03</v>
          </cell>
          <cell r="D652" t="str">
            <v>Linha De Transmissão</v>
          </cell>
          <cell r="E652" t="str">
            <v>15 dias</v>
          </cell>
          <cell r="F652">
            <v>38926.375</v>
          </cell>
          <cell r="G652">
            <v>38986.333333333336</v>
          </cell>
          <cell r="H652" t="str">
            <v>NA</v>
          </cell>
          <cell r="I652">
            <v>38951.375</v>
          </cell>
          <cell r="J652">
            <v>39008.729166666664</v>
          </cell>
          <cell r="K652" t="str">
            <v>NA</v>
          </cell>
          <cell r="L652">
            <v>0.33</v>
          </cell>
          <cell r="M652">
            <v>7.5</v>
          </cell>
          <cell r="N652">
            <v>0</v>
          </cell>
          <cell r="O652">
            <v>0</v>
          </cell>
          <cell r="P652">
            <v>0</v>
          </cell>
          <cell r="Q652">
            <v>649</v>
          </cell>
          <cell r="R652" t="str">
            <v>651;652;653;654</v>
          </cell>
          <cell r="S652" t="str">
            <v>EQUIPE ELE</v>
          </cell>
          <cell r="T652">
            <v>39008</v>
          </cell>
        </row>
        <row r="653">
          <cell r="B653" t="str">
            <v>DE.510.DD.04</v>
          </cell>
          <cell r="D653" t="str">
            <v>Linha De Distribuição De 13kV</v>
          </cell>
          <cell r="E653" t="str">
            <v>15 dias</v>
          </cell>
          <cell r="F653">
            <v>38951.375</v>
          </cell>
          <cell r="G653">
            <v>39009.333333333336</v>
          </cell>
          <cell r="H653" t="str">
            <v>NA</v>
          </cell>
          <cell r="I653">
            <v>38978.604166666664</v>
          </cell>
          <cell r="J653">
            <v>39031.729166666664</v>
          </cell>
          <cell r="K653" t="str">
            <v>NA</v>
          </cell>
          <cell r="L653">
            <v>0.9</v>
          </cell>
          <cell r="M653">
            <v>20.5</v>
          </cell>
          <cell r="N653">
            <v>0</v>
          </cell>
          <cell r="O653">
            <v>0</v>
          </cell>
          <cell r="P653">
            <v>0</v>
          </cell>
          <cell r="Q653">
            <v>650</v>
          </cell>
          <cell r="S653" t="str">
            <v>EQUIPE ELE[200%]</v>
          </cell>
          <cell r="T653">
            <v>39031</v>
          </cell>
        </row>
        <row r="654">
          <cell r="B654" t="str">
            <v>DE.510.DD.05</v>
          </cell>
          <cell r="D654" t="str">
            <v>Iluminação</v>
          </cell>
          <cell r="E654" t="str">
            <v>20 dias</v>
          </cell>
          <cell r="F654">
            <v>38951.375</v>
          </cell>
          <cell r="G654">
            <v>39009.333333333336</v>
          </cell>
          <cell r="H654" t="str">
            <v>NA</v>
          </cell>
          <cell r="I654">
            <v>38981.375</v>
          </cell>
          <cell r="J654">
            <v>39041.729166666664</v>
          </cell>
          <cell r="K654" t="str">
            <v>NA</v>
          </cell>
          <cell r="L654">
            <v>0.35</v>
          </cell>
          <cell r="M654">
            <v>8</v>
          </cell>
          <cell r="N654">
            <v>0</v>
          </cell>
          <cell r="O654">
            <v>0</v>
          </cell>
          <cell r="P654">
            <v>0</v>
          </cell>
          <cell r="Q654">
            <v>650</v>
          </cell>
          <cell r="S654" t="str">
            <v>EQUIPE ELE</v>
          </cell>
          <cell r="T654">
            <v>39041</v>
          </cell>
        </row>
        <row r="655">
          <cell r="B655" t="str">
            <v>DE.510.DD.06</v>
          </cell>
          <cell r="D655" t="str">
            <v>Rota De Cabos e Distribuição</v>
          </cell>
          <cell r="E655" t="str">
            <v>13 dias</v>
          </cell>
          <cell r="F655">
            <v>38951.375</v>
          </cell>
          <cell r="G655">
            <v>39009.333333333336</v>
          </cell>
          <cell r="H655" t="str">
            <v>NA</v>
          </cell>
          <cell r="I655">
            <v>38972.375</v>
          </cell>
          <cell r="J655">
            <v>39029.729166666664</v>
          </cell>
          <cell r="K655" t="str">
            <v>NA</v>
          </cell>
          <cell r="L655">
            <v>0.26</v>
          </cell>
          <cell r="M655">
            <v>6</v>
          </cell>
          <cell r="N655">
            <v>0</v>
          </cell>
          <cell r="O655">
            <v>0</v>
          </cell>
          <cell r="P655">
            <v>0</v>
          </cell>
          <cell r="Q655">
            <v>650</v>
          </cell>
          <cell r="S655" t="str">
            <v>EQUIPE ELE</v>
          </cell>
          <cell r="T655">
            <v>39029</v>
          </cell>
        </row>
        <row r="656">
          <cell r="B656" t="str">
            <v>DE.510.AJ.01</v>
          </cell>
          <cell r="D656" t="str">
            <v>Arranjos/ Layout’s/ Plano Diretor - Arranjos Dos Equipamentos e Requisitos Civis</v>
          </cell>
          <cell r="E656" t="str">
            <v>23 dias</v>
          </cell>
          <cell r="F656">
            <v>38951.375</v>
          </cell>
          <cell r="G656">
            <v>39009.333333333336</v>
          </cell>
          <cell r="H656" t="str">
            <v>NA</v>
          </cell>
          <cell r="I656">
            <v>38986.375</v>
          </cell>
          <cell r="J656">
            <v>39044.729166666664</v>
          </cell>
          <cell r="K656" t="str">
            <v>NA</v>
          </cell>
          <cell r="L656">
            <v>0.35</v>
          </cell>
          <cell r="M656">
            <v>8</v>
          </cell>
          <cell r="N656">
            <v>0</v>
          </cell>
          <cell r="O656">
            <v>0</v>
          </cell>
          <cell r="P656">
            <v>0</v>
          </cell>
          <cell r="Q656">
            <v>650</v>
          </cell>
          <cell r="S656" t="str">
            <v>EQUIPE ELE</v>
          </cell>
          <cell r="T656">
            <v>39044</v>
          </cell>
        </row>
        <row r="657">
          <cell r="D657" t="str">
            <v>Diagrama Funcional</v>
          </cell>
          <cell r="E657" t="str">
            <v>26 dias</v>
          </cell>
          <cell r="F657">
            <v>38904.375</v>
          </cell>
          <cell r="G657">
            <v>38960.333333333336</v>
          </cell>
          <cell r="H657" t="str">
            <v>NA</v>
          </cell>
          <cell r="I657">
            <v>38940.375</v>
          </cell>
          <cell r="J657">
            <v>38999.729166666664</v>
          </cell>
          <cell r="K657" t="str">
            <v>NA</v>
          </cell>
          <cell r="L657">
            <v>0.71</v>
          </cell>
          <cell r="M657">
            <v>16.25</v>
          </cell>
          <cell r="N657">
            <v>0</v>
          </cell>
          <cell r="O657">
            <v>0</v>
          </cell>
          <cell r="P657">
            <v>0</v>
          </cell>
          <cell r="R657">
            <v>660</v>
          </cell>
          <cell r="T657">
            <v>38999</v>
          </cell>
        </row>
        <row r="658">
          <cell r="B658" t="str">
            <v>DE.510.DF.01</v>
          </cell>
          <cell r="D658" t="str">
            <v>Subestação Derivação De 69kV</v>
          </cell>
          <cell r="E658" t="str">
            <v>12 dias</v>
          </cell>
          <cell r="F658">
            <v>38904.375</v>
          </cell>
          <cell r="G658">
            <v>38960.333333333336</v>
          </cell>
          <cell r="H658" t="str">
            <v>NA</v>
          </cell>
          <cell r="I658">
            <v>38922.375</v>
          </cell>
          <cell r="J658">
            <v>38979.729166666664</v>
          </cell>
          <cell r="K658" t="str">
            <v>NA</v>
          </cell>
          <cell r="L658">
            <v>0.37</v>
          </cell>
          <cell r="M658">
            <v>8.5</v>
          </cell>
          <cell r="N658">
            <v>0</v>
          </cell>
          <cell r="O658">
            <v>0</v>
          </cell>
          <cell r="P658">
            <v>0</v>
          </cell>
          <cell r="Q658">
            <v>646</v>
          </cell>
          <cell r="R658">
            <v>657</v>
          </cell>
          <cell r="S658" t="str">
            <v>EQUIPE ELE</v>
          </cell>
          <cell r="T658">
            <v>38979</v>
          </cell>
        </row>
        <row r="659">
          <cell r="B659" t="str">
            <v>DE.510.DF.02</v>
          </cell>
          <cell r="D659" t="str">
            <v>Cubículos De MT - 15kV</v>
          </cell>
          <cell r="E659" t="str">
            <v>10 dias</v>
          </cell>
          <cell r="F659">
            <v>38922.375</v>
          </cell>
          <cell r="G659">
            <v>38980.333333333336</v>
          </cell>
          <cell r="H659" t="str">
            <v>NA</v>
          </cell>
          <cell r="I659">
            <v>38936.375</v>
          </cell>
          <cell r="J659">
            <v>38993.729166666664</v>
          </cell>
          <cell r="K659" t="str">
            <v>NA</v>
          </cell>
          <cell r="L659">
            <v>0.27</v>
          </cell>
          <cell r="M659">
            <v>6.25</v>
          </cell>
          <cell r="N659">
            <v>0</v>
          </cell>
          <cell r="O659">
            <v>0</v>
          </cell>
          <cell r="P659">
            <v>0</v>
          </cell>
          <cell r="Q659">
            <v>656</v>
          </cell>
          <cell r="R659">
            <v>658</v>
          </cell>
          <cell r="S659" t="str">
            <v>EQUIPE ELE</v>
          </cell>
          <cell r="T659">
            <v>38993</v>
          </cell>
        </row>
        <row r="660">
          <cell r="B660" t="str">
            <v>DE.510.DF.03</v>
          </cell>
          <cell r="D660" t="str">
            <v>Subestação Principal</v>
          </cell>
          <cell r="E660" t="str">
            <v>4 dias</v>
          </cell>
          <cell r="F660">
            <v>38936.375</v>
          </cell>
          <cell r="G660">
            <v>38994.333333333336</v>
          </cell>
          <cell r="H660" t="str">
            <v>NA</v>
          </cell>
          <cell r="I660">
            <v>38940.375</v>
          </cell>
          <cell r="J660">
            <v>38999.729166666664</v>
          </cell>
          <cell r="K660" t="str">
            <v>NA</v>
          </cell>
          <cell r="L660">
            <v>7.0000000000000007E-2</v>
          </cell>
          <cell r="M660">
            <v>1.5</v>
          </cell>
          <cell r="N660">
            <v>0</v>
          </cell>
          <cell r="O660">
            <v>0</v>
          </cell>
          <cell r="P660">
            <v>0</v>
          </cell>
          <cell r="Q660">
            <v>657</v>
          </cell>
          <cell r="S660" t="str">
            <v>EQUIPE ELE</v>
          </cell>
          <cell r="T660">
            <v>38999</v>
          </cell>
        </row>
        <row r="661">
          <cell r="D661" t="str">
            <v>Diagrama De Interligação</v>
          </cell>
          <cell r="E661" t="str">
            <v>7 dias</v>
          </cell>
          <cell r="F661">
            <v>38940.375</v>
          </cell>
          <cell r="G661">
            <v>39000.333333333336</v>
          </cell>
          <cell r="H661" t="str">
            <v>NA</v>
          </cell>
          <cell r="I661">
            <v>38953.375</v>
          </cell>
          <cell r="J661">
            <v>39010.729166666664</v>
          </cell>
          <cell r="K661" t="str">
            <v>NA</v>
          </cell>
          <cell r="L661">
            <v>0.23</v>
          </cell>
          <cell r="M661">
            <v>5.25</v>
          </cell>
          <cell r="N661">
            <v>0</v>
          </cell>
          <cell r="O661">
            <v>0</v>
          </cell>
          <cell r="P661">
            <v>0</v>
          </cell>
          <cell r="R661">
            <v>663</v>
          </cell>
          <cell r="T661">
            <v>39010</v>
          </cell>
        </row>
        <row r="662">
          <cell r="B662" t="str">
            <v>DE.510.DI.01</v>
          </cell>
          <cell r="D662" t="str">
            <v>Subestação De 69kV</v>
          </cell>
          <cell r="E662" t="str">
            <v>4 dias</v>
          </cell>
          <cell r="F662">
            <v>38940.375</v>
          </cell>
          <cell r="G662">
            <v>39000.333333333336</v>
          </cell>
          <cell r="H662" t="str">
            <v>NA</v>
          </cell>
          <cell r="I662">
            <v>38950.375</v>
          </cell>
          <cell r="J662">
            <v>39007.729166666664</v>
          </cell>
          <cell r="K662" t="str">
            <v>NA</v>
          </cell>
          <cell r="L662">
            <v>0.15</v>
          </cell>
          <cell r="M662">
            <v>3.5</v>
          </cell>
          <cell r="N662">
            <v>0</v>
          </cell>
          <cell r="O662">
            <v>0</v>
          </cell>
          <cell r="P662">
            <v>0</v>
          </cell>
          <cell r="Q662">
            <v>655</v>
          </cell>
          <cell r="R662">
            <v>661</v>
          </cell>
          <cell r="S662" t="str">
            <v>EQUIPE ELE</v>
          </cell>
          <cell r="T662">
            <v>39007</v>
          </cell>
        </row>
        <row r="663">
          <cell r="B663" t="str">
            <v>DE.510.DI.02</v>
          </cell>
          <cell r="D663" t="str">
            <v>Subestação Principal</v>
          </cell>
          <cell r="E663" t="str">
            <v>3 dias</v>
          </cell>
          <cell r="F663">
            <v>38950.375</v>
          </cell>
          <cell r="G663">
            <v>39008.333333333336</v>
          </cell>
          <cell r="H663" t="str">
            <v>NA</v>
          </cell>
          <cell r="I663">
            <v>38953.375</v>
          </cell>
          <cell r="J663">
            <v>39010.729166666664</v>
          </cell>
          <cell r="K663" t="str">
            <v>NA</v>
          </cell>
          <cell r="L663">
            <v>0.08</v>
          </cell>
          <cell r="M663">
            <v>1.75</v>
          </cell>
          <cell r="N663">
            <v>0</v>
          </cell>
          <cell r="O663">
            <v>0</v>
          </cell>
          <cell r="P663">
            <v>0</v>
          </cell>
          <cell r="Q663">
            <v>660</v>
          </cell>
          <cell r="S663" t="str">
            <v>EQUIPE ELE</v>
          </cell>
          <cell r="T663">
            <v>39010</v>
          </cell>
        </row>
        <row r="664">
          <cell r="D664" t="str">
            <v>Diagrama Trifilar</v>
          </cell>
          <cell r="E664" t="str">
            <v>6 dias</v>
          </cell>
          <cell r="F664">
            <v>38953.375</v>
          </cell>
          <cell r="G664">
            <v>39013.333333333336</v>
          </cell>
          <cell r="H664" t="str">
            <v>NA</v>
          </cell>
          <cell r="I664">
            <v>38961.375</v>
          </cell>
          <cell r="J664">
            <v>39020.729166666664</v>
          </cell>
          <cell r="K664" t="str">
            <v>NA</v>
          </cell>
          <cell r="L664">
            <v>0.04</v>
          </cell>
          <cell r="M664">
            <v>1</v>
          </cell>
          <cell r="N664">
            <v>0</v>
          </cell>
          <cell r="O664">
            <v>0</v>
          </cell>
          <cell r="P664">
            <v>0</v>
          </cell>
          <cell r="R664">
            <v>665</v>
          </cell>
          <cell r="T664">
            <v>39020</v>
          </cell>
        </row>
        <row r="665">
          <cell r="B665" t="str">
            <v>DE.510.DT.01</v>
          </cell>
          <cell r="D665" t="str">
            <v>Subestação De 69kV</v>
          </cell>
          <cell r="E665" t="str">
            <v>3 dias</v>
          </cell>
          <cell r="F665">
            <v>38953.375</v>
          </cell>
          <cell r="G665">
            <v>39013.333333333336</v>
          </cell>
          <cell r="H665" t="str">
            <v>NA</v>
          </cell>
          <cell r="I665">
            <v>38958.375</v>
          </cell>
          <cell r="J665">
            <v>39015.729166666664</v>
          </cell>
          <cell r="K665" t="str">
            <v>NA</v>
          </cell>
          <cell r="L665">
            <v>0.02</v>
          </cell>
          <cell r="M665">
            <v>0.5</v>
          </cell>
          <cell r="N665">
            <v>0</v>
          </cell>
          <cell r="O665">
            <v>0</v>
          </cell>
          <cell r="P665">
            <v>0</v>
          </cell>
          <cell r="Q665">
            <v>659</v>
          </cell>
          <cell r="R665">
            <v>664</v>
          </cell>
          <cell r="S665" t="str">
            <v>EQUIPE ELE</v>
          </cell>
          <cell r="T665">
            <v>39015</v>
          </cell>
        </row>
        <row r="666">
          <cell r="B666" t="str">
            <v>DE.510.DT.02</v>
          </cell>
          <cell r="D666" t="str">
            <v>Subestação Principal</v>
          </cell>
          <cell r="E666" t="str">
            <v>3 dias</v>
          </cell>
          <cell r="F666">
            <v>38958.375</v>
          </cell>
          <cell r="G666">
            <v>39016.333333333336</v>
          </cell>
          <cell r="H666" t="str">
            <v>NA</v>
          </cell>
          <cell r="I666">
            <v>38961.375</v>
          </cell>
          <cell r="J666">
            <v>39020.729166666664</v>
          </cell>
          <cell r="K666" t="str">
            <v>NA</v>
          </cell>
          <cell r="L666">
            <v>0.02</v>
          </cell>
          <cell r="M666">
            <v>0.5</v>
          </cell>
          <cell r="N666">
            <v>0</v>
          </cell>
          <cell r="O666">
            <v>0</v>
          </cell>
          <cell r="P666">
            <v>0</v>
          </cell>
          <cell r="Q666">
            <v>663</v>
          </cell>
          <cell r="S666" t="str">
            <v>EQUIPE ELE</v>
          </cell>
          <cell r="T666">
            <v>39020</v>
          </cell>
        </row>
        <row r="667">
          <cell r="B667" t="str">
            <v>DE.510.ET.01</v>
          </cell>
          <cell r="D667" t="str">
            <v>Especificação Técnica - Painéis De Iluminação</v>
          </cell>
          <cell r="E667" t="str">
            <v>3 dias</v>
          </cell>
          <cell r="F667">
            <v>38961.375</v>
          </cell>
          <cell r="G667">
            <v>39021.333333333336</v>
          </cell>
          <cell r="H667" t="str">
            <v>NA</v>
          </cell>
          <cell r="I667">
            <v>38966.375</v>
          </cell>
          <cell r="J667">
            <v>39027.729166666664</v>
          </cell>
          <cell r="K667" t="str">
            <v>NA</v>
          </cell>
          <cell r="L667">
            <v>0.06</v>
          </cell>
          <cell r="M667">
            <v>1.38</v>
          </cell>
          <cell r="N667">
            <v>0</v>
          </cell>
          <cell r="O667">
            <v>0</v>
          </cell>
          <cell r="P667">
            <v>0</v>
          </cell>
          <cell r="Q667">
            <v>662</v>
          </cell>
          <cell r="R667">
            <v>666</v>
          </cell>
          <cell r="S667" t="str">
            <v>EQUIPE ELE</v>
          </cell>
          <cell r="T667">
            <v>39027</v>
          </cell>
        </row>
        <row r="668">
          <cell r="B668" t="str">
            <v>DE.510.ED.01</v>
          </cell>
          <cell r="D668" t="str">
            <v>Estudos / Planos - Malha De Aterramento</v>
          </cell>
          <cell r="E668" t="str">
            <v>5 dias</v>
          </cell>
          <cell r="F668">
            <v>38966.375</v>
          </cell>
          <cell r="G668">
            <v>39028.333333333336</v>
          </cell>
          <cell r="H668" t="str">
            <v>NA</v>
          </cell>
          <cell r="I668">
            <v>38975.375</v>
          </cell>
          <cell r="J668">
            <v>39034.729166666664</v>
          </cell>
          <cell r="K668" t="str">
            <v>NA</v>
          </cell>
          <cell r="L668">
            <v>0.11</v>
          </cell>
          <cell r="M668">
            <v>2.63</v>
          </cell>
          <cell r="N668">
            <v>0</v>
          </cell>
          <cell r="O668">
            <v>0</v>
          </cell>
          <cell r="P668">
            <v>0</v>
          </cell>
          <cell r="Q668">
            <v>665</v>
          </cell>
          <cell r="R668" t="str">
            <v>667;668</v>
          </cell>
          <cell r="S668" t="str">
            <v>EQUIPE ELE</v>
          </cell>
          <cell r="T668">
            <v>39034</v>
          </cell>
        </row>
        <row r="669">
          <cell r="B669" t="str">
            <v>DE.510.LC.01</v>
          </cell>
          <cell r="D669" t="str">
            <v>Lista De Linhas/ Cabos</v>
          </cell>
          <cell r="E669" t="str">
            <v>3 dias</v>
          </cell>
          <cell r="F669">
            <v>38975.375</v>
          </cell>
          <cell r="G669">
            <v>39035.333333333336</v>
          </cell>
          <cell r="H669" t="str">
            <v>NA</v>
          </cell>
          <cell r="I669">
            <v>38980.375</v>
          </cell>
          <cell r="J669">
            <v>39038.729166666664</v>
          </cell>
          <cell r="K669" t="str">
            <v>NA</v>
          </cell>
          <cell r="L669">
            <v>0.04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666</v>
          </cell>
          <cell r="R669">
            <v>670</v>
          </cell>
          <cell r="S669" t="str">
            <v>EQUIPE ELE</v>
          </cell>
          <cell r="T669">
            <v>39038</v>
          </cell>
        </row>
        <row r="670">
          <cell r="B670" t="str">
            <v>DE.510.LM.01</v>
          </cell>
          <cell r="D670" t="str">
            <v>Lista De Materiais</v>
          </cell>
          <cell r="E670" t="str">
            <v>5 dias</v>
          </cell>
          <cell r="F670">
            <v>38975.375</v>
          </cell>
          <cell r="G670">
            <v>39035.333333333336</v>
          </cell>
          <cell r="H670" t="str">
            <v>NA</v>
          </cell>
          <cell r="I670">
            <v>38988.375</v>
          </cell>
          <cell r="J670">
            <v>39042.729166666664</v>
          </cell>
          <cell r="K670" t="str">
            <v>NA</v>
          </cell>
          <cell r="L670">
            <v>0.06</v>
          </cell>
          <cell r="M670">
            <v>1.38</v>
          </cell>
          <cell r="N670">
            <v>0</v>
          </cell>
          <cell r="O670">
            <v>0</v>
          </cell>
          <cell r="P670">
            <v>0</v>
          </cell>
          <cell r="Q670">
            <v>666</v>
          </cell>
          <cell r="S670" t="str">
            <v>EQUIPE ELE</v>
          </cell>
          <cell r="T670">
            <v>39042</v>
          </cell>
        </row>
        <row r="671">
          <cell r="B671" t="str">
            <v>DE.510.MD.01</v>
          </cell>
          <cell r="D671" t="str">
            <v>Memorial Descritivo - Fornecimento De Energia</v>
          </cell>
          <cell r="E671" t="str">
            <v>15 dias</v>
          </cell>
          <cell r="F671">
            <v>38975.375</v>
          </cell>
          <cell r="G671">
            <v>38922.333333333336</v>
          </cell>
          <cell r="H671">
            <v>38922.333333333336</v>
          </cell>
          <cell r="I671">
            <v>38986.375</v>
          </cell>
          <cell r="J671">
            <v>38940.729166666664</v>
          </cell>
          <cell r="K671" t="str">
            <v>NA</v>
          </cell>
          <cell r="L671">
            <v>0.06</v>
          </cell>
          <cell r="M671">
            <v>1.38</v>
          </cell>
          <cell r="N671">
            <v>0.96</v>
          </cell>
          <cell r="O671">
            <v>0</v>
          </cell>
          <cell r="P671">
            <v>70</v>
          </cell>
          <cell r="Q671" t="str">
            <v>584II</v>
          </cell>
          <cell r="S671" t="str">
            <v>EQUIPE ELE</v>
          </cell>
          <cell r="T671">
            <v>38940</v>
          </cell>
        </row>
        <row r="672">
          <cell r="B672" t="str">
            <v>DE.510.MC.01</v>
          </cell>
          <cell r="D672" t="str">
            <v>Memória De Cálculo - Esticamento Do Cabo</v>
          </cell>
          <cell r="E672" t="str">
            <v>3 dias</v>
          </cell>
          <cell r="F672">
            <v>38980.375</v>
          </cell>
          <cell r="G672">
            <v>39041.333333333336</v>
          </cell>
          <cell r="H672" t="str">
            <v>NA</v>
          </cell>
          <cell r="I672">
            <v>38985.375</v>
          </cell>
          <cell r="J672">
            <v>39043.729166666664</v>
          </cell>
          <cell r="K672" t="str">
            <v>NA</v>
          </cell>
          <cell r="L672">
            <v>0.13</v>
          </cell>
          <cell r="M672">
            <v>2.88</v>
          </cell>
          <cell r="N672">
            <v>0</v>
          </cell>
          <cell r="O672">
            <v>0</v>
          </cell>
          <cell r="P672">
            <v>0</v>
          </cell>
          <cell r="Q672">
            <v>667</v>
          </cell>
          <cell r="S672" t="str">
            <v>EQUIPE ELE</v>
          </cell>
          <cell r="T672">
            <v>39043</v>
          </cell>
        </row>
        <row r="673">
          <cell r="B673" t="str">
            <v>1.4.3</v>
          </cell>
          <cell r="C673" t="str">
            <v>520A</v>
          </cell>
          <cell r="D673" t="str">
            <v>ETA, Armazenamento e Distribuição</v>
          </cell>
          <cell r="E673" t="str">
            <v>21 dias</v>
          </cell>
          <cell r="F673">
            <v>38835.375</v>
          </cell>
          <cell r="G673">
            <v>39037.333333333336</v>
          </cell>
          <cell r="H673" t="str">
            <v>NA</v>
          </cell>
          <cell r="I673">
            <v>38938.375</v>
          </cell>
          <cell r="J673">
            <v>39065.729166666664</v>
          </cell>
          <cell r="K673" t="str">
            <v>NA</v>
          </cell>
          <cell r="L673">
            <v>0.77</v>
          </cell>
          <cell r="M673">
            <v>17.63</v>
          </cell>
          <cell r="N673">
            <v>0</v>
          </cell>
          <cell r="O673">
            <v>0</v>
          </cell>
          <cell r="P673">
            <v>0</v>
          </cell>
          <cell r="T673">
            <v>39065</v>
          </cell>
        </row>
        <row r="674">
          <cell r="D674" t="str">
            <v>Projeto Detalhado</v>
          </cell>
          <cell r="E674" t="str">
            <v>21 dias</v>
          </cell>
          <cell r="F674">
            <v>38897.375</v>
          </cell>
          <cell r="G674">
            <v>39037.333333333336</v>
          </cell>
          <cell r="H674" t="str">
            <v>NA</v>
          </cell>
          <cell r="I674">
            <v>38938.375</v>
          </cell>
          <cell r="J674">
            <v>39065.729166666664</v>
          </cell>
          <cell r="K674" t="str">
            <v>NA</v>
          </cell>
          <cell r="L674">
            <v>0.77</v>
          </cell>
          <cell r="M674">
            <v>17.63</v>
          </cell>
          <cell r="N674">
            <v>0</v>
          </cell>
          <cell r="O674">
            <v>0</v>
          </cell>
          <cell r="P674">
            <v>0</v>
          </cell>
          <cell r="T674">
            <v>39065</v>
          </cell>
        </row>
        <row r="675">
          <cell r="D675" t="str">
            <v>Tubulação</v>
          </cell>
          <cell r="E675" t="str">
            <v>3 dias</v>
          </cell>
          <cell r="F675">
            <v>38897.375</v>
          </cell>
          <cell r="G675">
            <v>39050.333333333336</v>
          </cell>
          <cell r="H675" t="str">
            <v>NA</v>
          </cell>
          <cell r="I675">
            <v>38902.375</v>
          </cell>
          <cell r="J675">
            <v>39052.729166666664</v>
          </cell>
          <cell r="K675" t="str">
            <v>NA</v>
          </cell>
          <cell r="L675">
            <v>0.13</v>
          </cell>
          <cell r="M675">
            <v>3</v>
          </cell>
          <cell r="N675">
            <v>0</v>
          </cell>
          <cell r="O675">
            <v>0</v>
          </cell>
          <cell r="P675">
            <v>0</v>
          </cell>
          <cell r="T675">
            <v>39052</v>
          </cell>
        </row>
        <row r="676">
          <cell r="B676" t="str">
            <v>DH.520.RT.01</v>
          </cell>
          <cell r="D676" t="str">
            <v>Relatório Técnico - Bolsa Flutuante</v>
          </cell>
          <cell r="E676" t="str">
            <v>3 dias</v>
          </cell>
          <cell r="F676">
            <v>38897.375</v>
          </cell>
          <cell r="G676">
            <v>39050.333333333336</v>
          </cell>
          <cell r="H676" t="str">
            <v>NA</v>
          </cell>
          <cell r="I676">
            <v>38902.375</v>
          </cell>
          <cell r="J676">
            <v>39052.729166666664</v>
          </cell>
          <cell r="K676" t="str">
            <v>NA</v>
          </cell>
          <cell r="L676">
            <v>0.13</v>
          </cell>
          <cell r="M676">
            <v>3</v>
          </cell>
          <cell r="N676">
            <v>0</v>
          </cell>
          <cell r="O676">
            <v>0</v>
          </cell>
          <cell r="P676">
            <v>0</v>
          </cell>
          <cell r="Q676" t="str">
            <v>39II+131 dias</v>
          </cell>
          <cell r="R676" t="str">
            <v>695II;737II</v>
          </cell>
          <cell r="S676" t="str">
            <v>EQUIPE TUB</v>
          </cell>
          <cell r="T676">
            <v>39052</v>
          </cell>
        </row>
        <row r="677">
          <cell r="D677" t="str">
            <v>Civil</v>
          </cell>
          <cell r="E677" t="str">
            <v>12 dias</v>
          </cell>
          <cell r="F677">
            <v>38897.375</v>
          </cell>
          <cell r="G677">
            <v>39037.333333333336</v>
          </cell>
          <cell r="H677" t="str">
            <v>NA</v>
          </cell>
          <cell r="I677">
            <v>38915.375</v>
          </cell>
          <cell r="J677">
            <v>39052.729166666664</v>
          </cell>
          <cell r="K677" t="str">
            <v>NA</v>
          </cell>
          <cell r="L677">
            <v>0.35</v>
          </cell>
          <cell r="M677">
            <v>8</v>
          </cell>
          <cell r="N677">
            <v>0</v>
          </cell>
          <cell r="O677">
            <v>0</v>
          </cell>
          <cell r="P677">
            <v>0</v>
          </cell>
          <cell r="T677">
            <v>39052</v>
          </cell>
        </row>
        <row r="678">
          <cell r="B678" t="str">
            <v>DC.520.DD.01</v>
          </cell>
          <cell r="D678" t="str">
            <v>Desenho De Detalhamento - Fundação, Forma e Armação</v>
          </cell>
          <cell r="E678" t="str">
            <v>12 dias</v>
          </cell>
          <cell r="F678">
            <v>38897.375</v>
          </cell>
          <cell r="G678">
            <v>39037.333333333336</v>
          </cell>
          <cell r="H678" t="str">
            <v>NA</v>
          </cell>
          <cell r="I678">
            <v>38915.375</v>
          </cell>
          <cell r="J678">
            <v>39052.729166666664</v>
          </cell>
          <cell r="K678" t="str">
            <v>NA</v>
          </cell>
          <cell r="L678">
            <v>0.35</v>
          </cell>
          <cell r="M678">
            <v>8</v>
          </cell>
          <cell r="N678">
            <v>0</v>
          </cell>
          <cell r="O678">
            <v>0</v>
          </cell>
          <cell r="P678">
            <v>0</v>
          </cell>
          <cell r="Q678">
            <v>642</v>
          </cell>
          <cell r="R678" t="str">
            <v>679;680</v>
          </cell>
          <cell r="S678" t="str">
            <v>EQUIPE CIV</v>
          </cell>
          <cell r="T678">
            <v>39052</v>
          </cell>
        </row>
        <row r="679">
          <cell r="D679" t="str">
            <v>Elétrica</v>
          </cell>
          <cell r="E679" t="str">
            <v>9 dias</v>
          </cell>
          <cell r="F679">
            <v>38915.375</v>
          </cell>
          <cell r="G679">
            <v>39055.333333333336</v>
          </cell>
          <cell r="H679" t="str">
            <v>NA</v>
          </cell>
          <cell r="I679">
            <v>38930.375</v>
          </cell>
          <cell r="J679">
            <v>39065.729166666664</v>
          </cell>
          <cell r="K679" t="str">
            <v>NA</v>
          </cell>
          <cell r="L679">
            <v>0.2</v>
          </cell>
          <cell r="M679">
            <v>4.63</v>
          </cell>
          <cell r="N679">
            <v>0</v>
          </cell>
          <cell r="O679">
            <v>0</v>
          </cell>
          <cell r="P679">
            <v>0</v>
          </cell>
          <cell r="T679">
            <v>39065</v>
          </cell>
        </row>
        <row r="680">
          <cell r="D680" t="str">
            <v>Desenho De Detalhamento</v>
          </cell>
          <cell r="E680" t="str">
            <v>6 dias</v>
          </cell>
          <cell r="F680">
            <v>38915.375</v>
          </cell>
          <cell r="G680">
            <v>39055.333333333336</v>
          </cell>
          <cell r="H680" t="str">
            <v>NA</v>
          </cell>
          <cell r="I680">
            <v>38923.375</v>
          </cell>
          <cell r="J680">
            <v>39062.729166666664</v>
          </cell>
          <cell r="K680" t="str">
            <v>NA</v>
          </cell>
          <cell r="L680">
            <v>0.13</v>
          </cell>
          <cell r="M680">
            <v>3</v>
          </cell>
          <cell r="N680">
            <v>0</v>
          </cell>
          <cell r="O680">
            <v>0</v>
          </cell>
          <cell r="P680">
            <v>0</v>
          </cell>
          <cell r="R680" t="str">
            <v>681II;682;684II</v>
          </cell>
          <cell r="T680">
            <v>39062</v>
          </cell>
        </row>
        <row r="681">
          <cell r="B681" t="str">
            <v>DE.520.DD.01</v>
          </cell>
          <cell r="D681" t="str">
            <v>Distribuição De Força e Aterramento</v>
          </cell>
          <cell r="E681" t="str">
            <v>4 dias</v>
          </cell>
          <cell r="F681">
            <v>38915.375</v>
          </cell>
          <cell r="G681">
            <v>39055.333333333336</v>
          </cell>
          <cell r="H681" t="str">
            <v>NA</v>
          </cell>
          <cell r="I681">
            <v>38919.375</v>
          </cell>
          <cell r="J681">
            <v>39058.729166666664</v>
          </cell>
          <cell r="K681" t="str">
            <v>NA</v>
          </cell>
          <cell r="L681">
            <v>0.04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676</v>
          </cell>
          <cell r="R681" t="str">
            <v>698II</v>
          </cell>
          <cell r="S681" t="str">
            <v>EQUIPE ELE</v>
          </cell>
          <cell r="T681">
            <v>39058</v>
          </cell>
        </row>
        <row r="682">
          <cell r="B682" t="str">
            <v>DE.520.DD.02</v>
          </cell>
          <cell r="D682" t="str">
            <v>Iluminação</v>
          </cell>
          <cell r="E682" t="str">
            <v>6 dias</v>
          </cell>
          <cell r="F682">
            <v>38915.375</v>
          </cell>
          <cell r="G682">
            <v>39055.333333333336</v>
          </cell>
          <cell r="H682" t="str">
            <v>NA</v>
          </cell>
          <cell r="I682">
            <v>38923.375</v>
          </cell>
          <cell r="J682">
            <v>39062.729166666664</v>
          </cell>
          <cell r="K682" t="str">
            <v>NA</v>
          </cell>
          <cell r="L682">
            <v>0.09</v>
          </cell>
          <cell r="M682">
            <v>2</v>
          </cell>
          <cell r="N682">
            <v>0</v>
          </cell>
          <cell r="O682">
            <v>0</v>
          </cell>
          <cell r="P682">
            <v>0</v>
          </cell>
          <cell r="Q682">
            <v>676</v>
          </cell>
          <cell r="S682" t="str">
            <v>EQUIPE ELE</v>
          </cell>
          <cell r="T682">
            <v>39062</v>
          </cell>
        </row>
        <row r="683">
          <cell r="B683" t="str">
            <v>DE.520.AJ.01</v>
          </cell>
          <cell r="D683" t="str">
            <v>Arranjos/ Layout’s/ Plano Diretor - Arranjo Dos Equipamentos</v>
          </cell>
          <cell r="E683" t="str">
            <v>5 dias</v>
          </cell>
          <cell r="F683">
            <v>38923.375</v>
          </cell>
          <cell r="G683">
            <v>39055.333333333336</v>
          </cell>
          <cell r="H683" t="str">
            <v>NA</v>
          </cell>
          <cell r="I683">
            <v>38930.375</v>
          </cell>
          <cell r="J683">
            <v>39059.729166666664</v>
          </cell>
          <cell r="K683" t="str">
            <v>NA</v>
          </cell>
          <cell r="L683">
            <v>0.04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 t="str">
            <v>678II</v>
          </cell>
          <cell r="S683" t="str">
            <v>EQUIPE ELE</v>
          </cell>
          <cell r="T683">
            <v>39059</v>
          </cell>
        </row>
        <row r="684">
          <cell r="B684" t="str">
            <v>DE.520.LC.01</v>
          </cell>
          <cell r="D684" t="str">
            <v>Lista De Linhas/ Cabos</v>
          </cell>
          <cell r="E684" t="str">
            <v>3 dias</v>
          </cell>
          <cell r="F684">
            <v>38923.375</v>
          </cell>
          <cell r="G684">
            <v>39063.333333333336</v>
          </cell>
          <cell r="H684" t="str">
            <v>NA</v>
          </cell>
          <cell r="I684">
            <v>38926.375</v>
          </cell>
          <cell r="J684">
            <v>39065.729166666664</v>
          </cell>
          <cell r="K684" t="str">
            <v>NA</v>
          </cell>
          <cell r="L684">
            <v>0.03</v>
          </cell>
          <cell r="M684">
            <v>0.63</v>
          </cell>
          <cell r="N684">
            <v>0</v>
          </cell>
          <cell r="O684">
            <v>0</v>
          </cell>
          <cell r="P684">
            <v>0</v>
          </cell>
          <cell r="Q684">
            <v>678</v>
          </cell>
          <cell r="S684" t="str">
            <v>EQUIPE ELE</v>
          </cell>
          <cell r="T684">
            <v>39065</v>
          </cell>
        </row>
        <row r="685">
          <cell r="D685" t="str">
            <v>Instrumentação</v>
          </cell>
          <cell r="E685" t="str">
            <v>8 dias</v>
          </cell>
          <cell r="F685">
            <v>38923.375</v>
          </cell>
          <cell r="G685">
            <v>39055.333333333336</v>
          </cell>
          <cell r="H685" t="str">
            <v>NA</v>
          </cell>
          <cell r="I685">
            <v>38938.375</v>
          </cell>
          <cell r="J685">
            <v>39064.729166666664</v>
          </cell>
          <cell r="K685" t="str">
            <v>NA</v>
          </cell>
          <cell r="L685">
            <v>0.09</v>
          </cell>
          <cell r="M685">
            <v>2</v>
          </cell>
          <cell r="N685">
            <v>0</v>
          </cell>
          <cell r="O685">
            <v>0</v>
          </cell>
          <cell r="P685">
            <v>0</v>
          </cell>
          <cell r="T685">
            <v>39064</v>
          </cell>
        </row>
        <row r="686">
          <cell r="B686" t="str">
            <v>DT.520.AJ.01</v>
          </cell>
          <cell r="D686" t="str">
            <v>Arranjos/ Layout’s/ Plano Diretor - Locação De Instrumentos</v>
          </cell>
          <cell r="E686" t="str">
            <v>8 dias</v>
          </cell>
          <cell r="F686">
            <v>38923.375</v>
          </cell>
          <cell r="G686">
            <v>39055.333333333336</v>
          </cell>
          <cell r="H686" t="str">
            <v>NA</v>
          </cell>
          <cell r="I686">
            <v>38933.375</v>
          </cell>
          <cell r="J686">
            <v>39064.729166666664</v>
          </cell>
          <cell r="K686" t="str">
            <v>NA</v>
          </cell>
          <cell r="L686">
            <v>0.09</v>
          </cell>
          <cell r="M686">
            <v>2</v>
          </cell>
          <cell r="N686">
            <v>0</v>
          </cell>
          <cell r="O686">
            <v>0</v>
          </cell>
          <cell r="P686">
            <v>0</v>
          </cell>
          <cell r="Q686" t="str">
            <v>678II</v>
          </cell>
          <cell r="R686" t="str">
            <v>702II;725II;726II;733II</v>
          </cell>
          <cell r="S686" t="str">
            <v>EQUIPE TSA</v>
          </cell>
          <cell r="T686">
            <v>39064</v>
          </cell>
        </row>
        <row r="687">
          <cell r="B687" t="str">
            <v>1.4.4</v>
          </cell>
          <cell r="C687" t="str">
            <v>530A</v>
          </cell>
          <cell r="D687" t="str">
            <v>Drenagem e Esgoto</v>
          </cell>
          <cell r="E687" t="str">
            <v>37 dias</v>
          </cell>
          <cell r="F687">
            <v>38845.375</v>
          </cell>
          <cell r="G687">
            <v>38912.333333333336</v>
          </cell>
          <cell r="H687">
            <v>38912.333333333336</v>
          </cell>
          <cell r="I687">
            <v>38945.375</v>
          </cell>
          <cell r="J687">
            <v>38966.729166666664</v>
          </cell>
          <cell r="K687" t="str">
            <v>NA</v>
          </cell>
          <cell r="L687">
            <v>1.7</v>
          </cell>
          <cell r="M687">
            <v>39</v>
          </cell>
          <cell r="N687">
            <v>6.1</v>
          </cell>
          <cell r="O687">
            <v>15.64</v>
          </cell>
          <cell r="P687">
            <v>15.64</v>
          </cell>
          <cell r="T687">
            <v>38966</v>
          </cell>
        </row>
        <row r="688">
          <cell r="D688" t="str">
            <v>Projeto Detalhado</v>
          </cell>
          <cell r="E688" t="str">
            <v>37 dias</v>
          </cell>
          <cell r="F688">
            <v>38870.333333333336</v>
          </cell>
          <cell r="G688">
            <v>38912.333333333336</v>
          </cell>
          <cell r="H688">
            <v>38912.333333333336</v>
          </cell>
          <cell r="I688">
            <v>38945.729166666664</v>
          </cell>
          <cell r="J688">
            <v>38966.729166666664</v>
          </cell>
          <cell r="K688" t="str">
            <v>NA</v>
          </cell>
          <cell r="L688">
            <v>1.7</v>
          </cell>
          <cell r="M688">
            <v>39</v>
          </cell>
          <cell r="N688">
            <v>6.1</v>
          </cell>
          <cell r="O688">
            <v>15.64</v>
          </cell>
          <cell r="P688">
            <v>15.64</v>
          </cell>
          <cell r="T688">
            <v>38966</v>
          </cell>
        </row>
        <row r="689">
          <cell r="D689" t="str">
            <v>Civil</v>
          </cell>
          <cell r="E689" t="str">
            <v>37 dias</v>
          </cell>
          <cell r="F689">
            <v>38870.333333333336</v>
          </cell>
          <cell r="G689">
            <v>38912.333333333336</v>
          </cell>
          <cell r="H689">
            <v>38912.333333333336</v>
          </cell>
          <cell r="I689">
            <v>38945.729166666664</v>
          </cell>
          <cell r="J689">
            <v>38966.729166666664</v>
          </cell>
          <cell r="K689" t="str">
            <v>NA</v>
          </cell>
          <cell r="L689">
            <v>1.7</v>
          </cell>
          <cell r="M689">
            <v>39</v>
          </cell>
          <cell r="N689">
            <v>6.1</v>
          </cell>
          <cell r="O689">
            <v>0</v>
          </cell>
          <cell r="P689">
            <v>15.64</v>
          </cell>
          <cell r="T689">
            <v>38966</v>
          </cell>
        </row>
        <row r="690">
          <cell r="D690" t="str">
            <v>Desenho De Detalhamento</v>
          </cell>
          <cell r="E690" t="str">
            <v>37 dias</v>
          </cell>
          <cell r="F690">
            <v>38870.333333333336</v>
          </cell>
          <cell r="G690">
            <v>38912.333333333336</v>
          </cell>
          <cell r="H690">
            <v>38912.333333333336</v>
          </cell>
          <cell r="I690">
            <v>38945.729166666664</v>
          </cell>
          <cell r="J690">
            <v>38966.729166666664</v>
          </cell>
          <cell r="K690" t="str">
            <v>NA</v>
          </cell>
          <cell r="L690">
            <v>1.7</v>
          </cell>
          <cell r="M690">
            <v>39</v>
          </cell>
          <cell r="N690">
            <v>6.1</v>
          </cell>
          <cell r="O690">
            <v>0</v>
          </cell>
          <cell r="P690">
            <v>15.64</v>
          </cell>
          <cell r="T690">
            <v>38966</v>
          </cell>
        </row>
        <row r="691">
          <cell r="B691" t="str">
            <v>DC.530.DD.01</v>
          </cell>
          <cell r="D691" t="str">
            <v>Canaletas, Caixa De Passagem, Decida De Água e Poço De Inspeção</v>
          </cell>
          <cell r="E691" t="str">
            <v>7 dias</v>
          </cell>
          <cell r="F691">
            <v>38870.333333333336</v>
          </cell>
          <cell r="G691">
            <v>38958.333333333336</v>
          </cell>
          <cell r="H691" t="str">
            <v>NA</v>
          </cell>
          <cell r="I691">
            <v>38881.729166666664</v>
          </cell>
          <cell r="J691">
            <v>38966.729166666664</v>
          </cell>
          <cell r="K691" t="str">
            <v>NA</v>
          </cell>
          <cell r="L691">
            <v>0.17</v>
          </cell>
          <cell r="M691">
            <v>4</v>
          </cell>
          <cell r="N691">
            <v>0</v>
          </cell>
          <cell r="O691">
            <v>0</v>
          </cell>
          <cell r="P691">
            <v>0</v>
          </cell>
          <cell r="Q691" t="str">
            <v>690;691</v>
          </cell>
          <cell r="R691">
            <v>610</v>
          </cell>
          <cell r="S691" t="str">
            <v>EQUIPE CIV</v>
          </cell>
          <cell r="T691">
            <v>38966</v>
          </cell>
        </row>
        <row r="692">
          <cell r="B692" t="str">
            <v>DC.530.DD.02</v>
          </cell>
          <cell r="D692" t="str">
            <v>Drenagem</v>
          </cell>
          <cell r="E692" t="str">
            <v>25 dias</v>
          </cell>
          <cell r="F692">
            <v>38881.333333333336</v>
          </cell>
          <cell r="G692">
            <v>38912.333333333336</v>
          </cell>
          <cell r="H692">
            <v>38912.333333333336</v>
          </cell>
          <cell r="I692">
            <v>38945.729166666664</v>
          </cell>
          <cell r="J692">
            <v>38950.729166666664</v>
          </cell>
          <cell r="K692" t="str">
            <v>NA</v>
          </cell>
          <cell r="L692">
            <v>1.22</v>
          </cell>
          <cell r="M692">
            <v>28</v>
          </cell>
          <cell r="N692">
            <v>6.1</v>
          </cell>
          <cell r="O692">
            <v>0</v>
          </cell>
          <cell r="P692">
            <v>21.79</v>
          </cell>
          <cell r="Q692">
            <v>608</v>
          </cell>
          <cell r="R692" t="str">
            <v>689;77;691II+5 dias</v>
          </cell>
          <cell r="S692" t="str">
            <v>EQUIPE CIV[75%]</v>
          </cell>
          <cell r="T692">
            <v>38950</v>
          </cell>
        </row>
        <row r="693">
          <cell r="B693" t="str">
            <v>DC.530.DD.03</v>
          </cell>
          <cell r="D693" t="str">
            <v>Esgoto</v>
          </cell>
          <cell r="E693" t="str">
            <v>25 dias</v>
          </cell>
          <cell r="F693">
            <v>38881.333333333336</v>
          </cell>
          <cell r="G693">
            <v>38919.333333333336</v>
          </cell>
          <cell r="H693" t="str">
            <v>NA</v>
          </cell>
          <cell r="I693">
            <v>38945.729166666664</v>
          </cell>
          <cell r="J693">
            <v>38957.729166666664</v>
          </cell>
          <cell r="K693" t="str">
            <v>NA</v>
          </cell>
          <cell r="L693">
            <v>0.31</v>
          </cell>
          <cell r="M693">
            <v>7</v>
          </cell>
          <cell r="N693">
            <v>0</v>
          </cell>
          <cell r="O693">
            <v>0</v>
          </cell>
          <cell r="P693">
            <v>0</v>
          </cell>
          <cell r="Q693" t="str">
            <v>690II+5 dias</v>
          </cell>
          <cell r="R693">
            <v>689</v>
          </cell>
          <cell r="S693" t="str">
            <v>EQUIPE CIV[40%]</v>
          </cell>
          <cell r="T693">
            <v>38957</v>
          </cell>
        </row>
        <row r="694">
          <cell r="B694" t="str">
            <v>1.4.5</v>
          </cell>
          <cell r="C694" t="str">
            <v>540A</v>
          </cell>
          <cell r="D694" t="str">
            <v>Ar Comprimido</v>
          </cell>
          <cell r="E694" t="str">
            <v>13 dias</v>
          </cell>
          <cell r="F694">
            <v>38853.375</v>
          </cell>
          <cell r="G694">
            <v>39050.333333333336</v>
          </cell>
          <cell r="H694" t="str">
            <v>NA</v>
          </cell>
          <cell r="I694">
            <v>38923.375</v>
          </cell>
          <cell r="J694">
            <v>39066.729166666664</v>
          </cell>
          <cell r="K694" t="str">
            <v>NA</v>
          </cell>
          <cell r="L694">
            <v>0.21</v>
          </cell>
          <cell r="M694">
            <v>4.75</v>
          </cell>
          <cell r="N694">
            <v>0</v>
          </cell>
          <cell r="O694">
            <v>0</v>
          </cell>
          <cell r="P694">
            <v>0</v>
          </cell>
          <cell r="T694">
            <v>39066</v>
          </cell>
        </row>
        <row r="695">
          <cell r="D695" t="str">
            <v>Projeto Detalhado</v>
          </cell>
          <cell r="E695" t="str">
            <v>13 dias</v>
          </cell>
          <cell r="F695">
            <v>38896.375</v>
          </cell>
          <cell r="G695">
            <v>39050.333333333336</v>
          </cell>
          <cell r="H695" t="str">
            <v>NA</v>
          </cell>
          <cell r="I695">
            <v>38923.375</v>
          </cell>
          <cell r="J695">
            <v>39066.729166666664</v>
          </cell>
          <cell r="K695" t="str">
            <v>NA</v>
          </cell>
          <cell r="L695">
            <v>0.21</v>
          </cell>
          <cell r="M695">
            <v>4.75</v>
          </cell>
          <cell r="N695">
            <v>0</v>
          </cell>
          <cell r="O695">
            <v>0</v>
          </cell>
          <cell r="P695">
            <v>0</v>
          </cell>
          <cell r="T695">
            <v>39066</v>
          </cell>
        </row>
        <row r="696">
          <cell r="D696" t="str">
            <v>Tubulação</v>
          </cell>
          <cell r="E696" t="str">
            <v>3 dias</v>
          </cell>
          <cell r="F696">
            <v>38896.375</v>
          </cell>
          <cell r="G696">
            <v>39050.333333333336</v>
          </cell>
          <cell r="H696" t="str">
            <v>NA</v>
          </cell>
          <cell r="I696">
            <v>38897.375</v>
          </cell>
          <cell r="J696">
            <v>39052.729166666664</v>
          </cell>
          <cell r="K696" t="str">
            <v>NA</v>
          </cell>
          <cell r="L696">
            <v>0.01</v>
          </cell>
          <cell r="M696">
            <v>0.25</v>
          </cell>
          <cell r="N696">
            <v>0</v>
          </cell>
          <cell r="O696">
            <v>0</v>
          </cell>
          <cell r="P696">
            <v>0</v>
          </cell>
          <cell r="T696">
            <v>39052</v>
          </cell>
        </row>
        <row r="697">
          <cell r="B697" t="str">
            <v>DH.540.RT.01</v>
          </cell>
          <cell r="D697" t="str">
            <v>Relatório Técnico - Análise Téc. Compressor</v>
          </cell>
          <cell r="E697" t="str">
            <v>3 dias</v>
          </cell>
          <cell r="F697">
            <v>38896.375</v>
          </cell>
          <cell r="G697">
            <v>39050.333333333336</v>
          </cell>
          <cell r="H697" t="str">
            <v>NA</v>
          </cell>
          <cell r="I697">
            <v>38897.375</v>
          </cell>
          <cell r="J697">
            <v>39052.729166666664</v>
          </cell>
          <cell r="K697" t="str">
            <v>NA</v>
          </cell>
          <cell r="L697">
            <v>0.01</v>
          </cell>
          <cell r="M697">
            <v>0.25</v>
          </cell>
          <cell r="N697">
            <v>0</v>
          </cell>
          <cell r="O697">
            <v>0</v>
          </cell>
          <cell r="P697">
            <v>0</v>
          </cell>
          <cell r="Q697" t="str">
            <v>674II</v>
          </cell>
          <cell r="S697" t="str">
            <v>EQUIPE TUB</v>
          </cell>
          <cell r="T697">
            <v>39052</v>
          </cell>
        </row>
        <row r="698">
          <cell r="D698" t="str">
            <v>Elétrica</v>
          </cell>
          <cell r="E698" t="str">
            <v>10 dias</v>
          </cell>
          <cell r="F698">
            <v>38896.375</v>
          </cell>
          <cell r="G698">
            <v>39055.333333333336</v>
          </cell>
          <cell r="H698" t="str">
            <v>NA</v>
          </cell>
          <cell r="I698">
            <v>38912.375</v>
          </cell>
          <cell r="J698">
            <v>39066.729166666664</v>
          </cell>
          <cell r="K698" t="str">
            <v>NA</v>
          </cell>
          <cell r="L698">
            <v>0.11</v>
          </cell>
          <cell r="M698">
            <v>2.5</v>
          </cell>
          <cell r="N698">
            <v>0</v>
          </cell>
          <cell r="O698">
            <v>0</v>
          </cell>
          <cell r="P698">
            <v>0</v>
          </cell>
          <cell r="T698">
            <v>39066</v>
          </cell>
        </row>
        <row r="699">
          <cell r="D699" t="str">
            <v>Desenho De Detalhamento</v>
          </cell>
          <cell r="E699" t="str">
            <v>8 dias</v>
          </cell>
          <cell r="F699">
            <v>38896.375</v>
          </cell>
          <cell r="G699">
            <v>39055.333333333336</v>
          </cell>
          <cell r="H699" t="str">
            <v>NA</v>
          </cell>
          <cell r="I699">
            <v>38908.375</v>
          </cell>
          <cell r="J699">
            <v>39064.729166666664</v>
          </cell>
          <cell r="K699" t="str">
            <v>NA</v>
          </cell>
          <cell r="L699">
            <v>0.09</v>
          </cell>
          <cell r="M699">
            <v>2</v>
          </cell>
          <cell r="N699">
            <v>0</v>
          </cell>
          <cell r="O699">
            <v>0</v>
          </cell>
          <cell r="P699">
            <v>0</v>
          </cell>
          <cell r="R699" t="str">
            <v>700;707II</v>
          </cell>
          <cell r="T699">
            <v>39064</v>
          </cell>
        </row>
        <row r="700">
          <cell r="B700" t="str">
            <v>DE.540.DD.01</v>
          </cell>
          <cell r="D700" t="str">
            <v>Distribuição De Força e Aterramento</v>
          </cell>
          <cell r="E700" t="str">
            <v>4 dias</v>
          </cell>
          <cell r="F700">
            <v>38896.375</v>
          </cell>
          <cell r="G700">
            <v>39055.333333333336</v>
          </cell>
          <cell r="H700" t="str">
            <v>NA</v>
          </cell>
          <cell r="I700">
            <v>38902.375</v>
          </cell>
          <cell r="J700">
            <v>39058.729166666664</v>
          </cell>
          <cell r="K700" t="str">
            <v>NA</v>
          </cell>
          <cell r="L700">
            <v>0.04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 t="str">
            <v>679II</v>
          </cell>
          <cell r="R700">
            <v>699</v>
          </cell>
          <cell r="S700" t="str">
            <v>EQUIPE ELE</v>
          </cell>
          <cell r="T700">
            <v>39058</v>
          </cell>
        </row>
        <row r="701">
          <cell r="B701" t="str">
            <v>DE.540.DD.02</v>
          </cell>
          <cell r="D701" t="str">
            <v>Iluminação</v>
          </cell>
          <cell r="E701" t="str">
            <v>4 dias</v>
          </cell>
          <cell r="F701">
            <v>38902.375</v>
          </cell>
          <cell r="G701">
            <v>39059.333333333336</v>
          </cell>
          <cell r="H701" t="str">
            <v>NA</v>
          </cell>
          <cell r="I701">
            <v>38908.375</v>
          </cell>
          <cell r="J701">
            <v>39064.729166666664</v>
          </cell>
          <cell r="K701" t="str">
            <v>NA</v>
          </cell>
          <cell r="L701">
            <v>0.04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698</v>
          </cell>
          <cell r="S701" t="str">
            <v>EQUIPE ELE</v>
          </cell>
          <cell r="T701">
            <v>39064</v>
          </cell>
        </row>
        <row r="702">
          <cell r="B702" t="str">
            <v>DE.540.LC.01</v>
          </cell>
          <cell r="D702" t="str">
            <v>Lista De Linhas/ Cabos</v>
          </cell>
          <cell r="E702" t="str">
            <v>2 dias</v>
          </cell>
          <cell r="F702">
            <v>38908.375</v>
          </cell>
          <cell r="G702">
            <v>39065.333333333336</v>
          </cell>
          <cell r="H702" t="str">
            <v>NA</v>
          </cell>
          <cell r="I702">
            <v>38910.375</v>
          </cell>
          <cell r="J702">
            <v>39066.729166666664</v>
          </cell>
          <cell r="K702" t="str">
            <v>NA</v>
          </cell>
          <cell r="L702">
            <v>0.02</v>
          </cell>
          <cell r="M702">
            <v>0.5</v>
          </cell>
          <cell r="N702">
            <v>0</v>
          </cell>
          <cell r="O702">
            <v>0</v>
          </cell>
          <cell r="P702">
            <v>0</v>
          </cell>
          <cell r="Q702">
            <v>697</v>
          </cell>
          <cell r="S702" t="str">
            <v>EQUIPE ELE</v>
          </cell>
          <cell r="T702">
            <v>39066</v>
          </cell>
        </row>
        <row r="703">
          <cell r="D703" t="str">
            <v>Instrumentação</v>
          </cell>
          <cell r="E703" t="str">
            <v>8 dias</v>
          </cell>
          <cell r="F703">
            <v>38908.375</v>
          </cell>
          <cell r="G703">
            <v>39055.333333333336</v>
          </cell>
          <cell r="H703" t="str">
            <v>NA</v>
          </cell>
          <cell r="I703">
            <v>38923.375</v>
          </cell>
          <cell r="J703">
            <v>39064.729166666664</v>
          </cell>
          <cell r="K703" t="str">
            <v>NA</v>
          </cell>
          <cell r="L703">
            <v>0.09</v>
          </cell>
          <cell r="M703">
            <v>2</v>
          </cell>
          <cell r="N703">
            <v>0</v>
          </cell>
          <cell r="O703">
            <v>0</v>
          </cell>
          <cell r="P703">
            <v>0</v>
          </cell>
          <cell r="T703">
            <v>39064</v>
          </cell>
        </row>
        <row r="704">
          <cell r="B704" t="str">
            <v>DT.540.AJ.01</v>
          </cell>
          <cell r="D704" t="str">
            <v>Arranjos/ Layout’s/ Plano Diretor - Locação De Instrumentos</v>
          </cell>
          <cell r="E704" t="str">
            <v>8 dias</v>
          </cell>
          <cell r="F704">
            <v>38908.375</v>
          </cell>
          <cell r="G704">
            <v>39055.333333333336</v>
          </cell>
          <cell r="H704" t="str">
            <v>NA</v>
          </cell>
          <cell r="I704">
            <v>38918.375</v>
          </cell>
          <cell r="J704">
            <v>39064.729166666664</v>
          </cell>
          <cell r="K704" t="str">
            <v>NA</v>
          </cell>
          <cell r="L704">
            <v>0.09</v>
          </cell>
          <cell r="M704">
            <v>2</v>
          </cell>
          <cell r="N704">
            <v>0</v>
          </cell>
          <cell r="O704">
            <v>0</v>
          </cell>
          <cell r="P704">
            <v>0</v>
          </cell>
          <cell r="Q704" t="str">
            <v>684II</v>
          </cell>
          <cell r="S704" t="str">
            <v>EQUIPE TSA</v>
          </cell>
          <cell r="T704">
            <v>39064</v>
          </cell>
        </row>
        <row r="705">
          <cell r="B705" t="str">
            <v>1.4.6</v>
          </cell>
          <cell r="C705" t="str">
            <v>550A</v>
          </cell>
          <cell r="D705" t="str">
            <v>Telecomunicações e Informática</v>
          </cell>
          <cell r="E705" t="str">
            <v>9 dias</v>
          </cell>
          <cell r="F705">
            <v>38908.375</v>
          </cell>
          <cell r="G705">
            <v>39055.333333333336</v>
          </cell>
          <cell r="H705" t="str">
            <v>NA</v>
          </cell>
          <cell r="I705">
            <v>38929.375</v>
          </cell>
          <cell r="J705">
            <v>39065.729166666664</v>
          </cell>
          <cell r="K705" t="str">
            <v>NA</v>
          </cell>
          <cell r="L705">
            <v>0.21</v>
          </cell>
          <cell r="M705">
            <v>4.75</v>
          </cell>
          <cell r="N705">
            <v>0</v>
          </cell>
          <cell r="O705">
            <v>0</v>
          </cell>
          <cell r="P705">
            <v>0</v>
          </cell>
          <cell r="T705">
            <v>39065</v>
          </cell>
        </row>
        <row r="706">
          <cell r="D706" t="str">
            <v>Projeto Detalhado</v>
          </cell>
          <cell r="E706" t="str">
            <v>9 dias</v>
          </cell>
          <cell r="F706">
            <v>38908.375</v>
          </cell>
          <cell r="G706">
            <v>39055.333333333336</v>
          </cell>
          <cell r="H706" t="str">
            <v>NA</v>
          </cell>
          <cell r="I706">
            <v>38929.375</v>
          </cell>
          <cell r="J706">
            <v>39065.729166666664</v>
          </cell>
          <cell r="K706" t="str">
            <v>NA</v>
          </cell>
          <cell r="L706">
            <v>0.21</v>
          </cell>
          <cell r="M706">
            <v>4.75</v>
          </cell>
          <cell r="N706">
            <v>0</v>
          </cell>
          <cell r="O706">
            <v>0</v>
          </cell>
          <cell r="P706">
            <v>0</v>
          </cell>
          <cell r="T706">
            <v>39065</v>
          </cell>
        </row>
        <row r="707">
          <cell r="D707" t="str">
            <v>Elétrica</v>
          </cell>
          <cell r="E707" t="str">
            <v>9 dias</v>
          </cell>
          <cell r="F707">
            <v>38908.375</v>
          </cell>
          <cell r="G707">
            <v>39055.333333333336</v>
          </cell>
          <cell r="H707" t="str">
            <v>NA</v>
          </cell>
          <cell r="I707">
            <v>38929.375</v>
          </cell>
          <cell r="J707">
            <v>39065.729166666664</v>
          </cell>
          <cell r="K707" t="str">
            <v>NA</v>
          </cell>
          <cell r="L707">
            <v>0.21</v>
          </cell>
          <cell r="M707">
            <v>4.75</v>
          </cell>
          <cell r="N707">
            <v>0</v>
          </cell>
          <cell r="O707">
            <v>0</v>
          </cell>
          <cell r="P707">
            <v>0</v>
          </cell>
          <cell r="T707">
            <v>39065</v>
          </cell>
        </row>
        <row r="708">
          <cell r="D708" t="str">
            <v>Desenho De Detalhamento</v>
          </cell>
          <cell r="E708" t="str">
            <v>6 dias</v>
          </cell>
          <cell r="F708">
            <v>38908.375</v>
          </cell>
          <cell r="G708">
            <v>39055.333333333336</v>
          </cell>
          <cell r="H708" t="str">
            <v>NA</v>
          </cell>
          <cell r="I708">
            <v>38924.375</v>
          </cell>
          <cell r="J708">
            <v>39062.729166666664</v>
          </cell>
          <cell r="K708" t="str">
            <v>NA</v>
          </cell>
          <cell r="L708">
            <v>0.17</v>
          </cell>
          <cell r="M708">
            <v>4</v>
          </cell>
          <cell r="N708">
            <v>0</v>
          </cell>
          <cell r="O708">
            <v>0</v>
          </cell>
          <cell r="P708">
            <v>0</v>
          </cell>
          <cell r="R708" t="str">
            <v>709;710</v>
          </cell>
          <cell r="T708">
            <v>39062</v>
          </cell>
        </row>
        <row r="709">
          <cell r="B709" t="str">
            <v>DE.550.DD.01</v>
          </cell>
          <cell r="D709" t="str">
            <v>Rota De Telecomunicações</v>
          </cell>
          <cell r="E709" t="str">
            <v>6 dias</v>
          </cell>
          <cell r="F709">
            <v>38908.375</v>
          </cell>
          <cell r="G709">
            <v>39055.333333333336</v>
          </cell>
          <cell r="H709" t="str">
            <v>NA</v>
          </cell>
          <cell r="I709">
            <v>38916.375</v>
          </cell>
          <cell r="J709">
            <v>39062.729166666664</v>
          </cell>
          <cell r="K709" t="str">
            <v>NA</v>
          </cell>
          <cell r="L709">
            <v>0.09</v>
          </cell>
          <cell r="M709">
            <v>2</v>
          </cell>
          <cell r="N709">
            <v>0</v>
          </cell>
          <cell r="O709">
            <v>0</v>
          </cell>
          <cell r="P709">
            <v>0</v>
          </cell>
          <cell r="Q709" t="str">
            <v>697II</v>
          </cell>
          <cell r="R709" t="str">
            <v>708II</v>
          </cell>
          <cell r="S709" t="str">
            <v>EQUIPE ELE</v>
          </cell>
          <cell r="T709">
            <v>39062</v>
          </cell>
        </row>
        <row r="710">
          <cell r="B710" t="str">
            <v>DE.550.DD.02</v>
          </cell>
          <cell r="D710" t="str">
            <v>Rede De Telecomunicações</v>
          </cell>
          <cell r="E710" t="str">
            <v>6 dias</v>
          </cell>
          <cell r="F710">
            <v>38916.375</v>
          </cell>
          <cell r="G710">
            <v>39055.333333333336</v>
          </cell>
          <cell r="H710" t="str">
            <v>NA</v>
          </cell>
          <cell r="I710">
            <v>38924.375</v>
          </cell>
          <cell r="J710">
            <v>39062.729166666664</v>
          </cell>
          <cell r="K710" t="str">
            <v>NA</v>
          </cell>
          <cell r="L710">
            <v>0.09</v>
          </cell>
          <cell r="M710">
            <v>2</v>
          </cell>
          <cell r="N710">
            <v>0</v>
          </cell>
          <cell r="O710">
            <v>0</v>
          </cell>
          <cell r="P710">
            <v>0</v>
          </cell>
          <cell r="Q710" t="str">
            <v>707II</v>
          </cell>
          <cell r="S710" t="str">
            <v>EQUIPE ELE</v>
          </cell>
          <cell r="T710">
            <v>39062</v>
          </cell>
        </row>
        <row r="711">
          <cell r="B711" t="str">
            <v>DE.550.LC.01</v>
          </cell>
          <cell r="D711" t="str">
            <v>Lista De Linhas/ Cabos</v>
          </cell>
          <cell r="E711" t="str">
            <v>3 dias</v>
          </cell>
          <cell r="F711">
            <v>38924.375</v>
          </cell>
          <cell r="G711">
            <v>39063.333333333336</v>
          </cell>
          <cell r="H711" t="str">
            <v>NA</v>
          </cell>
          <cell r="I711">
            <v>38929.375</v>
          </cell>
          <cell r="J711">
            <v>39065.729166666664</v>
          </cell>
          <cell r="K711" t="str">
            <v>NA</v>
          </cell>
          <cell r="L711">
            <v>0.03</v>
          </cell>
          <cell r="M711">
            <v>0.63</v>
          </cell>
          <cell r="N711">
            <v>0</v>
          </cell>
          <cell r="O711">
            <v>0</v>
          </cell>
          <cell r="P711">
            <v>0</v>
          </cell>
          <cell r="Q711">
            <v>706</v>
          </cell>
          <cell r="S711" t="str">
            <v>EQUIPE ELE</v>
          </cell>
          <cell r="T711">
            <v>39065</v>
          </cell>
        </row>
        <row r="712">
          <cell r="B712" t="str">
            <v>DE.550.LM.01</v>
          </cell>
          <cell r="D712" t="str">
            <v>Lista De Materiais</v>
          </cell>
          <cell r="E712" t="str">
            <v>1 dia</v>
          </cell>
          <cell r="F712">
            <v>38924.375</v>
          </cell>
          <cell r="G712">
            <v>39063.333333333336</v>
          </cell>
          <cell r="H712" t="str">
            <v>NA</v>
          </cell>
          <cell r="I712">
            <v>38925.375</v>
          </cell>
          <cell r="J712">
            <v>39063.729166666664</v>
          </cell>
          <cell r="K712" t="str">
            <v>NA</v>
          </cell>
          <cell r="L712">
            <v>0.01</v>
          </cell>
          <cell r="M712">
            <v>0.13</v>
          </cell>
          <cell r="N712">
            <v>0</v>
          </cell>
          <cell r="O712">
            <v>0</v>
          </cell>
          <cell r="P712">
            <v>0</v>
          </cell>
          <cell r="Q712">
            <v>706</v>
          </cell>
          <cell r="S712" t="str">
            <v>EQUIPE ELE</v>
          </cell>
          <cell r="T712">
            <v>39063</v>
          </cell>
        </row>
        <row r="713">
          <cell r="B713" t="str">
            <v>1.4.7</v>
          </cell>
          <cell r="C713" t="str">
            <v>560A</v>
          </cell>
          <cell r="D713" t="str">
            <v>Vias e Acessos</v>
          </cell>
          <cell r="E713" t="str">
            <v>43 dias</v>
          </cell>
          <cell r="F713">
            <v>38845.375</v>
          </cell>
          <cell r="G713">
            <v>38884.333333333336</v>
          </cell>
          <cell r="H713">
            <v>38884.333333333336</v>
          </cell>
          <cell r="I713">
            <v>38860.375</v>
          </cell>
          <cell r="J713">
            <v>38947.729166666664</v>
          </cell>
          <cell r="K713" t="str">
            <v>NA</v>
          </cell>
          <cell r="L713">
            <v>1.49</v>
          </cell>
          <cell r="M713">
            <v>34</v>
          </cell>
          <cell r="N713">
            <v>22.65</v>
          </cell>
          <cell r="O713">
            <v>66.62</v>
          </cell>
          <cell r="P713">
            <v>66.62</v>
          </cell>
          <cell r="T713">
            <v>38947</v>
          </cell>
        </row>
        <row r="714">
          <cell r="D714" t="str">
            <v>Projeto Básico</v>
          </cell>
          <cell r="E714" t="str">
            <v>38 dias</v>
          </cell>
          <cell r="F714">
            <v>38845.333333333336</v>
          </cell>
          <cell r="G714">
            <v>38884.333333333336</v>
          </cell>
          <cell r="H714">
            <v>38884.333333333336</v>
          </cell>
          <cell r="I714">
            <v>38860.729166666664</v>
          </cell>
          <cell r="J714">
            <v>38938.729166666664</v>
          </cell>
          <cell r="K714" t="str">
            <v>NA</v>
          </cell>
          <cell r="L714">
            <v>0.37</v>
          </cell>
          <cell r="M714">
            <v>8.5</v>
          </cell>
          <cell r="N714">
            <v>8.15</v>
          </cell>
          <cell r="O714">
            <v>95.88</v>
          </cell>
          <cell r="P714">
            <v>95.88</v>
          </cell>
          <cell r="T714">
            <v>38938</v>
          </cell>
        </row>
        <row r="715">
          <cell r="D715" t="str">
            <v>Civil</v>
          </cell>
          <cell r="E715" t="str">
            <v>38 dias</v>
          </cell>
          <cell r="F715">
            <v>38845.333333333336</v>
          </cell>
          <cell r="G715">
            <v>38884.333333333336</v>
          </cell>
          <cell r="H715">
            <v>38884.333333333336</v>
          </cell>
          <cell r="I715">
            <v>38860.729166666664</v>
          </cell>
          <cell r="J715">
            <v>38938.729166666664</v>
          </cell>
          <cell r="K715" t="str">
            <v>NA</v>
          </cell>
          <cell r="L715">
            <v>0.37</v>
          </cell>
          <cell r="M715">
            <v>8.5</v>
          </cell>
          <cell r="N715">
            <v>8.15</v>
          </cell>
          <cell r="O715">
            <v>0</v>
          </cell>
          <cell r="P715">
            <v>95.88</v>
          </cell>
          <cell r="T715">
            <v>38938</v>
          </cell>
        </row>
        <row r="716">
          <cell r="B716" t="str">
            <v>BC.560.DB.01</v>
          </cell>
          <cell r="D716" t="str">
            <v>Desenho Básico - Estudo Traçado Acesso Usina</v>
          </cell>
          <cell r="E716" t="str">
            <v>21 dias</v>
          </cell>
          <cell r="F716">
            <v>38845.333333333336</v>
          </cell>
          <cell r="G716">
            <v>38903.333333333336</v>
          </cell>
          <cell r="H716">
            <v>38903.333333333336</v>
          </cell>
          <cell r="I716">
            <v>38853.729166666664</v>
          </cell>
          <cell r="J716">
            <v>38931.729166666664</v>
          </cell>
          <cell r="K716">
            <v>38931.729166666664</v>
          </cell>
          <cell r="L716">
            <v>0.22</v>
          </cell>
          <cell r="M716">
            <v>5</v>
          </cell>
          <cell r="N716">
            <v>5</v>
          </cell>
          <cell r="O716">
            <v>0</v>
          </cell>
          <cell r="P716">
            <v>100</v>
          </cell>
          <cell r="Q716" t="str">
            <v>16II</v>
          </cell>
          <cell r="R716" t="str">
            <v>716;719II</v>
          </cell>
          <cell r="S716" t="str">
            <v>EQUIPE CIV</v>
          </cell>
          <cell r="T716">
            <v>38931</v>
          </cell>
        </row>
        <row r="717">
          <cell r="B717" t="str">
            <v>BC.560.MD.01</v>
          </cell>
          <cell r="D717" t="str">
            <v>Memorial Descritivo - Estudo Traçado</v>
          </cell>
          <cell r="E717" t="str">
            <v>4 dias</v>
          </cell>
          <cell r="F717">
            <v>38845.333333333336</v>
          </cell>
          <cell r="G717">
            <v>38884.333333333336</v>
          </cell>
          <cell r="H717">
            <v>38884.333333333336</v>
          </cell>
          <cell r="I717">
            <v>38853.729166666664</v>
          </cell>
          <cell r="J717">
            <v>38890.729166666664</v>
          </cell>
          <cell r="K717" t="str">
            <v>NA</v>
          </cell>
          <cell r="L717">
            <v>0.15</v>
          </cell>
          <cell r="M717">
            <v>3.5</v>
          </cell>
          <cell r="N717">
            <v>3.15</v>
          </cell>
          <cell r="O717">
            <v>0</v>
          </cell>
          <cell r="P717">
            <v>90</v>
          </cell>
          <cell r="Q717" t="str">
            <v>16II</v>
          </cell>
          <cell r="R717">
            <v>716</v>
          </cell>
          <cell r="S717" t="str">
            <v>EQUIPE CIV</v>
          </cell>
          <cell r="T717">
            <v>38890</v>
          </cell>
        </row>
        <row r="718">
          <cell r="D718" t="str">
            <v>APROVAÇÃO EBX</v>
          </cell>
          <cell r="E718" t="str">
            <v>5 dias</v>
          </cell>
          <cell r="F718">
            <v>38853.375</v>
          </cell>
          <cell r="G718">
            <v>38932.333333333336</v>
          </cell>
          <cell r="H718" t="str">
            <v>NA</v>
          </cell>
          <cell r="I718">
            <v>38860.729166666664</v>
          </cell>
          <cell r="J718">
            <v>38938.729166666664</v>
          </cell>
          <cell r="K718" t="str">
            <v>NA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>#ERRO</v>
          </cell>
          <cell r="Q718" t="str">
            <v>714;715</v>
          </cell>
          <cell r="T718">
            <v>38938</v>
          </cell>
        </row>
        <row r="719">
          <cell r="D719" t="str">
            <v>Projeto Detalhado</v>
          </cell>
          <cell r="E719" t="str">
            <v>26 dias</v>
          </cell>
          <cell r="F719" t="str">
            <v>NA</v>
          </cell>
          <cell r="G719">
            <v>38910.333333333336</v>
          </cell>
          <cell r="H719">
            <v>38910.333333333336</v>
          </cell>
          <cell r="I719" t="str">
            <v>NA</v>
          </cell>
          <cell r="J719">
            <v>38947.729166666664</v>
          </cell>
          <cell r="K719" t="str">
            <v>NA</v>
          </cell>
          <cell r="L719">
            <v>1.1100000000000001</v>
          </cell>
          <cell r="M719">
            <v>25.5</v>
          </cell>
          <cell r="N719">
            <v>14.5</v>
          </cell>
          <cell r="O719">
            <v>56.86</v>
          </cell>
          <cell r="P719">
            <v>56.86</v>
          </cell>
          <cell r="T719">
            <v>38947</v>
          </cell>
        </row>
        <row r="720">
          <cell r="D720" t="str">
            <v>Civil</v>
          </cell>
          <cell r="E720" t="str">
            <v>26 dias</v>
          </cell>
          <cell r="F720" t="str">
            <v>NA</v>
          </cell>
          <cell r="G720">
            <v>38910.333333333336</v>
          </cell>
          <cell r="H720">
            <v>38910.333333333336</v>
          </cell>
          <cell r="I720" t="str">
            <v>NA</v>
          </cell>
          <cell r="J720">
            <v>38947.729166666664</v>
          </cell>
          <cell r="K720" t="str">
            <v>NA</v>
          </cell>
          <cell r="L720">
            <v>1.1100000000000001</v>
          </cell>
          <cell r="M720">
            <v>25.5</v>
          </cell>
          <cell r="N720">
            <v>14.5</v>
          </cell>
          <cell r="O720">
            <v>0</v>
          </cell>
          <cell r="P720">
            <v>56.86</v>
          </cell>
          <cell r="T720">
            <v>38947</v>
          </cell>
        </row>
        <row r="721">
          <cell r="B721" t="str">
            <v>DC.560.DD.01</v>
          </cell>
          <cell r="D721" t="str">
            <v>Desenho De Detalhamento - Proj. Geométrico/ Terrapl.</v>
          </cell>
          <cell r="E721" t="str">
            <v>26 dias</v>
          </cell>
          <cell r="F721" t="str">
            <v>NA</v>
          </cell>
          <cell r="G721">
            <v>38910.333333333336</v>
          </cell>
          <cell r="H721">
            <v>38910.333333333336</v>
          </cell>
          <cell r="I721" t="str">
            <v>NA</v>
          </cell>
          <cell r="J721">
            <v>38947.729166666664</v>
          </cell>
          <cell r="K721" t="str">
            <v>NA</v>
          </cell>
          <cell r="L721">
            <v>0.92</v>
          </cell>
          <cell r="M721">
            <v>21</v>
          </cell>
          <cell r="N721">
            <v>10</v>
          </cell>
          <cell r="O721">
            <v>0</v>
          </cell>
          <cell r="P721">
            <v>47.62</v>
          </cell>
          <cell r="Q721" t="str">
            <v>714II</v>
          </cell>
          <cell r="R721" t="str">
            <v>720II;721II;609</v>
          </cell>
          <cell r="S721" t="str">
            <v>EQUIPE CIV</v>
          </cell>
          <cell r="T721">
            <v>38947</v>
          </cell>
        </row>
        <row r="722">
          <cell r="B722" t="str">
            <v>DC.560.MD.01</v>
          </cell>
          <cell r="D722" t="str">
            <v>Memorial Descritivo - Proj. Geométrico/ Acesso Principal</v>
          </cell>
          <cell r="E722" t="str">
            <v>4 dias</v>
          </cell>
          <cell r="F722" t="str">
            <v>NA</v>
          </cell>
          <cell r="G722">
            <v>38926.333333333336</v>
          </cell>
          <cell r="H722">
            <v>38926.333333333336</v>
          </cell>
          <cell r="I722" t="str">
            <v>NA</v>
          </cell>
          <cell r="J722">
            <v>38931.729166666664</v>
          </cell>
          <cell r="K722">
            <v>38931.729166666664</v>
          </cell>
          <cell r="L722">
            <v>0.08</v>
          </cell>
          <cell r="M722">
            <v>1.75</v>
          </cell>
          <cell r="N722">
            <v>1.75</v>
          </cell>
          <cell r="O722">
            <v>0</v>
          </cell>
          <cell r="P722">
            <v>100</v>
          </cell>
          <cell r="Q722" t="str">
            <v>719II</v>
          </cell>
          <cell r="S722" t="str">
            <v>EQUIPE CIV</v>
          </cell>
          <cell r="T722">
            <v>38931</v>
          </cell>
        </row>
        <row r="723">
          <cell r="B723" t="str">
            <v>DC.560.NS.01</v>
          </cell>
          <cell r="D723" t="str">
            <v>Notas De Serviço - Acesso Principal</v>
          </cell>
          <cell r="E723" t="str">
            <v>5 dias</v>
          </cell>
          <cell r="F723" t="str">
            <v>NA</v>
          </cell>
          <cell r="G723">
            <v>38929.333333333336</v>
          </cell>
          <cell r="H723">
            <v>38929.333333333336</v>
          </cell>
          <cell r="I723" t="str">
            <v>NA</v>
          </cell>
          <cell r="J723">
            <v>38933.729166666664</v>
          </cell>
          <cell r="K723">
            <v>38933.729166666664</v>
          </cell>
          <cell r="L723">
            <v>0.12</v>
          </cell>
          <cell r="M723">
            <v>2.75</v>
          </cell>
          <cell r="N723">
            <v>2.75</v>
          </cell>
          <cell r="O723">
            <v>0</v>
          </cell>
          <cell r="P723">
            <v>100</v>
          </cell>
          <cell r="Q723" t="str">
            <v>719II</v>
          </cell>
          <cell r="S723" t="str">
            <v>EQUIPE CIV</v>
          </cell>
          <cell r="T723">
            <v>38933</v>
          </cell>
        </row>
        <row r="724">
          <cell r="B724" t="str">
            <v>1.4.8</v>
          </cell>
          <cell r="C724" t="str">
            <v>570A</v>
          </cell>
          <cell r="D724" t="str">
            <v>Sala de Controle</v>
          </cell>
          <cell r="E724" t="str">
            <v>10 dias</v>
          </cell>
          <cell r="F724">
            <v>38845.375</v>
          </cell>
          <cell r="G724">
            <v>39055.333333333336</v>
          </cell>
          <cell r="H724" t="str">
            <v>NA</v>
          </cell>
          <cell r="I724">
            <v>38926.375</v>
          </cell>
          <cell r="J724">
            <v>39066.729166666664</v>
          </cell>
          <cell r="K724" t="str">
            <v>NA</v>
          </cell>
          <cell r="L724">
            <v>0.75</v>
          </cell>
          <cell r="M724">
            <v>17.13</v>
          </cell>
          <cell r="N724">
            <v>0</v>
          </cell>
          <cell r="O724">
            <v>0</v>
          </cell>
          <cell r="P724">
            <v>0</v>
          </cell>
          <cell r="T724">
            <v>39066</v>
          </cell>
        </row>
        <row r="725">
          <cell r="D725" t="str">
            <v>Projeto Básico</v>
          </cell>
          <cell r="E725" t="str">
            <v>7 dias</v>
          </cell>
          <cell r="F725">
            <v>38845.375</v>
          </cell>
          <cell r="G725">
            <v>39055.333333333336</v>
          </cell>
          <cell r="H725" t="str">
            <v>NA</v>
          </cell>
          <cell r="I725">
            <v>38888.375</v>
          </cell>
          <cell r="J725">
            <v>39063.729166666664</v>
          </cell>
          <cell r="K725" t="str">
            <v>NA</v>
          </cell>
          <cell r="L725">
            <v>0.25</v>
          </cell>
          <cell r="M725">
            <v>5.63</v>
          </cell>
          <cell r="N725">
            <v>0</v>
          </cell>
          <cell r="O725">
            <v>0</v>
          </cell>
          <cell r="P725">
            <v>0</v>
          </cell>
          <cell r="R725" t="str">
            <v>729II</v>
          </cell>
          <cell r="T725">
            <v>39063</v>
          </cell>
        </row>
        <row r="726">
          <cell r="D726" t="str">
            <v>Instrumentação</v>
          </cell>
          <cell r="E726" t="str">
            <v>7 dias</v>
          </cell>
          <cell r="F726">
            <v>38845.375</v>
          </cell>
          <cell r="G726">
            <v>39055.333333333336</v>
          </cell>
          <cell r="H726" t="str">
            <v>NA</v>
          </cell>
          <cell r="I726">
            <v>38888.375</v>
          </cell>
          <cell r="J726">
            <v>39063.729166666664</v>
          </cell>
          <cell r="K726" t="str">
            <v>NA</v>
          </cell>
          <cell r="L726">
            <v>0.25</v>
          </cell>
          <cell r="M726">
            <v>5.63</v>
          </cell>
          <cell r="N726">
            <v>0</v>
          </cell>
          <cell r="O726">
            <v>0</v>
          </cell>
          <cell r="P726">
            <v>0</v>
          </cell>
          <cell r="T726">
            <v>39063</v>
          </cell>
        </row>
        <row r="727">
          <cell r="B727" t="str">
            <v>BT.570.ET.01</v>
          </cell>
          <cell r="D727" t="str">
            <v>Especificação Técnica - Equipamentos/ Instrumentos</v>
          </cell>
          <cell r="E727" t="str">
            <v>6 dias</v>
          </cell>
          <cell r="F727">
            <v>38856.375</v>
          </cell>
          <cell r="G727">
            <v>39055.333333333336</v>
          </cell>
          <cell r="H727" t="str">
            <v>NA</v>
          </cell>
          <cell r="I727">
            <v>38888.375</v>
          </cell>
          <cell r="J727">
            <v>39062.729166666664</v>
          </cell>
          <cell r="K727" t="str">
            <v>NA</v>
          </cell>
          <cell r="L727">
            <v>0.11</v>
          </cell>
          <cell r="M727">
            <v>2.5</v>
          </cell>
          <cell r="N727">
            <v>0</v>
          </cell>
          <cell r="O727">
            <v>0</v>
          </cell>
          <cell r="P727">
            <v>0</v>
          </cell>
          <cell r="Q727" t="str">
            <v>684II</v>
          </cell>
          <cell r="S727" t="str">
            <v>EQUIPE TSA</v>
          </cell>
          <cell r="T727">
            <v>39062</v>
          </cell>
        </row>
        <row r="728">
          <cell r="B728" t="str">
            <v>BT.570.FD.01</v>
          </cell>
          <cell r="D728" t="str">
            <v>Folha De Dados</v>
          </cell>
          <cell r="E728" t="str">
            <v>7 dias</v>
          </cell>
          <cell r="F728">
            <v>38845.375</v>
          </cell>
          <cell r="G728">
            <v>39055.333333333336</v>
          </cell>
          <cell r="H728" t="str">
            <v>NA</v>
          </cell>
          <cell r="I728">
            <v>38856.375</v>
          </cell>
          <cell r="J728">
            <v>39063.729166666664</v>
          </cell>
          <cell r="K728" t="str">
            <v>NA</v>
          </cell>
          <cell r="L728">
            <v>0.14000000000000001</v>
          </cell>
          <cell r="M728">
            <v>3.13</v>
          </cell>
          <cell r="N728">
            <v>0</v>
          </cell>
          <cell r="O728">
            <v>0</v>
          </cell>
          <cell r="P728">
            <v>0</v>
          </cell>
          <cell r="Q728" t="str">
            <v>684II</v>
          </cell>
          <cell r="S728" t="str">
            <v>EQUIPE TSA</v>
          </cell>
          <cell r="T728">
            <v>39063</v>
          </cell>
        </row>
        <row r="729">
          <cell r="D729" t="str">
            <v>Projeto Detalhado</v>
          </cell>
          <cell r="E729" t="str">
            <v>10 dias</v>
          </cell>
          <cell r="F729">
            <v>38888.375</v>
          </cell>
          <cell r="G729">
            <v>39055.333333333336</v>
          </cell>
          <cell r="H729" t="str">
            <v>NA</v>
          </cell>
          <cell r="I729">
            <v>38926.375</v>
          </cell>
          <cell r="J729">
            <v>39066.729166666664</v>
          </cell>
          <cell r="K729" t="str">
            <v>NA</v>
          </cell>
          <cell r="L729">
            <v>0.5</v>
          </cell>
          <cell r="M729">
            <v>11.5</v>
          </cell>
          <cell r="N729">
            <v>0</v>
          </cell>
          <cell r="O729">
            <v>0</v>
          </cell>
          <cell r="P729">
            <v>0</v>
          </cell>
          <cell r="T729">
            <v>39066</v>
          </cell>
        </row>
        <row r="730">
          <cell r="D730" t="str">
            <v>Civil</v>
          </cell>
          <cell r="E730" t="str">
            <v>10 dias</v>
          </cell>
          <cell r="F730">
            <v>38888.375</v>
          </cell>
          <cell r="G730">
            <v>39055.333333333336</v>
          </cell>
          <cell r="H730" t="str">
            <v>NA</v>
          </cell>
          <cell r="I730">
            <v>38904.375</v>
          </cell>
          <cell r="J730">
            <v>39066.729166666664</v>
          </cell>
          <cell r="K730" t="str">
            <v>NA</v>
          </cell>
          <cell r="L730">
            <v>0.35</v>
          </cell>
          <cell r="M730">
            <v>8</v>
          </cell>
          <cell r="N730">
            <v>0</v>
          </cell>
          <cell r="O730">
            <v>0</v>
          </cell>
          <cell r="P730">
            <v>0</v>
          </cell>
          <cell r="T730">
            <v>39066</v>
          </cell>
        </row>
        <row r="731">
          <cell r="B731" t="str">
            <v>DC.570.DD.01</v>
          </cell>
          <cell r="D731" t="str">
            <v>Desenho De Detalhamento - Fundação, Vigas e Laje</v>
          </cell>
          <cell r="E731" t="str">
            <v>10 dias</v>
          </cell>
          <cell r="F731">
            <v>38888.375</v>
          </cell>
          <cell r="G731">
            <v>39055.333333333336</v>
          </cell>
          <cell r="H731" t="str">
            <v>NA</v>
          </cell>
          <cell r="I731">
            <v>38904.375</v>
          </cell>
          <cell r="J731">
            <v>39066.729166666664</v>
          </cell>
          <cell r="K731" t="str">
            <v>NA</v>
          </cell>
          <cell r="L731">
            <v>0.35</v>
          </cell>
          <cell r="M731">
            <v>8</v>
          </cell>
          <cell r="N731">
            <v>0</v>
          </cell>
          <cell r="O731">
            <v>0</v>
          </cell>
          <cell r="P731">
            <v>0</v>
          </cell>
          <cell r="Q731" t="str">
            <v>723II</v>
          </cell>
          <cell r="R731" t="str">
            <v>731II</v>
          </cell>
          <cell r="S731" t="str">
            <v>EQUIPE CIV</v>
          </cell>
          <cell r="T731">
            <v>39066</v>
          </cell>
        </row>
        <row r="732">
          <cell r="D732" t="str">
            <v>Elétrica</v>
          </cell>
          <cell r="E732" t="str">
            <v>3 dias</v>
          </cell>
          <cell r="F732">
            <v>38904.375</v>
          </cell>
          <cell r="G732">
            <v>39055.333333333336</v>
          </cell>
          <cell r="H732" t="str">
            <v>NA</v>
          </cell>
          <cell r="I732">
            <v>38911.375</v>
          </cell>
          <cell r="J732">
            <v>39057.729166666664</v>
          </cell>
          <cell r="K732" t="str">
            <v>NA</v>
          </cell>
          <cell r="L732">
            <v>0.02</v>
          </cell>
          <cell r="M732">
            <v>0.5</v>
          </cell>
          <cell r="N732">
            <v>0</v>
          </cell>
          <cell r="O732">
            <v>0</v>
          </cell>
          <cell r="P732">
            <v>0</v>
          </cell>
          <cell r="T732">
            <v>39057</v>
          </cell>
        </row>
        <row r="733">
          <cell r="B733" t="str">
            <v>DE.570.DD.01</v>
          </cell>
          <cell r="D733" t="str">
            <v>Desenho De Detalhamento - Malha De Aterramento</v>
          </cell>
          <cell r="E733" t="str">
            <v>3 dias</v>
          </cell>
          <cell r="F733">
            <v>38904.375</v>
          </cell>
          <cell r="G733">
            <v>39055.333333333336</v>
          </cell>
          <cell r="H733" t="str">
            <v>NA</v>
          </cell>
          <cell r="I733">
            <v>38909.375</v>
          </cell>
          <cell r="J733">
            <v>39057.729166666664</v>
          </cell>
          <cell r="K733" t="str">
            <v>NA</v>
          </cell>
          <cell r="L733">
            <v>0.02</v>
          </cell>
          <cell r="M733">
            <v>0.5</v>
          </cell>
          <cell r="N733">
            <v>0</v>
          </cell>
          <cell r="O733">
            <v>0</v>
          </cell>
          <cell r="P733">
            <v>0</v>
          </cell>
          <cell r="Q733" t="str">
            <v>729II</v>
          </cell>
          <cell r="R733">
            <v>740</v>
          </cell>
          <cell r="S733" t="str">
            <v>EQUIPE ELE</v>
          </cell>
          <cell r="T733">
            <v>39057</v>
          </cell>
        </row>
        <row r="734">
          <cell r="D734" t="str">
            <v>Instrumentação</v>
          </cell>
          <cell r="E734" t="str">
            <v>8 dias</v>
          </cell>
          <cell r="F734">
            <v>38911.375</v>
          </cell>
          <cell r="G734">
            <v>39055.333333333336</v>
          </cell>
          <cell r="H734" t="str">
            <v>NA</v>
          </cell>
          <cell r="I734">
            <v>38926.375</v>
          </cell>
          <cell r="J734">
            <v>39064.729166666664</v>
          </cell>
          <cell r="K734" t="str">
            <v>NA</v>
          </cell>
          <cell r="L734">
            <v>0.13</v>
          </cell>
          <cell r="M734">
            <v>3</v>
          </cell>
          <cell r="N734">
            <v>0</v>
          </cell>
          <cell r="O734">
            <v>0</v>
          </cell>
          <cell r="P734">
            <v>0</v>
          </cell>
          <cell r="T734">
            <v>39064</v>
          </cell>
        </row>
        <row r="735">
          <cell r="B735" t="str">
            <v>DT.570.DD.01</v>
          </cell>
          <cell r="D735" t="str">
            <v>Desenho De Detalhamento - Configuração Do Sistema</v>
          </cell>
          <cell r="E735" t="str">
            <v>8 dias</v>
          </cell>
          <cell r="F735">
            <v>38911.375</v>
          </cell>
          <cell r="G735">
            <v>39055.333333333336</v>
          </cell>
          <cell r="H735" t="str">
            <v>NA</v>
          </cell>
          <cell r="I735">
            <v>38923.375</v>
          </cell>
          <cell r="J735">
            <v>39064.729166666664</v>
          </cell>
          <cell r="K735" t="str">
            <v>NA</v>
          </cell>
          <cell r="L735">
            <v>0.13</v>
          </cell>
          <cell r="M735">
            <v>3</v>
          </cell>
          <cell r="N735">
            <v>0</v>
          </cell>
          <cell r="O735">
            <v>0</v>
          </cell>
          <cell r="P735">
            <v>0</v>
          </cell>
          <cell r="Q735" t="str">
            <v>684II</v>
          </cell>
          <cell r="S735" t="str">
            <v>EQUIPE TSA</v>
          </cell>
          <cell r="T735">
            <v>39064</v>
          </cell>
        </row>
        <row r="736">
          <cell r="B736" t="str">
            <v>1.4.9</v>
          </cell>
          <cell r="C736" t="str">
            <v>580A</v>
          </cell>
          <cell r="D736" t="str">
            <v>Sistema de Combate à Incêndio</v>
          </cell>
          <cell r="E736" t="str">
            <v>10 dias</v>
          </cell>
          <cell r="F736">
            <v>38881.375</v>
          </cell>
          <cell r="G736">
            <v>39050.333333333336</v>
          </cell>
          <cell r="H736" t="str">
            <v>NA</v>
          </cell>
          <cell r="I736">
            <v>38904.375</v>
          </cell>
          <cell r="J736">
            <v>39063.729166666664</v>
          </cell>
          <cell r="K736" t="str">
            <v>NA</v>
          </cell>
          <cell r="L736">
            <v>0.22</v>
          </cell>
          <cell r="M736">
            <v>5</v>
          </cell>
          <cell r="N736">
            <v>0</v>
          </cell>
          <cell r="O736">
            <v>0</v>
          </cell>
          <cell r="P736">
            <v>0</v>
          </cell>
          <cell r="T736">
            <v>39063</v>
          </cell>
        </row>
        <row r="737">
          <cell r="D737" t="str">
            <v>Projeto Detalhado</v>
          </cell>
          <cell r="E737" t="str">
            <v>10 dias</v>
          </cell>
          <cell r="F737">
            <v>38890.375</v>
          </cell>
          <cell r="G737">
            <v>39050.333333333336</v>
          </cell>
          <cell r="H737" t="str">
            <v>NA</v>
          </cell>
          <cell r="I737">
            <v>38904.375</v>
          </cell>
          <cell r="J737">
            <v>39063.729166666664</v>
          </cell>
          <cell r="K737" t="str">
            <v>NA</v>
          </cell>
          <cell r="L737">
            <v>0.22</v>
          </cell>
          <cell r="M737">
            <v>5</v>
          </cell>
          <cell r="N737">
            <v>0</v>
          </cell>
          <cell r="O737">
            <v>0</v>
          </cell>
          <cell r="P737">
            <v>0</v>
          </cell>
          <cell r="T737">
            <v>39063</v>
          </cell>
        </row>
        <row r="738">
          <cell r="D738" t="str">
            <v>Tubulação</v>
          </cell>
          <cell r="E738" t="str">
            <v>3 dias</v>
          </cell>
          <cell r="F738">
            <v>38890.375</v>
          </cell>
          <cell r="G738">
            <v>39050.333333333336</v>
          </cell>
          <cell r="H738" t="str">
            <v>NA</v>
          </cell>
          <cell r="I738">
            <v>38895.375</v>
          </cell>
          <cell r="J738">
            <v>39052.729166666664</v>
          </cell>
          <cell r="K738" t="str">
            <v>NA</v>
          </cell>
          <cell r="L738">
            <v>0.13</v>
          </cell>
          <cell r="M738">
            <v>3</v>
          </cell>
          <cell r="N738">
            <v>0</v>
          </cell>
          <cell r="O738">
            <v>0</v>
          </cell>
          <cell r="P738">
            <v>0</v>
          </cell>
          <cell r="T738">
            <v>39052</v>
          </cell>
        </row>
        <row r="739">
          <cell r="B739" t="str">
            <v>DH.580.RT.01</v>
          </cell>
          <cell r="D739" t="str">
            <v>Relatório Técnico - Análise Téc. Sistema De Incêndio</v>
          </cell>
          <cell r="E739" t="str">
            <v>3 dias</v>
          </cell>
          <cell r="F739">
            <v>38890.375</v>
          </cell>
          <cell r="G739">
            <v>39050.333333333336</v>
          </cell>
          <cell r="H739" t="str">
            <v>NA</v>
          </cell>
          <cell r="I739">
            <v>38895.375</v>
          </cell>
          <cell r="J739">
            <v>39052.729166666664</v>
          </cell>
          <cell r="K739" t="str">
            <v>NA</v>
          </cell>
          <cell r="L739">
            <v>0.13</v>
          </cell>
          <cell r="M739">
            <v>3</v>
          </cell>
          <cell r="N739">
            <v>0</v>
          </cell>
          <cell r="O739">
            <v>0</v>
          </cell>
          <cell r="P739">
            <v>0</v>
          </cell>
          <cell r="Q739" t="str">
            <v>674II</v>
          </cell>
          <cell r="S739" t="str">
            <v>EQUIPE TUB</v>
          </cell>
          <cell r="T739">
            <v>39052</v>
          </cell>
        </row>
        <row r="740">
          <cell r="D740" t="str">
            <v>Elétrica</v>
          </cell>
          <cell r="E740" t="str">
            <v>4 dias</v>
          </cell>
          <cell r="F740">
            <v>38890.375</v>
          </cell>
          <cell r="G740">
            <v>39058.333333333336</v>
          </cell>
          <cell r="H740" t="str">
            <v>NA</v>
          </cell>
          <cell r="I740">
            <v>38904.375</v>
          </cell>
          <cell r="J740">
            <v>39063.729166666664</v>
          </cell>
          <cell r="K740" t="str">
            <v>NA</v>
          </cell>
          <cell r="L740">
            <v>0.09</v>
          </cell>
          <cell r="M740">
            <v>2</v>
          </cell>
          <cell r="N740">
            <v>0</v>
          </cell>
          <cell r="O740">
            <v>0</v>
          </cell>
          <cell r="P740">
            <v>0</v>
          </cell>
          <cell r="T740">
            <v>39063</v>
          </cell>
        </row>
        <row r="741">
          <cell r="D741" t="str">
            <v>Desenho De Detalhamento</v>
          </cell>
          <cell r="E741" t="str">
            <v>4 dias</v>
          </cell>
          <cell r="F741">
            <v>38890.375</v>
          </cell>
          <cell r="G741">
            <v>39058.333333333336</v>
          </cell>
          <cell r="H741" t="str">
            <v>NA</v>
          </cell>
          <cell r="I741">
            <v>38902.375</v>
          </cell>
          <cell r="J741">
            <v>39063.729166666664</v>
          </cell>
          <cell r="K741" t="str">
            <v>NA</v>
          </cell>
          <cell r="L741">
            <v>0.09</v>
          </cell>
          <cell r="M741">
            <v>2</v>
          </cell>
          <cell r="N741">
            <v>0</v>
          </cell>
          <cell r="O741">
            <v>0</v>
          </cell>
          <cell r="P741">
            <v>0</v>
          </cell>
          <cell r="T741">
            <v>39063</v>
          </cell>
        </row>
        <row r="742">
          <cell r="B742" t="str">
            <v>DE.580.DD.01</v>
          </cell>
          <cell r="D742" t="str">
            <v>Distribuição De Força e Aterramento</v>
          </cell>
          <cell r="E742" t="str">
            <v>4 dias</v>
          </cell>
          <cell r="F742">
            <v>38890.375</v>
          </cell>
          <cell r="G742">
            <v>39058.333333333336</v>
          </cell>
          <cell r="H742" t="str">
            <v>NA</v>
          </cell>
          <cell r="I742">
            <v>38896.375</v>
          </cell>
          <cell r="J742">
            <v>39063.729166666664</v>
          </cell>
          <cell r="K742" t="str">
            <v>NA</v>
          </cell>
          <cell r="L742">
            <v>0.04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731</v>
          </cell>
          <cell r="R742" t="str">
            <v>741II</v>
          </cell>
          <cell r="S742" t="str">
            <v>EQUIPE ELE</v>
          </cell>
          <cell r="T742">
            <v>39063</v>
          </cell>
        </row>
        <row r="743">
          <cell r="B743" t="str">
            <v>DE.580.DD.02</v>
          </cell>
          <cell r="D743" t="str">
            <v>Iluminação</v>
          </cell>
          <cell r="E743" t="str">
            <v>4 dias</v>
          </cell>
          <cell r="F743">
            <v>38896.375</v>
          </cell>
          <cell r="G743">
            <v>39058.333333333336</v>
          </cell>
          <cell r="H743" t="str">
            <v>NA</v>
          </cell>
          <cell r="I743">
            <v>38902.375</v>
          </cell>
          <cell r="J743">
            <v>39063.729166666664</v>
          </cell>
          <cell r="K743" t="str">
            <v>NA</v>
          </cell>
          <cell r="L743">
            <v>0.04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 t="str">
            <v>740II</v>
          </cell>
          <cell r="S743" t="str">
            <v>EQUIPE ELE</v>
          </cell>
          <cell r="T743">
            <v>39063</v>
          </cell>
        </row>
        <row r="744">
          <cell r="B744" t="str">
            <v>1.4.10</v>
          </cell>
          <cell r="C744" t="str">
            <v>590A</v>
          </cell>
          <cell r="D744" t="str">
            <v>Instalações Provisórias</v>
          </cell>
          <cell r="E744" t="str">
            <v>7 dias</v>
          </cell>
          <cell r="F744" t="str">
            <v>NA</v>
          </cell>
          <cell r="G744">
            <v>38951.333333333336</v>
          </cell>
          <cell r="H744" t="str">
            <v>NA</v>
          </cell>
          <cell r="I744" t="str">
            <v>NA</v>
          </cell>
          <cell r="J744">
            <v>38959.729166666664</v>
          </cell>
          <cell r="K744" t="str">
            <v>NA</v>
          </cell>
          <cell r="L744">
            <v>0.17</v>
          </cell>
          <cell r="M744">
            <v>4</v>
          </cell>
          <cell r="N744">
            <v>0</v>
          </cell>
          <cell r="O744">
            <v>0</v>
          </cell>
          <cell r="P744">
            <v>0</v>
          </cell>
          <cell r="T744">
            <v>38959</v>
          </cell>
        </row>
        <row r="745">
          <cell r="D745" t="str">
            <v>Projeto Detalhado</v>
          </cell>
          <cell r="E745" t="str">
            <v>7 dias</v>
          </cell>
          <cell r="F745" t="str">
            <v>NA</v>
          </cell>
          <cell r="G745">
            <v>38951.333333333336</v>
          </cell>
          <cell r="H745" t="str">
            <v>NA</v>
          </cell>
          <cell r="I745" t="str">
            <v>NA</v>
          </cell>
          <cell r="J745">
            <v>38959.729166666664</v>
          </cell>
          <cell r="K745" t="str">
            <v>NA</v>
          </cell>
          <cell r="L745">
            <v>0.17</v>
          </cell>
          <cell r="M745">
            <v>4</v>
          </cell>
          <cell r="N745">
            <v>0</v>
          </cell>
          <cell r="O745">
            <v>0</v>
          </cell>
          <cell r="P745">
            <v>0</v>
          </cell>
          <cell r="T745">
            <v>38959</v>
          </cell>
        </row>
        <row r="746">
          <cell r="D746" t="str">
            <v>Civil</v>
          </cell>
          <cell r="E746" t="str">
            <v>7 dias</v>
          </cell>
          <cell r="F746" t="str">
            <v>NA</v>
          </cell>
          <cell r="G746">
            <v>38951.333333333336</v>
          </cell>
          <cell r="H746" t="str">
            <v>NA</v>
          </cell>
          <cell r="I746" t="str">
            <v>NA</v>
          </cell>
          <cell r="J746">
            <v>38959.729166666664</v>
          </cell>
          <cell r="K746" t="str">
            <v>NA</v>
          </cell>
          <cell r="L746">
            <v>0.17</v>
          </cell>
          <cell r="M746">
            <v>4</v>
          </cell>
          <cell r="N746">
            <v>0</v>
          </cell>
          <cell r="O746">
            <v>0</v>
          </cell>
          <cell r="P746">
            <v>0</v>
          </cell>
          <cell r="T746">
            <v>38959</v>
          </cell>
        </row>
        <row r="747">
          <cell r="B747" t="str">
            <v>DC.590.DD.01</v>
          </cell>
          <cell r="D747" t="str">
            <v>Desenho De Detalhamento - Casas Populares</v>
          </cell>
          <cell r="E747" t="str">
            <v>7 dias</v>
          </cell>
          <cell r="F747" t="str">
            <v>NA</v>
          </cell>
          <cell r="G747">
            <v>38951.333333333336</v>
          </cell>
          <cell r="H747" t="str">
            <v>NA</v>
          </cell>
          <cell r="I747" t="str">
            <v>NA</v>
          </cell>
          <cell r="J747">
            <v>38959.729166666664</v>
          </cell>
          <cell r="K747" t="str">
            <v>NA</v>
          </cell>
          <cell r="L747">
            <v>0.17</v>
          </cell>
          <cell r="M747">
            <v>4</v>
          </cell>
          <cell r="N747">
            <v>0</v>
          </cell>
          <cell r="O747">
            <v>0</v>
          </cell>
          <cell r="P747">
            <v>0</v>
          </cell>
          <cell r="Q747" t="str">
            <v>16II+77 dias</v>
          </cell>
          <cell r="S747" t="str">
            <v>EQUIPE ARQ</v>
          </cell>
          <cell r="T747">
            <v>38959</v>
          </cell>
        </row>
      </sheetData>
      <sheetData sheetId="12" refreshError="1">
        <row r="3">
          <cell r="B3" t="str">
            <v>COD</v>
          </cell>
          <cell r="C3" t="str">
            <v>DESCRIÇÃO DO DOCUMENTO</v>
          </cell>
          <cell r="D3" t="str">
            <v>PROJ</v>
          </cell>
          <cell r="E3" t="str">
            <v>FORM</v>
          </cell>
          <cell r="F3" t="str">
            <v>Descrição Do Documento</v>
          </cell>
          <cell r="G3" t="str">
            <v>Cod</v>
          </cell>
          <cell r="H3" t="str">
            <v>Proj</v>
          </cell>
          <cell r="I3" t="str">
            <v>Form</v>
          </cell>
        </row>
        <row r="4">
          <cell r="B4" t="str">
            <v>AA</v>
          </cell>
          <cell r="C4" t="str">
            <v>AVALIAÇÃO</v>
          </cell>
          <cell r="F4" t="str">
            <v>Avaliação</v>
          </cell>
          <cell r="G4" t="str">
            <v>AA</v>
          </cell>
          <cell r="H4">
            <v>0</v>
          </cell>
          <cell r="I4">
            <v>0</v>
          </cell>
        </row>
        <row r="5">
          <cell r="B5" t="str">
            <v>AC</v>
          </cell>
          <cell r="C5" t="str">
            <v>RELATÓRIO DE AÇÃO CORRETIVA</v>
          </cell>
          <cell r="F5" t="str">
            <v>Relatório De Ação Corretiva</v>
          </cell>
          <cell r="G5" t="str">
            <v>AC</v>
          </cell>
          <cell r="H5">
            <v>0</v>
          </cell>
          <cell r="I5">
            <v>0</v>
          </cell>
        </row>
        <row r="6">
          <cell r="B6" t="str">
            <v>AD</v>
          </cell>
          <cell r="C6" t="str">
            <v>AUTORIZAÇÃO DE DESPESAS</v>
          </cell>
          <cell r="F6" t="str">
            <v>Autorização De Despesas</v>
          </cell>
          <cell r="G6" t="str">
            <v>AD</v>
          </cell>
          <cell r="H6">
            <v>0</v>
          </cell>
          <cell r="I6">
            <v>0</v>
          </cell>
        </row>
        <row r="7">
          <cell r="B7" t="str">
            <v>AF</v>
          </cell>
          <cell r="C7" t="str">
            <v>ANÁLISE COMPARATIVA DE AVANÇO FÍSICO / FINANCEIRO</v>
          </cell>
          <cell r="F7" t="str">
            <v>Análise Comparativa De Avanço Físico/ Financeiro</v>
          </cell>
          <cell r="G7" t="str">
            <v>AF</v>
          </cell>
          <cell r="H7">
            <v>0</v>
          </cell>
          <cell r="I7">
            <v>0</v>
          </cell>
        </row>
        <row r="8">
          <cell r="B8" t="str">
            <v>AG</v>
          </cell>
          <cell r="C8" t="str">
            <v>ALVARÁS E INSCRIÇÕES</v>
          </cell>
          <cell r="F8" t="str">
            <v>Alvarás E Inscrições</v>
          </cell>
          <cell r="G8" t="str">
            <v>AG</v>
          </cell>
          <cell r="H8">
            <v>0</v>
          </cell>
          <cell r="I8">
            <v>0</v>
          </cell>
        </row>
        <row r="9">
          <cell r="B9" t="str">
            <v>AJ</v>
          </cell>
          <cell r="C9" t="str">
            <v>ARRANJOS / LAYOUT’S / PLANO DIRETOR</v>
          </cell>
          <cell r="D9" t="str">
            <v>BAS</v>
          </cell>
          <cell r="E9" t="str">
            <v>DES</v>
          </cell>
          <cell r="F9" t="str">
            <v>Arranjos/ Layout’s/ Plano Diretor</v>
          </cell>
          <cell r="G9" t="str">
            <v>AJ</v>
          </cell>
          <cell r="H9" t="str">
            <v>BAS</v>
          </cell>
          <cell r="I9" t="str">
            <v>DES</v>
          </cell>
        </row>
        <row r="10">
          <cell r="B10" t="str">
            <v>AL</v>
          </cell>
          <cell r="C10" t="str">
            <v>RELATÓRIO DE ANÁLISE CRÍTICA</v>
          </cell>
          <cell r="F10" t="str">
            <v>Relatório De Análise Crítica</v>
          </cell>
          <cell r="G10" t="str">
            <v>AL</v>
          </cell>
          <cell r="H10">
            <v>0</v>
          </cell>
          <cell r="I10">
            <v>0</v>
          </cell>
        </row>
        <row r="11">
          <cell r="B11" t="str">
            <v>AP</v>
          </cell>
          <cell r="C11" t="str">
            <v>RELATÓRIO DE ALTERAÇÃO DE PROJETO</v>
          </cell>
          <cell r="D11" t="str">
            <v>DET</v>
          </cell>
          <cell r="E11" t="str">
            <v>DOC</v>
          </cell>
          <cell r="F11" t="str">
            <v>Relatório De Alteração De Projeto</v>
          </cell>
          <cell r="G11" t="str">
            <v>AP</v>
          </cell>
          <cell r="H11" t="str">
            <v>DET</v>
          </cell>
          <cell r="I11" t="str">
            <v>DOC</v>
          </cell>
        </row>
        <row r="12">
          <cell r="B12" t="str">
            <v>AR</v>
          </cell>
          <cell r="C12" t="str">
            <v>ATA DE REUNIÃO</v>
          </cell>
          <cell r="F12" t="str">
            <v>Ata De Reunião</v>
          </cell>
          <cell r="G12" t="str">
            <v>AR</v>
          </cell>
          <cell r="H12">
            <v>0</v>
          </cell>
          <cell r="I12">
            <v>0</v>
          </cell>
        </row>
        <row r="13">
          <cell r="B13" t="str">
            <v>AT</v>
          </cell>
          <cell r="C13" t="str">
            <v>ATESTADO</v>
          </cell>
          <cell r="F13" t="str">
            <v>Atestado</v>
          </cell>
          <cell r="G13" t="str">
            <v>AT</v>
          </cell>
          <cell r="H13">
            <v>0</v>
          </cell>
          <cell r="I13">
            <v>0</v>
          </cell>
        </row>
        <row r="14">
          <cell r="B14" t="str">
            <v>AU</v>
          </cell>
          <cell r="C14" t="str">
            <v>RELATÓRIO DE AUDITORIA</v>
          </cell>
          <cell r="F14" t="str">
            <v>Relatório De Auditoria</v>
          </cell>
          <cell r="G14" t="str">
            <v>AU</v>
          </cell>
          <cell r="H14">
            <v>0</v>
          </cell>
          <cell r="I14">
            <v>0</v>
          </cell>
        </row>
        <row r="15">
          <cell r="B15" t="str">
            <v>BC</v>
          </cell>
          <cell r="C15" t="str">
            <v>BOLETIM DE CAIXA</v>
          </cell>
          <cell r="F15" t="str">
            <v>Boletim De Caixa</v>
          </cell>
          <cell r="G15" t="str">
            <v>BC</v>
          </cell>
          <cell r="H15">
            <v>0</v>
          </cell>
          <cell r="I15">
            <v>0</v>
          </cell>
        </row>
        <row r="16">
          <cell r="B16" t="str">
            <v>BD</v>
          </cell>
          <cell r="C16" t="str">
            <v>BANCO DE DADOS</v>
          </cell>
          <cell r="F16" t="str">
            <v>Banco De Dados</v>
          </cell>
          <cell r="G16" t="str">
            <v>BD</v>
          </cell>
          <cell r="H16">
            <v>0</v>
          </cell>
          <cell r="I16">
            <v>0</v>
          </cell>
        </row>
        <row r="17">
          <cell r="B17" t="str">
            <v>BF</v>
          </cell>
          <cell r="C17" t="str">
            <v>BENEFÍCIOS</v>
          </cell>
          <cell r="F17" t="str">
            <v>Benefícios</v>
          </cell>
          <cell r="G17" t="str">
            <v>BF</v>
          </cell>
          <cell r="H17">
            <v>0</v>
          </cell>
          <cell r="I17">
            <v>0</v>
          </cell>
        </row>
        <row r="18">
          <cell r="B18" t="str">
            <v>BL</v>
          </cell>
          <cell r="C18" t="str">
            <v>BALANÇO DE MASSAS</v>
          </cell>
          <cell r="D18" t="str">
            <v>BAS</v>
          </cell>
          <cell r="E18" t="str">
            <v>DES</v>
          </cell>
          <cell r="F18" t="str">
            <v>Balanço De Massas</v>
          </cell>
          <cell r="G18" t="str">
            <v>BL</v>
          </cell>
          <cell r="H18" t="str">
            <v>BAS</v>
          </cell>
          <cell r="I18" t="str">
            <v>DES</v>
          </cell>
        </row>
        <row r="19">
          <cell r="B19" t="str">
            <v>BM</v>
          </cell>
          <cell r="C19" t="str">
            <v>BOLETIM DE MEDIÇÃO</v>
          </cell>
          <cell r="F19" t="str">
            <v>Boletim De Medição</v>
          </cell>
          <cell r="G19" t="str">
            <v>BM</v>
          </cell>
          <cell r="H19">
            <v>0</v>
          </cell>
          <cell r="I19">
            <v>0</v>
          </cell>
        </row>
        <row r="20">
          <cell r="B20" t="str">
            <v>BS</v>
          </cell>
          <cell r="C20" t="str">
            <v>BOLETIM DE ACOMPANHAMENTO DE SERVIÇOS</v>
          </cell>
          <cell r="F20" t="str">
            <v>Boletim De Acompanhamento De Serviços</v>
          </cell>
          <cell r="G20" t="str">
            <v>BS</v>
          </cell>
          <cell r="H20">
            <v>0</v>
          </cell>
          <cell r="I20">
            <v>0</v>
          </cell>
        </row>
        <row r="21">
          <cell r="B21" t="str">
            <v>BU</v>
          </cell>
          <cell r="C21" t="str">
            <v>BALANÇO DE UTILIDADES</v>
          </cell>
          <cell r="D21" t="str">
            <v>BAS</v>
          </cell>
          <cell r="E21" t="str">
            <v>DES</v>
          </cell>
          <cell r="F21" t="str">
            <v>Balanço De Utilidades</v>
          </cell>
          <cell r="G21" t="str">
            <v>BU</v>
          </cell>
          <cell r="H21" t="str">
            <v>BAS</v>
          </cell>
          <cell r="I21" t="str">
            <v>DES</v>
          </cell>
        </row>
        <row r="22">
          <cell r="B22" t="str">
            <v>CA</v>
          </cell>
          <cell r="C22" t="str">
            <v>CARTA</v>
          </cell>
          <cell r="F22" t="str">
            <v>Carta</v>
          </cell>
          <cell r="G22" t="str">
            <v>CA</v>
          </cell>
          <cell r="H22">
            <v>0</v>
          </cell>
          <cell r="I22">
            <v>0</v>
          </cell>
        </row>
        <row r="23">
          <cell r="B23" t="str">
            <v>CE</v>
          </cell>
          <cell r="C23" t="str">
            <v>CONFIRMAÇÃO DE ENTENDIMENTO TELEFÔNICO</v>
          </cell>
          <cell r="F23" t="str">
            <v>Confirmação De Entendimento Telefônico</v>
          </cell>
          <cell r="G23" t="str">
            <v>CE</v>
          </cell>
          <cell r="H23">
            <v>0</v>
          </cell>
          <cell r="I23">
            <v>0</v>
          </cell>
        </row>
        <row r="24">
          <cell r="B24" t="str">
            <v>CF</v>
          </cell>
          <cell r="C24" t="str">
            <v>CADASTRO DE FORNECEDORES</v>
          </cell>
          <cell r="F24" t="str">
            <v>Cadastro De Fornecedores</v>
          </cell>
          <cell r="G24" t="str">
            <v>CF</v>
          </cell>
          <cell r="H24">
            <v>0</v>
          </cell>
          <cell r="I24">
            <v>0</v>
          </cell>
        </row>
        <row r="25">
          <cell r="B25" t="str">
            <v>CH</v>
          </cell>
          <cell r="C25" t="str">
            <v>CIPA/ ACIDENTE DO TRABALHO</v>
          </cell>
          <cell r="F25" t="str">
            <v>Cipa/ Acidente Do Trabalho</v>
          </cell>
          <cell r="G25" t="str">
            <v>CH</v>
          </cell>
          <cell r="H25">
            <v>0</v>
          </cell>
          <cell r="I25">
            <v>0</v>
          </cell>
        </row>
        <row r="26">
          <cell r="B26" t="str">
            <v>CI</v>
          </cell>
          <cell r="C26" t="str">
            <v>CORRESPONDÊNCIA INTERNA</v>
          </cell>
          <cell r="F26" t="str">
            <v>Correspondência Interna</v>
          </cell>
          <cell r="G26" t="str">
            <v>CI</v>
          </cell>
          <cell r="H26">
            <v>0</v>
          </cell>
          <cell r="I26">
            <v>0</v>
          </cell>
        </row>
        <row r="27">
          <cell r="B27" t="str">
            <v>CM</v>
          </cell>
          <cell r="C27" t="str">
            <v>CRITÉRIO DE MEDIÇÃO DE SERVIÇO</v>
          </cell>
          <cell r="D27" t="str">
            <v>BAS</v>
          </cell>
          <cell r="E27" t="str">
            <v>DOC</v>
          </cell>
          <cell r="F27" t="str">
            <v>Critério De Medição De Serviço</v>
          </cell>
          <cell r="G27" t="str">
            <v>CM</v>
          </cell>
          <cell r="H27" t="str">
            <v>BAS</v>
          </cell>
          <cell r="I27" t="str">
            <v>DOC</v>
          </cell>
        </row>
        <row r="28">
          <cell r="B28" t="str">
            <v>CN</v>
          </cell>
          <cell r="C28" t="str">
            <v>COMUNICAÇÃO DE NÃO CONFORMIDADE</v>
          </cell>
          <cell r="F28" t="str">
            <v>Comunicação De Não Conformidade</v>
          </cell>
          <cell r="G28" t="str">
            <v>CN</v>
          </cell>
          <cell r="H28">
            <v>0</v>
          </cell>
          <cell r="I28">
            <v>0</v>
          </cell>
        </row>
        <row r="29">
          <cell r="B29" t="str">
            <v>CP</v>
          </cell>
          <cell r="C29" t="str">
            <v>CRITÉRIO DE PROJETO</v>
          </cell>
          <cell r="D29" t="str">
            <v>BAS</v>
          </cell>
          <cell r="E29" t="str">
            <v>DOC</v>
          </cell>
          <cell r="F29" t="str">
            <v>Critério De Projeto</v>
          </cell>
          <cell r="G29" t="str">
            <v>CP</v>
          </cell>
          <cell r="H29" t="str">
            <v>BAS</v>
          </cell>
          <cell r="I29" t="str">
            <v>DOC</v>
          </cell>
        </row>
        <row r="30">
          <cell r="B30" t="str">
            <v>CR</v>
          </cell>
          <cell r="C30" t="str">
            <v>CRONOGRAMA</v>
          </cell>
          <cell r="F30" t="str">
            <v>Cronograma</v>
          </cell>
          <cell r="G30" t="str">
            <v>CR</v>
          </cell>
          <cell r="H30">
            <v>0</v>
          </cell>
          <cell r="I30">
            <v>0</v>
          </cell>
        </row>
        <row r="31">
          <cell r="B31" t="str">
            <v>CT</v>
          </cell>
          <cell r="C31" t="str">
            <v>CONTRATO</v>
          </cell>
          <cell r="F31" t="str">
            <v>Contrato</v>
          </cell>
          <cell r="G31" t="str">
            <v>CT</v>
          </cell>
          <cell r="H31">
            <v>0</v>
          </cell>
          <cell r="I31">
            <v>0</v>
          </cell>
        </row>
        <row r="32">
          <cell r="B32" t="str">
            <v>CT</v>
          </cell>
          <cell r="C32" t="str">
            <v>CONTRATO</v>
          </cell>
          <cell r="F32" t="str">
            <v>Contrato</v>
          </cell>
          <cell r="G32" t="str">
            <v>CT</v>
          </cell>
          <cell r="H32">
            <v>0</v>
          </cell>
          <cell r="I32">
            <v>0</v>
          </cell>
        </row>
        <row r="33">
          <cell r="B33" t="str">
            <v>DA</v>
          </cell>
          <cell r="C33" t="str">
            <v>DESCRIÇÃO E ANÁLISE DE CARGOS</v>
          </cell>
          <cell r="F33" t="str">
            <v>Descrição E Análise De Cargos</v>
          </cell>
          <cell r="G33" t="str">
            <v>DA</v>
          </cell>
          <cell r="H33">
            <v>0</v>
          </cell>
          <cell r="I33">
            <v>0</v>
          </cell>
        </row>
        <row r="34">
          <cell r="B34" t="str">
            <v>DB</v>
          </cell>
          <cell r="C34" t="str">
            <v>DESENHO BÁSICO</v>
          </cell>
          <cell r="D34" t="str">
            <v>BAS</v>
          </cell>
          <cell r="E34" t="str">
            <v>DES</v>
          </cell>
          <cell r="F34" t="str">
            <v>Desenho Básico</v>
          </cell>
          <cell r="G34" t="str">
            <v>DB</v>
          </cell>
          <cell r="H34" t="str">
            <v>BAS</v>
          </cell>
          <cell r="I34" t="str">
            <v>DES</v>
          </cell>
        </row>
        <row r="35">
          <cell r="B35" t="str">
            <v>DC</v>
          </cell>
          <cell r="C35" t="str">
            <v>DOSSIÊ PARCEIROS / CLIENTES / FORNECEDORES</v>
          </cell>
          <cell r="F35" t="str">
            <v>Dossiê Parceiros/ Clientes/ Fornecedores</v>
          </cell>
          <cell r="G35" t="str">
            <v>DC</v>
          </cell>
          <cell r="H35">
            <v>0</v>
          </cell>
          <cell r="I35">
            <v>0</v>
          </cell>
        </row>
        <row r="36">
          <cell r="B36" t="str">
            <v>DD</v>
          </cell>
          <cell r="C36" t="str">
            <v>DESENHO DE DETALHAMENTO</v>
          </cell>
          <cell r="D36" t="str">
            <v>DET</v>
          </cell>
          <cell r="E36" t="str">
            <v>DES</v>
          </cell>
          <cell r="F36" t="str">
            <v>Desenho De Detalhamento</v>
          </cell>
          <cell r="G36" t="str">
            <v>DD</v>
          </cell>
          <cell r="H36" t="str">
            <v>DET</v>
          </cell>
          <cell r="I36" t="str">
            <v>DES</v>
          </cell>
        </row>
        <row r="37">
          <cell r="B37" t="str">
            <v>DE</v>
          </cell>
          <cell r="C37" t="str">
            <v>DETALHES TÍPICOS</v>
          </cell>
          <cell r="D37" t="str">
            <v>DET</v>
          </cell>
          <cell r="E37" t="str">
            <v>DES</v>
          </cell>
          <cell r="F37" t="str">
            <v>Detalhes Típicos</v>
          </cell>
          <cell r="G37" t="str">
            <v>DE</v>
          </cell>
          <cell r="H37" t="str">
            <v>DET</v>
          </cell>
          <cell r="I37" t="str">
            <v>DES</v>
          </cell>
        </row>
        <row r="38">
          <cell r="B38" t="str">
            <v>DF</v>
          </cell>
          <cell r="C38" t="str">
            <v>DIAGRAMA FUNCIONAL</v>
          </cell>
          <cell r="D38" t="str">
            <v>DET</v>
          </cell>
          <cell r="E38" t="str">
            <v>DES</v>
          </cell>
          <cell r="F38" t="str">
            <v>Diagrama Funcional</v>
          </cell>
          <cell r="G38" t="str">
            <v>DF</v>
          </cell>
          <cell r="H38" t="str">
            <v>DET</v>
          </cell>
          <cell r="I38" t="str">
            <v>DES</v>
          </cell>
        </row>
        <row r="39">
          <cell r="B39" t="str">
            <v>DH</v>
          </cell>
          <cell r="C39" t="str">
            <v>DIAGRAMA DE MALHA (INSTRUMENTAÇÃO)</v>
          </cell>
          <cell r="D39" t="str">
            <v>BAS</v>
          </cell>
          <cell r="E39" t="str">
            <v>DES</v>
          </cell>
          <cell r="F39" t="str">
            <v>Diagrama De Malha (Instrumentação)</v>
          </cell>
          <cell r="G39" t="str">
            <v>DH</v>
          </cell>
          <cell r="H39" t="str">
            <v>BAS</v>
          </cell>
          <cell r="I39" t="str">
            <v>DES</v>
          </cell>
        </row>
        <row r="40">
          <cell r="B40" t="str">
            <v>DI</v>
          </cell>
          <cell r="C40" t="str">
            <v>DIAGRAMA DE INTERLIGAÇÃO</v>
          </cell>
          <cell r="D40" t="str">
            <v>DET</v>
          </cell>
          <cell r="E40" t="str">
            <v>DES</v>
          </cell>
          <cell r="F40" t="str">
            <v>Diagrama De Interligação</v>
          </cell>
          <cell r="G40" t="str">
            <v>DI</v>
          </cell>
          <cell r="H40" t="str">
            <v>DET</v>
          </cell>
          <cell r="I40" t="str">
            <v>DES</v>
          </cell>
        </row>
        <row r="41">
          <cell r="B41" t="str">
            <v>DL</v>
          </cell>
          <cell r="C41" t="str">
            <v>DIAGRAMA LÓGICO</v>
          </cell>
          <cell r="D41" t="str">
            <v>BAS</v>
          </cell>
          <cell r="E41" t="str">
            <v>DES</v>
          </cell>
          <cell r="F41" t="str">
            <v>Diagrama Lógico</v>
          </cell>
          <cell r="G41" t="str">
            <v>DL</v>
          </cell>
          <cell r="H41" t="str">
            <v>BAS</v>
          </cell>
          <cell r="I41" t="str">
            <v>DES</v>
          </cell>
        </row>
        <row r="42">
          <cell r="B42" t="str">
            <v>DM</v>
          </cell>
          <cell r="C42" t="str">
            <v>DIAGRAMA DE MONTAGEM</v>
          </cell>
          <cell r="D42" t="str">
            <v>DET</v>
          </cell>
          <cell r="E42" t="str">
            <v>DES</v>
          </cell>
          <cell r="F42" t="str">
            <v>Diagrama De Montagem</v>
          </cell>
          <cell r="G42" t="str">
            <v>DM</v>
          </cell>
          <cell r="H42" t="str">
            <v>DET</v>
          </cell>
          <cell r="I42" t="str">
            <v>DES</v>
          </cell>
        </row>
        <row r="43">
          <cell r="B43" t="str">
            <v>DP</v>
          </cell>
          <cell r="C43" t="str">
            <v>DESENHO DE PROJETO</v>
          </cell>
          <cell r="D43" t="str">
            <v>BAS</v>
          </cell>
          <cell r="E43" t="str">
            <v>DES</v>
          </cell>
          <cell r="F43" t="str">
            <v>Desenho De Projeto</v>
          </cell>
          <cell r="G43" t="str">
            <v>DP</v>
          </cell>
          <cell r="H43" t="str">
            <v>BAS</v>
          </cell>
          <cell r="I43" t="str">
            <v>DES</v>
          </cell>
        </row>
        <row r="44">
          <cell r="B44" t="str">
            <v>DT</v>
          </cell>
          <cell r="C44" t="str">
            <v>DIAGRAMA TRIFILAR</v>
          </cell>
          <cell r="D44" t="str">
            <v>DET</v>
          </cell>
          <cell r="E44" t="str">
            <v>DES</v>
          </cell>
          <cell r="F44" t="str">
            <v>Diagrama Trifilar</v>
          </cell>
          <cell r="G44" t="str">
            <v>DT</v>
          </cell>
          <cell r="H44" t="str">
            <v>DET</v>
          </cell>
          <cell r="I44" t="str">
            <v>DES</v>
          </cell>
        </row>
        <row r="45">
          <cell r="B45" t="str">
            <v>DU</v>
          </cell>
          <cell r="C45" t="str">
            <v>DIAGRAMA UNIFILAR</v>
          </cell>
          <cell r="D45" t="str">
            <v>DET</v>
          </cell>
          <cell r="E45" t="str">
            <v>DES</v>
          </cell>
          <cell r="F45" t="str">
            <v>Diagrama Unifilar</v>
          </cell>
          <cell r="G45" t="str">
            <v>DU</v>
          </cell>
          <cell r="H45" t="str">
            <v>DET</v>
          </cell>
          <cell r="I45" t="str">
            <v>DES</v>
          </cell>
        </row>
        <row r="46">
          <cell r="B46" t="str">
            <v>DV</v>
          </cell>
          <cell r="C46" t="str">
            <v>DIVERSOS</v>
          </cell>
          <cell r="F46" t="str">
            <v>Diversos</v>
          </cell>
          <cell r="G46" t="str">
            <v>DV</v>
          </cell>
          <cell r="H46">
            <v>0</v>
          </cell>
          <cell r="I46">
            <v>0</v>
          </cell>
        </row>
        <row r="47">
          <cell r="B47" t="str">
            <v>EA</v>
          </cell>
          <cell r="C47" t="str">
            <v>ESTRUTURA ANALÍTICA DE PROJETO – EAP</v>
          </cell>
          <cell r="F47" t="str">
            <v>Estrutura Analítica De Projeto – Eap</v>
          </cell>
          <cell r="G47" t="str">
            <v>EA</v>
          </cell>
          <cell r="H47">
            <v>0</v>
          </cell>
          <cell r="I47">
            <v>0</v>
          </cell>
        </row>
        <row r="48">
          <cell r="B48" t="str">
            <v>ED</v>
          </cell>
          <cell r="C48" t="str">
            <v>ESTUDOS / PLANOS</v>
          </cell>
          <cell r="D48" t="str">
            <v>BAS</v>
          </cell>
          <cell r="E48" t="str">
            <v>DOC</v>
          </cell>
          <cell r="F48" t="str">
            <v>Estudos / Planos</v>
          </cell>
          <cell r="G48" t="str">
            <v>ED</v>
          </cell>
          <cell r="H48" t="str">
            <v>BAS</v>
          </cell>
          <cell r="I48" t="str">
            <v>DOC</v>
          </cell>
        </row>
        <row r="49">
          <cell r="B49" t="str">
            <v>EM</v>
          </cell>
          <cell r="C49" t="str">
            <v>E-MAIL</v>
          </cell>
          <cell r="F49" t="str">
            <v>E-Mail</v>
          </cell>
          <cell r="G49" t="str">
            <v>EM</v>
          </cell>
          <cell r="H49">
            <v>0</v>
          </cell>
          <cell r="I49">
            <v>0</v>
          </cell>
        </row>
        <row r="50">
          <cell r="B50" t="str">
            <v>ES</v>
          </cell>
          <cell r="C50" t="str">
            <v>RELAÇÃO DE ENTRADAS / SAÍDAS</v>
          </cell>
          <cell r="D50" t="str">
            <v>DET</v>
          </cell>
          <cell r="E50" t="str">
            <v>DES</v>
          </cell>
          <cell r="F50" t="str">
            <v>Relação De Entradas/ Saídas</v>
          </cell>
          <cell r="G50" t="str">
            <v>ES</v>
          </cell>
          <cell r="H50" t="str">
            <v>DET</v>
          </cell>
          <cell r="I50" t="str">
            <v>DES</v>
          </cell>
        </row>
        <row r="51">
          <cell r="B51" t="str">
            <v>ET</v>
          </cell>
          <cell r="C51" t="str">
            <v>ESPECIFICAÇÃO TÉCNICA</v>
          </cell>
          <cell r="D51" t="str">
            <v>BAS</v>
          </cell>
          <cell r="E51" t="str">
            <v>DOC</v>
          </cell>
          <cell r="F51" t="str">
            <v>Especificação Técnica</v>
          </cell>
          <cell r="G51" t="str">
            <v>ET</v>
          </cell>
          <cell r="H51" t="str">
            <v>BAS</v>
          </cell>
          <cell r="I51" t="str">
            <v>DOC</v>
          </cell>
        </row>
        <row r="52">
          <cell r="B52" t="str">
            <v>EX</v>
          </cell>
          <cell r="C52" t="str">
            <v>PROGRAMA EXECUTÁVEL</v>
          </cell>
          <cell r="F52" t="str">
            <v>Programa Executável</v>
          </cell>
          <cell r="G52" t="str">
            <v>EX</v>
          </cell>
          <cell r="H52">
            <v>0</v>
          </cell>
          <cell r="I52">
            <v>0</v>
          </cell>
        </row>
        <row r="53">
          <cell r="B53" t="str">
            <v>FA</v>
          </cell>
          <cell r="C53" t="str">
            <v>FICHA DE ALTERAÇÃO DE FUNÇÃO E SALÁRIO (FAFS)</v>
          </cell>
          <cell r="F53" t="str">
            <v>Ficha De Alteração De Função E Salário (Fafs)</v>
          </cell>
          <cell r="G53" t="str">
            <v>FA</v>
          </cell>
          <cell r="H53">
            <v>0</v>
          </cell>
          <cell r="I53">
            <v>0</v>
          </cell>
        </row>
        <row r="54">
          <cell r="B54" t="str">
            <v>FD</v>
          </cell>
          <cell r="C54" t="str">
            <v>FOLHA DE DADOS</v>
          </cell>
          <cell r="D54" t="str">
            <v>BAS</v>
          </cell>
          <cell r="E54" t="str">
            <v>DOC</v>
          </cell>
          <cell r="F54" t="str">
            <v>Folha De Dados</v>
          </cell>
          <cell r="G54" t="str">
            <v>FD</v>
          </cell>
          <cell r="H54" t="str">
            <v>BAS</v>
          </cell>
          <cell r="I54" t="str">
            <v>DOC</v>
          </cell>
        </row>
        <row r="55">
          <cell r="B55" t="str">
            <v>FE</v>
          </cell>
          <cell r="C55" t="str">
            <v>FLUXOGRAMA DE ENGENHARIA</v>
          </cell>
          <cell r="D55" t="str">
            <v>BAS</v>
          </cell>
          <cell r="E55" t="str">
            <v>DES</v>
          </cell>
          <cell r="F55" t="str">
            <v>Fluxograma De Engenharia</v>
          </cell>
          <cell r="G55" t="str">
            <v>FE</v>
          </cell>
          <cell r="H55" t="str">
            <v>BAS</v>
          </cell>
          <cell r="I55" t="str">
            <v>DES</v>
          </cell>
        </row>
        <row r="56">
          <cell r="B56" t="str">
            <v>FG</v>
          </cell>
          <cell r="C56" t="str">
            <v>FLUXOGRAMA (GERAL)</v>
          </cell>
          <cell r="D56" t="str">
            <v>BAS</v>
          </cell>
          <cell r="E56" t="str">
            <v>DES</v>
          </cell>
          <cell r="F56" t="str">
            <v>Fluxograma (Geral)</v>
          </cell>
          <cell r="G56" t="str">
            <v>FG</v>
          </cell>
          <cell r="H56" t="str">
            <v>BAS</v>
          </cell>
          <cell r="I56" t="str">
            <v>DES</v>
          </cell>
        </row>
        <row r="57">
          <cell r="B57" t="str">
            <v>FL</v>
          </cell>
          <cell r="C57" t="str">
            <v>RELATÓRIO FLUXO DE CAIXA</v>
          </cell>
          <cell r="F57" t="str">
            <v>Relatório Fluxo De Caixa</v>
          </cell>
          <cell r="G57" t="str">
            <v>FL</v>
          </cell>
          <cell r="H57">
            <v>0</v>
          </cell>
          <cell r="I57">
            <v>0</v>
          </cell>
        </row>
        <row r="58">
          <cell r="B58" t="str">
            <v>FO</v>
          </cell>
          <cell r="C58" t="str">
            <v>PROGRAMA FONTE</v>
          </cell>
          <cell r="F58" t="str">
            <v>Programa Fonte</v>
          </cell>
          <cell r="G58" t="str">
            <v>FO</v>
          </cell>
          <cell r="H58">
            <v>0</v>
          </cell>
          <cell r="I58">
            <v>0</v>
          </cell>
        </row>
        <row r="59">
          <cell r="B59" t="str">
            <v>FP</v>
          </cell>
          <cell r="C59" t="str">
            <v>FLUXOGRAMA DE PROCESSO</v>
          </cell>
          <cell r="D59" t="str">
            <v>BAS</v>
          </cell>
          <cell r="E59" t="str">
            <v>DES</v>
          </cell>
          <cell r="F59" t="str">
            <v>Fluxograma De Processo</v>
          </cell>
          <cell r="G59" t="str">
            <v>FP</v>
          </cell>
          <cell r="H59" t="str">
            <v>BAS</v>
          </cell>
          <cell r="I59" t="str">
            <v>DES</v>
          </cell>
        </row>
        <row r="60">
          <cell r="B60" t="str">
            <v>FT</v>
          </cell>
          <cell r="C60" t="str">
            <v>FATURAS / NOTAS FISCAIS</v>
          </cell>
          <cell r="F60" t="str">
            <v>Faturas/ Notas Fiscais</v>
          </cell>
          <cell r="G60" t="str">
            <v>FT</v>
          </cell>
          <cell r="H60">
            <v>0</v>
          </cell>
          <cell r="I60">
            <v>0</v>
          </cell>
        </row>
        <row r="61">
          <cell r="B61" t="str">
            <v>FX</v>
          </cell>
          <cell r="C61" t="str">
            <v>FAX</v>
          </cell>
          <cell r="F61" t="str">
            <v>Fax</v>
          </cell>
          <cell r="G61" t="str">
            <v>FX</v>
          </cell>
          <cell r="H61">
            <v>0</v>
          </cell>
          <cell r="I61">
            <v>0</v>
          </cell>
        </row>
        <row r="62">
          <cell r="B62" t="str">
            <v>GF</v>
          </cell>
          <cell r="C62" t="str">
            <v>GRÁFICO</v>
          </cell>
          <cell r="F62" t="str">
            <v>Gráfico</v>
          </cell>
          <cell r="G62" t="str">
            <v>GF</v>
          </cell>
          <cell r="H62">
            <v>0</v>
          </cell>
          <cell r="I62">
            <v>0</v>
          </cell>
        </row>
        <row r="63">
          <cell r="B63" t="str">
            <v>GR</v>
          </cell>
          <cell r="C63" t="str">
            <v>GUIA DE REMESSA DE DOCUMENTOS</v>
          </cell>
          <cell r="F63" t="str">
            <v>Guia De Remessa De Documentos</v>
          </cell>
          <cell r="G63" t="str">
            <v>GR</v>
          </cell>
          <cell r="H63">
            <v>0</v>
          </cell>
          <cell r="I63">
            <v>0</v>
          </cell>
        </row>
        <row r="64">
          <cell r="B64" t="str">
            <v>HI</v>
          </cell>
          <cell r="C64" t="str">
            <v>HISTOGRAMA</v>
          </cell>
          <cell r="F64" t="str">
            <v>Histograma</v>
          </cell>
          <cell r="G64" t="str">
            <v>HI</v>
          </cell>
          <cell r="H64">
            <v>0</v>
          </cell>
          <cell r="I64">
            <v>0</v>
          </cell>
        </row>
        <row r="65">
          <cell r="B65" t="str">
            <v>HW</v>
          </cell>
          <cell r="C65" t="str">
            <v>FICHA DE HARDWARE</v>
          </cell>
          <cell r="F65" t="str">
            <v>Ficha De Hardware</v>
          </cell>
          <cell r="G65" t="str">
            <v>HW</v>
          </cell>
          <cell r="H65">
            <v>0</v>
          </cell>
          <cell r="I65">
            <v>0</v>
          </cell>
        </row>
        <row r="66">
          <cell r="B66" t="str">
            <v>IN</v>
          </cell>
          <cell r="C66" t="str">
            <v>CONTRATO SOCIAL E ALTERAÇÕES</v>
          </cell>
          <cell r="F66" t="str">
            <v>Contrato Social E Alterações</v>
          </cell>
          <cell r="G66" t="str">
            <v>IN</v>
          </cell>
          <cell r="H66">
            <v>0</v>
          </cell>
          <cell r="I66">
            <v>0</v>
          </cell>
        </row>
        <row r="67">
          <cell r="B67" t="str">
            <v>IS</v>
          </cell>
          <cell r="C67" t="str">
            <v>ISOMÉTRICO</v>
          </cell>
          <cell r="D67" t="str">
            <v>DET</v>
          </cell>
          <cell r="E67" t="str">
            <v>DES</v>
          </cell>
          <cell r="F67" t="str">
            <v>Isométrico</v>
          </cell>
          <cell r="G67" t="str">
            <v>IS</v>
          </cell>
          <cell r="H67" t="str">
            <v>DET</v>
          </cell>
          <cell r="I67" t="str">
            <v>DES</v>
          </cell>
        </row>
        <row r="68">
          <cell r="B68" t="str">
            <v>IT</v>
          </cell>
          <cell r="C68" t="str">
            <v>INSTRUÇÃO DE TRABALHO</v>
          </cell>
          <cell r="F68" t="str">
            <v>Instrução De Trabalho</v>
          </cell>
          <cell r="G68" t="str">
            <v>IT</v>
          </cell>
          <cell r="H68">
            <v>0</v>
          </cell>
          <cell r="I68">
            <v>0</v>
          </cell>
        </row>
        <row r="69">
          <cell r="B69" t="str">
            <v>LC</v>
          </cell>
          <cell r="C69" t="str">
            <v>LISTA DE LINHAS / CABOS</v>
          </cell>
          <cell r="D69" t="str">
            <v>DET</v>
          </cell>
          <cell r="E69" t="str">
            <v>DOC</v>
          </cell>
          <cell r="F69" t="str">
            <v>Lista De Linhas/ Cabos</v>
          </cell>
          <cell r="G69" t="str">
            <v>LC</v>
          </cell>
          <cell r="H69" t="str">
            <v>DET</v>
          </cell>
          <cell r="I69" t="str">
            <v>DOC</v>
          </cell>
        </row>
        <row r="70">
          <cell r="B70" t="str">
            <v>LD</v>
          </cell>
          <cell r="C70" t="str">
            <v>LISTA DE DOCUMENTOS</v>
          </cell>
          <cell r="F70" t="str">
            <v>Lista De Documentos</v>
          </cell>
          <cell r="G70" t="str">
            <v>LD</v>
          </cell>
          <cell r="H70">
            <v>0</v>
          </cell>
          <cell r="I70">
            <v>0</v>
          </cell>
        </row>
        <row r="71">
          <cell r="B71" t="str">
            <v>LE</v>
          </cell>
          <cell r="C71" t="str">
            <v>LISTA DE EQUIPAMENTOS / INSTRUMENTOS</v>
          </cell>
          <cell r="D71" t="str">
            <v>BAS</v>
          </cell>
          <cell r="E71" t="str">
            <v>DOC</v>
          </cell>
          <cell r="F71" t="str">
            <v>Lista De Equipamentos / Instrumentos</v>
          </cell>
          <cell r="G71" t="str">
            <v>LE</v>
          </cell>
          <cell r="H71" t="str">
            <v>BAS</v>
          </cell>
          <cell r="I71" t="str">
            <v>DOC</v>
          </cell>
        </row>
        <row r="72">
          <cell r="B72" t="str">
            <v>LF</v>
          </cell>
          <cell r="C72" t="str">
            <v>LISTA DE FERROS</v>
          </cell>
          <cell r="D72" t="str">
            <v>DET</v>
          </cell>
          <cell r="E72" t="str">
            <v>DOC</v>
          </cell>
          <cell r="F72" t="str">
            <v>Lista De Ferros</v>
          </cell>
          <cell r="G72" t="str">
            <v>LF</v>
          </cell>
          <cell r="H72" t="str">
            <v>DET</v>
          </cell>
          <cell r="I72" t="str">
            <v>DOC</v>
          </cell>
        </row>
        <row r="73">
          <cell r="B73" t="str">
            <v>LM</v>
          </cell>
          <cell r="C73" t="str">
            <v>LISTA DE MATERIAIS</v>
          </cell>
          <cell r="D73" t="str">
            <v>DET</v>
          </cell>
          <cell r="E73" t="str">
            <v>DOC</v>
          </cell>
          <cell r="F73" t="str">
            <v>Lista De Materiais</v>
          </cell>
          <cell r="G73" t="str">
            <v>LM</v>
          </cell>
          <cell r="H73" t="str">
            <v>DET</v>
          </cell>
          <cell r="I73" t="str">
            <v>DOC</v>
          </cell>
        </row>
        <row r="74">
          <cell r="B74" t="str">
            <v>LO</v>
          </cell>
          <cell r="C74" t="str">
            <v>LISTA DE DESPACHO</v>
          </cell>
          <cell r="F74" t="str">
            <v>Lista De Despacho</v>
          </cell>
          <cell r="G74" t="str">
            <v>LO</v>
          </cell>
          <cell r="H74">
            <v>0</v>
          </cell>
          <cell r="I74">
            <v>0</v>
          </cell>
        </row>
        <row r="75">
          <cell r="B75" t="str">
            <v>LP</v>
          </cell>
          <cell r="C75" t="str">
            <v>LISTA DE PENDÊNCIAS</v>
          </cell>
          <cell r="F75" t="str">
            <v>Lista De Pendências</v>
          </cell>
          <cell r="G75" t="str">
            <v>LP</v>
          </cell>
          <cell r="H75">
            <v>0</v>
          </cell>
          <cell r="I75">
            <v>0</v>
          </cell>
        </row>
        <row r="76">
          <cell r="B76" t="str">
            <v>LV</v>
          </cell>
          <cell r="C76" t="str">
            <v>LISTA DE VERIFICAÇÃO</v>
          </cell>
          <cell r="F76" t="str">
            <v>Lista De Verificação</v>
          </cell>
          <cell r="G76" t="str">
            <v>LV</v>
          </cell>
          <cell r="H76">
            <v>0</v>
          </cell>
          <cell r="I76">
            <v>0</v>
          </cell>
        </row>
        <row r="77">
          <cell r="B77" t="str">
            <v>MB</v>
          </cell>
          <cell r="C77" t="str">
            <v>MEDIÇÃO / NOTA DE DÉBITO</v>
          </cell>
          <cell r="F77" t="str">
            <v>Medição/ Nota De Débito</v>
          </cell>
          <cell r="G77" t="str">
            <v>MB</v>
          </cell>
          <cell r="H77">
            <v>0</v>
          </cell>
          <cell r="I77">
            <v>0</v>
          </cell>
        </row>
        <row r="78">
          <cell r="B78" t="str">
            <v>MC</v>
          </cell>
          <cell r="C78" t="str">
            <v>MEMÓRIA DE CÁLCULO</v>
          </cell>
          <cell r="D78" t="str">
            <v>DET</v>
          </cell>
          <cell r="E78" t="str">
            <v>DOC</v>
          </cell>
          <cell r="F78" t="str">
            <v>Memória De Cálculo</v>
          </cell>
          <cell r="G78" t="str">
            <v>MC</v>
          </cell>
          <cell r="H78" t="str">
            <v>DET</v>
          </cell>
          <cell r="I78" t="str">
            <v>DOC</v>
          </cell>
        </row>
        <row r="79">
          <cell r="B79" t="str">
            <v>MD</v>
          </cell>
          <cell r="C79" t="str">
            <v>MEMORIAL DESCRITIVO</v>
          </cell>
          <cell r="D79" t="str">
            <v>BAS</v>
          </cell>
          <cell r="E79" t="str">
            <v>DOC</v>
          </cell>
          <cell r="F79" t="str">
            <v>Memorial Descritivo</v>
          </cell>
          <cell r="G79" t="str">
            <v>MD</v>
          </cell>
          <cell r="H79" t="str">
            <v>BAS</v>
          </cell>
          <cell r="I79" t="str">
            <v>DOC</v>
          </cell>
        </row>
        <row r="80">
          <cell r="B80" t="str">
            <v>ME</v>
          </cell>
          <cell r="C80" t="str">
            <v>MUDANÇA DE ESCOPO</v>
          </cell>
          <cell r="F80" t="str">
            <v>Mudança De Escopo</v>
          </cell>
          <cell r="G80" t="str">
            <v>ME</v>
          </cell>
          <cell r="H80">
            <v>0</v>
          </cell>
          <cell r="I80">
            <v>0</v>
          </cell>
        </row>
        <row r="81">
          <cell r="B81" t="str">
            <v>MM</v>
          </cell>
          <cell r="C81" t="str">
            <v>MEMORANDO</v>
          </cell>
          <cell r="F81" t="str">
            <v>Memorando</v>
          </cell>
          <cell r="G81" t="str">
            <v>MM</v>
          </cell>
          <cell r="H81">
            <v>0</v>
          </cell>
          <cell r="I81">
            <v>0</v>
          </cell>
        </row>
        <row r="82">
          <cell r="B82" t="str">
            <v>MN</v>
          </cell>
          <cell r="C82" t="str">
            <v>MANUAIS / PROCEDIMENTOS</v>
          </cell>
          <cell r="F82" t="str">
            <v>Manuais/ Procedimentos</v>
          </cell>
          <cell r="G82" t="str">
            <v>MN</v>
          </cell>
          <cell r="H82">
            <v>0</v>
          </cell>
          <cell r="I82">
            <v>0</v>
          </cell>
        </row>
        <row r="83">
          <cell r="B83" t="str">
            <v>MO</v>
          </cell>
          <cell r="C83" t="str">
            <v>MANUAL DE OPERAÇÃO E / OU MANUTENÇÃO</v>
          </cell>
          <cell r="D83" t="str">
            <v>DET</v>
          </cell>
          <cell r="E83" t="str">
            <v>DOC</v>
          </cell>
          <cell r="F83" t="str">
            <v>Manual De Operação E/Ou Manutenção</v>
          </cell>
          <cell r="G83" t="str">
            <v>MO</v>
          </cell>
          <cell r="H83" t="str">
            <v>DET</v>
          </cell>
          <cell r="I83" t="str">
            <v>DOC</v>
          </cell>
        </row>
        <row r="84">
          <cell r="B84" t="str">
            <v>MP</v>
          </cell>
          <cell r="C84" t="str">
            <v>MALHA DE PROGRAMAÇÃO</v>
          </cell>
          <cell r="D84" t="str">
            <v>DET</v>
          </cell>
          <cell r="E84" t="str">
            <v>DOC</v>
          </cell>
          <cell r="F84" t="str">
            <v>Malha De Programação</v>
          </cell>
          <cell r="G84" t="str">
            <v>MP</v>
          </cell>
          <cell r="H84" t="str">
            <v>DET</v>
          </cell>
          <cell r="I84" t="str">
            <v>DOC</v>
          </cell>
        </row>
        <row r="85">
          <cell r="B85" t="str">
            <v>MQ</v>
          </cell>
          <cell r="C85" t="str">
            <v>MANUAL DA QUALIDADE</v>
          </cell>
          <cell r="F85" t="str">
            <v>Manual Da Qualidade</v>
          </cell>
          <cell r="G85" t="str">
            <v>MQ</v>
          </cell>
          <cell r="H85">
            <v>0</v>
          </cell>
          <cell r="I85">
            <v>0</v>
          </cell>
        </row>
        <row r="86">
          <cell r="B86" t="str">
            <v>MT</v>
          </cell>
          <cell r="C86" t="str">
            <v>MAPA DE CREDENCIAMENTO</v>
          </cell>
          <cell r="F86" t="str">
            <v>Mapa De Credenciamento</v>
          </cell>
          <cell r="G86" t="str">
            <v>MT</v>
          </cell>
          <cell r="H86">
            <v>0</v>
          </cell>
          <cell r="I86">
            <v>0</v>
          </cell>
        </row>
        <row r="87">
          <cell r="B87" t="str">
            <v>MU</v>
          </cell>
          <cell r="C87" t="str">
            <v>MANUAL DO USUÁRIO</v>
          </cell>
          <cell r="F87" t="str">
            <v>Manual Do Usuário</v>
          </cell>
          <cell r="G87" t="str">
            <v>MU</v>
          </cell>
          <cell r="H87">
            <v>0</v>
          </cell>
          <cell r="I87">
            <v>0</v>
          </cell>
        </row>
        <row r="88">
          <cell r="B88" t="str">
            <v>NA</v>
          </cell>
          <cell r="C88" t="str">
            <v>NADA CONSTA</v>
          </cell>
          <cell r="F88" t="str">
            <v>Nada Consta</v>
          </cell>
          <cell r="G88" t="str">
            <v>NA</v>
          </cell>
          <cell r="H88">
            <v>0</v>
          </cell>
          <cell r="I88">
            <v>0</v>
          </cell>
        </row>
        <row r="89">
          <cell r="B89" t="str">
            <v>NC</v>
          </cell>
          <cell r="C89" t="str">
            <v>NORMA DE COORDENAÇÃO</v>
          </cell>
          <cell r="F89" t="str">
            <v>Norma De Coordenação</v>
          </cell>
          <cell r="G89" t="str">
            <v>NC</v>
          </cell>
          <cell r="H89">
            <v>0</v>
          </cell>
          <cell r="I89">
            <v>0</v>
          </cell>
        </row>
        <row r="90">
          <cell r="B90" t="str">
            <v>NF</v>
          </cell>
          <cell r="C90" t="str">
            <v>RELATÓRIO / REGISTRO DE NÃO CONFORMIDADE</v>
          </cell>
          <cell r="F90" t="str">
            <v>Relatório/ Registro De Não Conformidade</v>
          </cell>
          <cell r="G90" t="str">
            <v>NF</v>
          </cell>
          <cell r="H90">
            <v>0</v>
          </cell>
          <cell r="I90">
            <v>0</v>
          </cell>
        </row>
        <row r="91">
          <cell r="B91" t="str">
            <v>NS</v>
          </cell>
          <cell r="C91" t="str">
            <v>NOTAS DE SERVIÇO</v>
          </cell>
          <cell r="D91" t="str">
            <v>BAS</v>
          </cell>
          <cell r="E91" t="str">
            <v>DOC</v>
          </cell>
          <cell r="F91" t="str">
            <v>Notas De Serviço</v>
          </cell>
          <cell r="G91" t="str">
            <v>NS</v>
          </cell>
          <cell r="H91" t="str">
            <v>BAS</v>
          </cell>
          <cell r="I91" t="str">
            <v>DOC</v>
          </cell>
        </row>
        <row r="92">
          <cell r="B92" t="str">
            <v>NT</v>
          </cell>
          <cell r="C92" t="str">
            <v>NORMAS TÉCNICAS</v>
          </cell>
          <cell r="D92" t="str">
            <v>BAS</v>
          </cell>
          <cell r="E92" t="str">
            <v>DOC</v>
          </cell>
          <cell r="F92" t="str">
            <v>Normas Técnicas</v>
          </cell>
          <cell r="G92" t="str">
            <v>NT</v>
          </cell>
          <cell r="H92" t="str">
            <v>BAS</v>
          </cell>
          <cell r="I92" t="str">
            <v>DOC</v>
          </cell>
        </row>
        <row r="93">
          <cell r="B93" t="str">
            <v>OC</v>
          </cell>
          <cell r="C93" t="str">
            <v>ORDEM DE COMPRA / AUTORIZAÇÃO DE SERVIÇO</v>
          </cell>
          <cell r="F93" t="str">
            <v>Ordem De Compra/ Autorização De Serviço</v>
          </cell>
          <cell r="G93" t="str">
            <v>OC</v>
          </cell>
          <cell r="H93">
            <v>0</v>
          </cell>
          <cell r="I93">
            <v>0</v>
          </cell>
        </row>
        <row r="94">
          <cell r="B94" t="str">
            <v>OG</v>
          </cell>
          <cell r="C94" t="str">
            <v>ORGANOGRAMAS</v>
          </cell>
          <cell r="F94" t="str">
            <v>Organogramas</v>
          </cell>
          <cell r="G94" t="str">
            <v>OG</v>
          </cell>
          <cell r="H94">
            <v>0</v>
          </cell>
          <cell r="I94">
            <v>0</v>
          </cell>
        </row>
        <row r="95">
          <cell r="B95" t="str">
            <v>OI</v>
          </cell>
          <cell r="C95" t="str">
            <v>ORÇAMENTO DE INVESTIMENTOS</v>
          </cell>
          <cell r="D95" t="str">
            <v>BAS</v>
          </cell>
          <cell r="E95" t="str">
            <v>DOC</v>
          </cell>
          <cell r="F95" t="str">
            <v>Orçamento De Investimentos</v>
          </cell>
          <cell r="G95" t="str">
            <v>OI</v>
          </cell>
          <cell r="H95" t="str">
            <v>BAS</v>
          </cell>
          <cell r="I95" t="str">
            <v>DOC</v>
          </cell>
        </row>
        <row r="96">
          <cell r="B96" t="str">
            <v>OR</v>
          </cell>
          <cell r="C96" t="str">
            <v>ORÇAMENTO</v>
          </cell>
          <cell r="F96" t="str">
            <v>Orçamento</v>
          </cell>
          <cell r="G96" t="str">
            <v>OR</v>
          </cell>
          <cell r="H96">
            <v>0</v>
          </cell>
          <cell r="I96">
            <v>0</v>
          </cell>
        </row>
        <row r="97">
          <cell r="B97" t="str">
            <v>OS</v>
          </cell>
          <cell r="C97" t="str">
            <v>ORDEM DE SERVIÇO</v>
          </cell>
          <cell r="F97" t="str">
            <v>Ordem De Serviço</v>
          </cell>
          <cell r="G97" t="str">
            <v>OS</v>
          </cell>
          <cell r="H97">
            <v>0</v>
          </cell>
          <cell r="I97">
            <v>0</v>
          </cell>
        </row>
        <row r="98">
          <cell r="B98" t="str">
            <v>PB</v>
          </cell>
          <cell r="C98" t="str">
            <v>PLANO DE BASES/ CARGAS</v>
          </cell>
          <cell r="D98" t="str">
            <v>BAS</v>
          </cell>
          <cell r="E98" t="str">
            <v>DOC</v>
          </cell>
          <cell r="F98" t="str">
            <v>Plano De Bases/ Cargas</v>
          </cell>
          <cell r="G98" t="str">
            <v>PB</v>
          </cell>
          <cell r="H98" t="str">
            <v>BAS</v>
          </cell>
          <cell r="I98" t="str">
            <v>DOC</v>
          </cell>
        </row>
        <row r="99">
          <cell r="B99" t="str">
            <v>PE</v>
          </cell>
          <cell r="C99" t="str">
            <v>PERIÓDICOS</v>
          </cell>
          <cell r="F99" t="str">
            <v>Periódicos</v>
          </cell>
          <cell r="G99" t="str">
            <v>PE</v>
          </cell>
          <cell r="H99">
            <v>0</v>
          </cell>
          <cell r="I99">
            <v>0</v>
          </cell>
        </row>
        <row r="100">
          <cell r="B100" t="str">
            <v>PF</v>
          </cell>
          <cell r="C100" t="str">
            <v>PADRÕES / FORMULÁRIOS</v>
          </cell>
          <cell r="F100" t="str">
            <v>Padrões/ Formulários</v>
          </cell>
          <cell r="G100" t="str">
            <v>PF</v>
          </cell>
          <cell r="H100">
            <v>0</v>
          </cell>
          <cell r="I100">
            <v>0</v>
          </cell>
        </row>
        <row r="101">
          <cell r="B101" t="str">
            <v>PI</v>
          </cell>
          <cell r="C101" t="str">
            <v>PROGRAMA DE INSPEÇÃO E TESTES</v>
          </cell>
          <cell r="D101" t="str">
            <v>DET</v>
          </cell>
          <cell r="E101" t="str">
            <v>DOC</v>
          </cell>
          <cell r="F101" t="str">
            <v>Programa De Inspeção E Testes</v>
          </cell>
          <cell r="G101" t="str">
            <v>PI</v>
          </cell>
          <cell r="H101" t="str">
            <v>DET</v>
          </cell>
          <cell r="I101" t="str">
            <v>DOC</v>
          </cell>
        </row>
        <row r="102">
          <cell r="B102" t="str">
            <v>PJ</v>
          </cell>
          <cell r="C102" t="str">
            <v>PESQUISA DE LEVANTAMENTO DE NECESSIDADES DE TREINAMENTO</v>
          </cell>
          <cell r="F102" t="str">
            <v>Pesquisa De Levantamento De Necessidades De Treinamento</v>
          </cell>
          <cell r="G102" t="str">
            <v>PJ</v>
          </cell>
          <cell r="H102">
            <v>0</v>
          </cell>
          <cell r="I102">
            <v>0</v>
          </cell>
        </row>
        <row r="103">
          <cell r="B103" t="str">
            <v>PL</v>
          </cell>
          <cell r="C103" t="str">
            <v>PLANO DE AUDITORIA</v>
          </cell>
          <cell r="F103" t="str">
            <v>Plano De Auditoria</v>
          </cell>
          <cell r="G103" t="str">
            <v>PL</v>
          </cell>
          <cell r="H103">
            <v>0</v>
          </cell>
          <cell r="I103">
            <v>0</v>
          </cell>
        </row>
        <row r="104">
          <cell r="B104" t="str">
            <v>PM</v>
          </cell>
          <cell r="C104" t="str">
            <v>PROGRAMAÇÃO</v>
          </cell>
          <cell r="F104" t="str">
            <v>Programação</v>
          </cell>
          <cell r="G104" t="str">
            <v>PM</v>
          </cell>
          <cell r="H104">
            <v>0</v>
          </cell>
          <cell r="I104">
            <v>0</v>
          </cell>
        </row>
        <row r="105">
          <cell r="B105" t="str">
            <v>PN</v>
          </cell>
          <cell r="C105" t="str">
            <v>PLANO DE CONTAS</v>
          </cell>
          <cell r="F105" t="str">
            <v>Plano De Contas</v>
          </cell>
          <cell r="G105" t="str">
            <v>PN</v>
          </cell>
          <cell r="H105">
            <v>0</v>
          </cell>
          <cell r="I105">
            <v>0</v>
          </cell>
        </row>
        <row r="106">
          <cell r="B106" t="str">
            <v>PO</v>
          </cell>
          <cell r="C106" t="str">
            <v>PROPOSTA</v>
          </cell>
          <cell r="F106" t="str">
            <v>Proposta</v>
          </cell>
          <cell r="G106" t="str">
            <v>PO</v>
          </cell>
          <cell r="H106">
            <v>0</v>
          </cell>
          <cell r="I106">
            <v>0</v>
          </cell>
        </row>
        <row r="107">
          <cell r="B107" t="str">
            <v>PQ</v>
          </cell>
          <cell r="C107" t="str">
            <v>PLANILHA DE QUANTITATIVOS</v>
          </cell>
          <cell r="D107" t="str">
            <v>DET</v>
          </cell>
          <cell r="E107" t="str">
            <v>DOC</v>
          </cell>
          <cell r="F107" t="str">
            <v>Planilha De Quantitativos</v>
          </cell>
          <cell r="G107" t="str">
            <v>PQ</v>
          </cell>
          <cell r="H107" t="str">
            <v>DET</v>
          </cell>
          <cell r="I107" t="str">
            <v>DOC</v>
          </cell>
        </row>
        <row r="108">
          <cell r="B108" t="str">
            <v>PR</v>
          </cell>
          <cell r="C108" t="str">
            <v>PRAD - PLANO DE RECUPERAÇÃO DE ÁREAS DEGRADADAS</v>
          </cell>
          <cell r="D108" t="str">
            <v>DET</v>
          </cell>
          <cell r="E108" t="str">
            <v>DOC</v>
          </cell>
          <cell r="F108" t="str">
            <v>Prad - Plano De Recuperação De Áreas Degradadas</v>
          </cell>
          <cell r="G108" t="str">
            <v>PR</v>
          </cell>
          <cell r="H108" t="str">
            <v>DET</v>
          </cell>
          <cell r="I108" t="str">
            <v>DOC</v>
          </cell>
        </row>
        <row r="109">
          <cell r="B109" t="str">
            <v>PS</v>
          </cell>
          <cell r="C109" t="str">
            <v>PLANOS DE SONDAGEM</v>
          </cell>
          <cell r="D109" t="str">
            <v>BAS</v>
          </cell>
          <cell r="E109" t="str">
            <v>DOC</v>
          </cell>
          <cell r="F109" t="str">
            <v>Planos De Sondagem</v>
          </cell>
          <cell r="G109" t="str">
            <v>PS</v>
          </cell>
          <cell r="H109" t="str">
            <v>BAS</v>
          </cell>
          <cell r="I109" t="str">
            <v>DOC</v>
          </cell>
        </row>
        <row r="110">
          <cell r="B110" t="str">
            <v>PT</v>
          </cell>
          <cell r="C110" t="str">
            <v>PARECER TÉCNICO</v>
          </cell>
          <cell r="D110" t="str">
            <v>DET</v>
          </cell>
          <cell r="E110" t="str">
            <v>DOC</v>
          </cell>
          <cell r="F110" t="str">
            <v>Parecer Técnico</v>
          </cell>
          <cell r="G110" t="str">
            <v>PT</v>
          </cell>
          <cell r="H110" t="str">
            <v>DET</v>
          </cell>
          <cell r="I110" t="str">
            <v>DOC</v>
          </cell>
        </row>
        <row r="111">
          <cell r="B111" t="str">
            <v>PU</v>
          </cell>
          <cell r="C111" t="str">
            <v>PROCURAÇÃO</v>
          </cell>
          <cell r="F111" t="str">
            <v>Procuração</v>
          </cell>
          <cell r="G111" t="str">
            <v>PU</v>
          </cell>
          <cell r="H111">
            <v>0</v>
          </cell>
          <cell r="I111">
            <v>0</v>
          </cell>
        </row>
        <row r="112">
          <cell r="B112" t="str">
            <v>PV</v>
          </cell>
          <cell r="C112" t="str">
            <v>PLANO DE METAS</v>
          </cell>
          <cell r="F112" t="str">
            <v>Plano De Metas</v>
          </cell>
          <cell r="G112" t="str">
            <v>PV</v>
          </cell>
          <cell r="H112">
            <v>0</v>
          </cell>
          <cell r="I112">
            <v>0</v>
          </cell>
        </row>
        <row r="113">
          <cell r="B113" t="str">
            <v>PX</v>
          </cell>
          <cell r="C113" t="str">
            <v>PROCEDIMENTOS GERAIS (PROJETO, GERENCIAMENTO E SUPRIMENTO)</v>
          </cell>
          <cell r="F113" t="str">
            <v>Procedimentos Gerais (Projeto, Gerenciamento E Suprimento)</v>
          </cell>
          <cell r="G113" t="str">
            <v>PX</v>
          </cell>
          <cell r="H113">
            <v>0</v>
          </cell>
          <cell r="I113">
            <v>0</v>
          </cell>
        </row>
        <row r="114">
          <cell r="B114" t="str">
            <v>QP</v>
          </cell>
          <cell r="C114" t="str">
            <v>QUADRO DE PESSOAL</v>
          </cell>
          <cell r="F114" t="str">
            <v>Quadro De Pessoal</v>
          </cell>
          <cell r="G114" t="str">
            <v>QP</v>
          </cell>
          <cell r="H114">
            <v>0</v>
          </cell>
          <cell r="I114">
            <v>0</v>
          </cell>
        </row>
        <row r="115">
          <cell r="B115" t="str">
            <v>RD</v>
          </cell>
          <cell r="C115" t="str">
            <v>RELATÓRIO DE DILIGENCIAMENTO / INSPEÇÃO</v>
          </cell>
          <cell r="D115" t="str">
            <v>DET</v>
          </cell>
          <cell r="E115" t="str">
            <v>DOC</v>
          </cell>
          <cell r="F115" t="str">
            <v>Relatório De Diligenciamento/ Inspeção</v>
          </cell>
          <cell r="G115" t="str">
            <v>RD</v>
          </cell>
          <cell r="H115" t="str">
            <v>DET</v>
          </cell>
          <cell r="I115" t="str">
            <v>DOC</v>
          </cell>
        </row>
        <row r="116">
          <cell r="B116" t="str">
            <v>RE</v>
          </cell>
          <cell r="C116" t="str">
            <v>RESUMO DE ATIVIDADES DO EMPREENDIMENTO</v>
          </cell>
          <cell r="F116" t="str">
            <v>Resumo De Atividades Do Empreendimento</v>
          </cell>
          <cell r="G116" t="str">
            <v>RE</v>
          </cell>
          <cell r="H116">
            <v>0</v>
          </cell>
          <cell r="I116">
            <v>0</v>
          </cell>
        </row>
        <row r="117">
          <cell r="B117" t="str">
            <v>RG</v>
          </cell>
          <cell r="C117" t="str">
            <v>RELATÓRIO GERENCIAL</v>
          </cell>
          <cell r="F117" t="str">
            <v>Relatório Gerencial</v>
          </cell>
          <cell r="G117" t="str">
            <v>RG</v>
          </cell>
          <cell r="H117">
            <v>0</v>
          </cell>
          <cell r="I117">
            <v>0</v>
          </cell>
        </row>
        <row r="118">
          <cell r="B118" t="str">
            <v>RJ</v>
          </cell>
          <cell r="C118" t="str">
            <v>REGISTRO DE TREINAMENTO NO TRABALHO</v>
          </cell>
          <cell r="F118" t="str">
            <v>Registro De Treinamento No Trabalho</v>
          </cell>
          <cell r="G118" t="str">
            <v>RJ</v>
          </cell>
          <cell r="H118">
            <v>0</v>
          </cell>
          <cell r="I118">
            <v>0</v>
          </cell>
        </row>
        <row r="119">
          <cell r="B119" t="str">
            <v>RM</v>
          </cell>
          <cell r="C119" t="str">
            <v>REQUISIÇÃO DE MATERIAIS</v>
          </cell>
          <cell r="D119" t="str">
            <v>DET</v>
          </cell>
          <cell r="E119" t="str">
            <v>DOC</v>
          </cell>
          <cell r="F119" t="str">
            <v>Requisição De Materiais</v>
          </cell>
          <cell r="G119" t="str">
            <v>RM</v>
          </cell>
          <cell r="H119" t="str">
            <v>DET</v>
          </cell>
          <cell r="I119" t="str">
            <v>DOC</v>
          </cell>
        </row>
        <row r="120">
          <cell r="B120" t="str">
            <v>RN</v>
          </cell>
          <cell r="C120" t="str">
            <v>RELATÓRIO DE COMERCIALIZAÇÃO</v>
          </cell>
          <cell r="F120" t="str">
            <v>Relatório De Comercialização</v>
          </cell>
          <cell r="G120" t="str">
            <v>RN</v>
          </cell>
          <cell r="H120">
            <v>0</v>
          </cell>
          <cell r="I120">
            <v>0</v>
          </cell>
        </row>
        <row r="121">
          <cell r="B121" t="str">
            <v>RO</v>
          </cell>
          <cell r="C121" t="str">
            <v>RELATÓRIO DIÁRIO DE OBRAS</v>
          </cell>
          <cell r="D121" t="str">
            <v>DET</v>
          </cell>
          <cell r="E121" t="str">
            <v>DOC</v>
          </cell>
          <cell r="F121" t="str">
            <v>Relatório Diário De Obras</v>
          </cell>
          <cell r="G121" t="str">
            <v>RO</v>
          </cell>
          <cell r="H121" t="str">
            <v>DET</v>
          </cell>
          <cell r="I121" t="str">
            <v>DOC</v>
          </cell>
        </row>
        <row r="122">
          <cell r="B122" t="str">
            <v>RP</v>
          </cell>
          <cell r="C122" t="str">
            <v>RELATÓRIO DE ANÁLISE DE PROPOSTAS</v>
          </cell>
          <cell r="D122" t="str">
            <v>DET</v>
          </cell>
          <cell r="E122" t="str">
            <v>DOC</v>
          </cell>
          <cell r="F122" t="str">
            <v>Relatório De Análise De Propostas</v>
          </cell>
          <cell r="G122" t="str">
            <v>RP</v>
          </cell>
          <cell r="H122" t="str">
            <v>DET</v>
          </cell>
          <cell r="I122" t="str">
            <v>DOC</v>
          </cell>
        </row>
        <row r="123">
          <cell r="B123" t="str">
            <v>RS</v>
          </cell>
          <cell r="C123" t="str">
            <v>RESOLUÇÕES</v>
          </cell>
          <cell r="F123" t="str">
            <v>Resoluções</v>
          </cell>
          <cell r="G123" t="str">
            <v>RS</v>
          </cell>
          <cell r="H123">
            <v>0</v>
          </cell>
          <cell r="I123">
            <v>0</v>
          </cell>
        </row>
        <row r="124">
          <cell r="B124" t="str">
            <v>RT</v>
          </cell>
          <cell r="C124" t="str">
            <v>RELATÓRIO TÉCNICO</v>
          </cell>
          <cell r="D124" t="str">
            <v>DET</v>
          </cell>
          <cell r="E124" t="str">
            <v>DOC</v>
          </cell>
          <cell r="F124" t="str">
            <v>Relatório Técnico</v>
          </cell>
          <cell r="G124" t="str">
            <v>RT</v>
          </cell>
          <cell r="H124" t="str">
            <v>DET</v>
          </cell>
          <cell r="I124" t="str">
            <v>DOC</v>
          </cell>
        </row>
        <row r="125">
          <cell r="B125" t="str">
            <v>RU</v>
          </cell>
          <cell r="C125" t="str">
            <v>RELAÇÃO DE FUNCIONÁRIOS</v>
          </cell>
          <cell r="F125" t="str">
            <v>Relação De Funcionários</v>
          </cell>
          <cell r="G125" t="str">
            <v>RU</v>
          </cell>
          <cell r="H125">
            <v>0</v>
          </cell>
          <cell r="I125">
            <v>0</v>
          </cell>
        </row>
        <row r="126">
          <cell r="B126" t="str">
            <v>RV</v>
          </cell>
          <cell r="C126" t="str">
            <v>RELATÓRIO FOTOGRÁFICO / VIAGEM</v>
          </cell>
          <cell r="D126" t="str">
            <v>DET</v>
          </cell>
          <cell r="E126" t="str">
            <v>DOC</v>
          </cell>
          <cell r="F126" t="str">
            <v>Relatório Fotográfico/ Viagem</v>
          </cell>
          <cell r="G126" t="str">
            <v>RV</v>
          </cell>
          <cell r="H126" t="str">
            <v>DET</v>
          </cell>
          <cell r="I126" t="str">
            <v>DOC</v>
          </cell>
        </row>
        <row r="127">
          <cell r="B127" t="str">
            <v>RX</v>
          </cell>
          <cell r="C127" t="str">
            <v>RELATÓRIO DE RECLAMAÇÕES DO CLIENTE</v>
          </cell>
          <cell r="F127" t="str">
            <v>Relatório De Reclamações Do Cliente</v>
          </cell>
          <cell r="G127" t="str">
            <v>RX</v>
          </cell>
          <cell r="H127">
            <v>0</v>
          </cell>
          <cell r="I127">
            <v>0</v>
          </cell>
        </row>
        <row r="128">
          <cell r="B128" t="str">
            <v>RY</v>
          </cell>
          <cell r="C128" t="str">
            <v>RECIBOS</v>
          </cell>
          <cell r="F128" t="str">
            <v>Recibos</v>
          </cell>
          <cell r="G128" t="str">
            <v>RY</v>
          </cell>
          <cell r="H128">
            <v>0</v>
          </cell>
          <cell r="I128">
            <v>0</v>
          </cell>
        </row>
        <row r="129">
          <cell r="B129" t="str">
            <v>RZ</v>
          </cell>
          <cell r="C129" t="str">
            <v>REQUISIÇÃO DE COMPRA</v>
          </cell>
          <cell r="D129" t="str">
            <v>BAS</v>
          </cell>
          <cell r="E129" t="str">
            <v>DOC</v>
          </cell>
          <cell r="F129" t="str">
            <v>Requisição De Compra</v>
          </cell>
          <cell r="G129" t="str">
            <v>RZ</v>
          </cell>
          <cell r="H129" t="str">
            <v>BAS</v>
          </cell>
          <cell r="I129" t="str">
            <v>DOC</v>
          </cell>
        </row>
        <row r="130">
          <cell r="B130" t="str">
            <v>SA</v>
          </cell>
          <cell r="C130" t="str">
            <v>SOLICITAÇÃO DE ADMISSÃO DE EMPREGADOS E ESTAGIÁRIOS</v>
          </cell>
          <cell r="F130" t="str">
            <v>Solicitação De Admissão De Empregados E Estagiários</v>
          </cell>
          <cell r="G130" t="str">
            <v>SA</v>
          </cell>
          <cell r="H130">
            <v>0</v>
          </cell>
          <cell r="I130">
            <v>0</v>
          </cell>
        </row>
        <row r="131">
          <cell r="B131" t="str">
            <v>SF</v>
          </cell>
          <cell r="C131" t="str">
            <v>RELAÇÃO DE SOFTWARE</v>
          </cell>
          <cell r="F131" t="str">
            <v>Relação De Software</v>
          </cell>
          <cell r="G131" t="str">
            <v>SF</v>
          </cell>
          <cell r="H131">
            <v>0</v>
          </cell>
          <cell r="I131">
            <v>0</v>
          </cell>
        </row>
        <row r="132">
          <cell r="B132" t="str">
            <v>SS</v>
          </cell>
          <cell r="C132" t="str">
            <v>SOLICITAÇÃO DE SERVIÇOS</v>
          </cell>
          <cell r="F132" t="str">
            <v>Solicitação De Serviços</v>
          </cell>
          <cell r="G132" t="str">
            <v>SS</v>
          </cell>
          <cell r="H132">
            <v>0</v>
          </cell>
          <cell r="I132">
            <v>0</v>
          </cell>
        </row>
        <row r="133">
          <cell r="B133" t="str">
            <v>ST</v>
          </cell>
          <cell r="C133" t="str">
            <v>RELATÓRIOS DOS SISTEMAS</v>
          </cell>
          <cell r="F133" t="str">
            <v>Relatórios Dos Sistemas</v>
          </cell>
          <cell r="G133" t="str">
            <v>ST</v>
          </cell>
          <cell r="H133">
            <v>0</v>
          </cell>
          <cell r="I133">
            <v>0</v>
          </cell>
        </row>
        <row r="134">
          <cell r="B134" t="str">
            <v>TD</v>
          </cell>
          <cell r="C134" t="str">
            <v>TESTES E LAUDOS DE PESSOAL</v>
          </cell>
          <cell r="F134" t="str">
            <v>Testes E Laudos De Pessoal</v>
          </cell>
          <cell r="G134" t="str">
            <v>TD</v>
          </cell>
          <cell r="H134">
            <v>0</v>
          </cell>
          <cell r="I134">
            <v>0</v>
          </cell>
        </row>
        <row r="135">
          <cell r="B135" t="str">
            <v>TE</v>
          </cell>
          <cell r="C135" t="str">
            <v>TERMO DE ENCERRAMENTO</v>
          </cell>
          <cell r="F135" t="str">
            <v>Termo De Encerramento</v>
          </cell>
          <cell r="G135" t="str">
            <v>TE</v>
          </cell>
          <cell r="H135">
            <v>0</v>
          </cell>
          <cell r="I135">
            <v>0</v>
          </cell>
        </row>
        <row r="136">
          <cell r="B136" t="str">
            <v>TP</v>
          </cell>
          <cell r="C136" t="str">
            <v>TERMO DE RESPONSABILIDADE</v>
          </cell>
          <cell r="F136" t="str">
            <v>Termo De Responsabilidade</v>
          </cell>
          <cell r="G136" t="str">
            <v>TP</v>
          </cell>
          <cell r="H136">
            <v>0</v>
          </cell>
          <cell r="I136">
            <v>0</v>
          </cell>
        </row>
        <row r="137">
          <cell r="B137" t="str">
            <v>TT</v>
          </cell>
          <cell r="C137" t="str">
            <v>TREINAMENTO</v>
          </cell>
          <cell r="F137" t="str">
            <v>Treinamento</v>
          </cell>
          <cell r="G137" t="str">
            <v>TT</v>
          </cell>
          <cell r="H137">
            <v>0</v>
          </cell>
          <cell r="I137">
            <v>0</v>
          </cell>
        </row>
      </sheetData>
      <sheetData sheetId="13" refreshError="1">
        <row r="3">
          <cell r="C3" t="str">
            <v>DIAS</v>
          </cell>
          <cell r="D3" t="str">
            <v>SEMANAS</v>
          </cell>
        </row>
        <row r="4">
          <cell r="C4">
            <v>38950</v>
          </cell>
          <cell r="D4" t="str">
            <v>S.01</v>
          </cell>
        </row>
        <row r="5">
          <cell r="C5">
            <v>38951</v>
          </cell>
          <cell r="D5" t="str">
            <v>S.01</v>
          </cell>
        </row>
        <row r="6">
          <cell r="C6">
            <v>38952</v>
          </cell>
          <cell r="D6" t="str">
            <v>S.01</v>
          </cell>
        </row>
        <row r="7">
          <cell r="C7">
            <v>38953</v>
          </cell>
          <cell r="D7" t="str">
            <v>S.01</v>
          </cell>
        </row>
        <row r="8">
          <cell r="C8">
            <v>38954</v>
          </cell>
          <cell r="D8" t="str">
            <v>S.01</v>
          </cell>
        </row>
        <row r="9">
          <cell r="C9">
            <v>38955</v>
          </cell>
          <cell r="D9" t="str">
            <v>S.01</v>
          </cell>
        </row>
        <row r="10">
          <cell r="C10">
            <v>38956</v>
          </cell>
          <cell r="D10" t="str">
            <v>S.01</v>
          </cell>
        </row>
        <row r="11">
          <cell r="C11">
            <v>38957</v>
          </cell>
          <cell r="D11" t="str">
            <v>S.02</v>
          </cell>
        </row>
        <row r="12">
          <cell r="C12">
            <v>38958</v>
          </cell>
          <cell r="D12" t="str">
            <v>S.02</v>
          </cell>
        </row>
        <row r="13">
          <cell r="C13">
            <v>38959</v>
          </cell>
          <cell r="D13" t="str">
            <v>S.02</v>
          </cell>
        </row>
        <row r="14">
          <cell r="C14">
            <v>38960</v>
          </cell>
          <cell r="D14" t="str">
            <v>S.02</v>
          </cell>
        </row>
        <row r="15">
          <cell r="C15">
            <v>38961</v>
          </cell>
          <cell r="D15" t="str">
            <v>S.02</v>
          </cell>
        </row>
        <row r="16">
          <cell r="C16">
            <v>38962</v>
          </cell>
          <cell r="D16" t="str">
            <v>S.02</v>
          </cell>
        </row>
        <row r="17">
          <cell r="C17">
            <v>38963</v>
          </cell>
          <cell r="D17" t="str">
            <v>S.02</v>
          </cell>
        </row>
        <row r="18">
          <cell r="C18">
            <v>38964</v>
          </cell>
          <cell r="D18" t="str">
            <v>S.03</v>
          </cell>
        </row>
        <row r="19">
          <cell r="C19">
            <v>38965</v>
          </cell>
          <cell r="D19" t="str">
            <v>S.03</v>
          </cell>
        </row>
        <row r="20">
          <cell r="C20">
            <v>38966</v>
          </cell>
          <cell r="D20" t="str">
            <v>S.03</v>
          </cell>
        </row>
        <row r="21">
          <cell r="C21">
            <v>38967</v>
          </cell>
          <cell r="D21" t="str">
            <v>S.03</v>
          </cell>
        </row>
        <row r="22">
          <cell r="C22">
            <v>38968</v>
          </cell>
          <cell r="D22" t="str">
            <v>S.03</v>
          </cell>
        </row>
        <row r="23">
          <cell r="C23">
            <v>38969</v>
          </cell>
          <cell r="D23" t="str">
            <v>S.03</v>
          </cell>
        </row>
        <row r="24">
          <cell r="C24">
            <v>38970</v>
          </cell>
          <cell r="D24" t="str">
            <v>S.03</v>
          </cell>
        </row>
        <row r="25">
          <cell r="C25">
            <v>38971</v>
          </cell>
          <cell r="D25" t="str">
            <v>S.04</v>
          </cell>
        </row>
        <row r="26">
          <cell r="C26">
            <v>38972</v>
          </cell>
          <cell r="D26" t="str">
            <v>S.04</v>
          </cell>
        </row>
        <row r="27">
          <cell r="C27">
            <v>38973</v>
          </cell>
          <cell r="D27" t="str">
            <v>S.04</v>
          </cell>
        </row>
        <row r="28">
          <cell r="C28">
            <v>38974</v>
          </cell>
          <cell r="D28" t="str">
            <v>S.04</v>
          </cell>
        </row>
        <row r="29">
          <cell r="C29">
            <v>38975</v>
          </cell>
          <cell r="D29" t="str">
            <v>S.04</v>
          </cell>
        </row>
        <row r="30">
          <cell r="C30">
            <v>38976</v>
          </cell>
          <cell r="D30" t="str">
            <v>S.04</v>
          </cell>
        </row>
        <row r="31">
          <cell r="C31">
            <v>38977</v>
          </cell>
          <cell r="D31" t="str">
            <v>S.04</v>
          </cell>
        </row>
        <row r="32">
          <cell r="C32">
            <v>38978</v>
          </cell>
          <cell r="D32" t="str">
            <v>S.05</v>
          </cell>
        </row>
        <row r="33">
          <cell r="C33">
            <v>38979</v>
          </cell>
          <cell r="D33" t="str">
            <v>S.05</v>
          </cell>
        </row>
        <row r="34">
          <cell r="C34">
            <v>38980</v>
          </cell>
          <cell r="D34" t="str">
            <v>S.05</v>
          </cell>
        </row>
        <row r="35">
          <cell r="C35">
            <v>38981</v>
          </cell>
          <cell r="D35" t="str">
            <v>S.05</v>
          </cell>
        </row>
        <row r="36">
          <cell r="C36">
            <v>38982</v>
          </cell>
          <cell r="D36" t="str">
            <v>S.05</v>
          </cell>
        </row>
        <row r="37">
          <cell r="C37">
            <v>38983</v>
          </cell>
          <cell r="D37" t="str">
            <v>S.05</v>
          </cell>
        </row>
        <row r="38">
          <cell r="C38">
            <v>38984</v>
          </cell>
          <cell r="D38" t="str">
            <v>S.05</v>
          </cell>
        </row>
        <row r="39">
          <cell r="C39">
            <v>38985</v>
          </cell>
          <cell r="D39" t="str">
            <v>S.06</v>
          </cell>
        </row>
        <row r="40">
          <cell r="C40">
            <v>38986</v>
          </cell>
          <cell r="D40" t="str">
            <v>S.06</v>
          </cell>
        </row>
        <row r="41">
          <cell r="C41">
            <v>38987</v>
          </cell>
          <cell r="D41" t="str">
            <v>S.06</v>
          </cell>
        </row>
        <row r="42">
          <cell r="C42">
            <v>38988</v>
          </cell>
          <cell r="D42" t="str">
            <v>S.06</v>
          </cell>
        </row>
        <row r="43">
          <cell r="C43">
            <v>38989</v>
          </cell>
          <cell r="D43" t="str">
            <v>S.06</v>
          </cell>
        </row>
        <row r="44">
          <cell r="C44">
            <v>38990</v>
          </cell>
          <cell r="D44" t="str">
            <v>S.06</v>
          </cell>
        </row>
        <row r="45">
          <cell r="C45">
            <v>38991</v>
          </cell>
          <cell r="D45" t="str">
            <v>S.06</v>
          </cell>
        </row>
        <row r="46">
          <cell r="C46">
            <v>38992</v>
          </cell>
          <cell r="D46" t="str">
            <v>S.07</v>
          </cell>
        </row>
        <row r="47">
          <cell r="C47">
            <v>38993</v>
          </cell>
          <cell r="D47" t="str">
            <v>S.07</v>
          </cell>
        </row>
        <row r="48">
          <cell r="C48">
            <v>38994</v>
          </cell>
          <cell r="D48" t="str">
            <v>S.07</v>
          </cell>
        </row>
        <row r="49">
          <cell r="C49">
            <v>38995</v>
          </cell>
          <cell r="D49" t="str">
            <v>S.07</v>
          </cell>
        </row>
        <row r="50">
          <cell r="C50">
            <v>38996</v>
          </cell>
          <cell r="D50" t="str">
            <v>S.07</v>
          </cell>
        </row>
        <row r="51">
          <cell r="C51">
            <v>38997</v>
          </cell>
          <cell r="D51" t="str">
            <v>S.07</v>
          </cell>
        </row>
        <row r="52">
          <cell r="C52">
            <v>38998</v>
          </cell>
          <cell r="D52" t="str">
            <v>S.07</v>
          </cell>
        </row>
        <row r="53">
          <cell r="C53">
            <v>38999</v>
          </cell>
          <cell r="D53" t="str">
            <v>S.08</v>
          </cell>
        </row>
        <row r="54">
          <cell r="C54">
            <v>39000</v>
          </cell>
          <cell r="D54" t="str">
            <v>S.08</v>
          </cell>
        </row>
        <row r="55">
          <cell r="C55">
            <v>39001</v>
          </cell>
          <cell r="D55" t="str">
            <v>S.08</v>
          </cell>
        </row>
        <row r="56">
          <cell r="C56">
            <v>39002</v>
          </cell>
          <cell r="D56" t="str">
            <v>S.08</v>
          </cell>
        </row>
        <row r="57">
          <cell r="C57">
            <v>39003</v>
          </cell>
          <cell r="D57" t="str">
            <v>S.08</v>
          </cell>
        </row>
        <row r="58">
          <cell r="C58">
            <v>39004</v>
          </cell>
          <cell r="D58" t="str">
            <v>S.08</v>
          </cell>
        </row>
        <row r="59">
          <cell r="C59">
            <v>39005</v>
          </cell>
          <cell r="D59" t="str">
            <v>S.08</v>
          </cell>
        </row>
        <row r="60">
          <cell r="C60">
            <v>39006</v>
          </cell>
          <cell r="D60" t="str">
            <v>S.09</v>
          </cell>
        </row>
        <row r="61">
          <cell r="C61">
            <v>39007</v>
          </cell>
          <cell r="D61" t="str">
            <v>S.09</v>
          </cell>
        </row>
        <row r="62">
          <cell r="C62">
            <v>39008</v>
          </cell>
          <cell r="D62" t="str">
            <v>S.09</v>
          </cell>
        </row>
        <row r="63">
          <cell r="C63">
            <v>39009</v>
          </cell>
          <cell r="D63" t="str">
            <v>S.09</v>
          </cell>
        </row>
        <row r="64">
          <cell r="C64">
            <v>39010</v>
          </cell>
          <cell r="D64" t="str">
            <v>S.09</v>
          </cell>
        </row>
        <row r="65">
          <cell r="C65">
            <v>39011</v>
          </cell>
          <cell r="D65" t="str">
            <v>S.09</v>
          </cell>
        </row>
        <row r="66">
          <cell r="C66">
            <v>39012</v>
          </cell>
          <cell r="D66" t="str">
            <v>S.09</v>
          </cell>
        </row>
        <row r="67">
          <cell r="C67">
            <v>39013</v>
          </cell>
          <cell r="D67" t="str">
            <v>S.10</v>
          </cell>
        </row>
        <row r="68">
          <cell r="C68">
            <v>39014</v>
          </cell>
          <cell r="D68" t="str">
            <v>S.10</v>
          </cell>
        </row>
        <row r="69">
          <cell r="C69">
            <v>39015</v>
          </cell>
          <cell r="D69" t="str">
            <v>S.10</v>
          </cell>
        </row>
        <row r="70">
          <cell r="C70">
            <v>39016</v>
          </cell>
          <cell r="D70" t="str">
            <v>S.10</v>
          </cell>
        </row>
        <row r="71">
          <cell r="C71">
            <v>39017</v>
          </cell>
          <cell r="D71" t="str">
            <v>S.10</v>
          </cell>
        </row>
        <row r="72">
          <cell r="C72">
            <v>39018</v>
          </cell>
          <cell r="D72" t="str">
            <v>S.10</v>
          </cell>
        </row>
        <row r="73">
          <cell r="C73">
            <v>39019</v>
          </cell>
          <cell r="D73" t="str">
            <v>S.10</v>
          </cell>
        </row>
        <row r="74">
          <cell r="C74">
            <v>39020</v>
          </cell>
          <cell r="D74" t="str">
            <v>S.11</v>
          </cell>
        </row>
        <row r="75">
          <cell r="C75">
            <v>39021</v>
          </cell>
          <cell r="D75" t="str">
            <v>S.11</v>
          </cell>
        </row>
        <row r="76">
          <cell r="C76">
            <v>39022</v>
          </cell>
          <cell r="D76" t="str">
            <v>S.11</v>
          </cell>
        </row>
        <row r="77">
          <cell r="C77">
            <v>39023</v>
          </cell>
          <cell r="D77" t="str">
            <v>S.11</v>
          </cell>
        </row>
        <row r="78">
          <cell r="C78">
            <v>39024</v>
          </cell>
          <cell r="D78" t="str">
            <v>S.11</v>
          </cell>
        </row>
        <row r="79">
          <cell r="C79">
            <v>39025</v>
          </cell>
          <cell r="D79" t="str">
            <v>S.11</v>
          </cell>
        </row>
        <row r="80">
          <cell r="C80">
            <v>39026</v>
          </cell>
          <cell r="D80" t="str">
            <v>S.11</v>
          </cell>
        </row>
        <row r="81">
          <cell r="C81">
            <v>39027</v>
          </cell>
          <cell r="D81" t="str">
            <v>S.12</v>
          </cell>
        </row>
        <row r="82">
          <cell r="C82">
            <v>39028</v>
          </cell>
          <cell r="D82" t="str">
            <v>S.12</v>
          </cell>
        </row>
        <row r="83">
          <cell r="C83">
            <v>39029</v>
          </cell>
          <cell r="D83" t="str">
            <v>S.12</v>
          </cell>
        </row>
        <row r="84">
          <cell r="C84">
            <v>39030</v>
          </cell>
          <cell r="D84" t="str">
            <v>S.12</v>
          </cell>
        </row>
        <row r="85">
          <cell r="C85">
            <v>39031</v>
          </cell>
          <cell r="D85" t="str">
            <v>S.12</v>
          </cell>
        </row>
        <row r="86">
          <cell r="C86">
            <v>39032</v>
          </cell>
          <cell r="D86" t="str">
            <v>S.12</v>
          </cell>
        </row>
        <row r="87">
          <cell r="C87">
            <v>39033</v>
          </cell>
          <cell r="D87" t="str">
            <v>S.12</v>
          </cell>
        </row>
        <row r="88">
          <cell r="C88">
            <v>39034</v>
          </cell>
          <cell r="D88" t="str">
            <v>S.13</v>
          </cell>
        </row>
        <row r="89">
          <cell r="C89">
            <v>39035</v>
          </cell>
          <cell r="D89" t="str">
            <v>S.13</v>
          </cell>
        </row>
        <row r="90">
          <cell r="C90">
            <v>39036</v>
          </cell>
          <cell r="D90" t="str">
            <v>S.13</v>
          </cell>
        </row>
        <row r="91">
          <cell r="C91">
            <v>39037</v>
          </cell>
          <cell r="D91" t="str">
            <v>S.13</v>
          </cell>
        </row>
        <row r="92">
          <cell r="C92">
            <v>39038</v>
          </cell>
          <cell r="D92" t="str">
            <v>S.13</v>
          </cell>
        </row>
        <row r="93">
          <cell r="C93">
            <v>39039</v>
          </cell>
          <cell r="D93" t="str">
            <v>S.13</v>
          </cell>
        </row>
        <row r="94">
          <cell r="C94">
            <v>39040</v>
          </cell>
          <cell r="D94" t="str">
            <v>S.13</v>
          </cell>
        </row>
        <row r="95">
          <cell r="C95">
            <v>39041</v>
          </cell>
          <cell r="D95" t="str">
            <v>S.14</v>
          </cell>
        </row>
        <row r="96">
          <cell r="C96">
            <v>39042</v>
          </cell>
          <cell r="D96" t="str">
            <v>S.14</v>
          </cell>
        </row>
        <row r="97">
          <cell r="C97">
            <v>39043</v>
          </cell>
          <cell r="D97" t="str">
            <v>S.14</v>
          </cell>
        </row>
        <row r="98">
          <cell r="C98">
            <v>39044</v>
          </cell>
          <cell r="D98" t="str">
            <v>S.14</v>
          </cell>
        </row>
        <row r="99">
          <cell r="C99">
            <v>39045</v>
          </cell>
          <cell r="D99" t="str">
            <v>S.14</v>
          </cell>
        </row>
        <row r="100">
          <cell r="C100">
            <v>39046</v>
          </cell>
          <cell r="D100" t="str">
            <v>S.14</v>
          </cell>
        </row>
        <row r="101">
          <cell r="C101">
            <v>39047</v>
          </cell>
          <cell r="D101" t="str">
            <v>S.14</v>
          </cell>
        </row>
        <row r="102">
          <cell r="C102">
            <v>39048</v>
          </cell>
          <cell r="D102" t="str">
            <v>S.15</v>
          </cell>
        </row>
        <row r="103">
          <cell r="C103">
            <v>39049</v>
          </cell>
          <cell r="D103" t="str">
            <v>S.15</v>
          </cell>
        </row>
        <row r="104">
          <cell r="C104">
            <v>39050</v>
          </cell>
          <cell r="D104" t="str">
            <v>S.15</v>
          </cell>
        </row>
        <row r="105">
          <cell r="C105">
            <v>39051</v>
          </cell>
          <cell r="D105" t="str">
            <v>S.15</v>
          </cell>
        </row>
        <row r="106">
          <cell r="C106">
            <v>39052</v>
          </cell>
          <cell r="D106" t="str">
            <v>S.15</v>
          </cell>
        </row>
        <row r="107">
          <cell r="C107">
            <v>39053</v>
          </cell>
          <cell r="D107" t="str">
            <v>S.15</v>
          </cell>
        </row>
        <row r="108">
          <cell r="C108">
            <v>39054</v>
          </cell>
          <cell r="D108" t="str">
            <v>S.15</v>
          </cell>
        </row>
        <row r="109">
          <cell r="C109">
            <v>39055</v>
          </cell>
          <cell r="D109" t="str">
            <v>S.16</v>
          </cell>
        </row>
        <row r="110">
          <cell r="C110">
            <v>39056</v>
          </cell>
          <cell r="D110" t="str">
            <v>S.16</v>
          </cell>
        </row>
        <row r="111">
          <cell r="C111">
            <v>39057</v>
          </cell>
          <cell r="D111" t="str">
            <v>S.16</v>
          </cell>
        </row>
        <row r="112">
          <cell r="C112">
            <v>39058</v>
          </cell>
          <cell r="D112" t="str">
            <v>S.16</v>
          </cell>
        </row>
        <row r="113">
          <cell r="C113">
            <v>39059</v>
          </cell>
          <cell r="D113" t="str">
            <v>S.16</v>
          </cell>
        </row>
        <row r="114">
          <cell r="C114">
            <v>39060</v>
          </cell>
          <cell r="D114" t="str">
            <v>S.16</v>
          </cell>
        </row>
        <row r="115">
          <cell r="C115">
            <v>39061</v>
          </cell>
          <cell r="D115" t="str">
            <v>S.16</v>
          </cell>
        </row>
        <row r="116">
          <cell r="C116">
            <v>39062</v>
          </cell>
          <cell r="D116" t="str">
            <v>S.17</v>
          </cell>
        </row>
        <row r="117">
          <cell r="C117">
            <v>39063</v>
          </cell>
          <cell r="D117" t="str">
            <v>S.17</v>
          </cell>
        </row>
        <row r="118">
          <cell r="C118">
            <v>39064</v>
          </cell>
          <cell r="D118" t="str">
            <v>S.17</v>
          </cell>
        </row>
        <row r="119">
          <cell r="C119">
            <v>39065</v>
          </cell>
          <cell r="D119" t="str">
            <v>S.17</v>
          </cell>
        </row>
        <row r="120">
          <cell r="C120">
            <v>39066</v>
          </cell>
          <cell r="D120" t="str">
            <v>S.17</v>
          </cell>
        </row>
        <row r="121">
          <cell r="C121">
            <v>39067</v>
          </cell>
          <cell r="D121" t="str">
            <v>S.17</v>
          </cell>
        </row>
        <row r="122">
          <cell r="C122">
            <v>39068</v>
          </cell>
          <cell r="D122" t="str">
            <v>S.17</v>
          </cell>
        </row>
        <row r="123">
          <cell r="C123">
            <v>39069</v>
          </cell>
          <cell r="D123" t="str">
            <v>S.18</v>
          </cell>
        </row>
        <row r="124">
          <cell r="C124">
            <v>39070</v>
          </cell>
          <cell r="D124" t="str">
            <v>S.18</v>
          </cell>
        </row>
        <row r="125">
          <cell r="C125">
            <v>39071</v>
          </cell>
          <cell r="D125" t="str">
            <v>S.18</v>
          </cell>
        </row>
        <row r="126">
          <cell r="C126">
            <v>39072</v>
          </cell>
          <cell r="D126" t="str">
            <v>S.18</v>
          </cell>
        </row>
        <row r="127">
          <cell r="C127">
            <v>39073</v>
          </cell>
          <cell r="D127" t="str">
            <v>S.18</v>
          </cell>
        </row>
        <row r="128">
          <cell r="C128">
            <v>39074</v>
          </cell>
          <cell r="D128" t="str">
            <v>S.18</v>
          </cell>
        </row>
        <row r="129">
          <cell r="C129">
            <v>39075</v>
          </cell>
          <cell r="D129" t="str">
            <v>S.18</v>
          </cell>
        </row>
        <row r="130">
          <cell r="C130">
            <v>39076</v>
          </cell>
          <cell r="D130" t="str">
            <v>S.19</v>
          </cell>
        </row>
        <row r="131">
          <cell r="C131">
            <v>39077</v>
          </cell>
          <cell r="D131" t="str">
            <v>S.19</v>
          </cell>
        </row>
        <row r="132">
          <cell r="C132">
            <v>39078</v>
          </cell>
          <cell r="D132" t="str">
            <v>S.19</v>
          </cell>
        </row>
        <row r="133">
          <cell r="C133">
            <v>39079</v>
          </cell>
          <cell r="D133" t="str">
            <v>S.19</v>
          </cell>
        </row>
        <row r="134">
          <cell r="C134">
            <v>39080</v>
          </cell>
          <cell r="D134" t="str">
            <v>S.19</v>
          </cell>
        </row>
        <row r="135">
          <cell r="C135">
            <v>39081</v>
          </cell>
          <cell r="D135" t="str">
            <v>S.19</v>
          </cell>
        </row>
        <row r="136">
          <cell r="C136">
            <v>39082</v>
          </cell>
          <cell r="D136" t="str">
            <v>S.19</v>
          </cell>
        </row>
        <row r="137">
          <cell r="C137">
            <v>39083</v>
          </cell>
          <cell r="D137" t="str">
            <v>S.20</v>
          </cell>
        </row>
        <row r="138">
          <cell r="C138">
            <v>39084</v>
          </cell>
          <cell r="D138" t="str">
            <v>S.20</v>
          </cell>
        </row>
        <row r="139">
          <cell r="C139">
            <v>39085</v>
          </cell>
          <cell r="D139" t="str">
            <v>S.20</v>
          </cell>
        </row>
        <row r="140">
          <cell r="C140">
            <v>39086</v>
          </cell>
          <cell r="D140" t="str">
            <v>S.20</v>
          </cell>
        </row>
        <row r="141">
          <cell r="C141">
            <v>39087</v>
          </cell>
          <cell r="D141" t="str">
            <v>S.20</v>
          </cell>
        </row>
        <row r="142">
          <cell r="C142">
            <v>39088</v>
          </cell>
          <cell r="D142" t="str">
            <v>S.20</v>
          </cell>
        </row>
        <row r="143">
          <cell r="C143">
            <v>39089</v>
          </cell>
          <cell r="D143" t="str">
            <v>S.20</v>
          </cell>
        </row>
        <row r="144">
          <cell r="C144">
            <v>39090</v>
          </cell>
          <cell r="D144" t="str">
            <v>S.21</v>
          </cell>
        </row>
        <row r="145">
          <cell r="C145">
            <v>39091</v>
          </cell>
          <cell r="D145" t="str">
            <v>S.21</v>
          </cell>
        </row>
        <row r="146">
          <cell r="C146">
            <v>39092</v>
          </cell>
          <cell r="D146" t="str">
            <v>S.21</v>
          </cell>
        </row>
        <row r="147">
          <cell r="C147">
            <v>39093</v>
          </cell>
          <cell r="D147" t="str">
            <v>S.21</v>
          </cell>
        </row>
        <row r="148">
          <cell r="C148">
            <v>39094</v>
          </cell>
          <cell r="D148" t="str">
            <v>S.21</v>
          </cell>
        </row>
        <row r="149">
          <cell r="C149">
            <v>39095</v>
          </cell>
          <cell r="D149" t="str">
            <v>S.21</v>
          </cell>
        </row>
        <row r="150">
          <cell r="C150">
            <v>39096</v>
          </cell>
          <cell r="D150" t="str">
            <v>S.21</v>
          </cell>
        </row>
        <row r="151">
          <cell r="C151">
            <v>39097</v>
          </cell>
          <cell r="D151" t="str">
            <v>S.22</v>
          </cell>
        </row>
        <row r="152">
          <cell r="C152">
            <v>39098</v>
          </cell>
          <cell r="D152" t="str">
            <v>S.22</v>
          </cell>
        </row>
        <row r="153">
          <cell r="C153">
            <v>39099</v>
          </cell>
          <cell r="D153" t="str">
            <v>S.22</v>
          </cell>
        </row>
        <row r="154">
          <cell r="C154">
            <v>39100</v>
          </cell>
          <cell r="D154" t="str">
            <v>S.22</v>
          </cell>
        </row>
        <row r="155">
          <cell r="C155">
            <v>39101</v>
          </cell>
          <cell r="D155" t="str">
            <v>S.22</v>
          </cell>
        </row>
        <row r="156">
          <cell r="C156">
            <v>39102</v>
          </cell>
          <cell r="D156" t="str">
            <v>S.22</v>
          </cell>
        </row>
        <row r="157">
          <cell r="C157">
            <v>39103</v>
          </cell>
          <cell r="D157" t="str">
            <v>S.22</v>
          </cell>
        </row>
        <row r="158">
          <cell r="C158">
            <v>39104</v>
          </cell>
          <cell r="D158" t="str">
            <v>S.23</v>
          </cell>
        </row>
        <row r="159">
          <cell r="C159">
            <v>39105</v>
          </cell>
          <cell r="D159" t="str">
            <v>S.23</v>
          </cell>
        </row>
        <row r="160">
          <cell r="C160">
            <v>39106</v>
          </cell>
          <cell r="D160" t="str">
            <v>S.23</v>
          </cell>
        </row>
        <row r="161">
          <cell r="C161">
            <v>39107</v>
          </cell>
          <cell r="D161" t="str">
            <v>S.23</v>
          </cell>
        </row>
        <row r="162">
          <cell r="C162">
            <v>39108</v>
          </cell>
          <cell r="D162" t="str">
            <v>S.23</v>
          </cell>
        </row>
        <row r="163">
          <cell r="C163">
            <v>39109</v>
          </cell>
          <cell r="D163" t="str">
            <v>S.23</v>
          </cell>
        </row>
        <row r="164">
          <cell r="C164">
            <v>39110</v>
          </cell>
          <cell r="D164" t="str">
            <v>S.23</v>
          </cell>
        </row>
        <row r="165">
          <cell r="C165">
            <v>39111</v>
          </cell>
          <cell r="D165" t="str">
            <v>S.24</v>
          </cell>
        </row>
        <row r="166">
          <cell r="C166">
            <v>39112</v>
          </cell>
          <cell r="D166" t="str">
            <v>S.24</v>
          </cell>
        </row>
        <row r="167">
          <cell r="C167">
            <v>39113</v>
          </cell>
          <cell r="D167" t="str">
            <v>S.24</v>
          </cell>
        </row>
        <row r="168">
          <cell r="C168">
            <v>39114</v>
          </cell>
          <cell r="D168" t="str">
            <v>S.24</v>
          </cell>
        </row>
        <row r="169">
          <cell r="C169">
            <v>39115</v>
          </cell>
          <cell r="D169" t="str">
            <v>S.24</v>
          </cell>
        </row>
        <row r="170">
          <cell r="C170">
            <v>39116</v>
          </cell>
          <cell r="D170" t="str">
            <v>S.24</v>
          </cell>
        </row>
        <row r="171">
          <cell r="C171">
            <v>39117</v>
          </cell>
          <cell r="D171" t="str">
            <v>S.24</v>
          </cell>
        </row>
        <row r="172">
          <cell r="C172">
            <v>39118</v>
          </cell>
          <cell r="D172" t="str">
            <v>S.25</v>
          </cell>
        </row>
        <row r="173">
          <cell r="C173">
            <v>39119</v>
          </cell>
          <cell r="D173" t="str">
            <v>S.25</v>
          </cell>
        </row>
        <row r="174">
          <cell r="C174">
            <v>39120</v>
          </cell>
          <cell r="D174" t="str">
            <v>S.25</v>
          </cell>
        </row>
        <row r="175">
          <cell r="C175">
            <v>39121</v>
          </cell>
          <cell r="D175" t="str">
            <v>S.25</v>
          </cell>
        </row>
        <row r="176">
          <cell r="C176">
            <v>39122</v>
          </cell>
          <cell r="D176" t="str">
            <v>S.25</v>
          </cell>
        </row>
        <row r="177">
          <cell r="C177">
            <v>39123</v>
          </cell>
          <cell r="D177" t="str">
            <v>S.25</v>
          </cell>
        </row>
        <row r="178">
          <cell r="C178">
            <v>39124</v>
          </cell>
          <cell r="D178" t="str">
            <v>S.25</v>
          </cell>
        </row>
        <row r="179">
          <cell r="C179">
            <v>39125</v>
          </cell>
          <cell r="D179" t="str">
            <v>S.26</v>
          </cell>
        </row>
        <row r="180">
          <cell r="C180">
            <v>39126</v>
          </cell>
          <cell r="D180" t="str">
            <v>S.26</v>
          </cell>
        </row>
        <row r="181">
          <cell r="C181">
            <v>39127</v>
          </cell>
          <cell r="D181" t="str">
            <v>S.26</v>
          </cell>
        </row>
        <row r="182">
          <cell r="C182">
            <v>39128</v>
          </cell>
          <cell r="D182" t="str">
            <v>S.26</v>
          </cell>
        </row>
        <row r="183">
          <cell r="C183">
            <v>39129</v>
          </cell>
          <cell r="D183" t="str">
            <v>S.26</v>
          </cell>
        </row>
        <row r="184">
          <cell r="C184">
            <v>39130</v>
          </cell>
          <cell r="D184" t="str">
            <v>S.26</v>
          </cell>
        </row>
        <row r="185">
          <cell r="C185">
            <v>39131</v>
          </cell>
          <cell r="D185" t="str">
            <v>S.26</v>
          </cell>
        </row>
        <row r="186">
          <cell r="C186">
            <v>39132</v>
          </cell>
          <cell r="D186" t="str">
            <v>S.27</v>
          </cell>
        </row>
        <row r="187">
          <cell r="C187">
            <v>39133</v>
          </cell>
          <cell r="D187" t="str">
            <v>S.27</v>
          </cell>
        </row>
        <row r="188">
          <cell r="C188">
            <v>39134</v>
          </cell>
          <cell r="D188" t="str">
            <v>S.27</v>
          </cell>
        </row>
        <row r="189">
          <cell r="C189">
            <v>39135</v>
          </cell>
          <cell r="D189" t="str">
            <v>S.27</v>
          </cell>
        </row>
        <row r="190">
          <cell r="C190">
            <v>39136</v>
          </cell>
          <cell r="D190" t="str">
            <v>S.27</v>
          </cell>
        </row>
        <row r="191">
          <cell r="C191">
            <v>39137</v>
          </cell>
          <cell r="D191" t="str">
            <v>S.27</v>
          </cell>
        </row>
        <row r="192">
          <cell r="C192">
            <v>39138</v>
          </cell>
          <cell r="D192" t="str">
            <v>S.27</v>
          </cell>
        </row>
        <row r="193">
          <cell r="C193">
            <v>39139</v>
          </cell>
          <cell r="D193" t="str">
            <v>S.28</v>
          </cell>
        </row>
        <row r="194">
          <cell r="C194">
            <v>39140</v>
          </cell>
          <cell r="D194" t="str">
            <v>S.28</v>
          </cell>
        </row>
        <row r="195">
          <cell r="C195">
            <v>39141</v>
          </cell>
          <cell r="D195" t="str">
            <v>S.28</v>
          </cell>
        </row>
        <row r="196">
          <cell r="C196">
            <v>39142</v>
          </cell>
          <cell r="D196" t="str">
            <v>S.28</v>
          </cell>
        </row>
        <row r="197">
          <cell r="C197">
            <v>39143</v>
          </cell>
          <cell r="D197" t="str">
            <v>S.28</v>
          </cell>
        </row>
        <row r="198">
          <cell r="C198">
            <v>39144</v>
          </cell>
          <cell r="D198" t="str">
            <v>S.28</v>
          </cell>
        </row>
        <row r="199">
          <cell r="C199">
            <v>39145</v>
          </cell>
          <cell r="D199" t="str">
            <v>S.28</v>
          </cell>
        </row>
        <row r="200">
          <cell r="C200">
            <v>39146</v>
          </cell>
          <cell r="D200" t="str">
            <v>S.29</v>
          </cell>
        </row>
        <row r="201">
          <cell r="C201">
            <v>39147</v>
          </cell>
          <cell r="D201" t="str">
            <v>S.29</v>
          </cell>
        </row>
        <row r="202">
          <cell r="C202">
            <v>39148</v>
          </cell>
          <cell r="D202" t="str">
            <v>S.29</v>
          </cell>
        </row>
        <row r="203">
          <cell r="C203">
            <v>39149</v>
          </cell>
          <cell r="D203" t="str">
            <v>S.29</v>
          </cell>
        </row>
        <row r="204">
          <cell r="C204">
            <v>39150</v>
          </cell>
          <cell r="D204" t="str">
            <v>S.29</v>
          </cell>
        </row>
        <row r="205">
          <cell r="C205">
            <v>39151</v>
          </cell>
          <cell r="D205" t="str">
            <v>S.29</v>
          </cell>
        </row>
        <row r="206">
          <cell r="C206">
            <v>39152</v>
          </cell>
          <cell r="D206" t="str">
            <v>S.29</v>
          </cell>
        </row>
        <row r="207">
          <cell r="C207">
            <v>39153</v>
          </cell>
          <cell r="D207" t="str">
            <v>S.30</v>
          </cell>
        </row>
        <row r="208">
          <cell r="C208">
            <v>39154</v>
          </cell>
          <cell r="D208" t="str">
            <v>S.30</v>
          </cell>
        </row>
        <row r="209">
          <cell r="C209">
            <v>39155</v>
          </cell>
          <cell r="D209" t="str">
            <v>S.30</v>
          </cell>
        </row>
        <row r="210">
          <cell r="C210">
            <v>39156</v>
          </cell>
          <cell r="D210" t="str">
            <v>S.30</v>
          </cell>
        </row>
        <row r="211">
          <cell r="C211">
            <v>39157</v>
          </cell>
          <cell r="D211" t="str">
            <v>S.30</v>
          </cell>
        </row>
        <row r="212">
          <cell r="C212">
            <v>39158</v>
          </cell>
          <cell r="D212" t="str">
            <v>S.30</v>
          </cell>
        </row>
        <row r="213">
          <cell r="C213">
            <v>39159</v>
          </cell>
          <cell r="D213" t="str">
            <v>S.30</v>
          </cell>
        </row>
        <row r="214">
          <cell r="C214">
            <v>39160</v>
          </cell>
          <cell r="D214" t="str">
            <v>S.31</v>
          </cell>
        </row>
        <row r="215">
          <cell r="C215">
            <v>39161</v>
          </cell>
          <cell r="D215" t="str">
            <v>S.31</v>
          </cell>
        </row>
        <row r="216">
          <cell r="C216">
            <v>39162</v>
          </cell>
          <cell r="D216" t="str">
            <v>S.31</v>
          </cell>
        </row>
        <row r="217">
          <cell r="C217">
            <v>39163</v>
          </cell>
          <cell r="D217" t="str">
            <v>S.31</v>
          </cell>
        </row>
        <row r="218">
          <cell r="C218">
            <v>39164</v>
          </cell>
          <cell r="D218" t="str">
            <v>S.31</v>
          </cell>
        </row>
        <row r="219">
          <cell r="C219">
            <v>39165</v>
          </cell>
          <cell r="D219" t="str">
            <v>S.31</v>
          </cell>
        </row>
        <row r="220">
          <cell r="C220">
            <v>39166</v>
          </cell>
          <cell r="D220" t="str">
            <v>S.31</v>
          </cell>
        </row>
        <row r="221">
          <cell r="C221">
            <v>39167</v>
          </cell>
          <cell r="D221" t="str">
            <v>S.32</v>
          </cell>
        </row>
        <row r="222">
          <cell r="C222">
            <v>39168</v>
          </cell>
          <cell r="D222" t="str">
            <v>S.32</v>
          </cell>
        </row>
        <row r="223">
          <cell r="C223">
            <v>39169</v>
          </cell>
          <cell r="D223" t="str">
            <v>S.32</v>
          </cell>
        </row>
        <row r="224">
          <cell r="C224">
            <v>39170</v>
          </cell>
          <cell r="D224" t="str">
            <v>S.32</v>
          </cell>
        </row>
        <row r="225">
          <cell r="C225">
            <v>39171</v>
          </cell>
          <cell r="D225" t="str">
            <v>S.32</v>
          </cell>
        </row>
        <row r="226">
          <cell r="C226">
            <v>39172</v>
          </cell>
          <cell r="D226" t="str">
            <v>S.32</v>
          </cell>
        </row>
        <row r="227">
          <cell r="C227">
            <v>39173</v>
          </cell>
          <cell r="D227" t="str">
            <v>S.32</v>
          </cell>
        </row>
        <row r="228">
          <cell r="C228">
            <v>39174</v>
          </cell>
          <cell r="D228" t="str">
            <v>S.33</v>
          </cell>
        </row>
        <row r="229">
          <cell r="C229">
            <v>39175</v>
          </cell>
          <cell r="D229" t="str">
            <v>S.33</v>
          </cell>
        </row>
        <row r="230">
          <cell r="C230">
            <v>39176</v>
          </cell>
          <cell r="D230" t="str">
            <v>S.33</v>
          </cell>
        </row>
        <row r="231">
          <cell r="C231">
            <v>39177</v>
          </cell>
          <cell r="D231" t="str">
            <v>S.33</v>
          </cell>
        </row>
        <row r="232">
          <cell r="C232">
            <v>39178</v>
          </cell>
          <cell r="D232" t="str">
            <v>S.33</v>
          </cell>
        </row>
        <row r="233">
          <cell r="C233">
            <v>39179</v>
          </cell>
          <cell r="D233" t="str">
            <v>S.33</v>
          </cell>
        </row>
        <row r="234">
          <cell r="C234">
            <v>39180</v>
          </cell>
          <cell r="D234" t="str">
            <v>S.33</v>
          </cell>
        </row>
        <row r="235">
          <cell r="C235">
            <v>39181</v>
          </cell>
          <cell r="D235" t="str">
            <v>S.34</v>
          </cell>
        </row>
        <row r="236">
          <cell r="C236">
            <v>39182</v>
          </cell>
          <cell r="D236" t="str">
            <v>S.34</v>
          </cell>
        </row>
        <row r="237">
          <cell r="C237">
            <v>39183</v>
          </cell>
          <cell r="D237" t="str">
            <v>S.34</v>
          </cell>
        </row>
        <row r="238">
          <cell r="C238">
            <v>39184</v>
          </cell>
          <cell r="D238" t="str">
            <v>S.34</v>
          </cell>
        </row>
        <row r="239">
          <cell r="C239">
            <v>39185</v>
          </cell>
          <cell r="D239" t="str">
            <v>S.34</v>
          </cell>
        </row>
        <row r="240">
          <cell r="C240">
            <v>39186</v>
          </cell>
          <cell r="D240" t="str">
            <v>S.34</v>
          </cell>
        </row>
        <row r="241">
          <cell r="C241">
            <v>39187</v>
          </cell>
          <cell r="D241" t="str">
            <v>S.34</v>
          </cell>
        </row>
        <row r="242">
          <cell r="C242">
            <v>39188</v>
          </cell>
          <cell r="D242" t="str">
            <v>S.35</v>
          </cell>
        </row>
        <row r="243">
          <cell r="C243">
            <v>39189</v>
          </cell>
          <cell r="D243" t="str">
            <v>S.35</v>
          </cell>
        </row>
        <row r="244">
          <cell r="C244">
            <v>39190</v>
          </cell>
          <cell r="D244" t="str">
            <v>S.35</v>
          </cell>
        </row>
        <row r="245">
          <cell r="C245">
            <v>39191</v>
          </cell>
          <cell r="D245" t="str">
            <v>S.35</v>
          </cell>
        </row>
        <row r="246">
          <cell r="C246">
            <v>39192</v>
          </cell>
          <cell r="D246" t="str">
            <v>S.35</v>
          </cell>
        </row>
        <row r="247">
          <cell r="C247">
            <v>39193</v>
          </cell>
          <cell r="D247" t="str">
            <v>S.35</v>
          </cell>
        </row>
        <row r="248">
          <cell r="C248">
            <v>39194</v>
          </cell>
          <cell r="D248" t="str">
            <v>S.35</v>
          </cell>
        </row>
        <row r="249">
          <cell r="C249">
            <v>39195</v>
          </cell>
          <cell r="D249" t="str">
            <v>S.36</v>
          </cell>
        </row>
        <row r="250">
          <cell r="C250">
            <v>39196</v>
          </cell>
          <cell r="D250" t="str">
            <v>S.36</v>
          </cell>
        </row>
        <row r="251">
          <cell r="C251">
            <v>39197</v>
          </cell>
          <cell r="D251" t="str">
            <v>S.36</v>
          </cell>
        </row>
        <row r="252">
          <cell r="C252">
            <v>39198</v>
          </cell>
          <cell r="D252" t="str">
            <v>S.36</v>
          </cell>
        </row>
        <row r="253">
          <cell r="C253">
            <v>39199</v>
          </cell>
          <cell r="D253" t="str">
            <v>S.36</v>
          </cell>
        </row>
        <row r="254">
          <cell r="C254">
            <v>39200</v>
          </cell>
          <cell r="D254" t="str">
            <v>S.36</v>
          </cell>
        </row>
        <row r="255">
          <cell r="C255">
            <v>39201</v>
          </cell>
          <cell r="D255" t="str">
            <v>S.36</v>
          </cell>
        </row>
        <row r="256">
          <cell r="C256">
            <v>39202</v>
          </cell>
          <cell r="D256" t="str">
            <v>S.37</v>
          </cell>
        </row>
        <row r="257">
          <cell r="C257">
            <v>39203</v>
          </cell>
          <cell r="D257" t="str">
            <v>S.37</v>
          </cell>
        </row>
        <row r="258">
          <cell r="C258">
            <v>39204</v>
          </cell>
          <cell r="D258" t="str">
            <v>S.37</v>
          </cell>
        </row>
        <row r="259">
          <cell r="C259">
            <v>39205</v>
          </cell>
          <cell r="D259" t="str">
            <v>S.37</v>
          </cell>
        </row>
        <row r="260">
          <cell r="C260">
            <v>39206</v>
          </cell>
          <cell r="D260" t="str">
            <v>S.37</v>
          </cell>
        </row>
        <row r="261">
          <cell r="C261">
            <v>39207</v>
          </cell>
          <cell r="D261" t="str">
            <v>S.37</v>
          </cell>
        </row>
        <row r="262">
          <cell r="C262">
            <v>39208</v>
          </cell>
          <cell r="D262" t="str">
            <v>S.37</v>
          </cell>
        </row>
        <row r="263">
          <cell r="C263">
            <v>39209</v>
          </cell>
          <cell r="D263" t="str">
            <v>S.38</v>
          </cell>
        </row>
        <row r="264">
          <cell r="C264">
            <v>39210</v>
          </cell>
          <cell r="D264" t="str">
            <v>S.38</v>
          </cell>
        </row>
        <row r="265">
          <cell r="C265">
            <v>39211</v>
          </cell>
          <cell r="D265" t="str">
            <v>S.38</v>
          </cell>
        </row>
        <row r="266">
          <cell r="C266">
            <v>39212</v>
          </cell>
          <cell r="D266" t="str">
            <v>S.38</v>
          </cell>
        </row>
        <row r="267">
          <cell r="C267">
            <v>39213</v>
          </cell>
          <cell r="D267" t="str">
            <v>S.38</v>
          </cell>
        </row>
        <row r="268">
          <cell r="C268">
            <v>39214</v>
          </cell>
          <cell r="D268" t="str">
            <v>S.38</v>
          </cell>
        </row>
        <row r="269">
          <cell r="C269">
            <v>39215</v>
          </cell>
          <cell r="D269" t="str">
            <v>S.38</v>
          </cell>
        </row>
        <row r="270">
          <cell r="C270">
            <v>39216</v>
          </cell>
          <cell r="D270" t="str">
            <v>S.39</v>
          </cell>
        </row>
        <row r="271">
          <cell r="C271">
            <v>39217</v>
          </cell>
          <cell r="D271" t="str">
            <v>S.39</v>
          </cell>
        </row>
        <row r="272">
          <cell r="C272">
            <v>39218</v>
          </cell>
          <cell r="D272" t="str">
            <v>S.39</v>
          </cell>
        </row>
        <row r="273">
          <cell r="C273">
            <v>39219</v>
          </cell>
          <cell r="D273" t="str">
            <v>S.39</v>
          </cell>
        </row>
        <row r="274">
          <cell r="C274">
            <v>39220</v>
          </cell>
          <cell r="D274" t="str">
            <v>S.39</v>
          </cell>
        </row>
        <row r="275">
          <cell r="C275">
            <v>39221</v>
          </cell>
          <cell r="D275" t="str">
            <v>S.39</v>
          </cell>
        </row>
        <row r="276">
          <cell r="C276">
            <v>39222</v>
          </cell>
          <cell r="D276" t="str">
            <v>S.39</v>
          </cell>
        </row>
        <row r="277">
          <cell r="C277">
            <v>39223</v>
          </cell>
          <cell r="D277" t="str">
            <v>S.40</v>
          </cell>
        </row>
        <row r="278">
          <cell r="C278">
            <v>39224</v>
          </cell>
          <cell r="D278" t="str">
            <v>S.40</v>
          </cell>
        </row>
        <row r="279">
          <cell r="C279">
            <v>39225</v>
          </cell>
          <cell r="D279" t="str">
            <v>S.40</v>
          </cell>
        </row>
        <row r="280">
          <cell r="C280">
            <v>39226</v>
          </cell>
          <cell r="D280" t="str">
            <v>S.40</v>
          </cell>
        </row>
        <row r="281">
          <cell r="C281">
            <v>39227</v>
          </cell>
          <cell r="D281" t="str">
            <v>S.40</v>
          </cell>
        </row>
        <row r="282">
          <cell r="C282">
            <v>39228</v>
          </cell>
          <cell r="D282" t="str">
            <v>S.40</v>
          </cell>
        </row>
        <row r="283">
          <cell r="C283">
            <v>39229</v>
          </cell>
          <cell r="D283" t="str">
            <v>S.40</v>
          </cell>
        </row>
        <row r="284">
          <cell r="C284">
            <v>39230</v>
          </cell>
          <cell r="D284" t="str">
            <v>S.41</v>
          </cell>
        </row>
        <row r="285">
          <cell r="C285">
            <v>39231</v>
          </cell>
          <cell r="D285" t="str">
            <v>S.41</v>
          </cell>
        </row>
        <row r="286">
          <cell r="C286">
            <v>39232</v>
          </cell>
          <cell r="D286" t="str">
            <v>S.41</v>
          </cell>
        </row>
        <row r="287">
          <cell r="C287">
            <v>39233</v>
          </cell>
          <cell r="D287" t="str">
            <v>S.41</v>
          </cell>
        </row>
        <row r="288">
          <cell r="C288">
            <v>39234</v>
          </cell>
          <cell r="D288" t="str">
            <v>S.41</v>
          </cell>
        </row>
        <row r="289">
          <cell r="C289">
            <v>39235</v>
          </cell>
          <cell r="D289" t="str">
            <v>S.41</v>
          </cell>
        </row>
        <row r="290">
          <cell r="C290">
            <v>39236</v>
          </cell>
          <cell r="D290" t="str">
            <v>S.41</v>
          </cell>
        </row>
        <row r="291">
          <cell r="C291">
            <v>39237</v>
          </cell>
          <cell r="D291" t="str">
            <v>S.42</v>
          </cell>
        </row>
        <row r="292">
          <cell r="C292">
            <v>39238</v>
          </cell>
          <cell r="D292" t="str">
            <v>S.42</v>
          </cell>
        </row>
        <row r="293">
          <cell r="C293">
            <v>39239</v>
          </cell>
          <cell r="D293" t="str">
            <v>S.42</v>
          </cell>
        </row>
        <row r="294">
          <cell r="C294">
            <v>39240</v>
          </cell>
          <cell r="D294" t="str">
            <v>S.42</v>
          </cell>
        </row>
        <row r="295">
          <cell r="C295">
            <v>39241</v>
          </cell>
          <cell r="D295" t="str">
            <v>S.42</v>
          </cell>
        </row>
        <row r="296">
          <cell r="C296">
            <v>39242</v>
          </cell>
          <cell r="D296" t="str">
            <v>S.42</v>
          </cell>
        </row>
        <row r="297">
          <cell r="C297">
            <v>39243</v>
          </cell>
          <cell r="D297" t="str">
            <v>S.42</v>
          </cell>
        </row>
        <row r="298">
          <cell r="C298">
            <v>39244</v>
          </cell>
          <cell r="D298" t="str">
            <v>S.43</v>
          </cell>
        </row>
        <row r="299">
          <cell r="C299">
            <v>39245</v>
          </cell>
          <cell r="D299" t="str">
            <v>S.43</v>
          </cell>
        </row>
        <row r="300">
          <cell r="C300">
            <v>39246</v>
          </cell>
          <cell r="D300" t="str">
            <v>S.43</v>
          </cell>
        </row>
        <row r="301">
          <cell r="C301">
            <v>39247</v>
          </cell>
          <cell r="D301" t="str">
            <v>S.43</v>
          </cell>
        </row>
        <row r="302">
          <cell r="C302">
            <v>39248</v>
          </cell>
          <cell r="D302" t="str">
            <v>S.43</v>
          </cell>
        </row>
        <row r="303">
          <cell r="C303">
            <v>39249</v>
          </cell>
          <cell r="D303" t="str">
            <v>S.43</v>
          </cell>
        </row>
        <row r="304">
          <cell r="C304">
            <v>39250</v>
          </cell>
          <cell r="D304" t="str">
            <v>S.43</v>
          </cell>
        </row>
        <row r="305">
          <cell r="C305">
            <v>39251</v>
          </cell>
          <cell r="D305" t="str">
            <v>S.44</v>
          </cell>
        </row>
        <row r="306">
          <cell r="C306">
            <v>39252</v>
          </cell>
          <cell r="D306" t="str">
            <v>S.44</v>
          </cell>
        </row>
        <row r="307">
          <cell r="C307">
            <v>39253</v>
          </cell>
          <cell r="D307" t="str">
            <v>S.44</v>
          </cell>
        </row>
        <row r="308">
          <cell r="C308">
            <v>39254</v>
          </cell>
          <cell r="D308" t="str">
            <v>S.44</v>
          </cell>
        </row>
        <row r="309">
          <cell r="C309">
            <v>39255</v>
          </cell>
          <cell r="D309" t="str">
            <v>S.44</v>
          </cell>
        </row>
        <row r="310">
          <cell r="C310">
            <v>39256</v>
          </cell>
          <cell r="D310" t="str">
            <v>S.44</v>
          </cell>
        </row>
        <row r="311">
          <cell r="C311">
            <v>39257</v>
          </cell>
          <cell r="D311" t="str">
            <v>S.44</v>
          </cell>
        </row>
        <row r="312">
          <cell r="C312">
            <v>39258</v>
          </cell>
          <cell r="D312" t="str">
            <v>S.45</v>
          </cell>
        </row>
        <row r="313">
          <cell r="C313">
            <v>39259</v>
          </cell>
          <cell r="D313" t="str">
            <v>S.45</v>
          </cell>
        </row>
        <row r="314">
          <cell r="C314">
            <v>39260</v>
          </cell>
          <cell r="D314" t="str">
            <v>S.45</v>
          </cell>
        </row>
        <row r="315">
          <cell r="C315">
            <v>39261</v>
          </cell>
          <cell r="D315" t="str">
            <v>S.45</v>
          </cell>
        </row>
        <row r="316">
          <cell r="C316">
            <v>39262</v>
          </cell>
          <cell r="D316" t="str">
            <v>S.45</v>
          </cell>
        </row>
        <row r="317">
          <cell r="C317">
            <v>39263</v>
          </cell>
          <cell r="D317" t="str">
            <v>S.45</v>
          </cell>
        </row>
        <row r="318">
          <cell r="C318">
            <v>39264</v>
          </cell>
          <cell r="D318" t="str">
            <v>S.45</v>
          </cell>
        </row>
        <row r="319">
          <cell r="C319">
            <v>39265</v>
          </cell>
          <cell r="D319" t="str">
            <v>S.46</v>
          </cell>
        </row>
        <row r="320">
          <cell r="C320">
            <v>39266</v>
          </cell>
          <cell r="D320" t="str">
            <v>S.46</v>
          </cell>
        </row>
        <row r="321">
          <cell r="C321">
            <v>39267</v>
          </cell>
          <cell r="D321" t="str">
            <v>S.46</v>
          </cell>
        </row>
        <row r="322">
          <cell r="C322">
            <v>39268</v>
          </cell>
          <cell r="D322" t="str">
            <v>S.46</v>
          </cell>
        </row>
        <row r="323">
          <cell r="C323">
            <v>39269</v>
          </cell>
          <cell r="D323" t="str">
            <v>S.46</v>
          </cell>
        </row>
        <row r="324">
          <cell r="C324">
            <v>39270</v>
          </cell>
          <cell r="D324" t="str">
            <v>S.46</v>
          </cell>
        </row>
        <row r="325">
          <cell r="C325">
            <v>39271</v>
          </cell>
          <cell r="D325" t="str">
            <v>S.46</v>
          </cell>
        </row>
        <row r="326">
          <cell r="C326">
            <v>39272</v>
          </cell>
          <cell r="D326" t="str">
            <v>S.47</v>
          </cell>
        </row>
        <row r="327">
          <cell r="C327">
            <v>39273</v>
          </cell>
          <cell r="D327" t="str">
            <v>S.47</v>
          </cell>
        </row>
        <row r="328">
          <cell r="C328">
            <v>39274</v>
          </cell>
          <cell r="D328" t="str">
            <v>S.47</v>
          </cell>
        </row>
        <row r="329">
          <cell r="C329">
            <v>39275</v>
          </cell>
          <cell r="D329" t="str">
            <v>S.47</v>
          </cell>
        </row>
        <row r="330">
          <cell r="C330">
            <v>39276</v>
          </cell>
          <cell r="D330" t="str">
            <v>S.47</v>
          </cell>
        </row>
        <row r="331">
          <cell r="C331">
            <v>39277</v>
          </cell>
          <cell r="D331" t="str">
            <v>S.47</v>
          </cell>
        </row>
        <row r="332">
          <cell r="C332">
            <v>39278</v>
          </cell>
          <cell r="D332" t="str">
            <v>S.47</v>
          </cell>
        </row>
        <row r="333">
          <cell r="C333">
            <v>39279</v>
          </cell>
          <cell r="D333" t="str">
            <v>S.48</v>
          </cell>
        </row>
        <row r="334">
          <cell r="C334">
            <v>39280</v>
          </cell>
          <cell r="D334" t="str">
            <v>S.48</v>
          </cell>
        </row>
        <row r="335">
          <cell r="C335">
            <v>39281</v>
          </cell>
          <cell r="D335" t="str">
            <v>S.48</v>
          </cell>
        </row>
        <row r="336">
          <cell r="C336">
            <v>39282</v>
          </cell>
          <cell r="D336" t="str">
            <v>S.48</v>
          </cell>
        </row>
        <row r="337">
          <cell r="C337">
            <v>39283</v>
          </cell>
          <cell r="D337" t="str">
            <v>S.48</v>
          </cell>
        </row>
        <row r="338">
          <cell r="C338">
            <v>39284</v>
          </cell>
          <cell r="D338" t="str">
            <v>S.48</v>
          </cell>
        </row>
        <row r="339">
          <cell r="C339">
            <v>39285</v>
          </cell>
          <cell r="D339" t="str">
            <v>S.48</v>
          </cell>
        </row>
        <row r="340">
          <cell r="C340">
            <v>39286</v>
          </cell>
          <cell r="D340" t="str">
            <v>S.49</v>
          </cell>
        </row>
        <row r="341">
          <cell r="C341">
            <v>39287</v>
          </cell>
          <cell r="D341" t="str">
            <v>S.49</v>
          </cell>
        </row>
        <row r="342">
          <cell r="C342">
            <v>39288</v>
          </cell>
          <cell r="D342" t="str">
            <v>S.49</v>
          </cell>
        </row>
        <row r="343">
          <cell r="C343">
            <v>39289</v>
          </cell>
          <cell r="D343" t="str">
            <v>S.49</v>
          </cell>
        </row>
        <row r="344">
          <cell r="C344">
            <v>39290</v>
          </cell>
          <cell r="D344" t="str">
            <v>S.49</v>
          </cell>
        </row>
        <row r="345">
          <cell r="C345">
            <v>39291</v>
          </cell>
          <cell r="D345" t="str">
            <v>S.49</v>
          </cell>
        </row>
        <row r="346">
          <cell r="C346">
            <v>39292</v>
          </cell>
          <cell r="D346" t="str">
            <v>S.49</v>
          </cell>
        </row>
        <row r="347">
          <cell r="C347">
            <v>39293</v>
          </cell>
          <cell r="D347" t="str">
            <v>S.50</v>
          </cell>
        </row>
        <row r="348">
          <cell r="C348">
            <v>39294</v>
          </cell>
          <cell r="D348" t="str">
            <v>S.50</v>
          </cell>
        </row>
        <row r="349">
          <cell r="C349">
            <v>39295</v>
          </cell>
          <cell r="D349" t="str">
            <v>S.50</v>
          </cell>
        </row>
        <row r="350">
          <cell r="C350">
            <v>39296</v>
          </cell>
          <cell r="D350" t="str">
            <v>S.50</v>
          </cell>
        </row>
        <row r="351">
          <cell r="C351">
            <v>39297</v>
          </cell>
          <cell r="D351" t="str">
            <v>S.50</v>
          </cell>
        </row>
        <row r="352">
          <cell r="C352">
            <v>39298</v>
          </cell>
          <cell r="D352" t="str">
            <v>S.50</v>
          </cell>
        </row>
        <row r="353">
          <cell r="C353">
            <v>39299</v>
          </cell>
          <cell r="D353" t="str">
            <v>S.50</v>
          </cell>
        </row>
        <row r="354">
          <cell r="C354">
            <v>39300</v>
          </cell>
          <cell r="D354" t="str">
            <v>S.51</v>
          </cell>
        </row>
        <row r="355">
          <cell r="C355">
            <v>39301</v>
          </cell>
          <cell r="D355" t="str">
            <v>S.51</v>
          </cell>
        </row>
        <row r="356">
          <cell r="C356">
            <v>39302</v>
          </cell>
          <cell r="D356" t="str">
            <v>S.51</v>
          </cell>
        </row>
        <row r="357">
          <cell r="C357">
            <v>39303</v>
          </cell>
          <cell r="D357" t="str">
            <v>S.51</v>
          </cell>
        </row>
        <row r="358">
          <cell r="C358">
            <v>39304</v>
          </cell>
          <cell r="D358" t="str">
            <v>S.51</v>
          </cell>
        </row>
        <row r="359">
          <cell r="C359">
            <v>39305</v>
          </cell>
          <cell r="D359" t="str">
            <v>S.51</v>
          </cell>
        </row>
        <row r="360">
          <cell r="C360">
            <v>39306</v>
          </cell>
          <cell r="D360" t="str">
            <v>S.51</v>
          </cell>
        </row>
        <row r="361">
          <cell r="C361">
            <v>39307</v>
          </cell>
          <cell r="D361" t="str">
            <v>S.52</v>
          </cell>
        </row>
        <row r="362">
          <cell r="C362">
            <v>39308</v>
          </cell>
          <cell r="D362" t="str">
            <v>S.52</v>
          </cell>
        </row>
        <row r="363">
          <cell r="C363">
            <v>39309</v>
          </cell>
          <cell r="D363" t="str">
            <v>S.52</v>
          </cell>
        </row>
        <row r="364">
          <cell r="C364">
            <v>39310</v>
          </cell>
          <cell r="D364" t="str">
            <v>S.52</v>
          </cell>
        </row>
        <row r="365">
          <cell r="C365">
            <v>39311</v>
          </cell>
          <cell r="D365" t="str">
            <v>S.52</v>
          </cell>
        </row>
        <row r="366">
          <cell r="C366">
            <v>39312</v>
          </cell>
          <cell r="D366" t="str">
            <v>S.52</v>
          </cell>
        </row>
        <row r="367">
          <cell r="C367">
            <v>39313</v>
          </cell>
          <cell r="D367" t="str">
            <v>S.52</v>
          </cell>
        </row>
        <row r="368">
          <cell r="C368">
            <v>39314</v>
          </cell>
          <cell r="D368" t="str">
            <v>S.53</v>
          </cell>
        </row>
        <row r="369">
          <cell r="C369">
            <v>39315</v>
          </cell>
          <cell r="D369" t="str">
            <v>S.53</v>
          </cell>
        </row>
        <row r="370">
          <cell r="C370">
            <v>39316</v>
          </cell>
          <cell r="D370" t="str">
            <v>S.53</v>
          </cell>
        </row>
        <row r="371">
          <cell r="C371">
            <v>39317</v>
          </cell>
          <cell r="D371" t="str">
            <v>S.53</v>
          </cell>
        </row>
        <row r="372">
          <cell r="C372">
            <v>39318</v>
          </cell>
          <cell r="D372" t="str">
            <v>S.53</v>
          </cell>
        </row>
        <row r="373">
          <cell r="C373">
            <v>39319</v>
          </cell>
          <cell r="D373" t="str">
            <v>S.53</v>
          </cell>
        </row>
        <row r="374">
          <cell r="C374">
            <v>39320</v>
          </cell>
          <cell r="D374" t="str">
            <v>S.53</v>
          </cell>
        </row>
        <row r="375">
          <cell r="C375">
            <v>39321</v>
          </cell>
          <cell r="D375" t="str">
            <v>S.54</v>
          </cell>
        </row>
        <row r="376">
          <cell r="C376">
            <v>39322</v>
          </cell>
          <cell r="D376" t="str">
            <v>S.54</v>
          </cell>
        </row>
        <row r="377">
          <cell r="C377">
            <v>39323</v>
          </cell>
          <cell r="D377" t="str">
            <v>S.54</v>
          </cell>
        </row>
        <row r="378">
          <cell r="C378">
            <v>39324</v>
          </cell>
          <cell r="D378" t="str">
            <v>S.54</v>
          </cell>
        </row>
        <row r="379">
          <cell r="C379">
            <v>39325</v>
          </cell>
          <cell r="D379" t="str">
            <v>S.54</v>
          </cell>
        </row>
        <row r="380">
          <cell r="C380">
            <v>39326</v>
          </cell>
          <cell r="D380" t="str">
            <v>S.54</v>
          </cell>
        </row>
        <row r="381">
          <cell r="C381">
            <v>39327</v>
          </cell>
          <cell r="D381" t="str">
            <v>S.54</v>
          </cell>
        </row>
        <row r="382">
          <cell r="C382">
            <v>39328</v>
          </cell>
          <cell r="D382" t="str">
            <v>S.55</v>
          </cell>
        </row>
        <row r="383">
          <cell r="C383">
            <v>39329</v>
          </cell>
          <cell r="D383" t="str">
            <v>S.55</v>
          </cell>
        </row>
        <row r="384">
          <cell r="C384">
            <v>39330</v>
          </cell>
          <cell r="D384" t="str">
            <v>S.55</v>
          </cell>
        </row>
        <row r="385">
          <cell r="C385">
            <v>39331</v>
          </cell>
          <cell r="D385" t="str">
            <v>S.55</v>
          </cell>
        </row>
        <row r="386">
          <cell r="C386">
            <v>39332</v>
          </cell>
          <cell r="D386" t="str">
            <v>S.55</v>
          </cell>
        </row>
        <row r="387">
          <cell r="C387">
            <v>39333</v>
          </cell>
          <cell r="D387" t="str">
            <v>S.55</v>
          </cell>
        </row>
        <row r="388">
          <cell r="C388">
            <v>39334</v>
          </cell>
          <cell r="D388" t="str">
            <v>S.55</v>
          </cell>
        </row>
        <row r="389">
          <cell r="C389">
            <v>39335</v>
          </cell>
          <cell r="D389" t="str">
            <v>S.56</v>
          </cell>
        </row>
        <row r="390">
          <cell r="C390">
            <v>39336</v>
          </cell>
          <cell r="D390" t="str">
            <v>S.56</v>
          </cell>
        </row>
        <row r="391">
          <cell r="C391">
            <v>39337</v>
          </cell>
          <cell r="D391" t="str">
            <v>S.56</v>
          </cell>
        </row>
        <row r="392">
          <cell r="C392">
            <v>39338</v>
          </cell>
          <cell r="D392" t="str">
            <v>S.56</v>
          </cell>
        </row>
        <row r="393">
          <cell r="C393">
            <v>39339</v>
          </cell>
          <cell r="D393" t="str">
            <v>S.56</v>
          </cell>
        </row>
        <row r="394">
          <cell r="C394">
            <v>39340</v>
          </cell>
          <cell r="D394" t="str">
            <v>S.56</v>
          </cell>
        </row>
        <row r="395">
          <cell r="C395">
            <v>39341</v>
          </cell>
          <cell r="D395" t="str">
            <v>S.56</v>
          </cell>
        </row>
        <row r="396">
          <cell r="C396">
            <v>39342</v>
          </cell>
          <cell r="D396" t="str">
            <v>S.57</v>
          </cell>
        </row>
        <row r="397">
          <cell r="C397">
            <v>39343</v>
          </cell>
          <cell r="D397" t="str">
            <v>S.57</v>
          </cell>
        </row>
        <row r="398">
          <cell r="C398">
            <v>39344</v>
          </cell>
          <cell r="D398" t="str">
            <v>S.57</v>
          </cell>
        </row>
        <row r="399">
          <cell r="C399">
            <v>39345</v>
          </cell>
          <cell r="D399" t="str">
            <v>S.57</v>
          </cell>
        </row>
        <row r="400">
          <cell r="C400">
            <v>39346</v>
          </cell>
          <cell r="D400" t="str">
            <v>S.57</v>
          </cell>
        </row>
        <row r="401">
          <cell r="C401">
            <v>39347</v>
          </cell>
          <cell r="D401" t="str">
            <v>S.57</v>
          </cell>
        </row>
        <row r="402">
          <cell r="C402">
            <v>39348</v>
          </cell>
          <cell r="D402" t="str">
            <v>S.57</v>
          </cell>
        </row>
        <row r="403">
          <cell r="C403">
            <v>39349</v>
          </cell>
          <cell r="D403" t="str">
            <v>S.58</v>
          </cell>
        </row>
        <row r="404">
          <cell r="C404">
            <v>39350</v>
          </cell>
          <cell r="D404" t="str">
            <v>S.58</v>
          </cell>
        </row>
        <row r="405">
          <cell r="C405">
            <v>39351</v>
          </cell>
          <cell r="D405" t="str">
            <v>S.58</v>
          </cell>
        </row>
        <row r="406">
          <cell r="C406">
            <v>39352</v>
          </cell>
          <cell r="D406" t="str">
            <v>S.58</v>
          </cell>
        </row>
        <row r="407">
          <cell r="C407">
            <v>39353</v>
          </cell>
          <cell r="D407" t="str">
            <v>S.58</v>
          </cell>
        </row>
        <row r="408">
          <cell r="C408">
            <v>39354</v>
          </cell>
          <cell r="D408" t="str">
            <v>S.58</v>
          </cell>
        </row>
        <row r="409">
          <cell r="C409">
            <v>39355</v>
          </cell>
          <cell r="D409" t="str">
            <v>S.58</v>
          </cell>
        </row>
        <row r="410">
          <cell r="C410">
            <v>39356</v>
          </cell>
          <cell r="D410" t="str">
            <v>S.59</v>
          </cell>
        </row>
        <row r="411">
          <cell r="C411">
            <v>39357</v>
          </cell>
          <cell r="D411" t="str">
            <v>S.59</v>
          </cell>
        </row>
        <row r="412">
          <cell r="C412">
            <v>39358</v>
          </cell>
          <cell r="D412" t="str">
            <v>S.59</v>
          </cell>
        </row>
        <row r="413">
          <cell r="C413">
            <v>39359</v>
          </cell>
          <cell r="D413" t="str">
            <v>S.59</v>
          </cell>
        </row>
        <row r="414">
          <cell r="C414">
            <v>39360</v>
          </cell>
          <cell r="D414" t="str">
            <v>S.59</v>
          </cell>
        </row>
        <row r="415">
          <cell r="C415">
            <v>39361</v>
          </cell>
          <cell r="D415" t="str">
            <v>S.59</v>
          </cell>
        </row>
        <row r="416">
          <cell r="C416">
            <v>39362</v>
          </cell>
          <cell r="D416" t="str">
            <v>S.59</v>
          </cell>
        </row>
        <row r="417">
          <cell r="C417">
            <v>39363</v>
          </cell>
          <cell r="D417" t="str">
            <v>S.60</v>
          </cell>
        </row>
        <row r="418">
          <cell r="C418">
            <v>39364</v>
          </cell>
          <cell r="D418" t="str">
            <v>S.60</v>
          </cell>
        </row>
        <row r="419">
          <cell r="C419">
            <v>39365</v>
          </cell>
          <cell r="D419" t="str">
            <v>S.60</v>
          </cell>
        </row>
        <row r="420">
          <cell r="C420">
            <v>39366</v>
          </cell>
          <cell r="D420" t="str">
            <v>S.60</v>
          </cell>
        </row>
        <row r="421">
          <cell r="C421">
            <v>39367</v>
          </cell>
          <cell r="D421" t="str">
            <v>S.60</v>
          </cell>
        </row>
        <row r="422">
          <cell r="C422">
            <v>39368</v>
          </cell>
          <cell r="D422" t="str">
            <v>S.60</v>
          </cell>
        </row>
        <row r="423">
          <cell r="C423">
            <v>39369</v>
          </cell>
          <cell r="D423" t="str">
            <v>S.60</v>
          </cell>
        </row>
        <row r="424">
          <cell r="C424">
            <v>39370</v>
          </cell>
          <cell r="D424" t="str">
            <v>S.61</v>
          </cell>
        </row>
        <row r="425">
          <cell r="C425">
            <v>39371</v>
          </cell>
          <cell r="D425" t="str">
            <v>S.61</v>
          </cell>
        </row>
        <row r="426">
          <cell r="C426">
            <v>39372</v>
          </cell>
          <cell r="D426" t="str">
            <v>S.61</v>
          </cell>
        </row>
        <row r="427">
          <cell r="C427">
            <v>39373</v>
          </cell>
          <cell r="D427" t="str">
            <v>S.61</v>
          </cell>
        </row>
        <row r="428">
          <cell r="C428">
            <v>39374</v>
          </cell>
          <cell r="D428" t="str">
            <v>S.61</v>
          </cell>
        </row>
        <row r="429">
          <cell r="C429">
            <v>39375</v>
          </cell>
          <cell r="D429" t="str">
            <v>S.61</v>
          </cell>
        </row>
        <row r="430">
          <cell r="C430">
            <v>39376</v>
          </cell>
          <cell r="D430" t="str">
            <v>S.61</v>
          </cell>
        </row>
        <row r="431">
          <cell r="C431">
            <v>39377</v>
          </cell>
          <cell r="D431" t="str">
            <v>S.62</v>
          </cell>
        </row>
        <row r="432">
          <cell r="C432">
            <v>39378</v>
          </cell>
          <cell r="D432" t="str">
            <v>S.62</v>
          </cell>
        </row>
        <row r="433">
          <cell r="C433">
            <v>39379</v>
          </cell>
          <cell r="D433" t="str">
            <v>S.62</v>
          </cell>
        </row>
        <row r="434">
          <cell r="C434">
            <v>39380</v>
          </cell>
          <cell r="D434" t="str">
            <v>S.62</v>
          </cell>
        </row>
        <row r="435">
          <cell r="C435">
            <v>39381</v>
          </cell>
          <cell r="D435" t="str">
            <v>S.62</v>
          </cell>
        </row>
        <row r="436">
          <cell r="C436">
            <v>39382</v>
          </cell>
          <cell r="D436" t="str">
            <v>S.62</v>
          </cell>
        </row>
        <row r="437">
          <cell r="C437">
            <v>39383</v>
          </cell>
          <cell r="D437" t="str">
            <v>S.62</v>
          </cell>
        </row>
        <row r="438">
          <cell r="C438">
            <v>39384</v>
          </cell>
          <cell r="D438" t="str">
            <v>S.63</v>
          </cell>
        </row>
        <row r="439">
          <cell r="C439">
            <v>39385</v>
          </cell>
          <cell r="D439" t="str">
            <v>S.63</v>
          </cell>
        </row>
        <row r="440">
          <cell r="C440">
            <v>39386</v>
          </cell>
          <cell r="D440" t="str">
            <v>S.63</v>
          </cell>
        </row>
        <row r="441">
          <cell r="C441">
            <v>39387</v>
          </cell>
          <cell r="D441" t="str">
            <v>S.63</v>
          </cell>
        </row>
        <row r="442">
          <cell r="C442">
            <v>39388</v>
          </cell>
          <cell r="D442" t="str">
            <v>S.63</v>
          </cell>
        </row>
        <row r="443">
          <cell r="C443">
            <v>39389</v>
          </cell>
          <cell r="D443" t="str">
            <v>S.63</v>
          </cell>
        </row>
        <row r="444">
          <cell r="C444">
            <v>39390</v>
          </cell>
          <cell r="D444" t="str">
            <v>S.63</v>
          </cell>
        </row>
        <row r="445">
          <cell r="C445">
            <v>39391</v>
          </cell>
          <cell r="D445" t="str">
            <v>S.64</v>
          </cell>
        </row>
        <row r="446">
          <cell r="C446">
            <v>39392</v>
          </cell>
          <cell r="D446" t="str">
            <v>S.64</v>
          </cell>
        </row>
        <row r="447">
          <cell r="C447">
            <v>39393</v>
          </cell>
          <cell r="D447" t="str">
            <v>S.64</v>
          </cell>
        </row>
        <row r="448">
          <cell r="C448">
            <v>39394</v>
          </cell>
          <cell r="D448" t="str">
            <v>S.64</v>
          </cell>
        </row>
        <row r="449">
          <cell r="C449">
            <v>39395</v>
          </cell>
          <cell r="D449" t="str">
            <v>S.64</v>
          </cell>
        </row>
        <row r="450">
          <cell r="C450">
            <v>39396</v>
          </cell>
          <cell r="D450" t="str">
            <v>S.64</v>
          </cell>
        </row>
        <row r="451">
          <cell r="C451">
            <v>39397</v>
          </cell>
          <cell r="D451" t="str">
            <v>S.64</v>
          </cell>
        </row>
        <row r="452">
          <cell r="C452">
            <v>39398</v>
          </cell>
          <cell r="D452" t="str">
            <v>S.65</v>
          </cell>
        </row>
        <row r="453">
          <cell r="C453">
            <v>39399</v>
          </cell>
          <cell r="D453" t="str">
            <v>S.65</v>
          </cell>
        </row>
        <row r="454">
          <cell r="C454">
            <v>39400</v>
          </cell>
          <cell r="D454" t="str">
            <v>S.65</v>
          </cell>
        </row>
        <row r="455">
          <cell r="C455">
            <v>39401</v>
          </cell>
          <cell r="D455" t="str">
            <v>S.65</v>
          </cell>
        </row>
        <row r="456">
          <cell r="C456">
            <v>39402</v>
          </cell>
          <cell r="D456" t="str">
            <v>S.65</v>
          </cell>
        </row>
        <row r="457">
          <cell r="C457">
            <v>39403</v>
          </cell>
          <cell r="D457" t="str">
            <v>S.65</v>
          </cell>
        </row>
        <row r="458">
          <cell r="C458">
            <v>39404</v>
          </cell>
          <cell r="D458" t="str">
            <v>S.65</v>
          </cell>
        </row>
        <row r="459">
          <cell r="C459">
            <v>39405</v>
          </cell>
          <cell r="D459" t="str">
            <v>S.66</v>
          </cell>
        </row>
        <row r="460">
          <cell r="C460">
            <v>39406</v>
          </cell>
          <cell r="D460" t="str">
            <v>S.66</v>
          </cell>
        </row>
        <row r="461">
          <cell r="C461">
            <v>39407</v>
          </cell>
          <cell r="D461" t="str">
            <v>S.66</v>
          </cell>
        </row>
        <row r="462">
          <cell r="C462">
            <v>39408</v>
          </cell>
          <cell r="D462" t="str">
            <v>S.66</v>
          </cell>
        </row>
        <row r="463">
          <cell r="C463">
            <v>39409</v>
          </cell>
          <cell r="D463" t="str">
            <v>S.66</v>
          </cell>
        </row>
        <row r="464">
          <cell r="C464">
            <v>39410</v>
          </cell>
          <cell r="D464" t="str">
            <v>S.66</v>
          </cell>
        </row>
        <row r="465">
          <cell r="C465">
            <v>39411</v>
          </cell>
          <cell r="D465" t="str">
            <v>S.66</v>
          </cell>
        </row>
        <row r="466">
          <cell r="C466">
            <v>39412</v>
          </cell>
          <cell r="D466" t="str">
            <v>S.67</v>
          </cell>
        </row>
        <row r="467">
          <cell r="C467">
            <v>39413</v>
          </cell>
          <cell r="D467" t="str">
            <v>S.67</v>
          </cell>
        </row>
        <row r="468">
          <cell r="C468">
            <v>39414</v>
          </cell>
          <cell r="D468" t="str">
            <v>S.67</v>
          </cell>
        </row>
        <row r="469">
          <cell r="C469">
            <v>39415</v>
          </cell>
          <cell r="D469" t="str">
            <v>S.67</v>
          </cell>
        </row>
        <row r="470">
          <cell r="C470">
            <v>39416</v>
          </cell>
          <cell r="D470" t="str">
            <v>S.67</v>
          </cell>
        </row>
        <row r="471">
          <cell r="C471">
            <v>39417</v>
          </cell>
          <cell r="D471" t="str">
            <v>S.67</v>
          </cell>
        </row>
        <row r="472">
          <cell r="C472">
            <v>39418</v>
          </cell>
          <cell r="D472" t="str">
            <v>S.67</v>
          </cell>
        </row>
        <row r="473">
          <cell r="C473">
            <v>39419</v>
          </cell>
          <cell r="D473" t="str">
            <v>S.68</v>
          </cell>
        </row>
        <row r="474">
          <cell r="C474">
            <v>39420</v>
          </cell>
          <cell r="D474" t="str">
            <v>S.68</v>
          </cell>
        </row>
        <row r="475">
          <cell r="C475">
            <v>39421</v>
          </cell>
          <cell r="D475" t="str">
            <v>S.68</v>
          </cell>
        </row>
        <row r="476">
          <cell r="C476">
            <v>39422</v>
          </cell>
          <cell r="D476" t="str">
            <v>S.68</v>
          </cell>
        </row>
        <row r="477">
          <cell r="C477">
            <v>39423</v>
          </cell>
          <cell r="D477" t="str">
            <v>S.68</v>
          </cell>
        </row>
        <row r="478">
          <cell r="C478">
            <v>39424</v>
          </cell>
          <cell r="D478" t="str">
            <v>S.68</v>
          </cell>
        </row>
        <row r="479">
          <cell r="C479">
            <v>39425</v>
          </cell>
          <cell r="D479" t="str">
            <v>S.68</v>
          </cell>
        </row>
        <row r="480">
          <cell r="C480">
            <v>39426</v>
          </cell>
          <cell r="D480" t="str">
            <v>S.69</v>
          </cell>
        </row>
        <row r="481">
          <cell r="C481">
            <v>39427</v>
          </cell>
          <cell r="D481" t="str">
            <v>S.69</v>
          </cell>
        </row>
        <row r="482">
          <cell r="C482">
            <v>39428</v>
          </cell>
          <cell r="D482" t="str">
            <v>S.69</v>
          </cell>
        </row>
        <row r="483">
          <cell r="C483">
            <v>39429</v>
          </cell>
          <cell r="D483" t="str">
            <v>S.69</v>
          </cell>
        </row>
        <row r="484">
          <cell r="C484">
            <v>39430</v>
          </cell>
          <cell r="D484" t="str">
            <v>S.69</v>
          </cell>
        </row>
        <row r="485">
          <cell r="C485">
            <v>39431</v>
          </cell>
          <cell r="D485" t="str">
            <v>S.69</v>
          </cell>
        </row>
        <row r="486">
          <cell r="C486">
            <v>39432</v>
          </cell>
          <cell r="D486" t="str">
            <v>S.69</v>
          </cell>
        </row>
        <row r="487">
          <cell r="C487">
            <v>39433</v>
          </cell>
          <cell r="D487" t="str">
            <v>S.70</v>
          </cell>
        </row>
        <row r="488">
          <cell r="C488">
            <v>39434</v>
          </cell>
          <cell r="D488" t="str">
            <v>S.70</v>
          </cell>
        </row>
        <row r="489">
          <cell r="C489">
            <v>39435</v>
          </cell>
          <cell r="D489" t="str">
            <v>S.70</v>
          </cell>
        </row>
        <row r="490">
          <cell r="C490">
            <v>39436</v>
          </cell>
          <cell r="D490" t="str">
            <v>S.70</v>
          </cell>
        </row>
        <row r="491">
          <cell r="C491">
            <v>39437</v>
          </cell>
          <cell r="D491" t="str">
            <v>S.70</v>
          </cell>
        </row>
        <row r="492">
          <cell r="C492">
            <v>39438</v>
          </cell>
          <cell r="D492" t="str">
            <v>S.70</v>
          </cell>
        </row>
        <row r="493">
          <cell r="C493">
            <v>39439</v>
          </cell>
          <cell r="D493" t="str">
            <v>S.70</v>
          </cell>
        </row>
        <row r="494">
          <cell r="C494">
            <v>39440</v>
          </cell>
          <cell r="D494" t="str">
            <v>S.71</v>
          </cell>
        </row>
        <row r="495">
          <cell r="C495">
            <v>39441</v>
          </cell>
          <cell r="D495" t="str">
            <v>S.71</v>
          </cell>
        </row>
        <row r="496">
          <cell r="C496">
            <v>39442</v>
          </cell>
          <cell r="D496" t="str">
            <v>S.71</v>
          </cell>
        </row>
        <row r="497">
          <cell r="C497">
            <v>39443</v>
          </cell>
          <cell r="D497" t="str">
            <v>S.71</v>
          </cell>
        </row>
        <row r="498">
          <cell r="C498">
            <v>39444</v>
          </cell>
          <cell r="D498" t="str">
            <v>S.71</v>
          </cell>
        </row>
        <row r="499">
          <cell r="C499">
            <v>39445</v>
          </cell>
          <cell r="D499" t="str">
            <v>S.71</v>
          </cell>
        </row>
        <row r="500">
          <cell r="C500">
            <v>39446</v>
          </cell>
          <cell r="D500" t="str">
            <v>S.71</v>
          </cell>
        </row>
        <row r="501">
          <cell r="C501">
            <v>39447</v>
          </cell>
          <cell r="D501" t="str">
            <v>S.72</v>
          </cell>
        </row>
        <row r="502">
          <cell r="C502">
            <v>39448</v>
          </cell>
          <cell r="D502" t="str">
            <v>S.72</v>
          </cell>
        </row>
        <row r="503">
          <cell r="C503">
            <v>39449</v>
          </cell>
          <cell r="D503" t="str">
            <v>S.72</v>
          </cell>
        </row>
        <row r="504">
          <cell r="C504">
            <v>39450</v>
          </cell>
          <cell r="D504" t="str">
            <v>S.72</v>
          </cell>
        </row>
        <row r="505">
          <cell r="C505">
            <v>39451</v>
          </cell>
          <cell r="D505" t="str">
            <v>S.72</v>
          </cell>
        </row>
        <row r="506">
          <cell r="C506">
            <v>39452</v>
          </cell>
          <cell r="D506" t="str">
            <v>S.72</v>
          </cell>
        </row>
        <row r="507">
          <cell r="C507">
            <v>39453</v>
          </cell>
          <cell r="D507" t="str">
            <v>S.72</v>
          </cell>
        </row>
        <row r="508">
          <cell r="C508">
            <v>39454</v>
          </cell>
          <cell r="D508" t="str">
            <v>S.73</v>
          </cell>
        </row>
        <row r="509">
          <cell r="C509">
            <v>39455</v>
          </cell>
          <cell r="D509" t="str">
            <v>S.73</v>
          </cell>
        </row>
        <row r="510">
          <cell r="C510">
            <v>39456</v>
          </cell>
          <cell r="D510" t="str">
            <v>S.73</v>
          </cell>
        </row>
        <row r="511">
          <cell r="C511">
            <v>39457</v>
          </cell>
          <cell r="D511" t="str">
            <v>S.73</v>
          </cell>
        </row>
        <row r="512">
          <cell r="C512">
            <v>39458</v>
          </cell>
          <cell r="D512" t="str">
            <v>S.73</v>
          </cell>
        </row>
        <row r="513">
          <cell r="C513">
            <v>39459</v>
          </cell>
          <cell r="D513" t="str">
            <v>S.73</v>
          </cell>
        </row>
        <row r="514">
          <cell r="C514">
            <v>39460</v>
          </cell>
          <cell r="D514" t="str">
            <v>S.73</v>
          </cell>
        </row>
        <row r="515">
          <cell r="C515">
            <v>39461</v>
          </cell>
          <cell r="D515" t="str">
            <v>S.74</v>
          </cell>
        </row>
        <row r="516">
          <cell r="C516">
            <v>39462</v>
          </cell>
          <cell r="D516" t="str">
            <v>S.74</v>
          </cell>
        </row>
        <row r="517">
          <cell r="C517">
            <v>39463</v>
          </cell>
          <cell r="D517" t="str">
            <v>S.74</v>
          </cell>
        </row>
        <row r="518">
          <cell r="C518">
            <v>39464</v>
          </cell>
          <cell r="D518" t="str">
            <v>S.74</v>
          </cell>
        </row>
        <row r="519">
          <cell r="C519">
            <v>39465</v>
          </cell>
          <cell r="D519" t="str">
            <v>S.74</v>
          </cell>
        </row>
        <row r="520">
          <cell r="C520">
            <v>39466</v>
          </cell>
          <cell r="D520" t="str">
            <v>S.74</v>
          </cell>
        </row>
        <row r="521">
          <cell r="C521">
            <v>39467</v>
          </cell>
          <cell r="D521" t="str">
            <v>S.74</v>
          </cell>
        </row>
        <row r="522">
          <cell r="C522">
            <v>39468</v>
          </cell>
          <cell r="D522" t="str">
            <v>S.75</v>
          </cell>
        </row>
        <row r="523">
          <cell r="C523">
            <v>39469</v>
          </cell>
          <cell r="D523" t="str">
            <v>S.75</v>
          </cell>
        </row>
        <row r="524">
          <cell r="C524">
            <v>39470</v>
          </cell>
          <cell r="D524" t="str">
            <v>S.75</v>
          </cell>
        </row>
        <row r="525">
          <cell r="C525">
            <v>39471</v>
          </cell>
          <cell r="D525" t="str">
            <v>S.75</v>
          </cell>
        </row>
        <row r="526">
          <cell r="C526">
            <v>39472</v>
          </cell>
          <cell r="D526" t="str">
            <v>S.75</v>
          </cell>
        </row>
        <row r="527">
          <cell r="C527">
            <v>39473</v>
          </cell>
          <cell r="D527" t="str">
            <v>S.75</v>
          </cell>
        </row>
        <row r="528">
          <cell r="C528">
            <v>39474</v>
          </cell>
          <cell r="D528" t="str">
            <v>S.75</v>
          </cell>
        </row>
        <row r="529">
          <cell r="C529">
            <v>39475</v>
          </cell>
          <cell r="D529" t="str">
            <v>S.76</v>
          </cell>
        </row>
        <row r="530">
          <cell r="C530">
            <v>39476</v>
          </cell>
          <cell r="D530" t="str">
            <v>S.76</v>
          </cell>
        </row>
        <row r="531">
          <cell r="C531">
            <v>39477</v>
          </cell>
          <cell r="D531" t="str">
            <v>S.76</v>
          </cell>
        </row>
        <row r="532">
          <cell r="C532">
            <v>39478</v>
          </cell>
          <cell r="D532" t="str">
            <v>S.76</v>
          </cell>
        </row>
        <row r="533">
          <cell r="C533">
            <v>39479</v>
          </cell>
          <cell r="D533" t="str">
            <v>S.76</v>
          </cell>
        </row>
        <row r="534">
          <cell r="C534">
            <v>39480</v>
          </cell>
          <cell r="D534" t="str">
            <v>S.76</v>
          </cell>
        </row>
        <row r="535">
          <cell r="C535">
            <v>39481</v>
          </cell>
          <cell r="D535" t="str">
            <v>S.76</v>
          </cell>
        </row>
      </sheetData>
      <sheetData sheetId="14" refreshError="1">
        <row r="3">
          <cell r="B3" t="str">
            <v>DATA</v>
          </cell>
          <cell r="C3" t="str">
            <v>MÊS</v>
          </cell>
        </row>
        <row r="4">
          <cell r="B4">
            <v>38353</v>
          </cell>
          <cell r="C4">
            <v>1</v>
          </cell>
        </row>
        <row r="5">
          <cell r="B5">
            <v>38354</v>
          </cell>
          <cell r="C5">
            <v>1</v>
          </cell>
        </row>
        <row r="6">
          <cell r="B6">
            <v>38355</v>
          </cell>
          <cell r="C6">
            <v>1</v>
          </cell>
        </row>
        <row r="7">
          <cell r="B7">
            <v>38356</v>
          </cell>
          <cell r="C7">
            <v>1</v>
          </cell>
        </row>
        <row r="8">
          <cell r="B8">
            <v>38357</v>
          </cell>
          <cell r="C8">
            <v>1</v>
          </cell>
        </row>
        <row r="9">
          <cell r="B9">
            <v>38358</v>
          </cell>
          <cell r="C9">
            <v>1</v>
          </cell>
        </row>
        <row r="10">
          <cell r="B10">
            <v>38359</v>
          </cell>
          <cell r="C10">
            <v>1</v>
          </cell>
        </row>
        <row r="11">
          <cell r="B11">
            <v>38360</v>
          </cell>
          <cell r="C11">
            <v>1</v>
          </cell>
        </row>
        <row r="12">
          <cell r="B12">
            <v>38361</v>
          </cell>
          <cell r="C12">
            <v>1</v>
          </cell>
        </row>
        <row r="13">
          <cell r="B13">
            <v>38362</v>
          </cell>
          <cell r="C13">
            <v>1</v>
          </cell>
        </row>
        <row r="14">
          <cell r="B14">
            <v>38363</v>
          </cell>
          <cell r="C14">
            <v>1</v>
          </cell>
        </row>
        <row r="15">
          <cell r="B15">
            <v>38364</v>
          </cell>
          <cell r="C15">
            <v>1</v>
          </cell>
        </row>
        <row r="16">
          <cell r="B16">
            <v>38365</v>
          </cell>
          <cell r="C16">
            <v>1</v>
          </cell>
        </row>
        <row r="17">
          <cell r="B17">
            <v>38366</v>
          </cell>
          <cell r="C17">
            <v>1</v>
          </cell>
        </row>
        <row r="18">
          <cell r="B18">
            <v>38367</v>
          </cell>
          <cell r="C18">
            <v>1</v>
          </cell>
        </row>
        <row r="19">
          <cell r="B19">
            <v>38368</v>
          </cell>
          <cell r="C19">
            <v>1</v>
          </cell>
        </row>
        <row r="20">
          <cell r="B20">
            <v>38369</v>
          </cell>
          <cell r="C20">
            <v>1</v>
          </cell>
        </row>
        <row r="21">
          <cell r="B21">
            <v>38370</v>
          </cell>
          <cell r="C21">
            <v>1</v>
          </cell>
        </row>
        <row r="22">
          <cell r="B22">
            <v>38371</v>
          </cell>
          <cell r="C22">
            <v>1</v>
          </cell>
        </row>
        <row r="23">
          <cell r="B23">
            <v>38372</v>
          </cell>
          <cell r="C23">
            <v>1</v>
          </cell>
        </row>
        <row r="24">
          <cell r="B24">
            <v>38373</v>
          </cell>
          <cell r="C24">
            <v>1</v>
          </cell>
        </row>
        <row r="25">
          <cell r="B25">
            <v>38374</v>
          </cell>
          <cell r="C25">
            <v>1</v>
          </cell>
        </row>
        <row r="26">
          <cell r="B26">
            <v>38375</v>
          </cell>
          <cell r="C26">
            <v>1</v>
          </cell>
        </row>
        <row r="27">
          <cell r="B27">
            <v>38376</v>
          </cell>
          <cell r="C27">
            <v>1</v>
          </cell>
        </row>
        <row r="28">
          <cell r="B28">
            <v>38377</v>
          </cell>
          <cell r="C28">
            <v>1</v>
          </cell>
        </row>
        <row r="29">
          <cell r="B29">
            <v>38378</v>
          </cell>
          <cell r="C29">
            <v>1</v>
          </cell>
        </row>
        <row r="30">
          <cell r="B30">
            <v>38379</v>
          </cell>
          <cell r="C30">
            <v>1</v>
          </cell>
        </row>
        <row r="31">
          <cell r="B31">
            <v>38380</v>
          </cell>
          <cell r="C31">
            <v>1</v>
          </cell>
        </row>
        <row r="32">
          <cell r="B32">
            <v>38381</v>
          </cell>
          <cell r="C32">
            <v>1</v>
          </cell>
        </row>
        <row r="33">
          <cell r="B33">
            <v>38382</v>
          </cell>
          <cell r="C33">
            <v>1</v>
          </cell>
        </row>
        <row r="34">
          <cell r="B34">
            <v>38383</v>
          </cell>
          <cell r="C34">
            <v>1</v>
          </cell>
        </row>
        <row r="35">
          <cell r="B35">
            <v>38384</v>
          </cell>
          <cell r="C35">
            <v>2</v>
          </cell>
        </row>
        <row r="36">
          <cell r="B36">
            <v>38385</v>
          </cell>
          <cell r="C36">
            <v>2</v>
          </cell>
        </row>
        <row r="37">
          <cell r="B37">
            <v>38386</v>
          </cell>
          <cell r="C37">
            <v>2</v>
          </cell>
        </row>
        <row r="38">
          <cell r="B38">
            <v>38387</v>
          </cell>
          <cell r="C38">
            <v>2</v>
          </cell>
        </row>
        <row r="39">
          <cell r="B39">
            <v>38388</v>
          </cell>
          <cell r="C39">
            <v>2</v>
          </cell>
        </row>
        <row r="40">
          <cell r="B40">
            <v>38389</v>
          </cell>
          <cell r="C40">
            <v>2</v>
          </cell>
        </row>
        <row r="41">
          <cell r="B41">
            <v>38390</v>
          </cell>
          <cell r="C41">
            <v>2</v>
          </cell>
        </row>
        <row r="42">
          <cell r="B42">
            <v>38391</v>
          </cell>
          <cell r="C42">
            <v>2</v>
          </cell>
        </row>
        <row r="43">
          <cell r="B43">
            <v>38392</v>
          </cell>
          <cell r="C43">
            <v>2</v>
          </cell>
        </row>
        <row r="44">
          <cell r="B44">
            <v>38393</v>
          </cell>
          <cell r="C44">
            <v>2</v>
          </cell>
        </row>
        <row r="45">
          <cell r="B45">
            <v>38394</v>
          </cell>
          <cell r="C45">
            <v>2</v>
          </cell>
        </row>
        <row r="46">
          <cell r="B46">
            <v>38395</v>
          </cell>
          <cell r="C46">
            <v>2</v>
          </cell>
        </row>
        <row r="47">
          <cell r="B47">
            <v>38396</v>
          </cell>
          <cell r="C47">
            <v>2</v>
          </cell>
        </row>
        <row r="48">
          <cell r="B48">
            <v>38397</v>
          </cell>
          <cell r="C48">
            <v>2</v>
          </cell>
        </row>
        <row r="49">
          <cell r="B49">
            <v>38398</v>
          </cell>
          <cell r="C49">
            <v>2</v>
          </cell>
        </row>
        <row r="50">
          <cell r="B50">
            <v>38399</v>
          </cell>
          <cell r="C50">
            <v>2</v>
          </cell>
        </row>
        <row r="51">
          <cell r="B51">
            <v>38400</v>
          </cell>
          <cell r="C51">
            <v>2</v>
          </cell>
        </row>
        <row r="52">
          <cell r="B52">
            <v>38401</v>
          </cell>
          <cell r="C52">
            <v>2</v>
          </cell>
        </row>
        <row r="53">
          <cell r="B53">
            <v>38402</v>
          </cell>
          <cell r="C53">
            <v>2</v>
          </cell>
        </row>
        <row r="54">
          <cell r="B54">
            <v>38403</v>
          </cell>
          <cell r="C54">
            <v>2</v>
          </cell>
        </row>
        <row r="55">
          <cell r="B55">
            <v>38404</v>
          </cell>
          <cell r="C55">
            <v>2</v>
          </cell>
        </row>
        <row r="56">
          <cell r="B56">
            <v>38405</v>
          </cell>
          <cell r="C56">
            <v>2</v>
          </cell>
        </row>
        <row r="57">
          <cell r="B57">
            <v>38406</v>
          </cell>
          <cell r="C57">
            <v>2</v>
          </cell>
        </row>
        <row r="58">
          <cell r="B58">
            <v>38407</v>
          </cell>
          <cell r="C58">
            <v>2</v>
          </cell>
        </row>
        <row r="59">
          <cell r="B59">
            <v>38408</v>
          </cell>
          <cell r="C59">
            <v>2</v>
          </cell>
        </row>
        <row r="60">
          <cell r="B60">
            <v>38409</v>
          </cell>
          <cell r="C60">
            <v>2</v>
          </cell>
        </row>
        <row r="61">
          <cell r="B61">
            <v>38410</v>
          </cell>
          <cell r="C61">
            <v>2</v>
          </cell>
        </row>
        <row r="62">
          <cell r="B62">
            <v>38411</v>
          </cell>
          <cell r="C62">
            <v>2</v>
          </cell>
        </row>
        <row r="63">
          <cell r="B63">
            <v>38412</v>
          </cell>
          <cell r="C63">
            <v>3</v>
          </cell>
        </row>
        <row r="64">
          <cell r="B64">
            <v>38413</v>
          </cell>
          <cell r="C64">
            <v>3</v>
          </cell>
        </row>
        <row r="65">
          <cell r="B65">
            <v>38414</v>
          </cell>
          <cell r="C65">
            <v>3</v>
          </cell>
        </row>
        <row r="66">
          <cell r="B66">
            <v>38415</v>
          </cell>
          <cell r="C66">
            <v>3</v>
          </cell>
        </row>
        <row r="67">
          <cell r="B67">
            <v>38416</v>
          </cell>
          <cell r="C67">
            <v>3</v>
          </cell>
        </row>
        <row r="68">
          <cell r="B68">
            <v>38417</v>
          </cell>
          <cell r="C68">
            <v>3</v>
          </cell>
        </row>
        <row r="69">
          <cell r="B69">
            <v>38418</v>
          </cell>
          <cell r="C69">
            <v>3</v>
          </cell>
        </row>
        <row r="70">
          <cell r="B70">
            <v>38419</v>
          </cell>
          <cell r="C70">
            <v>3</v>
          </cell>
        </row>
        <row r="71">
          <cell r="B71">
            <v>38420</v>
          </cell>
          <cell r="C71">
            <v>3</v>
          </cell>
        </row>
        <row r="72">
          <cell r="B72">
            <v>38421</v>
          </cell>
          <cell r="C72">
            <v>3</v>
          </cell>
        </row>
        <row r="73">
          <cell r="B73">
            <v>38422</v>
          </cell>
          <cell r="C73">
            <v>3</v>
          </cell>
        </row>
        <row r="74">
          <cell r="B74">
            <v>38423</v>
          </cell>
          <cell r="C74">
            <v>3</v>
          </cell>
        </row>
        <row r="75">
          <cell r="B75">
            <v>38424</v>
          </cell>
          <cell r="C75">
            <v>3</v>
          </cell>
        </row>
        <row r="76">
          <cell r="B76">
            <v>38425</v>
          </cell>
          <cell r="C76">
            <v>3</v>
          </cell>
        </row>
        <row r="77">
          <cell r="B77">
            <v>38426</v>
          </cell>
          <cell r="C77">
            <v>3</v>
          </cell>
        </row>
        <row r="78">
          <cell r="B78">
            <v>38427</v>
          </cell>
          <cell r="C78">
            <v>3</v>
          </cell>
        </row>
        <row r="79">
          <cell r="B79">
            <v>38428</v>
          </cell>
          <cell r="C79">
            <v>3</v>
          </cell>
        </row>
        <row r="80">
          <cell r="B80">
            <v>38429</v>
          </cell>
          <cell r="C80">
            <v>3</v>
          </cell>
        </row>
        <row r="81">
          <cell r="B81">
            <v>38430</v>
          </cell>
          <cell r="C81">
            <v>3</v>
          </cell>
        </row>
        <row r="82">
          <cell r="B82">
            <v>38431</v>
          </cell>
          <cell r="C82">
            <v>3</v>
          </cell>
        </row>
        <row r="83">
          <cell r="B83">
            <v>38432</v>
          </cell>
          <cell r="C83">
            <v>3</v>
          </cell>
        </row>
        <row r="84">
          <cell r="B84">
            <v>38433</v>
          </cell>
          <cell r="C84">
            <v>3</v>
          </cell>
        </row>
        <row r="85">
          <cell r="B85">
            <v>38434</v>
          </cell>
          <cell r="C85">
            <v>3</v>
          </cell>
        </row>
        <row r="86">
          <cell r="B86">
            <v>38435</v>
          </cell>
          <cell r="C86">
            <v>3</v>
          </cell>
        </row>
        <row r="87">
          <cell r="B87">
            <v>38436</v>
          </cell>
          <cell r="C87">
            <v>3</v>
          </cell>
        </row>
        <row r="88">
          <cell r="B88">
            <v>38437</v>
          </cell>
          <cell r="C88">
            <v>3</v>
          </cell>
        </row>
        <row r="89">
          <cell r="B89">
            <v>38438</v>
          </cell>
          <cell r="C89">
            <v>3</v>
          </cell>
        </row>
        <row r="90">
          <cell r="B90">
            <v>38439</v>
          </cell>
          <cell r="C90">
            <v>3</v>
          </cell>
        </row>
        <row r="91">
          <cell r="B91">
            <v>38440</v>
          </cell>
          <cell r="C91">
            <v>3</v>
          </cell>
        </row>
        <row r="92">
          <cell r="B92">
            <v>38441</v>
          </cell>
          <cell r="C92">
            <v>3</v>
          </cell>
        </row>
        <row r="93">
          <cell r="B93">
            <v>38442</v>
          </cell>
          <cell r="C93">
            <v>3</v>
          </cell>
        </row>
        <row r="94">
          <cell r="B94">
            <v>38443</v>
          </cell>
          <cell r="C94">
            <v>4</v>
          </cell>
        </row>
        <row r="95">
          <cell r="B95">
            <v>38444</v>
          </cell>
          <cell r="C95">
            <v>4</v>
          </cell>
        </row>
        <row r="96">
          <cell r="B96">
            <v>38445</v>
          </cell>
          <cell r="C96">
            <v>4</v>
          </cell>
        </row>
        <row r="97">
          <cell r="B97">
            <v>38446</v>
          </cell>
          <cell r="C97">
            <v>4</v>
          </cell>
        </row>
        <row r="98">
          <cell r="B98">
            <v>38447</v>
          </cell>
          <cell r="C98">
            <v>4</v>
          </cell>
        </row>
        <row r="99">
          <cell r="B99">
            <v>38448</v>
          </cell>
          <cell r="C99">
            <v>4</v>
          </cell>
        </row>
        <row r="100">
          <cell r="B100">
            <v>38449</v>
          </cell>
          <cell r="C100">
            <v>4</v>
          </cell>
        </row>
        <row r="101">
          <cell r="B101">
            <v>38450</v>
          </cell>
          <cell r="C101">
            <v>4</v>
          </cell>
        </row>
        <row r="102">
          <cell r="B102">
            <v>38451</v>
          </cell>
          <cell r="C102">
            <v>4</v>
          </cell>
        </row>
        <row r="103">
          <cell r="B103">
            <v>38452</v>
          </cell>
          <cell r="C103">
            <v>4</v>
          </cell>
        </row>
        <row r="104">
          <cell r="B104">
            <v>38453</v>
          </cell>
          <cell r="C104">
            <v>4</v>
          </cell>
        </row>
        <row r="105">
          <cell r="B105">
            <v>38454</v>
          </cell>
          <cell r="C105">
            <v>4</v>
          </cell>
        </row>
        <row r="106">
          <cell r="B106">
            <v>38455</v>
          </cell>
          <cell r="C106">
            <v>4</v>
          </cell>
        </row>
        <row r="107">
          <cell r="B107">
            <v>38456</v>
          </cell>
          <cell r="C107">
            <v>4</v>
          </cell>
        </row>
        <row r="108">
          <cell r="B108">
            <v>38457</v>
          </cell>
          <cell r="C108">
            <v>4</v>
          </cell>
        </row>
        <row r="109">
          <cell r="B109">
            <v>38458</v>
          </cell>
          <cell r="C109">
            <v>4</v>
          </cell>
        </row>
        <row r="110">
          <cell r="B110">
            <v>38459</v>
          </cell>
          <cell r="C110">
            <v>4</v>
          </cell>
        </row>
        <row r="111">
          <cell r="B111">
            <v>38460</v>
          </cell>
          <cell r="C111">
            <v>4</v>
          </cell>
        </row>
        <row r="112">
          <cell r="B112">
            <v>38461</v>
          </cell>
          <cell r="C112">
            <v>4</v>
          </cell>
        </row>
        <row r="113">
          <cell r="B113">
            <v>38462</v>
          </cell>
          <cell r="C113">
            <v>4</v>
          </cell>
        </row>
        <row r="114">
          <cell r="B114">
            <v>38463</v>
          </cell>
          <cell r="C114">
            <v>4</v>
          </cell>
        </row>
        <row r="115">
          <cell r="B115">
            <v>38464</v>
          </cell>
          <cell r="C115">
            <v>4</v>
          </cell>
        </row>
        <row r="116">
          <cell r="B116">
            <v>38465</v>
          </cell>
          <cell r="C116">
            <v>4</v>
          </cell>
        </row>
        <row r="117">
          <cell r="B117">
            <v>38466</v>
          </cell>
          <cell r="C117">
            <v>4</v>
          </cell>
        </row>
        <row r="118">
          <cell r="B118">
            <v>38467</v>
          </cell>
          <cell r="C118">
            <v>4</v>
          </cell>
        </row>
        <row r="119">
          <cell r="B119">
            <v>38468</v>
          </cell>
          <cell r="C119">
            <v>4</v>
          </cell>
        </row>
        <row r="120">
          <cell r="B120">
            <v>38469</v>
          </cell>
          <cell r="C120">
            <v>4</v>
          </cell>
        </row>
        <row r="121">
          <cell r="B121">
            <v>38470</v>
          </cell>
          <cell r="C121">
            <v>4</v>
          </cell>
        </row>
        <row r="122">
          <cell r="B122">
            <v>38471</v>
          </cell>
          <cell r="C122">
            <v>4</v>
          </cell>
        </row>
        <row r="123">
          <cell r="B123">
            <v>38472</v>
          </cell>
          <cell r="C123">
            <v>4</v>
          </cell>
        </row>
        <row r="124">
          <cell r="B124">
            <v>38473</v>
          </cell>
          <cell r="C124">
            <v>5</v>
          </cell>
        </row>
        <row r="125">
          <cell r="B125">
            <v>38474</v>
          </cell>
          <cell r="C125">
            <v>5</v>
          </cell>
        </row>
        <row r="126">
          <cell r="B126">
            <v>38475</v>
          </cell>
          <cell r="C126">
            <v>5</v>
          </cell>
        </row>
        <row r="127">
          <cell r="B127">
            <v>38476</v>
          </cell>
          <cell r="C127">
            <v>5</v>
          </cell>
        </row>
        <row r="128">
          <cell r="B128">
            <v>38477</v>
          </cell>
          <cell r="C128">
            <v>5</v>
          </cell>
        </row>
        <row r="129">
          <cell r="B129">
            <v>38478</v>
          </cell>
          <cell r="C129">
            <v>5</v>
          </cell>
        </row>
        <row r="130">
          <cell r="B130">
            <v>38479</v>
          </cell>
          <cell r="C130">
            <v>5</v>
          </cell>
        </row>
        <row r="131">
          <cell r="B131">
            <v>38480</v>
          </cell>
          <cell r="C131">
            <v>5</v>
          </cell>
        </row>
        <row r="132">
          <cell r="B132">
            <v>38481</v>
          </cell>
          <cell r="C132">
            <v>5</v>
          </cell>
        </row>
        <row r="133">
          <cell r="B133">
            <v>38482</v>
          </cell>
          <cell r="C133">
            <v>5</v>
          </cell>
        </row>
        <row r="134">
          <cell r="B134">
            <v>38483</v>
          </cell>
          <cell r="C134">
            <v>5</v>
          </cell>
        </row>
        <row r="135">
          <cell r="B135">
            <v>38484</v>
          </cell>
          <cell r="C135">
            <v>5</v>
          </cell>
        </row>
        <row r="136">
          <cell r="B136">
            <v>38485</v>
          </cell>
          <cell r="C136">
            <v>5</v>
          </cell>
        </row>
        <row r="137">
          <cell r="B137">
            <v>38486</v>
          </cell>
          <cell r="C137">
            <v>5</v>
          </cell>
        </row>
        <row r="138">
          <cell r="B138">
            <v>38487</v>
          </cell>
          <cell r="C138">
            <v>5</v>
          </cell>
        </row>
        <row r="139">
          <cell r="B139">
            <v>38488</v>
          </cell>
          <cell r="C139">
            <v>5</v>
          </cell>
        </row>
        <row r="140">
          <cell r="B140">
            <v>38489</v>
          </cell>
          <cell r="C140">
            <v>5</v>
          </cell>
        </row>
        <row r="141">
          <cell r="B141">
            <v>38490</v>
          </cell>
          <cell r="C141">
            <v>5</v>
          </cell>
        </row>
        <row r="142">
          <cell r="B142">
            <v>38491</v>
          </cell>
          <cell r="C142">
            <v>5</v>
          </cell>
        </row>
        <row r="143">
          <cell r="B143">
            <v>38492</v>
          </cell>
          <cell r="C143">
            <v>5</v>
          </cell>
        </row>
        <row r="144">
          <cell r="B144">
            <v>38493</v>
          </cell>
          <cell r="C144">
            <v>5</v>
          </cell>
        </row>
        <row r="145">
          <cell r="B145">
            <v>38494</v>
          </cell>
          <cell r="C145">
            <v>5</v>
          </cell>
        </row>
        <row r="146">
          <cell r="B146">
            <v>38495</v>
          </cell>
          <cell r="C146">
            <v>5</v>
          </cell>
        </row>
        <row r="147">
          <cell r="B147">
            <v>38496</v>
          </cell>
          <cell r="C147">
            <v>5</v>
          </cell>
        </row>
        <row r="148">
          <cell r="B148">
            <v>38497</v>
          </cell>
          <cell r="C148">
            <v>5</v>
          </cell>
        </row>
        <row r="149">
          <cell r="B149">
            <v>38498</v>
          </cell>
          <cell r="C149">
            <v>5</v>
          </cell>
        </row>
        <row r="150">
          <cell r="B150">
            <v>38499</v>
          </cell>
          <cell r="C150">
            <v>5</v>
          </cell>
        </row>
        <row r="151">
          <cell r="B151">
            <v>38500</v>
          </cell>
          <cell r="C151">
            <v>5</v>
          </cell>
        </row>
        <row r="152">
          <cell r="B152">
            <v>38501</v>
          </cell>
          <cell r="C152">
            <v>5</v>
          </cell>
        </row>
        <row r="153">
          <cell r="B153">
            <v>38502</v>
          </cell>
          <cell r="C153">
            <v>5</v>
          </cell>
        </row>
        <row r="154">
          <cell r="B154">
            <v>38503</v>
          </cell>
          <cell r="C154">
            <v>5</v>
          </cell>
        </row>
        <row r="155">
          <cell r="B155">
            <v>38504</v>
          </cell>
          <cell r="C155">
            <v>6</v>
          </cell>
        </row>
        <row r="156">
          <cell r="B156">
            <v>38505</v>
          </cell>
          <cell r="C156">
            <v>6</v>
          </cell>
        </row>
        <row r="157">
          <cell r="B157">
            <v>38506</v>
          </cell>
          <cell r="C157">
            <v>6</v>
          </cell>
        </row>
        <row r="158">
          <cell r="B158">
            <v>38507</v>
          </cell>
          <cell r="C158">
            <v>6</v>
          </cell>
        </row>
        <row r="159">
          <cell r="B159">
            <v>38508</v>
          </cell>
          <cell r="C159">
            <v>6</v>
          </cell>
        </row>
        <row r="160">
          <cell r="B160">
            <v>38509</v>
          </cell>
          <cell r="C160">
            <v>6</v>
          </cell>
        </row>
        <row r="161">
          <cell r="B161">
            <v>38510</v>
          </cell>
          <cell r="C161">
            <v>6</v>
          </cell>
        </row>
        <row r="162">
          <cell r="B162">
            <v>38511</v>
          </cell>
          <cell r="C162">
            <v>6</v>
          </cell>
        </row>
        <row r="163">
          <cell r="B163">
            <v>38512</v>
          </cell>
          <cell r="C163">
            <v>6</v>
          </cell>
        </row>
        <row r="164">
          <cell r="B164">
            <v>38513</v>
          </cell>
          <cell r="C164">
            <v>6</v>
          </cell>
        </row>
        <row r="165">
          <cell r="B165">
            <v>38514</v>
          </cell>
          <cell r="C165">
            <v>6</v>
          </cell>
        </row>
        <row r="166">
          <cell r="B166">
            <v>38515</v>
          </cell>
          <cell r="C166">
            <v>6</v>
          </cell>
        </row>
        <row r="167">
          <cell r="B167">
            <v>38516</v>
          </cell>
          <cell r="C167">
            <v>6</v>
          </cell>
        </row>
        <row r="168">
          <cell r="B168">
            <v>38517</v>
          </cell>
          <cell r="C168">
            <v>6</v>
          </cell>
        </row>
        <row r="169">
          <cell r="B169">
            <v>38518</v>
          </cell>
          <cell r="C169">
            <v>6</v>
          </cell>
        </row>
        <row r="170">
          <cell r="B170">
            <v>38519</v>
          </cell>
          <cell r="C170">
            <v>6</v>
          </cell>
        </row>
        <row r="171">
          <cell r="B171">
            <v>38520</v>
          </cell>
          <cell r="C171">
            <v>6</v>
          </cell>
        </row>
        <row r="172">
          <cell r="B172">
            <v>38521</v>
          </cell>
          <cell r="C172">
            <v>6</v>
          </cell>
        </row>
        <row r="173">
          <cell r="B173">
            <v>38522</v>
          </cell>
          <cell r="C173">
            <v>6</v>
          </cell>
        </row>
        <row r="174">
          <cell r="B174">
            <v>38523</v>
          </cell>
          <cell r="C174">
            <v>6</v>
          </cell>
        </row>
        <row r="175">
          <cell r="B175">
            <v>38524</v>
          </cell>
          <cell r="C175">
            <v>6</v>
          </cell>
        </row>
        <row r="176">
          <cell r="B176">
            <v>38525</v>
          </cell>
          <cell r="C176">
            <v>6</v>
          </cell>
        </row>
        <row r="177">
          <cell r="B177">
            <v>38526</v>
          </cell>
          <cell r="C177">
            <v>6</v>
          </cell>
        </row>
        <row r="178">
          <cell r="B178">
            <v>38527</v>
          </cell>
          <cell r="C178">
            <v>6</v>
          </cell>
        </row>
        <row r="179">
          <cell r="B179">
            <v>38528</v>
          </cell>
          <cell r="C179">
            <v>6</v>
          </cell>
        </row>
        <row r="180">
          <cell r="B180">
            <v>38529</v>
          </cell>
          <cell r="C180">
            <v>6</v>
          </cell>
        </row>
        <row r="181">
          <cell r="B181">
            <v>38530</v>
          </cell>
          <cell r="C181">
            <v>6</v>
          </cell>
        </row>
        <row r="182">
          <cell r="B182">
            <v>38531</v>
          </cell>
          <cell r="C182">
            <v>6</v>
          </cell>
        </row>
        <row r="183">
          <cell r="B183">
            <v>38532</v>
          </cell>
          <cell r="C183">
            <v>6</v>
          </cell>
        </row>
        <row r="184">
          <cell r="B184">
            <v>38533</v>
          </cell>
          <cell r="C184">
            <v>6</v>
          </cell>
        </row>
        <row r="185">
          <cell r="B185">
            <v>38534</v>
          </cell>
          <cell r="C185">
            <v>7</v>
          </cell>
        </row>
        <row r="186">
          <cell r="B186">
            <v>38535</v>
          </cell>
          <cell r="C186">
            <v>7</v>
          </cell>
        </row>
        <row r="187">
          <cell r="B187">
            <v>38536</v>
          </cell>
          <cell r="C187">
            <v>7</v>
          </cell>
        </row>
        <row r="188">
          <cell r="B188">
            <v>38537</v>
          </cell>
          <cell r="C188">
            <v>7</v>
          </cell>
        </row>
        <row r="189">
          <cell r="B189">
            <v>38538</v>
          </cell>
          <cell r="C189">
            <v>7</v>
          </cell>
        </row>
        <row r="190">
          <cell r="B190">
            <v>38539</v>
          </cell>
          <cell r="C190">
            <v>7</v>
          </cell>
        </row>
        <row r="191">
          <cell r="B191">
            <v>38540</v>
          </cell>
          <cell r="C191">
            <v>7</v>
          </cell>
        </row>
        <row r="192">
          <cell r="B192">
            <v>38541</v>
          </cell>
          <cell r="C192">
            <v>7</v>
          </cell>
        </row>
        <row r="193">
          <cell r="B193">
            <v>38542</v>
          </cell>
          <cell r="C193">
            <v>7</v>
          </cell>
        </row>
        <row r="194">
          <cell r="B194">
            <v>38543</v>
          </cell>
          <cell r="C194">
            <v>7</v>
          </cell>
        </row>
        <row r="195">
          <cell r="B195">
            <v>38544</v>
          </cell>
          <cell r="C195">
            <v>7</v>
          </cell>
        </row>
        <row r="196">
          <cell r="B196">
            <v>38545</v>
          </cell>
          <cell r="C196">
            <v>7</v>
          </cell>
        </row>
        <row r="197">
          <cell r="B197">
            <v>38546</v>
          </cell>
          <cell r="C197">
            <v>7</v>
          </cell>
        </row>
        <row r="198">
          <cell r="B198">
            <v>38547</v>
          </cell>
          <cell r="C198">
            <v>7</v>
          </cell>
        </row>
        <row r="199">
          <cell r="B199">
            <v>38548</v>
          </cell>
          <cell r="C199">
            <v>7</v>
          </cell>
        </row>
        <row r="200">
          <cell r="B200">
            <v>38549</v>
          </cell>
          <cell r="C200">
            <v>7</v>
          </cell>
        </row>
        <row r="201">
          <cell r="B201">
            <v>38550</v>
          </cell>
          <cell r="C201">
            <v>7</v>
          </cell>
        </row>
        <row r="202">
          <cell r="B202">
            <v>38551</v>
          </cell>
          <cell r="C202">
            <v>7</v>
          </cell>
        </row>
        <row r="203">
          <cell r="B203">
            <v>38552</v>
          </cell>
          <cell r="C203">
            <v>7</v>
          </cell>
        </row>
        <row r="204">
          <cell r="B204">
            <v>38553</v>
          </cell>
          <cell r="C204">
            <v>7</v>
          </cell>
        </row>
        <row r="205">
          <cell r="B205">
            <v>38554</v>
          </cell>
          <cell r="C205">
            <v>7</v>
          </cell>
        </row>
        <row r="206">
          <cell r="B206">
            <v>38555</v>
          </cell>
          <cell r="C206">
            <v>7</v>
          </cell>
        </row>
        <row r="207">
          <cell r="B207">
            <v>38556</v>
          </cell>
          <cell r="C207">
            <v>7</v>
          </cell>
        </row>
        <row r="208">
          <cell r="B208">
            <v>38557</v>
          </cell>
          <cell r="C208">
            <v>7</v>
          </cell>
        </row>
        <row r="209">
          <cell r="B209">
            <v>38558</v>
          </cell>
          <cell r="C209">
            <v>7</v>
          </cell>
        </row>
        <row r="210">
          <cell r="B210">
            <v>38559</v>
          </cell>
          <cell r="C210">
            <v>7</v>
          </cell>
        </row>
        <row r="211">
          <cell r="B211">
            <v>38560</v>
          </cell>
          <cell r="C211">
            <v>7</v>
          </cell>
        </row>
        <row r="212">
          <cell r="B212">
            <v>38561</v>
          </cell>
          <cell r="C212">
            <v>7</v>
          </cell>
        </row>
        <row r="213">
          <cell r="B213">
            <v>38562</v>
          </cell>
          <cell r="C213">
            <v>7</v>
          </cell>
        </row>
        <row r="214">
          <cell r="B214">
            <v>38563</v>
          </cell>
          <cell r="C214">
            <v>7</v>
          </cell>
        </row>
        <row r="215">
          <cell r="B215">
            <v>38564</v>
          </cell>
          <cell r="C215">
            <v>7</v>
          </cell>
        </row>
        <row r="216">
          <cell r="B216">
            <v>38565</v>
          </cell>
          <cell r="C216">
            <v>8</v>
          </cell>
        </row>
        <row r="217">
          <cell r="B217">
            <v>38566</v>
          </cell>
          <cell r="C217">
            <v>8</v>
          </cell>
        </row>
        <row r="218">
          <cell r="B218">
            <v>38567</v>
          </cell>
          <cell r="C218">
            <v>8</v>
          </cell>
        </row>
        <row r="219">
          <cell r="B219">
            <v>38568</v>
          </cell>
          <cell r="C219">
            <v>8</v>
          </cell>
        </row>
        <row r="220">
          <cell r="B220">
            <v>38569</v>
          </cell>
          <cell r="C220">
            <v>8</v>
          </cell>
        </row>
        <row r="221">
          <cell r="B221">
            <v>38570</v>
          </cell>
          <cell r="C221">
            <v>8</v>
          </cell>
        </row>
        <row r="222">
          <cell r="B222">
            <v>38571</v>
          </cell>
          <cell r="C222">
            <v>8</v>
          </cell>
        </row>
        <row r="223">
          <cell r="B223">
            <v>38572</v>
          </cell>
          <cell r="C223">
            <v>8</v>
          </cell>
        </row>
        <row r="224">
          <cell r="B224">
            <v>38573</v>
          </cell>
          <cell r="C224">
            <v>8</v>
          </cell>
        </row>
        <row r="225">
          <cell r="B225">
            <v>38574</v>
          </cell>
          <cell r="C225">
            <v>8</v>
          </cell>
        </row>
        <row r="226">
          <cell r="B226">
            <v>38575</v>
          </cell>
          <cell r="C226">
            <v>8</v>
          </cell>
        </row>
        <row r="227">
          <cell r="B227">
            <v>38576</v>
          </cell>
          <cell r="C227">
            <v>8</v>
          </cell>
        </row>
        <row r="228">
          <cell r="B228">
            <v>38577</v>
          </cell>
          <cell r="C228">
            <v>8</v>
          </cell>
        </row>
        <row r="229">
          <cell r="B229">
            <v>38578</v>
          </cell>
          <cell r="C229">
            <v>8</v>
          </cell>
        </row>
        <row r="230">
          <cell r="B230">
            <v>38579</v>
          </cell>
          <cell r="C230">
            <v>8</v>
          </cell>
        </row>
        <row r="231">
          <cell r="B231">
            <v>38580</v>
          </cell>
          <cell r="C231">
            <v>8</v>
          </cell>
        </row>
        <row r="232">
          <cell r="B232">
            <v>38581</v>
          </cell>
          <cell r="C232">
            <v>8</v>
          </cell>
        </row>
        <row r="233">
          <cell r="B233">
            <v>38582</v>
          </cell>
          <cell r="C233">
            <v>8</v>
          </cell>
        </row>
        <row r="234">
          <cell r="B234">
            <v>38583</v>
          </cell>
          <cell r="C234">
            <v>8</v>
          </cell>
        </row>
        <row r="235">
          <cell r="B235">
            <v>38584</v>
          </cell>
          <cell r="C235">
            <v>8</v>
          </cell>
        </row>
        <row r="236">
          <cell r="B236">
            <v>38585</v>
          </cell>
          <cell r="C236">
            <v>8</v>
          </cell>
        </row>
        <row r="237">
          <cell r="B237">
            <v>38586</v>
          </cell>
          <cell r="C237">
            <v>8</v>
          </cell>
        </row>
        <row r="238">
          <cell r="B238">
            <v>38587</v>
          </cell>
          <cell r="C238">
            <v>8</v>
          </cell>
        </row>
        <row r="239">
          <cell r="B239">
            <v>38588</v>
          </cell>
          <cell r="C239">
            <v>8</v>
          </cell>
        </row>
        <row r="240">
          <cell r="B240">
            <v>38589</v>
          </cell>
          <cell r="C240">
            <v>8</v>
          </cell>
        </row>
        <row r="241">
          <cell r="B241">
            <v>38590</v>
          </cell>
          <cell r="C241">
            <v>8</v>
          </cell>
        </row>
        <row r="242">
          <cell r="B242">
            <v>38591</v>
          </cell>
          <cell r="C242">
            <v>8</v>
          </cell>
        </row>
        <row r="243">
          <cell r="B243">
            <v>38592</v>
          </cell>
          <cell r="C243">
            <v>8</v>
          </cell>
        </row>
        <row r="244">
          <cell r="B244">
            <v>38593</v>
          </cell>
          <cell r="C244">
            <v>8</v>
          </cell>
        </row>
        <row r="245">
          <cell r="B245">
            <v>38594</v>
          </cell>
          <cell r="C245">
            <v>8</v>
          </cell>
        </row>
        <row r="246">
          <cell r="B246">
            <v>38595</v>
          </cell>
          <cell r="C246">
            <v>8</v>
          </cell>
        </row>
        <row r="247">
          <cell r="B247">
            <v>38596</v>
          </cell>
          <cell r="C247">
            <v>9</v>
          </cell>
        </row>
        <row r="248">
          <cell r="B248">
            <v>38597</v>
          </cell>
          <cell r="C248">
            <v>9</v>
          </cell>
        </row>
        <row r="249">
          <cell r="B249">
            <v>38598</v>
          </cell>
          <cell r="C249">
            <v>9</v>
          </cell>
        </row>
        <row r="250">
          <cell r="B250">
            <v>38599</v>
          </cell>
          <cell r="C250">
            <v>9</v>
          </cell>
        </row>
        <row r="251">
          <cell r="B251">
            <v>38600</v>
          </cell>
          <cell r="C251">
            <v>9</v>
          </cell>
        </row>
        <row r="252">
          <cell r="B252">
            <v>38601</v>
          </cell>
          <cell r="C252">
            <v>9</v>
          </cell>
        </row>
        <row r="253">
          <cell r="B253">
            <v>38602</v>
          </cell>
          <cell r="C253">
            <v>9</v>
          </cell>
        </row>
        <row r="254">
          <cell r="B254">
            <v>38603</v>
          </cell>
          <cell r="C254">
            <v>9</v>
          </cell>
        </row>
        <row r="255">
          <cell r="B255">
            <v>38604</v>
          </cell>
          <cell r="C255">
            <v>9</v>
          </cell>
        </row>
        <row r="256">
          <cell r="B256">
            <v>38605</v>
          </cell>
          <cell r="C256">
            <v>9</v>
          </cell>
        </row>
        <row r="257">
          <cell r="B257">
            <v>38606</v>
          </cell>
          <cell r="C257">
            <v>9</v>
          </cell>
        </row>
        <row r="258">
          <cell r="B258">
            <v>38607</v>
          </cell>
          <cell r="C258">
            <v>9</v>
          </cell>
        </row>
        <row r="259">
          <cell r="B259">
            <v>38608</v>
          </cell>
          <cell r="C259">
            <v>9</v>
          </cell>
        </row>
        <row r="260">
          <cell r="B260">
            <v>38609</v>
          </cell>
          <cell r="C260">
            <v>9</v>
          </cell>
        </row>
        <row r="261">
          <cell r="B261">
            <v>38610</v>
          </cell>
          <cell r="C261">
            <v>9</v>
          </cell>
        </row>
        <row r="262">
          <cell r="B262">
            <v>38611</v>
          </cell>
          <cell r="C262">
            <v>9</v>
          </cell>
        </row>
        <row r="263">
          <cell r="B263">
            <v>38612</v>
          </cell>
          <cell r="C263">
            <v>9</v>
          </cell>
        </row>
        <row r="264">
          <cell r="B264">
            <v>38613</v>
          </cell>
          <cell r="C264">
            <v>9</v>
          </cell>
        </row>
        <row r="265">
          <cell r="B265">
            <v>38614</v>
          </cell>
          <cell r="C265">
            <v>9</v>
          </cell>
        </row>
        <row r="266">
          <cell r="B266">
            <v>38615</v>
          </cell>
          <cell r="C266">
            <v>9</v>
          </cell>
        </row>
        <row r="267">
          <cell r="B267">
            <v>38616</v>
          </cell>
          <cell r="C267">
            <v>9</v>
          </cell>
        </row>
        <row r="268">
          <cell r="B268">
            <v>38617</v>
          </cell>
          <cell r="C268">
            <v>9</v>
          </cell>
        </row>
        <row r="269">
          <cell r="B269">
            <v>38618</v>
          </cell>
          <cell r="C269">
            <v>9</v>
          </cell>
        </row>
        <row r="270">
          <cell r="B270">
            <v>38619</v>
          </cell>
          <cell r="C270">
            <v>9</v>
          </cell>
        </row>
        <row r="271">
          <cell r="B271">
            <v>38620</v>
          </cell>
          <cell r="C271">
            <v>9</v>
          </cell>
        </row>
        <row r="272">
          <cell r="B272">
            <v>38621</v>
          </cell>
          <cell r="C272">
            <v>9</v>
          </cell>
        </row>
        <row r="273">
          <cell r="B273">
            <v>38622</v>
          </cell>
          <cell r="C273">
            <v>9</v>
          </cell>
        </row>
        <row r="274">
          <cell r="B274">
            <v>38623</v>
          </cell>
          <cell r="C274">
            <v>9</v>
          </cell>
        </row>
        <row r="275">
          <cell r="B275">
            <v>38624</v>
          </cell>
          <cell r="C275">
            <v>9</v>
          </cell>
        </row>
        <row r="276">
          <cell r="B276">
            <v>38625</v>
          </cell>
          <cell r="C276">
            <v>9</v>
          </cell>
        </row>
        <row r="277">
          <cell r="B277">
            <v>38626</v>
          </cell>
          <cell r="C277">
            <v>10</v>
          </cell>
        </row>
        <row r="278">
          <cell r="B278">
            <v>38627</v>
          </cell>
          <cell r="C278">
            <v>10</v>
          </cell>
        </row>
        <row r="279">
          <cell r="B279">
            <v>38628</v>
          </cell>
          <cell r="C279">
            <v>10</v>
          </cell>
        </row>
        <row r="280">
          <cell r="B280">
            <v>38629</v>
          </cell>
          <cell r="C280">
            <v>10</v>
          </cell>
        </row>
        <row r="281">
          <cell r="B281">
            <v>38630</v>
          </cell>
          <cell r="C281">
            <v>10</v>
          </cell>
        </row>
        <row r="282">
          <cell r="B282">
            <v>38631</v>
          </cell>
          <cell r="C282">
            <v>10</v>
          </cell>
        </row>
        <row r="283">
          <cell r="B283">
            <v>38632</v>
          </cell>
          <cell r="C283">
            <v>10</v>
          </cell>
        </row>
        <row r="284">
          <cell r="B284">
            <v>38633</v>
          </cell>
          <cell r="C284">
            <v>10</v>
          </cell>
        </row>
        <row r="285">
          <cell r="B285">
            <v>38634</v>
          </cell>
          <cell r="C285">
            <v>10</v>
          </cell>
        </row>
        <row r="286">
          <cell r="B286">
            <v>38635</v>
          </cell>
          <cell r="C286">
            <v>10</v>
          </cell>
        </row>
        <row r="287">
          <cell r="B287">
            <v>38636</v>
          </cell>
          <cell r="C287">
            <v>10</v>
          </cell>
        </row>
        <row r="288">
          <cell r="B288">
            <v>38637</v>
          </cell>
          <cell r="C288">
            <v>10</v>
          </cell>
        </row>
        <row r="289">
          <cell r="B289">
            <v>38638</v>
          </cell>
          <cell r="C289">
            <v>10</v>
          </cell>
        </row>
        <row r="290">
          <cell r="B290">
            <v>38639</v>
          </cell>
          <cell r="C290">
            <v>10</v>
          </cell>
        </row>
        <row r="291">
          <cell r="B291">
            <v>38640</v>
          </cell>
          <cell r="C291">
            <v>10</v>
          </cell>
        </row>
        <row r="292">
          <cell r="B292">
            <v>38641</v>
          </cell>
          <cell r="C292">
            <v>10</v>
          </cell>
        </row>
        <row r="293">
          <cell r="B293">
            <v>38642</v>
          </cell>
          <cell r="C293">
            <v>10</v>
          </cell>
        </row>
        <row r="294">
          <cell r="B294">
            <v>38643</v>
          </cell>
          <cell r="C294">
            <v>10</v>
          </cell>
        </row>
        <row r="295">
          <cell r="B295">
            <v>38644</v>
          </cell>
          <cell r="C295">
            <v>10</v>
          </cell>
        </row>
        <row r="296">
          <cell r="B296">
            <v>38645</v>
          </cell>
          <cell r="C296">
            <v>10</v>
          </cell>
        </row>
        <row r="297">
          <cell r="B297">
            <v>38646</v>
          </cell>
          <cell r="C297">
            <v>10</v>
          </cell>
        </row>
        <row r="298">
          <cell r="B298">
            <v>38647</v>
          </cell>
          <cell r="C298">
            <v>10</v>
          </cell>
        </row>
        <row r="299">
          <cell r="B299">
            <v>38648</v>
          </cell>
          <cell r="C299">
            <v>10</v>
          </cell>
        </row>
        <row r="300">
          <cell r="B300">
            <v>38649</v>
          </cell>
          <cell r="C300">
            <v>10</v>
          </cell>
        </row>
        <row r="301">
          <cell r="B301">
            <v>38650</v>
          </cell>
          <cell r="C301">
            <v>10</v>
          </cell>
        </row>
        <row r="302">
          <cell r="B302">
            <v>38651</v>
          </cell>
          <cell r="C302">
            <v>10</v>
          </cell>
        </row>
        <row r="303">
          <cell r="B303">
            <v>38652</v>
          </cell>
          <cell r="C303">
            <v>10</v>
          </cell>
        </row>
        <row r="304">
          <cell r="B304">
            <v>38653</v>
          </cell>
          <cell r="C304">
            <v>10</v>
          </cell>
        </row>
        <row r="305">
          <cell r="B305">
            <v>38654</v>
          </cell>
          <cell r="C305">
            <v>10</v>
          </cell>
        </row>
        <row r="306">
          <cell r="B306">
            <v>38655</v>
          </cell>
          <cell r="C306">
            <v>10</v>
          </cell>
        </row>
        <row r="307">
          <cell r="B307">
            <v>38656</v>
          </cell>
          <cell r="C307">
            <v>10</v>
          </cell>
        </row>
        <row r="308">
          <cell r="B308">
            <v>38657</v>
          </cell>
          <cell r="C308">
            <v>11</v>
          </cell>
        </row>
        <row r="309">
          <cell r="B309">
            <v>38658</v>
          </cell>
          <cell r="C309">
            <v>11</v>
          </cell>
        </row>
        <row r="310">
          <cell r="B310">
            <v>38659</v>
          </cell>
          <cell r="C310">
            <v>11</v>
          </cell>
        </row>
        <row r="311">
          <cell r="B311">
            <v>38660</v>
          </cell>
          <cell r="C311">
            <v>11</v>
          </cell>
        </row>
        <row r="312">
          <cell r="B312">
            <v>38661</v>
          </cell>
          <cell r="C312">
            <v>11</v>
          </cell>
        </row>
        <row r="313">
          <cell r="B313">
            <v>38662</v>
          </cell>
          <cell r="C313">
            <v>11</v>
          </cell>
        </row>
        <row r="314">
          <cell r="B314">
            <v>38663</v>
          </cell>
          <cell r="C314">
            <v>11</v>
          </cell>
        </row>
        <row r="315">
          <cell r="B315">
            <v>38664</v>
          </cell>
          <cell r="C315">
            <v>11</v>
          </cell>
        </row>
        <row r="316">
          <cell r="B316">
            <v>38665</v>
          </cell>
          <cell r="C316">
            <v>11</v>
          </cell>
        </row>
        <row r="317">
          <cell r="B317">
            <v>38666</v>
          </cell>
          <cell r="C317">
            <v>11</v>
          </cell>
        </row>
        <row r="318">
          <cell r="B318">
            <v>38667</v>
          </cell>
          <cell r="C318">
            <v>11</v>
          </cell>
        </row>
        <row r="319">
          <cell r="B319">
            <v>38668</v>
          </cell>
          <cell r="C319">
            <v>11</v>
          </cell>
        </row>
        <row r="320">
          <cell r="B320">
            <v>38669</v>
          </cell>
          <cell r="C320">
            <v>11</v>
          </cell>
        </row>
        <row r="321">
          <cell r="B321">
            <v>38670</v>
          </cell>
          <cell r="C321">
            <v>11</v>
          </cell>
        </row>
        <row r="322">
          <cell r="B322">
            <v>38671</v>
          </cell>
          <cell r="C322">
            <v>11</v>
          </cell>
        </row>
        <row r="323">
          <cell r="B323">
            <v>38672</v>
          </cell>
          <cell r="C323">
            <v>11</v>
          </cell>
        </row>
        <row r="324">
          <cell r="B324">
            <v>38673</v>
          </cell>
          <cell r="C324">
            <v>11</v>
          </cell>
        </row>
        <row r="325">
          <cell r="B325">
            <v>38674</v>
          </cell>
          <cell r="C325">
            <v>11</v>
          </cell>
        </row>
        <row r="326">
          <cell r="B326">
            <v>38675</v>
          </cell>
          <cell r="C326">
            <v>11</v>
          </cell>
        </row>
        <row r="327">
          <cell r="B327">
            <v>38676</v>
          </cell>
          <cell r="C327">
            <v>11</v>
          </cell>
        </row>
        <row r="328">
          <cell r="B328">
            <v>38677</v>
          </cell>
          <cell r="C328">
            <v>11</v>
          </cell>
        </row>
        <row r="329">
          <cell r="B329">
            <v>38678</v>
          </cell>
          <cell r="C329">
            <v>11</v>
          </cell>
        </row>
        <row r="330">
          <cell r="B330">
            <v>38679</v>
          </cell>
          <cell r="C330">
            <v>11</v>
          </cell>
        </row>
        <row r="331">
          <cell r="B331">
            <v>38680</v>
          </cell>
          <cell r="C331">
            <v>11</v>
          </cell>
        </row>
        <row r="332">
          <cell r="B332">
            <v>38681</v>
          </cell>
          <cell r="C332">
            <v>11</v>
          </cell>
        </row>
        <row r="333">
          <cell r="B333">
            <v>38682</v>
          </cell>
          <cell r="C333">
            <v>11</v>
          </cell>
        </row>
        <row r="334">
          <cell r="B334">
            <v>38683</v>
          </cell>
          <cell r="C334">
            <v>11</v>
          </cell>
        </row>
        <row r="335">
          <cell r="B335">
            <v>38684</v>
          </cell>
          <cell r="C335">
            <v>11</v>
          </cell>
        </row>
        <row r="336">
          <cell r="B336">
            <v>38685</v>
          </cell>
          <cell r="C336">
            <v>11</v>
          </cell>
        </row>
        <row r="337">
          <cell r="B337">
            <v>38686</v>
          </cell>
          <cell r="C337">
            <v>11</v>
          </cell>
        </row>
        <row r="338">
          <cell r="B338">
            <v>38687</v>
          </cell>
          <cell r="C338">
            <v>12</v>
          </cell>
        </row>
        <row r="339">
          <cell r="B339">
            <v>38688</v>
          </cell>
          <cell r="C339">
            <v>12</v>
          </cell>
        </row>
        <row r="340">
          <cell r="B340">
            <v>38689</v>
          </cell>
          <cell r="C340">
            <v>12</v>
          </cell>
        </row>
        <row r="341">
          <cell r="B341">
            <v>38690</v>
          </cell>
          <cell r="C341">
            <v>12</v>
          </cell>
        </row>
        <row r="342">
          <cell r="B342">
            <v>38691</v>
          </cell>
          <cell r="C342">
            <v>12</v>
          </cell>
        </row>
        <row r="343">
          <cell r="B343">
            <v>38692</v>
          </cell>
          <cell r="C343">
            <v>12</v>
          </cell>
        </row>
        <row r="344">
          <cell r="B344">
            <v>38693</v>
          </cell>
          <cell r="C344">
            <v>12</v>
          </cell>
        </row>
        <row r="345">
          <cell r="B345">
            <v>38694</v>
          </cell>
          <cell r="C345">
            <v>12</v>
          </cell>
        </row>
        <row r="346">
          <cell r="B346">
            <v>38695</v>
          </cell>
          <cell r="C346">
            <v>12</v>
          </cell>
        </row>
        <row r="347">
          <cell r="B347">
            <v>38696</v>
          </cell>
          <cell r="C347">
            <v>12</v>
          </cell>
        </row>
        <row r="348">
          <cell r="B348">
            <v>38697</v>
          </cell>
          <cell r="C348">
            <v>12</v>
          </cell>
        </row>
        <row r="349">
          <cell r="B349">
            <v>38698</v>
          </cell>
          <cell r="C349">
            <v>12</v>
          </cell>
        </row>
        <row r="350">
          <cell r="B350">
            <v>38699</v>
          </cell>
          <cell r="C350">
            <v>12</v>
          </cell>
        </row>
        <row r="351">
          <cell r="B351">
            <v>38700</v>
          </cell>
          <cell r="C351">
            <v>12</v>
          </cell>
        </row>
        <row r="352">
          <cell r="B352">
            <v>38701</v>
          </cell>
          <cell r="C352">
            <v>12</v>
          </cell>
        </row>
        <row r="353">
          <cell r="B353">
            <v>38702</v>
          </cell>
          <cell r="C353">
            <v>12</v>
          </cell>
        </row>
        <row r="354">
          <cell r="B354">
            <v>38703</v>
          </cell>
          <cell r="C354">
            <v>12</v>
          </cell>
        </row>
        <row r="355">
          <cell r="B355">
            <v>38704</v>
          </cell>
          <cell r="C355">
            <v>12</v>
          </cell>
        </row>
        <row r="356">
          <cell r="B356">
            <v>38705</v>
          </cell>
          <cell r="C356">
            <v>12</v>
          </cell>
        </row>
        <row r="357">
          <cell r="B357">
            <v>38706</v>
          </cell>
          <cell r="C357">
            <v>12</v>
          </cell>
        </row>
        <row r="358">
          <cell r="B358">
            <v>38707</v>
          </cell>
          <cell r="C358">
            <v>12</v>
          </cell>
        </row>
        <row r="359">
          <cell r="B359">
            <v>38708</v>
          </cell>
          <cell r="C359">
            <v>12</v>
          </cell>
        </row>
        <row r="360">
          <cell r="B360">
            <v>38709</v>
          </cell>
          <cell r="C360">
            <v>12</v>
          </cell>
        </row>
        <row r="361">
          <cell r="B361">
            <v>38710</v>
          </cell>
          <cell r="C361">
            <v>12</v>
          </cell>
        </row>
        <row r="362">
          <cell r="B362">
            <v>38711</v>
          </cell>
          <cell r="C362">
            <v>12</v>
          </cell>
        </row>
        <row r="363">
          <cell r="B363">
            <v>38712</v>
          </cell>
          <cell r="C363">
            <v>12</v>
          </cell>
        </row>
        <row r="364">
          <cell r="B364">
            <v>38713</v>
          </cell>
          <cell r="C364">
            <v>12</v>
          </cell>
        </row>
        <row r="365">
          <cell r="B365">
            <v>38714</v>
          </cell>
          <cell r="C365">
            <v>12</v>
          </cell>
        </row>
        <row r="366">
          <cell r="B366">
            <v>38715</v>
          </cell>
          <cell r="C366">
            <v>12</v>
          </cell>
        </row>
        <row r="367">
          <cell r="B367">
            <v>38716</v>
          </cell>
          <cell r="C367">
            <v>12</v>
          </cell>
        </row>
        <row r="368">
          <cell r="B368">
            <v>38717</v>
          </cell>
          <cell r="C368">
            <v>12</v>
          </cell>
        </row>
        <row r="369">
          <cell r="B369">
            <v>38718</v>
          </cell>
          <cell r="C369">
            <v>1</v>
          </cell>
        </row>
        <row r="370">
          <cell r="B370">
            <v>38719</v>
          </cell>
          <cell r="C370">
            <v>1</v>
          </cell>
        </row>
        <row r="371">
          <cell r="B371">
            <v>38720</v>
          </cell>
          <cell r="C371">
            <v>1</v>
          </cell>
        </row>
        <row r="372">
          <cell r="B372">
            <v>38721</v>
          </cell>
          <cell r="C372">
            <v>1</v>
          </cell>
        </row>
        <row r="373">
          <cell r="B373">
            <v>38722</v>
          </cell>
          <cell r="C373">
            <v>1</v>
          </cell>
        </row>
        <row r="374">
          <cell r="B374">
            <v>38723</v>
          </cell>
          <cell r="C374">
            <v>1</v>
          </cell>
        </row>
        <row r="375">
          <cell r="B375">
            <v>38724</v>
          </cell>
          <cell r="C375">
            <v>1</v>
          </cell>
        </row>
        <row r="376">
          <cell r="B376">
            <v>38725</v>
          </cell>
          <cell r="C376">
            <v>1</v>
          </cell>
        </row>
        <row r="377">
          <cell r="B377">
            <v>38726</v>
          </cell>
          <cell r="C377">
            <v>1</v>
          </cell>
        </row>
        <row r="378">
          <cell r="B378">
            <v>38727</v>
          </cell>
          <cell r="C378">
            <v>1</v>
          </cell>
        </row>
        <row r="379">
          <cell r="B379">
            <v>38728</v>
          </cell>
          <cell r="C379">
            <v>1</v>
          </cell>
        </row>
        <row r="380">
          <cell r="B380">
            <v>38729</v>
          </cell>
          <cell r="C380">
            <v>1</v>
          </cell>
        </row>
        <row r="381">
          <cell r="B381">
            <v>38730</v>
          </cell>
          <cell r="C381">
            <v>1</v>
          </cell>
        </row>
        <row r="382">
          <cell r="B382">
            <v>38731</v>
          </cell>
          <cell r="C382">
            <v>1</v>
          </cell>
        </row>
        <row r="383">
          <cell r="B383">
            <v>38732</v>
          </cell>
          <cell r="C383">
            <v>1</v>
          </cell>
        </row>
        <row r="384">
          <cell r="B384">
            <v>38733</v>
          </cell>
          <cell r="C384">
            <v>1</v>
          </cell>
        </row>
        <row r="385">
          <cell r="B385">
            <v>38734</v>
          </cell>
          <cell r="C385">
            <v>1</v>
          </cell>
        </row>
        <row r="386">
          <cell r="B386">
            <v>38735</v>
          </cell>
          <cell r="C386">
            <v>1</v>
          </cell>
        </row>
        <row r="387">
          <cell r="B387">
            <v>38736</v>
          </cell>
          <cell r="C387">
            <v>1</v>
          </cell>
        </row>
        <row r="388">
          <cell r="B388">
            <v>38737</v>
          </cell>
          <cell r="C388">
            <v>1</v>
          </cell>
        </row>
        <row r="389">
          <cell r="B389">
            <v>38738</v>
          </cell>
          <cell r="C389">
            <v>1</v>
          </cell>
        </row>
        <row r="390">
          <cell r="B390">
            <v>38739</v>
          </cell>
          <cell r="C390">
            <v>1</v>
          </cell>
        </row>
        <row r="391">
          <cell r="B391">
            <v>38740</v>
          </cell>
          <cell r="C391">
            <v>1</v>
          </cell>
        </row>
        <row r="392">
          <cell r="B392">
            <v>38741</v>
          </cell>
          <cell r="C392">
            <v>1</v>
          </cell>
        </row>
        <row r="393">
          <cell r="B393">
            <v>38742</v>
          </cell>
          <cell r="C393">
            <v>1</v>
          </cell>
        </row>
        <row r="394">
          <cell r="B394">
            <v>38743</v>
          </cell>
          <cell r="C394">
            <v>1</v>
          </cell>
        </row>
        <row r="395">
          <cell r="B395">
            <v>38744</v>
          </cell>
          <cell r="C395">
            <v>1</v>
          </cell>
        </row>
        <row r="396">
          <cell r="B396">
            <v>38745</v>
          </cell>
          <cell r="C396">
            <v>1</v>
          </cell>
        </row>
        <row r="397">
          <cell r="B397">
            <v>38746</v>
          </cell>
          <cell r="C397">
            <v>1</v>
          </cell>
        </row>
        <row r="398">
          <cell r="B398">
            <v>38747</v>
          </cell>
          <cell r="C398">
            <v>1</v>
          </cell>
        </row>
        <row r="399">
          <cell r="B399">
            <v>38748</v>
          </cell>
          <cell r="C399">
            <v>1</v>
          </cell>
        </row>
        <row r="400">
          <cell r="B400">
            <v>38749</v>
          </cell>
          <cell r="C400">
            <v>2</v>
          </cell>
        </row>
        <row r="401">
          <cell r="B401">
            <v>38750</v>
          </cell>
          <cell r="C401">
            <v>2</v>
          </cell>
        </row>
        <row r="402">
          <cell r="B402">
            <v>38751</v>
          </cell>
          <cell r="C402">
            <v>2</v>
          </cell>
        </row>
        <row r="403">
          <cell r="B403">
            <v>38752</v>
          </cell>
          <cell r="C403">
            <v>2</v>
          </cell>
        </row>
        <row r="404">
          <cell r="B404">
            <v>38753</v>
          </cell>
          <cell r="C404">
            <v>2</v>
          </cell>
        </row>
        <row r="405">
          <cell r="B405">
            <v>38754</v>
          </cell>
          <cell r="C405">
            <v>2</v>
          </cell>
        </row>
        <row r="406">
          <cell r="B406">
            <v>38755</v>
          </cell>
          <cell r="C406">
            <v>2</v>
          </cell>
        </row>
        <row r="407">
          <cell r="B407">
            <v>38756</v>
          </cell>
          <cell r="C407">
            <v>2</v>
          </cell>
        </row>
        <row r="408">
          <cell r="B408">
            <v>38757</v>
          </cell>
          <cell r="C408">
            <v>2</v>
          </cell>
        </row>
        <row r="409">
          <cell r="B409">
            <v>38758</v>
          </cell>
          <cell r="C409">
            <v>2</v>
          </cell>
        </row>
        <row r="410">
          <cell r="B410">
            <v>38759</v>
          </cell>
          <cell r="C410">
            <v>2</v>
          </cell>
        </row>
        <row r="411">
          <cell r="B411">
            <v>38760</v>
          </cell>
          <cell r="C411">
            <v>2</v>
          </cell>
        </row>
        <row r="412">
          <cell r="B412">
            <v>38761</v>
          </cell>
          <cell r="C412">
            <v>2</v>
          </cell>
        </row>
        <row r="413">
          <cell r="B413">
            <v>38762</v>
          </cell>
          <cell r="C413">
            <v>2</v>
          </cell>
        </row>
        <row r="414">
          <cell r="B414">
            <v>38763</v>
          </cell>
          <cell r="C414">
            <v>2</v>
          </cell>
        </row>
        <row r="415">
          <cell r="B415">
            <v>38764</v>
          </cell>
          <cell r="C415">
            <v>2</v>
          </cell>
        </row>
        <row r="416">
          <cell r="B416">
            <v>38765</v>
          </cell>
          <cell r="C416">
            <v>2</v>
          </cell>
        </row>
        <row r="417">
          <cell r="B417">
            <v>38766</v>
          </cell>
          <cell r="C417">
            <v>2</v>
          </cell>
        </row>
        <row r="418">
          <cell r="B418">
            <v>38767</v>
          </cell>
          <cell r="C418">
            <v>2</v>
          </cell>
        </row>
        <row r="419">
          <cell r="B419">
            <v>38768</v>
          </cell>
          <cell r="C419">
            <v>2</v>
          </cell>
        </row>
        <row r="420">
          <cell r="B420">
            <v>38769</v>
          </cell>
          <cell r="C420">
            <v>2</v>
          </cell>
        </row>
        <row r="421">
          <cell r="B421">
            <v>38770</v>
          </cell>
          <cell r="C421">
            <v>2</v>
          </cell>
        </row>
        <row r="422">
          <cell r="B422">
            <v>38771</v>
          </cell>
          <cell r="C422">
            <v>2</v>
          </cell>
        </row>
        <row r="423">
          <cell r="B423">
            <v>38772</v>
          </cell>
          <cell r="C423">
            <v>2</v>
          </cell>
        </row>
        <row r="424">
          <cell r="B424">
            <v>38773</v>
          </cell>
          <cell r="C424">
            <v>2</v>
          </cell>
        </row>
        <row r="425">
          <cell r="B425">
            <v>38774</v>
          </cell>
          <cell r="C425">
            <v>2</v>
          </cell>
        </row>
        <row r="426">
          <cell r="B426">
            <v>38775</v>
          </cell>
          <cell r="C426">
            <v>2</v>
          </cell>
        </row>
        <row r="427">
          <cell r="B427">
            <v>38776</v>
          </cell>
          <cell r="C427">
            <v>2</v>
          </cell>
        </row>
        <row r="428">
          <cell r="B428">
            <v>38777</v>
          </cell>
          <cell r="C428">
            <v>3</v>
          </cell>
        </row>
        <row r="429">
          <cell r="B429">
            <v>38778</v>
          </cell>
          <cell r="C429">
            <v>3</v>
          </cell>
        </row>
        <row r="430">
          <cell r="B430">
            <v>38779</v>
          </cell>
          <cell r="C430">
            <v>3</v>
          </cell>
        </row>
        <row r="431">
          <cell r="B431">
            <v>38780</v>
          </cell>
          <cell r="C431">
            <v>3</v>
          </cell>
        </row>
        <row r="432">
          <cell r="B432">
            <v>38781</v>
          </cell>
          <cell r="C432">
            <v>3</v>
          </cell>
        </row>
        <row r="433">
          <cell r="B433">
            <v>38782</v>
          </cell>
          <cell r="C433">
            <v>3</v>
          </cell>
        </row>
        <row r="434">
          <cell r="B434">
            <v>38783</v>
          </cell>
          <cell r="C434">
            <v>3</v>
          </cell>
        </row>
        <row r="435">
          <cell r="B435">
            <v>38784</v>
          </cell>
          <cell r="C435">
            <v>3</v>
          </cell>
        </row>
        <row r="436">
          <cell r="B436">
            <v>38785</v>
          </cell>
          <cell r="C436">
            <v>3</v>
          </cell>
        </row>
        <row r="437">
          <cell r="B437">
            <v>38786</v>
          </cell>
          <cell r="C437">
            <v>3</v>
          </cell>
        </row>
        <row r="438">
          <cell r="B438">
            <v>38787</v>
          </cell>
          <cell r="C438">
            <v>3</v>
          </cell>
        </row>
        <row r="439">
          <cell r="B439">
            <v>38788</v>
          </cell>
          <cell r="C439">
            <v>3</v>
          </cell>
        </row>
        <row r="440">
          <cell r="B440">
            <v>38789</v>
          </cell>
          <cell r="C440">
            <v>3</v>
          </cell>
        </row>
        <row r="441">
          <cell r="B441">
            <v>38790</v>
          </cell>
          <cell r="C441">
            <v>3</v>
          </cell>
        </row>
        <row r="442">
          <cell r="B442">
            <v>38791</v>
          </cell>
          <cell r="C442">
            <v>3</v>
          </cell>
        </row>
        <row r="443">
          <cell r="B443">
            <v>38792</v>
          </cell>
          <cell r="C443">
            <v>3</v>
          </cell>
        </row>
        <row r="444">
          <cell r="B444">
            <v>38793</v>
          </cell>
          <cell r="C444">
            <v>3</v>
          </cell>
        </row>
        <row r="445">
          <cell r="B445">
            <v>38794</v>
          </cell>
          <cell r="C445">
            <v>3</v>
          </cell>
        </row>
        <row r="446">
          <cell r="B446">
            <v>38795</v>
          </cell>
          <cell r="C446">
            <v>3</v>
          </cell>
        </row>
        <row r="447">
          <cell r="B447">
            <v>38796</v>
          </cell>
          <cell r="C447">
            <v>3</v>
          </cell>
        </row>
        <row r="448">
          <cell r="B448">
            <v>38797</v>
          </cell>
          <cell r="C448">
            <v>3</v>
          </cell>
        </row>
        <row r="449">
          <cell r="B449">
            <v>38798</v>
          </cell>
          <cell r="C449">
            <v>3</v>
          </cell>
        </row>
        <row r="450">
          <cell r="B450">
            <v>38799</v>
          </cell>
          <cell r="C450">
            <v>3</v>
          </cell>
        </row>
        <row r="451">
          <cell r="B451">
            <v>38800</v>
          </cell>
          <cell r="C451">
            <v>3</v>
          </cell>
        </row>
        <row r="452">
          <cell r="B452">
            <v>38801</v>
          </cell>
          <cell r="C452">
            <v>3</v>
          </cell>
        </row>
        <row r="453">
          <cell r="B453">
            <v>38802</v>
          </cell>
          <cell r="C453">
            <v>3</v>
          </cell>
        </row>
        <row r="454">
          <cell r="B454">
            <v>38803</v>
          </cell>
          <cell r="C454">
            <v>3</v>
          </cell>
        </row>
        <row r="455">
          <cell r="B455">
            <v>38804</v>
          </cell>
          <cell r="C455">
            <v>3</v>
          </cell>
        </row>
        <row r="456">
          <cell r="B456">
            <v>38805</v>
          </cell>
          <cell r="C456">
            <v>3</v>
          </cell>
        </row>
        <row r="457">
          <cell r="B457">
            <v>38806</v>
          </cell>
          <cell r="C457">
            <v>3</v>
          </cell>
        </row>
        <row r="458">
          <cell r="B458">
            <v>38807</v>
          </cell>
          <cell r="C458">
            <v>3</v>
          </cell>
        </row>
        <row r="459">
          <cell r="B459">
            <v>38808</v>
          </cell>
          <cell r="C459">
            <v>4</v>
          </cell>
        </row>
        <row r="460">
          <cell r="B460">
            <v>38809</v>
          </cell>
          <cell r="C460">
            <v>4</v>
          </cell>
        </row>
        <row r="461">
          <cell r="B461">
            <v>38810</v>
          </cell>
          <cell r="C461">
            <v>4</v>
          </cell>
        </row>
        <row r="462">
          <cell r="B462">
            <v>38811</v>
          </cell>
          <cell r="C462">
            <v>4</v>
          </cell>
        </row>
        <row r="463">
          <cell r="B463">
            <v>38812</v>
          </cell>
          <cell r="C463">
            <v>4</v>
          </cell>
        </row>
        <row r="464">
          <cell r="B464">
            <v>38813</v>
          </cell>
          <cell r="C464">
            <v>4</v>
          </cell>
        </row>
        <row r="465">
          <cell r="B465">
            <v>38814</v>
          </cell>
          <cell r="C465">
            <v>4</v>
          </cell>
        </row>
        <row r="466">
          <cell r="B466">
            <v>38815</v>
          </cell>
          <cell r="C466">
            <v>4</v>
          </cell>
        </row>
        <row r="467">
          <cell r="B467">
            <v>38816</v>
          </cell>
          <cell r="C467">
            <v>4</v>
          </cell>
        </row>
        <row r="468">
          <cell r="B468">
            <v>38817</v>
          </cell>
          <cell r="C468">
            <v>4</v>
          </cell>
        </row>
        <row r="469">
          <cell r="B469">
            <v>38818</v>
          </cell>
          <cell r="C469">
            <v>4</v>
          </cell>
        </row>
        <row r="470">
          <cell r="B470">
            <v>38819</v>
          </cell>
          <cell r="C470">
            <v>4</v>
          </cell>
        </row>
        <row r="471">
          <cell r="B471">
            <v>38820</v>
          </cell>
          <cell r="C471">
            <v>4</v>
          </cell>
        </row>
        <row r="472">
          <cell r="B472">
            <v>38821</v>
          </cell>
          <cell r="C472">
            <v>4</v>
          </cell>
        </row>
        <row r="473">
          <cell r="B473">
            <v>38822</v>
          </cell>
          <cell r="C473">
            <v>4</v>
          </cell>
        </row>
        <row r="474">
          <cell r="B474">
            <v>38823</v>
          </cell>
          <cell r="C474">
            <v>4</v>
          </cell>
        </row>
        <row r="475">
          <cell r="B475">
            <v>38824</v>
          </cell>
          <cell r="C475">
            <v>4</v>
          </cell>
        </row>
        <row r="476">
          <cell r="B476">
            <v>38825</v>
          </cell>
          <cell r="C476">
            <v>4</v>
          </cell>
        </row>
        <row r="477">
          <cell r="B477">
            <v>38826</v>
          </cell>
          <cell r="C477">
            <v>4</v>
          </cell>
        </row>
        <row r="478">
          <cell r="B478">
            <v>38827</v>
          </cell>
          <cell r="C478">
            <v>4</v>
          </cell>
        </row>
        <row r="479">
          <cell r="B479">
            <v>38828</v>
          </cell>
          <cell r="C479">
            <v>4</v>
          </cell>
        </row>
        <row r="480">
          <cell r="B480">
            <v>38829</v>
          </cell>
          <cell r="C480">
            <v>4</v>
          </cell>
        </row>
        <row r="481">
          <cell r="B481">
            <v>38830</v>
          </cell>
          <cell r="C481">
            <v>4</v>
          </cell>
        </row>
        <row r="482">
          <cell r="B482">
            <v>38831</v>
          </cell>
          <cell r="C482">
            <v>4</v>
          </cell>
        </row>
        <row r="483">
          <cell r="B483">
            <v>38832</v>
          </cell>
          <cell r="C483">
            <v>4</v>
          </cell>
        </row>
        <row r="484">
          <cell r="B484">
            <v>38833</v>
          </cell>
          <cell r="C484">
            <v>4</v>
          </cell>
        </row>
        <row r="485">
          <cell r="B485">
            <v>38834</v>
          </cell>
          <cell r="C485">
            <v>4</v>
          </cell>
        </row>
        <row r="486">
          <cell r="B486">
            <v>38835</v>
          </cell>
          <cell r="C486">
            <v>4</v>
          </cell>
        </row>
        <row r="487">
          <cell r="B487">
            <v>38836</v>
          </cell>
          <cell r="C487">
            <v>4</v>
          </cell>
        </row>
        <row r="488">
          <cell r="B488">
            <v>38837</v>
          </cell>
          <cell r="C488">
            <v>4</v>
          </cell>
        </row>
        <row r="489">
          <cell r="B489">
            <v>38838</v>
          </cell>
          <cell r="C489">
            <v>5</v>
          </cell>
        </row>
        <row r="490">
          <cell r="B490">
            <v>38839</v>
          </cell>
          <cell r="C490">
            <v>5</v>
          </cell>
        </row>
        <row r="491">
          <cell r="B491">
            <v>38840</v>
          </cell>
          <cell r="C491">
            <v>5</v>
          </cell>
        </row>
        <row r="492">
          <cell r="B492">
            <v>38841</v>
          </cell>
          <cell r="C492">
            <v>5</v>
          </cell>
        </row>
        <row r="493">
          <cell r="B493">
            <v>38842</v>
          </cell>
          <cell r="C493">
            <v>5</v>
          </cell>
        </row>
        <row r="494">
          <cell r="B494">
            <v>38843</v>
          </cell>
          <cell r="C494">
            <v>5</v>
          </cell>
        </row>
        <row r="495">
          <cell r="B495">
            <v>38844</v>
          </cell>
          <cell r="C495">
            <v>5</v>
          </cell>
        </row>
        <row r="496">
          <cell r="B496">
            <v>38845</v>
          </cell>
          <cell r="C496">
            <v>5</v>
          </cell>
        </row>
        <row r="497">
          <cell r="B497">
            <v>38846</v>
          </cell>
          <cell r="C497">
            <v>5</v>
          </cell>
        </row>
        <row r="498">
          <cell r="B498">
            <v>38847</v>
          </cell>
          <cell r="C498">
            <v>5</v>
          </cell>
        </row>
        <row r="499">
          <cell r="B499">
            <v>38848</v>
          </cell>
          <cell r="C499">
            <v>5</v>
          </cell>
        </row>
        <row r="500">
          <cell r="B500">
            <v>38849</v>
          </cell>
          <cell r="C500">
            <v>5</v>
          </cell>
        </row>
        <row r="501">
          <cell r="B501">
            <v>38850</v>
          </cell>
          <cell r="C501">
            <v>5</v>
          </cell>
        </row>
        <row r="502">
          <cell r="B502">
            <v>38851</v>
          </cell>
          <cell r="C502">
            <v>5</v>
          </cell>
        </row>
        <row r="503">
          <cell r="B503">
            <v>38852</v>
          </cell>
          <cell r="C503">
            <v>5</v>
          </cell>
        </row>
        <row r="504">
          <cell r="B504">
            <v>38853</v>
          </cell>
          <cell r="C504">
            <v>5</v>
          </cell>
        </row>
        <row r="505">
          <cell r="B505">
            <v>38854</v>
          </cell>
          <cell r="C505">
            <v>5</v>
          </cell>
        </row>
        <row r="506">
          <cell r="B506">
            <v>38855</v>
          </cell>
          <cell r="C506">
            <v>5</v>
          </cell>
        </row>
        <row r="507">
          <cell r="B507">
            <v>38856</v>
          </cell>
          <cell r="C507">
            <v>5</v>
          </cell>
        </row>
        <row r="508">
          <cell r="B508">
            <v>38857</v>
          </cell>
          <cell r="C508">
            <v>5</v>
          </cell>
        </row>
        <row r="509">
          <cell r="B509">
            <v>38858</v>
          </cell>
          <cell r="C509">
            <v>5</v>
          </cell>
        </row>
        <row r="510">
          <cell r="B510">
            <v>38859</v>
          </cell>
          <cell r="C510">
            <v>5</v>
          </cell>
        </row>
        <row r="511">
          <cell r="B511">
            <v>38860</v>
          </cell>
          <cell r="C511">
            <v>5</v>
          </cell>
        </row>
        <row r="512">
          <cell r="B512">
            <v>38861</v>
          </cell>
          <cell r="C512">
            <v>5</v>
          </cell>
        </row>
        <row r="513">
          <cell r="B513">
            <v>38862</v>
          </cell>
          <cell r="C513">
            <v>5</v>
          </cell>
        </row>
        <row r="514">
          <cell r="B514">
            <v>38863</v>
          </cell>
          <cell r="C514">
            <v>5</v>
          </cell>
        </row>
        <row r="515">
          <cell r="B515">
            <v>38864</v>
          </cell>
          <cell r="C515">
            <v>5</v>
          </cell>
        </row>
        <row r="516">
          <cell r="B516">
            <v>38865</v>
          </cell>
          <cell r="C516">
            <v>5</v>
          </cell>
        </row>
        <row r="517">
          <cell r="B517">
            <v>38866</v>
          </cell>
          <cell r="C517">
            <v>5</v>
          </cell>
        </row>
        <row r="518">
          <cell r="B518">
            <v>38867</v>
          </cell>
          <cell r="C518">
            <v>5</v>
          </cell>
        </row>
        <row r="519">
          <cell r="B519">
            <v>38868</v>
          </cell>
          <cell r="C519">
            <v>5</v>
          </cell>
        </row>
        <row r="520">
          <cell r="B520">
            <v>38869</v>
          </cell>
          <cell r="C520">
            <v>6</v>
          </cell>
        </row>
        <row r="521">
          <cell r="B521">
            <v>38870</v>
          </cell>
          <cell r="C521">
            <v>6</v>
          </cell>
        </row>
        <row r="522">
          <cell r="B522">
            <v>38871</v>
          </cell>
          <cell r="C522">
            <v>6</v>
          </cell>
        </row>
        <row r="523">
          <cell r="B523">
            <v>38872</v>
          </cell>
          <cell r="C523">
            <v>6</v>
          </cell>
        </row>
        <row r="524">
          <cell r="B524">
            <v>38873</v>
          </cell>
          <cell r="C524">
            <v>6</v>
          </cell>
        </row>
        <row r="525">
          <cell r="B525">
            <v>38874</v>
          </cell>
          <cell r="C525">
            <v>6</v>
          </cell>
        </row>
        <row r="526">
          <cell r="B526">
            <v>38875</v>
          </cell>
          <cell r="C526">
            <v>6</v>
          </cell>
        </row>
        <row r="527">
          <cell r="B527">
            <v>38876</v>
          </cell>
          <cell r="C527">
            <v>6</v>
          </cell>
        </row>
        <row r="528">
          <cell r="B528">
            <v>38877</v>
          </cell>
          <cell r="C528">
            <v>6</v>
          </cell>
        </row>
        <row r="529">
          <cell r="B529">
            <v>38878</v>
          </cell>
          <cell r="C529">
            <v>6</v>
          </cell>
        </row>
        <row r="530">
          <cell r="B530">
            <v>38879</v>
          </cell>
          <cell r="C530">
            <v>6</v>
          </cell>
        </row>
        <row r="531">
          <cell r="B531">
            <v>38880</v>
          </cell>
          <cell r="C531">
            <v>6</v>
          </cell>
        </row>
        <row r="532">
          <cell r="B532">
            <v>38881</v>
          </cell>
          <cell r="C532">
            <v>6</v>
          </cell>
        </row>
        <row r="533">
          <cell r="B533">
            <v>38882</v>
          </cell>
          <cell r="C533">
            <v>6</v>
          </cell>
        </row>
        <row r="534">
          <cell r="B534">
            <v>38883</v>
          </cell>
          <cell r="C534">
            <v>6</v>
          </cell>
        </row>
        <row r="535">
          <cell r="B535">
            <v>38884</v>
          </cell>
          <cell r="C535">
            <v>6</v>
          </cell>
        </row>
        <row r="536">
          <cell r="B536">
            <v>38885</v>
          </cell>
          <cell r="C536">
            <v>6</v>
          </cell>
        </row>
        <row r="537">
          <cell r="B537">
            <v>38886</v>
          </cell>
          <cell r="C537">
            <v>6</v>
          </cell>
        </row>
        <row r="538">
          <cell r="B538">
            <v>38887</v>
          </cell>
          <cell r="C538">
            <v>6</v>
          </cell>
        </row>
        <row r="539">
          <cell r="B539">
            <v>38888</v>
          </cell>
          <cell r="C539">
            <v>6</v>
          </cell>
        </row>
        <row r="540">
          <cell r="B540">
            <v>38889</v>
          </cell>
          <cell r="C540">
            <v>6</v>
          </cell>
        </row>
        <row r="541">
          <cell r="B541">
            <v>38890</v>
          </cell>
          <cell r="C541">
            <v>6</v>
          </cell>
        </row>
        <row r="542">
          <cell r="B542">
            <v>38891</v>
          </cell>
          <cell r="C542">
            <v>6</v>
          </cell>
        </row>
        <row r="543">
          <cell r="B543">
            <v>38892</v>
          </cell>
          <cell r="C543">
            <v>6</v>
          </cell>
        </row>
        <row r="544">
          <cell r="B544">
            <v>38893</v>
          </cell>
          <cell r="C544">
            <v>6</v>
          </cell>
        </row>
        <row r="545">
          <cell r="B545">
            <v>38894</v>
          </cell>
          <cell r="C545">
            <v>6</v>
          </cell>
        </row>
        <row r="546">
          <cell r="B546">
            <v>38895</v>
          </cell>
          <cell r="C546">
            <v>6</v>
          </cell>
        </row>
        <row r="547">
          <cell r="B547">
            <v>38896</v>
          </cell>
          <cell r="C547">
            <v>6</v>
          </cell>
        </row>
        <row r="548">
          <cell r="B548">
            <v>38897</v>
          </cell>
          <cell r="C548">
            <v>6</v>
          </cell>
        </row>
        <row r="549">
          <cell r="B549">
            <v>38898</v>
          </cell>
          <cell r="C549">
            <v>6</v>
          </cell>
        </row>
        <row r="550">
          <cell r="B550">
            <v>38899</v>
          </cell>
          <cell r="C550">
            <v>7</v>
          </cell>
        </row>
        <row r="551">
          <cell r="B551">
            <v>38900</v>
          </cell>
          <cell r="C551">
            <v>7</v>
          </cell>
        </row>
        <row r="552">
          <cell r="B552">
            <v>38901</v>
          </cell>
          <cell r="C552">
            <v>7</v>
          </cell>
        </row>
        <row r="553">
          <cell r="B553">
            <v>38902</v>
          </cell>
          <cell r="C553">
            <v>7</v>
          </cell>
        </row>
        <row r="554">
          <cell r="B554">
            <v>38903</v>
          </cell>
          <cell r="C554">
            <v>7</v>
          </cell>
        </row>
        <row r="555">
          <cell r="B555">
            <v>38904</v>
          </cell>
          <cell r="C555">
            <v>7</v>
          </cell>
        </row>
        <row r="556">
          <cell r="B556">
            <v>38905</v>
          </cell>
          <cell r="C556">
            <v>7</v>
          </cell>
        </row>
        <row r="557">
          <cell r="B557">
            <v>38906</v>
          </cell>
          <cell r="C557">
            <v>7</v>
          </cell>
        </row>
        <row r="558">
          <cell r="B558">
            <v>38907</v>
          </cell>
          <cell r="C558">
            <v>7</v>
          </cell>
        </row>
        <row r="559">
          <cell r="B559">
            <v>38908</v>
          </cell>
          <cell r="C559">
            <v>7</v>
          </cell>
        </row>
        <row r="560">
          <cell r="B560">
            <v>38909</v>
          </cell>
          <cell r="C560">
            <v>7</v>
          </cell>
        </row>
        <row r="561">
          <cell r="B561">
            <v>38910</v>
          </cell>
          <cell r="C561">
            <v>7</v>
          </cell>
        </row>
        <row r="562">
          <cell r="B562">
            <v>38911</v>
          </cell>
          <cell r="C562">
            <v>7</v>
          </cell>
        </row>
        <row r="563">
          <cell r="B563">
            <v>38912</v>
          </cell>
          <cell r="C563">
            <v>7</v>
          </cell>
        </row>
        <row r="564">
          <cell r="B564">
            <v>38913</v>
          </cell>
          <cell r="C564">
            <v>7</v>
          </cell>
        </row>
        <row r="565">
          <cell r="B565">
            <v>38914</v>
          </cell>
          <cell r="C565">
            <v>7</v>
          </cell>
        </row>
        <row r="566">
          <cell r="B566">
            <v>38915</v>
          </cell>
          <cell r="C566">
            <v>7</v>
          </cell>
        </row>
        <row r="567">
          <cell r="B567">
            <v>38916</v>
          </cell>
          <cell r="C567">
            <v>7</v>
          </cell>
        </row>
        <row r="568">
          <cell r="B568">
            <v>38917</v>
          </cell>
          <cell r="C568">
            <v>7</v>
          </cell>
        </row>
        <row r="569">
          <cell r="B569">
            <v>38918</v>
          </cell>
          <cell r="C569">
            <v>7</v>
          </cell>
        </row>
        <row r="570">
          <cell r="B570">
            <v>38919</v>
          </cell>
          <cell r="C570">
            <v>7</v>
          </cell>
        </row>
        <row r="571">
          <cell r="B571">
            <v>38920</v>
          </cell>
          <cell r="C571">
            <v>7</v>
          </cell>
        </row>
        <row r="572">
          <cell r="B572">
            <v>38921</v>
          </cell>
          <cell r="C572">
            <v>7</v>
          </cell>
        </row>
        <row r="573">
          <cell r="B573">
            <v>38922</v>
          </cell>
          <cell r="C573">
            <v>7</v>
          </cell>
        </row>
        <row r="574">
          <cell r="B574">
            <v>38923</v>
          </cell>
          <cell r="C574">
            <v>7</v>
          </cell>
        </row>
        <row r="575">
          <cell r="B575">
            <v>38924</v>
          </cell>
          <cell r="C575">
            <v>7</v>
          </cell>
        </row>
        <row r="576">
          <cell r="B576">
            <v>38925</v>
          </cell>
          <cell r="C576">
            <v>7</v>
          </cell>
        </row>
        <row r="577">
          <cell r="B577">
            <v>38926</v>
          </cell>
          <cell r="C577">
            <v>7</v>
          </cell>
        </row>
        <row r="578">
          <cell r="B578">
            <v>38927</v>
          </cell>
          <cell r="C578">
            <v>7</v>
          </cell>
        </row>
        <row r="579">
          <cell r="B579">
            <v>38928</v>
          </cell>
          <cell r="C579">
            <v>7</v>
          </cell>
        </row>
        <row r="580">
          <cell r="B580">
            <v>38929</v>
          </cell>
          <cell r="C580">
            <v>7</v>
          </cell>
        </row>
        <row r="581">
          <cell r="B581">
            <v>38930</v>
          </cell>
          <cell r="C581">
            <v>8</v>
          </cell>
        </row>
        <row r="582">
          <cell r="B582">
            <v>38931</v>
          </cell>
          <cell r="C582">
            <v>8</v>
          </cell>
        </row>
        <row r="583">
          <cell r="B583">
            <v>38932</v>
          </cell>
          <cell r="C583">
            <v>8</v>
          </cell>
        </row>
        <row r="584">
          <cell r="B584">
            <v>38933</v>
          </cell>
          <cell r="C584">
            <v>8</v>
          </cell>
        </row>
        <row r="585">
          <cell r="B585">
            <v>38934</v>
          </cell>
          <cell r="C585">
            <v>8</v>
          </cell>
        </row>
        <row r="586">
          <cell r="B586">
            <v>38935</v>
          </cell>
          <cell r="C586">
            <v>8</v>
          </cell>
        </row>
        <row r="587">
          <cell r="B587">
            <v>38936</v>
          </cell>
          <cell r="C587">
            <v>8</v>
          </cell>
        </row>
        <row r="588">
          <cell r="B588">
            <v>38937</v>
          </cell>
          <cell r="C588">
            <v>8</v>
          </cell>
        </row>
        <row r="589">
          <cell r="B589">
            <v>38938</v>
          </cell>
          <cell r="C589">
            <v>8</v>
          </cell>
        </row>
        <row r="590">
          <cell r="B590">
            <v>38939</v>
          </cell>
          <cell r="C590">
            <v>8</v>
          </cell>
        </row>
        <row r="591">
          <cell r="B591">
            <v>38940</v>
          </cell>
          <cell r="C591">
            <v>8</v>
          </cell>
        </row>
        <row r="592">
          <cell r="B592">
            <v>38941</v>
          </cell>
          <cell r="C592">
            <v>8</v>
          </cell>
        </row>
        <row r="593">
          <cell r="B593">
            <v>38942</v>
          </cell>
          <cell r="C593">
            <v>8</v>
          </cell>
        </row>
        <row r="594">
          <cell r="B594">
            <v>38943</v>
          </cell>
          <cell r="C594">
            <v>8</v>
          </cell>
        </row>
        <row r="595">
          <cell r="B595">
            <v>38944</v>
          </cell>
          <cell r="C595">
            <v>8</v>
          </cell>
        </row>
        <row r="596">
          <cell r="B596">
            <v>38945</v>
          </cell>
          <cell r="C596">
            <v>8</v>
          </cell>
        </row>
        <row r="597">
          <cell r="B597">
            <v>38946</v>
          </cell>
          <cell r="C597">
            <v>8</v>
          </cell>
        </row>
        <row r="598">
          <cell r="B598">
            <v>38947</v>
          </cell>
          <cell r="C598">
            <v>8</v>
          </cell>
        </row>
        <row r="599">
          <cell r="B599">
            <v>38948</v>
          </cell>
          <cell r="C599">
            <v>8</v>
          </cell>
        </row>
        <row r="600">
          <cell r="B600">
            <v>38949</v>
          </cell>
          <cell r="C600">
            <v>8</v>
          </cell>
        </row>
        <row r="601">
          <cell r="B601">
            <v>38950</v>
          </cell>
          <cell r="C601">
            <v>8</v>
          </cell>
        </row>
        <row r="602">
          <cell r="B602">
            <v>38951</v>
          </cell>
          <cell r="C602">
            <v>8</v>
          </cell>
        </row>
        <row r="603">
          <cell r="B603">
            <v>38952</v>
          </cell>
          <cell r="C603">
            <v>8</v>
          </cell>
        </row>
        <row r="604">
          <cell r="B604">
            <v>38953</v>
          </cell>
          <cell r="C604">
            <v>8</v>
          </cell>
        </row>
        <row r="605">
          <cell r="B605">
            <v>38954</v>
          </cell>
          <cell r="C605">
            <v>8</v>
          </cell>
        </row>
        <row r="606">
          <cell r="B606">
            <v>38955</v>
          </cell>
          <cell r="C606">
            <v>8</v>
          </cell>
        </row>
        <row r="607">
          <cell r="B607">
            <v>38956</v>
          </cell>
          <cell r="C607">
            <v>8</v>
          </cell>
        </row>
        <row r="608">
          <cell r="B608">
            <v>38957</v>
          </cell>
          <cell r="C608">
            <v>8</v>
          </cell>
        </row>
        <row r="609">
          <cell r="B609">
            <v>38958</v>
          </cell>
          <cell r="C609">
            <v>8</v>
          </cell>
        </row>
        <row r="610">
          <cell r="B610">
            <v>38959</v>
          </cell>
          <cell r="C610">
            <v>8</v>
          </cell>
        </row>
        <row r="611">
          <cell r="B611">
            <v>38960</v>
          </cell>
          <cell r="C611">
            <v>8</v>
          </cell>
        </row>
        <row r="612">
          <cell r="B612">
            <v>38961</v>
          </cell>
          <cell r="C612">
            <v>9</v>
          </cell>
        </row>
        <row r="613">
          <cell r="B613">
            <v>38962</v>
          </cell>
          <cell r="C613">
            <v>9</v>
          </cell>
        </row>
        <row r="614">
          <cell r="B614">
            <v>38963</v>
          </cell>
          <cell r="C614">
            <v>9</v>
          </cell>
        </row>
        <row r="615">
          <cell r="B615">
            <v>38964</v>
          </cell>
          <cell r="C615">
            <v>9</v>
          </cell>
        </row>
        <row r="616">
          <cell r="B616">
            <v>38965</v>
          </cell>
          <cell r="C616">
            <v>9</v>
          </cell>
        </row>
        <row r="617">
          <cell r="B617">
            <v>38966</v>
          </cell>
          <cell r="C617">
            <v>9</v>
          </cell>
        </row>
        <row r="618">
          <cell r="B618">
            <v>38967</v>
          </cell>
          <cell r="C618">
            <v>9</v>
          </cell>
        </row>
        <row r="619">
          <cell r="B619">
            <v>38968</v>
          </cell>
          <cell r="C619">
            <v>9</v>
          </cell>
        </row>
        <row r="620">
          <cell r="B620">
            <v>38969</v>
          </cell>
          <cell r="C620">
            <v>9</v>
          </cell>
        </row>
        <row r="621">
          <cell r="B621">
            <v>38970</v>
          </cell>
          <cell r="C621">
            <v>9</v>
          </cell>
        </row>
        <row r="622">
          <cell r="B622">
            <v>38971</v>
          </cell>
          <cell r="C622">
            <v>9</v>
          </cell>
        </row>
        <row r="623">
          <cell r="B623">
            <v>38972</v>
          </cell>
          <cell r="C623">
            <v>9</v>
          </cell>
        </row>
        <row r="624">
          <cell r="B624">
            <v>38973</v>
          </cell>
          <cell r="C624">
            <v>9</v>
          </cell>
        </row>
        <row r="625">
          <cell r="B625">
            <v>38974</v>
          </cell>
          <cell r="C625">
            <v>9</v>
          </cell>
        </row>
        <row r="626">
          <cell r="B626">
            <v>38975</v>
          </cell>
          <cell r="C626">
            <v>9</v>
          </cell>
        </row>
        <row r="627">
          <cell r="B627">
            <v>38976</v>
          </cell>
          <cell r="C627">
            <v>9</v>
          </cell>
        </row>
        <row r="628">
          <cell r="B628">
            <v>38977</v>
          </cell>
          <cell r="C628">
            <v>9</v>
          </cell>
        </row>
        <row r="629">
          <cell r="B629">
            <v>38978</v>
          </cell>
          <cell r="C629">
            <v>9</v>
          </cell>
        </row>
        <row r="630">
          <cell r="B630">
            <v>38979</v>
          </cell>
          <cell r="C630">
            <v>9</v>
          </cell>
        </row>
        <row r="631">
          <cell r="B631">
            <v>38980</v>
          </cell>
          <cell r="C631">
            <v>9</v>
          </cell>
        </row>
        <row r="632">
          <cell r="B632">
            <v>38981</v>
          </cell>
          <cell r="C632">
            <v>9</v>
          </cell>
        </row>
        <row r="633">
          <cell r="B633">
            <v>38982</v>
          </cell>
          <cell r="C633">
            <v>9</v>
          </cell>
        </row>
        <row r="634">
          <cell r="B634">
            <v>38983</v>
          </cell>
          <cell r="C634">
            <v>9</v>
          </cell>
        </row>
        <row r="635">
          <cell r="B635">
            <v>38984</v>
          </cell>
          <cell r="C635">
            <v>9</v>
          </cell>
        </row>
        <row r="636">
          <cell r="B636">
            <v>38985</v>
          </cell>
          <cell r="C636">
            <v>9</v>
          </cell>
        </row>
        <row r="637">
          <cell r="B637">
            <v>38986</v>
          </cell>
          <cell r="C637">
            <v>9</v>
          </cell>
        </row>
        <row r="638">
          <cell r="B638">
            <v>38987</v>
          </cell>
          <cell r="C638">
            <v>9</v>
          </cell>
        </row>
        <row r="639">
          <cell r="B639">
            <v>38988</v>
          </cell>
          <cell r="C639">
            <v>9</v>
          </cell>
        </row>
        <row r="640">
          <cell r="B640">
            <v>38989</v>
          </cell>
          <cell r="C640">
            <v>9</v>
          </cell>
        </row>
        <row r="641">
          <cell r="B641">
            <v>38990</v>
          </cell>
          <cell r="C641">
            <v>9</v>
          </cell>
        </row>
        <row r="642">
          <cell r="B642">
            <v>38991</v>
          </cell>
          <cell r="C642">
            <v>10</v>
          </cell>
        </row>
        <row r="643">
          <cell r="B643">
            <v>38992</v>
          </cell>
          <cell r="C643">
            <v>10</v>
          </cell>
        </row>
        <row r="644">
          <cell r="B644">
            <v>38993</v>
          </cell>
          <cell r="C644">
            <v>10</v>
          </cell>
        </row>
        <row r="645">
          <cell r="B645">
            <v>38994</v>
          </cell>
          <cell r="C645">
            <v>10</v>
          </cell>
        </row>
        <row r="646">
          <cell r="B646">
            <v>38995</v>
          </cell>
          <cell r="C646">
            <v>10</v>
          </cell>
        </row>
        <row r="647">
          <cell r="B647">
            <v>38996</v>
          </cell>
          <cell r="C647">
            <v>10</v>
          </cell>
        </row>
        <row r="648">
          <cell r="B648">
            <v>38997</v>
          </cell>
          <cell r="C648">
            <v>10</v>
          </cell>
        </row>
        <row r="649">
          <cell r="B649">
            <v>38998</v>
          </cell>
          <cell r="C649">
            <v>10</v>
          </cell>
        </row>
        <row r="650">
          <cell r="B650">
            <v>38999</v>
          </cell>
          <cell r="C650">
            <v>10</v>
          </cell>
        </row>
        <row r="651">
          <cell r="B651">
            <v>39000</v>
          </cell>
          <cell r="C651">
            <v>10</v>
          </cell>
        </row>
        <row r="652">
          <cell r="B652">
            <v>39001</v>
          </cell>
          <cell r="C652">
            <v>10</v>
          </cell>
        </row>
        <row r="653">
          <cell r="B653">
            <v>39002</v>
          </cell>
          <cell r="C653">
            <v>10</v>
          </cell>
        </row>
        <row r="654">
          <cell r="B654">
            <v>39003</v>
          </cell>
          <cell r="C654">
            <v>10</v>
          </cell>
        </row>
        <row r="655">
          <cell r="B655">
            <v>39004</v>
          </cell>
          <cell r="C655">
            <v>10</v>
          </cell>
        </row>
        <row r="656">
          <cell r="B656">
            <v>39005</v>
          </cell>
          <cell r="C656">
            <v>10</v>
          </cell>
        </row>
        <row r="657">
          <cell r="B657">
            <v>39006</v>
          </cell>
          <cell r="C657">
            <v>10</v>
          </cell>
        </row>
        <row r="658">
          <cell r="B658">
            <v>39007</v>
          </cell>
          <cell r="C658">
            <v>10</v>
          </cell>
        </row>
        <row r="659">
          <cell r="B659">
            <v>39008</v>
          </cell>
          <cell r="C659">
            <v>10</v>
          </cell>
        </row>
        <row r="660">
          <cell r="B660">
            <v>39009</v>
          </cell>
          <cell r="C660">
            <v>10</v>
          </cell>
        </row>
        <row r="661">
          <cell r="B661">
            <v>39010</v>
          </cell>
          <cell r="C661">
            <v>10</v>
          </cell>
        </row>
        <row r="662">
          <cell r="B662">
            <v>39011</v>
          </cell>
          <cell r="C662">
            <v>10</v>
          </cell>
        </row>
        <row r="663">
          <cell r="B663">
            <v>39012</v>
          </cell>
          <cell r="C663">
            <v>10</v>
          </cell>
        </row>
        <row r="664">
          <cell r="B664">
            <v>39013</v>
          </cell>
          <cell r="C664">
            <v>10</v>
          </cell>
        </row>
        <row r="665">
          <cell r="B665">
            <v>39014</v>
          </cell>
          <cell r="C665">
            <v>10</v>
          </cell>
        </row>
        <row r="666">
          <cell r="B666">
            <v>39015</v>
          </cell>
          <cell r="C666">
            <v>10</v>
          </cell>
        </row>
        <row r="667">
          <cell r="B667">
            <v>39016</v>
          </cell>
          <cell r="C667">
            <v>10</v>
          </cell>
        </row>
        <row r="668">
          <cell r="B668">
            <v>39017</v>
          </cell>
          <cell r="C668">
            <v>10</v>
          </cell>
        </row>
        <row r="669">
          <cell r="B669">
            <v>39018</v>
          </cell>
          <cell r="C669">
            <v>10</v>
          </cell>
        </row>
        <row r="670">
          <cell r="B670">
            <v>39019</v>
          </cell>
          <cell r="C670">
            <v>10</v>
          </cell>
        </row>
        <row r="671">
          <cell r="B671">
            <v>39020</v>
          </cell>
          <cell r="C671">
            <v>10</v>
          </cell>
        </row>
        <row r="672">
          <cell r="B672">
            <v>39021</v>
          </cell>
          <cell r="C672">
            <v>10</v>
          </cell>
        </row>
        <row r="673">
          <cell r="B673">
            <v>39022</v>
          </cell>
          <cell r="C673">
            <v>11</v>
          </cell>
        </row>
        <row r="674">
          <cell r="B674">
            <v>39023</v>
          </cell>
          <cell r="C674">
            <v>11</v>
          </cell>
        </row>
        <row r="675">
          <cell r="B675">
            <v>39024</v>
          </cell>
          <cell r="C675">
            <v>11</v>
          </cell>
        </row>
        <row r="676">
          <cell r="B676">
            <v>39025</v>
          </cell>
          <cell r="C676">
            <v>11</v>
          </cell>
        </row>
        <row r="677">
          <cell r="B677">
            <v>39026</v>
          </cell>
          <cell r="C677">
            <v>11</v>
          </cell>
        </row>
        <row r="678">
          <cell r="B678">
            <v>39027</v>
          </cell>
          <cell r="C678">
            <v>11</v>
          </cell>
        </row>
        <row r="679">
          <cell r="B679">
            <v>39028</v>
          </cell>
          <cell r="C679">
            <v>11</v>
          </cell>
        </row>
        <row r="680">
          <cell r="B680">
            <v>39029</v>
          </cell>
          <cell r="C680">
            <v>11</v>
          </cell>
        </row>
        <row r="681">
          <cell r="B681">
            <v>39030</v>
          </cell>
          <cell r="C681">
            <v>11</v>
          </cell>
        </row>
        <row r="682">
          <cell r="B682">
            <v>39031</v>
          </cell>
          <cell r="C682">
            <v>11</v>
          </cell>
        </row>
        <row r="683">
          <cell r="B683">
            <v>39032</v>
          </cell>
          <cell r="C683">
            <v>11</v>
          </cell>
        </row>
        <row r="684">
          <cell r="B684">
            <v>39033</v>
          </cell>
          <cell r="C684">
            <v>11</v>
          </cell>
        </row>
        <row r="685">
          <cell r="B685">
            <v>39034</v>
          </cell>
          <cell r="C685">
            <v>11</v>
          </cell>
        </row>
        <row r="686">
          <cell r="B686">
            <v>39035</v>
          </cell>
          <cell r="C686">
            <v>11</v>
          </cell>
        </row>
        <row r="687">
          <cell r="B687">
            <v>39036</v>
          </cell>
          <cell r="C687">
            <v>11</v>
          </cell>
        </row>
        <row r="688">
          <cell r="B688">
            <v>39037</v>
          </cell>
          <cell r="C688">
            <v>11</v>
          </cell>
        </row>
        <row r="689">
          <cell r="B689">
            <v>39038</v>
          </cell>
          <cell r="C689">
            <v>11</v>
          </cell>
        </row>
        <row r="690">
          <cell r="B690">
            <v>39039</v>
          </cell>
          <cell r="C690">
            <v>11</v>
          </cell>
        </row>
        <row r="691">
          <cell r="B691">
            <v>39040</v>
          </cell>
          <cell r="C691">
            <v>11</v>
          </cell>
        </row>
        <row r="692">
          <cell r="B692">
            <v>39041</v>
          </cell>
          <cell r="C692">
            <v>11</v>
          </cell>
        </row>
        <row r="693">
          <cell r="B693">
            <v>39042</v>
          </cell>
          <cell r="C693">
            <v>11</v>
          </cell>
        </row>
        <row r="694">
          <cell r="B694">
            <v>39043</v>
          </cell>
          <cell r="C694">
            <v>11</v>
          </cell>
        </row>
        <row r="695">
          <cell r="B695">
            <v>39044</v>
          </cell>
          <cell r="C695">
            <v>11</v>
          </cell>
        </row>
        <row r="696">
          <cell r="B696">
            <v>39045</v>
          </cell>
          <cell r="C696">
            <v>11</v>
          </cell>
        </row>
        <row r="697">
          <cell r="B697">
            <v>39046</v>
          </cell>
          <cell r="C697">
            <v>11</v>
          </cell>
        </row>
        <row r="698">
          <cell r="B698">
            <v>39047</v>
          </cell>
          <cell r="C698">
            <v>11</v>
          </cell>
        </row>
        <row r="699">
          <cell r="B699">
            <v>39048</v>
          </cell>
          <cell r="C699">
            <v>11</v>
          </cell>
        </row>
        <row r="700">
          <cell r="B700">
            <v>39049</v>
          </cell>
          <cell r="C700">
            <v>11</v>
          </cell>
        </row>
        <row r="701">
          <cell r="B701">
            <v>39050</v>
          </cell>
          <cell r="C701">
            <v>11</v>
          </cell>
        </row>
        <row r="702">
          <cell r="B702">
            <v>39051</v>
          </cell>
          <cell r="C702">
            <v>11</v>
          </cell>
        </row>
        <row r="703">
          <cell r="B703">
            <v>39052</v>
          </cell>
          <cell r="C703">
            <v>12</v>
          </cell>
        </row>
        <row r="704">
          <cell r="B704">
            <v>39053</v>
          </cell>
          <cell r="C704">
            <v>12</v>
          </cell>
        </row>
        <row r="705">
          <cell r="B705">
            <v>39054</v>
          </cell>
          <cell r="C705">
            <v>12</v>
          </cell>
        </row>
        <row r="706">
          <cell r="B706">
            <v>39055</v>
          </cell>
          <cell r="C706">
            <v>12</v>
          </cell>
        </row>
        <row r="707">
          <cell r="B707">
            <v>39056</v>
          </cell>
          <cell r="C707">
            <v>12</v>
          </cell>
        </row>
        <row r="708">
          <cell r="B708">
            <v>39057</v>
          </cell>
          <cell r="C708">
            <v>12</v>
          </cell>
        </row>
        <row r="709">
          <cell r="B709">
            <v>39058</v>
          </cell>
          <cell r="C709">
            <v>12</v>
          </cell>
        </row>
        <row r="710">
          <cell r="B710">
            <v>39059</v>
          </cell>
          <cell r="C710">
            <v>12</v>
          </cell>
        </row>
        <row r="711">
          <cell r="B711">
            <v>39060</v>
          </cell>
          <cell r="C711">
            <v>12</v>
          </cell>
        </row>
        <row r="712">
          <cell r="B712">
            <v>39061</v>
          </cell>
          <cell r="C712">
            <v>12</v>
          </cell>
        </row>
        <row r="713">
          <cell r="B713">
            <v>39062</v>
          </cell>
          <cell r="C713">
            <v>12</v>
          </cell>
        </row>
        <row r="714">
          <cell r="B714">
            <v>39063</v>
          </cell>
          <cell r="C714">
            <v>12</v>
          </cell>
        </row>
        <row r="715">
          <cell r="B715">
            <v>39064</v>
          </cell>
          <cell r="C715">
            <v>12</v>
          </cell>
        </row>
        <row r="716">
          <cell r="B716">
            <v>39065</v>
          </cell>
          <cell r="C716">
            <v>12</v>
          </cell>
        </row>
        <row r="717">
          <cell r="B717">
            <v>39066</v>
          </cell>
          <cell r="C717">
            <v>12</v>
          </cell>
        </row>
        <row r="718">
          <cell r="B718">
            <v>39067</v>
          </cell>
          <cell r="C718">
            <v>12</v>
          </cell>
        </row>
        <row r="719">
          <cell r="B719">
            <v>39068</v>
          </cell>
          <cell r="C719">
            <v>12</v>
          </cell>
        </row>
        <row r="720">
          <cell r="B720">
            <v>39069</v>
          </cell>
          <cell r="C720">
            <v>12</v>
          </cell>
        </row>
        <row r="721">
          <cell r="B721">
            <v>39070</v>
          </cell>
          <cell r="C721">
            <v>12</v>
          </cell>
        </row>
        <row r="722">
          <cell r="B722">
            <v>39071</v>
          </cell>
          <cell r="C722">
            <v>12</v>
          </cell>
        </row>
        <row r="723">
          <cell r="B723">
            <v>39072</v>
          </cell>
          <cell r="C723">
            <v>12</v>
          </cell>
        </row>
        <row r="724">
          <cell r="B724">
            <v>39073</v>
          </cell>
          <cell r="C724">
            <v>12</v>
          </cell>
        </row>
        <row r="725">
          <cell r="B725">
            <v>39074</v>
          </cell>
          <cell r="C725">
            <v>12</v>
          </cell>
        </row>
        <row r="726">
          <cell r="B726">
            <v>39075</v>
          </cell>
          <cell r="C726">
            <v>12</v>
          </cell>
        </row>
        <row r="727">
          <cell r="B727">
            <v>39076</v>
          </cell>
          <cell r="C727">
            <v>12</v>
          </cell>
        </row>
        <row r="728">
          <cell r="B728">
            <v>39077</v>
          </cell>
          <cell r="C728">
            <v>12</v>
          </cell>
        </row>
        <row r="729">
          <cell r="B729">
            <v>39078</v>
          </cell>
          <cell r="C729">
            <v>12</v>
          </cell>
        </row>
        <row r="730">
          <cell r="B730">
            <v>39079</v>
          </cell>
          <cell r="C730">
            <v>12</v>
          </cell>
        </row>
        <row r="731">
          <cell r="B731">
            <v>39080</v>
          </cell>
          <cell r="C731">
            <v>12</v>
          </cell>
        </row>
        <row r="732">
          <cell r="B732">
            <v>39081</v>
          </cell>
          <cell r="C732">
            <v>12</v>
          </cell>
        </row>
        <row r="733">
          <cell r="B733">
            <v>39082</v>
          </cell>
          <cell r="C733">
            <v>12</v>
          </cell>
        </row>
        <row r="734">
          <cell r="B734">
            <v>39083</v>
          </cell>
          <cell r="C734">
            <v>1</v>
          </cell>
        </row>
        <row r="735">
          <cell r="B735">
            <v>39084</v>
          </cell>
          <cell r="C735">
            <v>1</v>
          </cell>
        </row>
        <row r="736">
          <cell r="B736">
            <v>39085</v>
          </cell>
          <cell r="C736">
            <v>1</v>
          </cell>
        </row>
        <row r="737">
          <cell r="B737">
            <v>39086</v>
          </cell>
          <cell r="C737">
            <v>1</v>
          </cell>
        </row>
        <row r="738">
          <cell r="B738">
            <v>39087</v>
          </cell>
          <cell r="C738">
            <v>1</v>
          </cell>
        </row>
        <row r="739">
          <cell r="B739">
            <v>39088</v>
          </cell>
          <cell r="C739">
            <v>1</v>
          </cell>
        </row>
        <row r="740">
          <cell r="B740">
            <v>39089</v>
          </cell>
          <cell r="C740">
            <v>1</v>
          </cell>
        </row>
        <row r="741">
          <cell r="B741">
            <v>39090</v>
          </cell>
          <cell r="C741">
            <v>1</v>
          </cell>
        </row>
        <row r="742">
          <cell r="B742">
            <v>39091</v>
          </cell>
          <cell r="C742">
            <v>1</v>
          </cell>
        </row>
        <row r="743">
          <cell r="B743">
            <v>39092</v>
          </cell>
          <cell r="C743">
            <v>1</v>
          </cell>
        </row>
        <row r="744">
          <cell r="B744">
            <v>39093</v>
          </cell>
          <cell r="C744">
            <v>1</v>
          </cell>
        </row>
        <row r="745">
          <cell r="B745">
            <v>39094</v>
          </cell>
          <cell r="C745">
            <v>1</v>
          </cell>
        </row>
        <row r="746">
          <cell r="B746">
            <v>39095</v>
          </cell>
          <cell r="C746">
            <v>1</v>
          </cell>
        </row>
        <row r="747">
          <cell r="B747">
            <v>39096</v>
          </cell>
          <cell r="C747">
            <v>1</v>
          </cell>
        </row>
        <row r="748">
          <cell r="B748">
            <v>39097</v>
          </cell>
          <cell r="C748">
            <v>1</v>
          </cell>
        </row>
        <row r="749">
          <cell r="B749">
            <v>39098</v>
          </cell>
          <cell r="C749">
            <v>1</v>
          </cell>
        </row>
        <row r="750">
          <cell r="B750">
            <v>39099</v>
          </cell>
          <cell r="C750">
            <v>1</v>
          </cell>
        </row>
        <row r="751">
          <cell r="B751">
            <v>39100</v>
          </cell>
          <cell r="C751">
            <v>1</v>
          </cell>
        </row>
        <row r="752">
          <cell r="B752">
            <v>39101</v>
          </cell>
          <cell r="C752">
            <v>1</v>
          </cell>
        </row>
        <row r="753">
          <cell r="B753">
            <v>39102</v>
          </cell>
          <cell r="C753">
            <v>1</v>
          </cell>
        </row>
        <row r="754">
          <cell r="B754">
            <v>39103</v>
          </cell>
          <cell r="C754">
            <v>1</v>
          </cell>
        </row>
        <row r="755">
          <cell r="B755">
            <v>39104</v>
          </cell>
          <cell r="C755">
            <v>1</v>
          </cell>
        </row>
        <row r="756">
          <cell r="B756">
            <v>39105</v>
          </cell>
          <cell r="C756">
            <v>1</v>
          </cell>
        </row>
        <row r="757">
          <cell r="B757">
            <v>39106</v>
          </cell>
          <cell r="C757">
            <v>1</v>
          </cell>
        </row>
        <row r="758">
          <cell r="B758">
            <v>39107</v>
          </cell>
          <cell r="C758">
            <v>1</v>
          </cell>
        </row>
        <row r="759">
          <cell r="B759">
            <v>39108</v>
          </cell>
          <cell r="C759">
            <v>1</v>
          </cell>
        </row>
        <row r="760">
          <cell r="B760">
            <v>39109</v>
          </cell>
          <cell r="C760">
            <v>1</v>
          </cell>
        </row>
        <row r="761">
          <cell r="B761">
            <v>39110</v>
          </cell>
          <cell r="C761">
            <v>1</v>
          </cell>
        </row>
        <row r="762">
          <cell r="B762">
            <v>39111</v>
          </cell>
          <cell r="C762">
            <v>1</v>
          </cell>
        </row>
        <row r="763">
          <cell r="B763">
            <v>39112</v>
          </cell>
          <cell r="C763">
            <v>1</v>
          </cell>
        </row>
        <row r="764">
          <cell r="B764">
            <v>39113</v>
          </cell>
          <cell r="C764">
            <v>1</v>
          </cell>
        </row>
        <row r="765">
          <cell r="B765">
            <v>39114</v>
          </cell>
          <cell r="C765">
            <v>2</v>
          </cell>
        </row>
        <row r="766">
          <cell r="B766">
            <v>39115</v>
          </cell>
          <cell r="C766">
            <v>2</v>
          </cell>
        </row>
        <row r="767">
          <cell r="B767">
            <v>39116</v>
          </cell>
          <cell r="C767">
            <v>2</v>
          </cell>
        </row>
        <row r="768">
          <cell r="B768">
            <v>39117</v>
          </cell>
          <cell r="C768">
            <v>2</v>
          </cell>
        </row>
        <row r="769">
          <cell r="B769">
            <v>39118</v>
          </cell>
          <cell r="C769">
            <v>2</v>
          </cell>
        </row>
        <row r="770">
          <cell r="B770">
            <v>39119</v>
          </cell>
          <cell r="C770">
            <v>2</v>
          </cell>
        </row>
        <row r="771">
          <cell r="B771">
            <v>39120</v>
          </cell>
          <cell r="C771">
            <v>2</v>
          </cell>
        </row>
        <row r="772">
          <cell r="B772">
            <v>39121</v>
          </cell>
          <cell r="C772">
            <v>2</v>
          </cell>
        </row>
        <row r="773">
          <cell r="B773">
            <v>39122</v>
          </cell>
          <cell r="C773">
            <v>2</v>
          </cell>
        </row>
        <row r="774">
          <cell r="B774">
            <v>39123</v>
          </cell>
          <cell r="C774">
            <v>2</v>
          </cell>
        </row>
        <row r="775">
          <cell r="B775">
            <v>39124</v>
          </cell>
          <cell r="C775">
            <v>2</v>
          </cell>
        </row>
        <row r="776">
          <cell r="B776">
            <v>39125</v>
          </cell>
          <cell r="C776">
            <v>2</v>
          </cell>
        </row>
        <row r="777">
          <cell r="B777">
            <v>39126</v>
          </cell>
          <cell r="C777">
            <v>2</v>
          </cell>
        </row>
        <row r="778">
          <cell r="B778">
            <v>39127</v>
          </cell>
          <cell r="C778">
            <v>2</v>
          </cell>
        </row>
        <row r="779">
          <cell r="B779">
            <v>39128</v>
          </cell>
          <cell r="C779">
            <v>2</v>
          </cell>
        </row>
        <row r="780">
          <cell r="B780">
            <v>39129</v>
          </cell>
          <cell r="C780">
            <v>2</v>
          </cell>
        </row>
        <row r="781">
          <cell r="B781">
            <v>39130</v>
          </cell>
          <cell r="C781">
            <v>2</v>
          </cell>
        </row>
        <row r="782">
          <cell r="B782">
            <v>39131</v>
          </cell>
          <cell r="C782">
            <v>2</v>
          </cell>
        </row>
        <row r="783">
          <cell r="B783">
            <v>39132</v>
          </cell>
          <cell r="C783">
            <v>2</v>
          </cell>
        </row>
        <row r="784">
          <cell r="B784">
            <v>39133</v>
          </cell>
          <cell r="C784">
            <v>2</v>
          </cell>
        </row>
        <row r="785">
          <cell r="B785">
            <v>39134</v>
          </cell>
          <cell r="C785">
            <v>2</v>
          </cell>
        </row>
        <row r="786">
          <cell r="B786">
            <v>39135</v>
          </cell>
          <cell r="C786">
            <v>2</v>
          </cell>
        </row>
        <row r="787">
          <cell r="B787">
            <v>39136</v>
          </cell>
          <cell r="C787">
            <v>2</v>
          </cell>
        </row>
        <row r="788">
          <cell r="B788">
            <v>39137</v>
          </cell>
          <cell r="C788">
            <v>2</v>
          </cell>
        </row>
        <row r="789">
          <cell r="B789">
            <v>39138</v>
          </cell>
          <cell r="C789">
            <v>2</v>
          </cell>
        </row>
        <row r="790">
          <cell r="B790">
            <v>39139</v>
          </cell>
          <cell r="C790">
            <v>2</v>
          </cell>
        </row>
        <row r="791">
          <cell r="B791">
            <v>39140</v>
          </cell>
          <cell r="C791">
            <v>2</v>
          </cell>
        </row>
        <row r="792">
          <cell r="B792">
            <v>39141</v>
          </cell>
          <cell r="C792">
            <v>2</v>
          </cell>
        </row>
        <row r="793">
          <cell r="B793">
            <v>39142</v>
          </cell>
          <cell r="C793">
            <v>3</v>
          </cell>
        </row>
        <row r="794">
          <cell r="B794">
            <v>39143</v>
          </cell>
          <cell r="C794">
            <v>3</v>
          </cell>
        </row>
        <row r="795">
          <cell r="B795">
            <v>39144</v>
          </cell>
          <cell r="C795">
            <v>3</v>
          </cell>
        </row>
        <row r="796">
          <cell r="B796">
            <v>39145</v>
          </cell>
          <cell r="C796">
            <v>3</v>
          </cell>
        </row>
        <row r="797">
          <cell r="B797">
            <v>39146</v>
          </cell>
          <cell r="C797">
            <v>3</v>
          </cell>
        </row>
        <row r="798">
          <cell r="B798">
            <v>39147</v>
          </cell>
          <cell r="C798">
            <v>3</v>
          </cell>
        </row>
        <row r="799">
          <cell r="B799">
            <v>39148</v>
          </cell>
          <cell r="C799">
            <v>3</v>
          </cell>
        </row>
        <row r="800">
          <cell r="B800">
            <v>39149</v>
          </cell>
          <cell r="C800">
            <v>3</v>
          </cell>
        </row>
        <row r="801">
          <cell r="B801">
            <v>39150</v>
          </cell>
          <cell r="C801">
            <v>3</v>
          </cell>
        </row>
        <row r="802">
          <cell r="B802">
            <v>39151</v>
          </cell>
          <cell r="C802">
            <v>3</v>
          </cell>
        </row>
        <row r="803">
          <cell r="B803">
            <v>39152</v>
          </cell>
          <cell r="C803">
            <v>3</v>
          </cell>
        </row>
        <row r="804">
          <cell r="B804">
            <v>39153</v>
          </cell>
          <cell r="C804">
            <v>3</v>
          </cell>
        </row>
        <row r="805">
          <cell r="B805">
            <v>39154</v>
          </cell>
          <cell r="C805">
            <v>3</v>
          </cell>
        </row>
        <row r="806">
          <cell r="B806">
            <v>39155</v>
          </cell>
          <cell r="C806">
            <v>3</v>
          </cell>
        </row>
        <row r="807">
          <cell r="B807">
            <v>39156</v>
          </cell>
          <cell r="C807">
            <v>3</v>
          </cell>
        </row>
        <row r="808">
          <cell r="B808">
            <v>39157</v>
          </cell>
          <cell r="C808">
            <v>3</v>
          </cell>
        </row>
        <row r="809">
          <cell r="B809">
            <v>39158</v>
          </cell>
          <cell r="C809">
            <v>3</v>
          </cell>
        </row>
        <row r="810">
          <cell r="B810">
            <v>39159</v>
          </cell>
          <cell r="C810">
            <v>3</v>
          </cell>
        </row>
        <row r="811">
          <cell r="B811">
            <v>39160</v>
          </cell>
          <cell r="C811">
            <v>3</v>
          </cell>
        </row>
        <row r="812">
          <cell r="B812">
            <v>39161</v>
          </cell>
          <cell r="C812">
            <v>3</v>
          </cell>
        </row>
        <row r="813">
          <cell r="B813">
            <v>39162</v>
          </cell>
          <cell r="C813">
            <v>3</v>
          </cell>
        </row>
        <row r="814">
          <cell r="B814">
            <v>39163</v>
          </cell>
          <cell r="C814">
            <v>3</v>
          </cell>
        </row>
        <row r="815">
          <cell r="B815">
            <v>39164</v>
          </cell>
          <cell r="C815">
            <v>3</v>
          </cell>
        </row>
        <row r="816">
          <cell r="B816">
            <v>39165</v>
          </cell>
          <cell r="C816">
            <v>3</v>
          </cell>
        </row>
        <row r="817">
          <cell r="B817">
            <v>39166</v>
          </cell>
          <cell r="C817">
            <v>3</v>
          </cell>
        </row>
        <row r="818">
          <cell r="B818">
            <v>39167</v>
          </cell>
          <cell r="C818">
            <v>3</v>
          </cell>
        </row>
        <row r="819">
          <cell r="B819">
            <v>39168</v>
          </cell>
          <cell r="C819">
            <v>3</v>
          </cell>
        </row>
        <row r="820">
          <cell r="B820">
            <v>39169</v>
          </cell>
          <cell r="C820">
            <v>3</v>
          </cell>
        </row>
        <row r="821">
          <cell r="B821">
            <v>39170</v>
          </cell>
          <cell r="C821">
            <v>3</v>
          </cell>
        </row>
        <row r="822">
          <cell r="B822">
            <v>39171</v>
          </cell>
          <cell r="C822">
            <v>3</v>
          </cell>
        </row>
        <row r="823">
          <cell r="B823">
            <v>39172</v>
          </cell>
          <cell r="C823">
            <v>3</v>
          </cell>
        </row>
        <row r="824">
          <cell r="B824">
            <v>39173</v>
          </cell>
          <cell r="C824">
            <v>4</v>
          </cell>
        </row>
        <row r="825">
          <cell r="B825">
            <v>39174</v>
          </cell>
          <cell r="C825">
            <v>4</v>
          </cell>
        </row>
        <row r="826">
          <cell r="B826">
            <v>39175</v>
          </cell>
          <cell r="C826">
            <v>4</v>
          </cell>
        </row>
        <row r="827">
          <cell r="B827">
            <v>39176</v>
          </cell>
          <cell r="C827">
            <v>4</v>
          </cell>
        </row>
        <row r="828">
          <cell r="B828">
            <v>39177</v>
          </cell>
          <cell r="C828">
            <v>4</v>
          </cell>
        </row>
        <row r="829">
          <cell r="B829">
            <v>39178</v>
          </cell>
          <cell r="C829">
            <v>4</v>
          </cell>
        </row>
        <row r="830">
          <cell r="B830">
            <v>39179</v>
          </cell>
          <cell r="C830">
            <v>4</v>
          </cell>
        </row>
        <row r="831">
          <cell r="B831">
            <v>39180</v>
          </cell>
          <cell r="C831">
            <v>4</v>
          </cell>
        </row>
        <row r="832">
          <cell r="B832">
            <v>39181</v>
          </cell>
          <cell r="C832">
            <v>4</v>
          </cell>
        </row>
        <row r="833">
          <cell r="B833">
            <v>39182</v>
          </cell>
          <cell r="C833">
            <v>4</v>
          </cell>
        </row>
        <row r="834">
          <cell r="B834">
            <v>39183</v>
          </cell>
          <cell r="C834">
            <v>4</v>
          </cell>
        </row>
        <row r="835">
          <cell r="B835">
            <v>39184</v>
          </cell>
          <cell r="C835">
            <v>4</v>
          </cell>
        </row>
        <row r="836">
          <cell r="B836">
            <v>39185</v>
          </cell>
          <cell r="C836">
            <v>4</v>
          </cell>
        </row>
        <row r="837">
          <cell r="B837">
            <v>39186</v>
          </cell>
          <cell r="C837">
            <v>4</v>
          </cell>
        </row>
        <row r="838">
          <cell r="B838">
            <v>39187</v>
          </cell>
          <cell r="C838">
            <v>4</v>
          </cell>
        </row>
        <row r="839">
          <cell r="B839">
            <v>39188</v>
          </cell>
          <cell r="C839">
            <v>4</v>
          </cell>
        </row>
        <row r="840">
          <cell r="B840">
            <v>39189</v>
          </cell>
          <cell r="C840">
            <v>4</v>
          </cell>
        </row>
        <row r="841">
          <cell r="B841">
            <v>39190</v>
          </cell>
          <cell r="C841">
            <v>4</v>
          </cell>
        </row>
        <row r="842">
          <cell r="B842">
            <v>39191</v>
          </cell>
          <cell r="C842">
            <v>4</v>
          </cell>
        </row>
        <row r="843">
          <cell r="B843">
            <v>39192</v>
          </cell>
          <cell r="C843">
            <v>4</v>
          </cell>
        </row>
        <row r="844">
          <cell r="B844">
            <v>39193</v>
          </cell>
          <cell r="C844">
            <v>4</v>
          </cell>
        </row>
        <row r="845">
          <cell r="B845">
            <v>39194</v>
          </cell>
          <cell r="C845">
            <v>4</v>
          </cell>
        </row>
        <row r="846">
          <cell r="B846">
            <v>39195</v>
          </cell>
          <cell r="C846">
            <v>4</v>
          </cell>
        </row>
        <row r="847">
          <cell r="B847">
            <v>39196</v>
          </cell>
          <cell r="C847">
            <v>4</v>
          </cell>
        </row>
        <row r="848">
          <cell r="B848">
            <v>39197</v>
          </cell>
          <cell r="C848">
            <v>4</v>
          </cell>
        </row>
        <row r="849">
          <cell r="B849">
            <v>39198</v>
          </cell>
          <cell r="C849">
            <v>4</v>
          </cell>
        </row>
        <row r="850">
          <cell r="B850">
            <v>39199</v>
          </cell>
          <cell r="C850">
            <v>4</v>
          </cell>
        </row>
        <row r="851">
          <cell r="B851">
            <v>39200</v>
          </cell>
          <cell r="C851">
            <v>4</v>
          </cell>
        </row>
        <row r="852">
          <cell r="B852">
            <v>39201</v>
          </cell>
          <cell r="C852">
            <v>4</v>
          </cell>
        </row>
        <row r="853">
          <cell r="B853">
            <v>39202</v>
          </cell>
          <cell r="C853">
            <v>4</v>
          </cell>
        </row>
        <row r="854">
          <cell r="B854">
            <v>39203</v>
          </cell>
          <cell r="C854">
            <v>5</v>
          </cell>
        </row>
        <row r="855">
          <cell r="B855">
            <v>39204</v>
          </cell>
          <cell r="C855">
            <v>5</v>
          </cell>
        </row>
        <row r="856">
          <cell r="B856">
            <v>39205</v>
          </cell>
          <cell r="C856">
            <v>5</v>
          </cell>
        </row>
        <row r="857">
          <cell r="B857">
            <v>39206</v>
          </cell>
          <cell r="C857">
            <v>5</v>
          </cell>
        </row>
        <row r="858">
          <cell r="B858">
            <v>39207</v>
          </cell>
          <cell r="C858">
            <v>5</v>
          </cell>
        </row>
        <row r="859">
          <cell r="B859">
            <v>39208</v>
          </cell>
          <cell r="C859">
            <v>5</v>
          </cell>
        </row>
        <row r="860">
          <cell r="B860">
            <v>39209</v>
          </cell>
          <cell r="C860">
            <v>5</v>
          </cell>
        </row>
        <row r="861">
          <cell r="B861">
            <v>39210</v>
          </cell>
          <cell r="C861">
            <v>5</v>
          </cell>
        </row>
        <row r="862">
          <cell r="B862">
            <v>39211</v>
          </cell>
          <cell r="C862">
            <v>5</v>
          </cell>
        </row>
        <row r="863">
          <cell r="B863">
            <v>39212</v>
          </cell>
          <cell r="C863">
            <v>5</v>
          </cell>
        </row>
        <row r="864">
          <cell r="B864">
            <v>39213</v>
          </cell>
          <cell r="C864">
            <v>5</v>
          </cell>
        </row>
        <row r="865">
          <cell r="B865">
            <v>39214</v>
          </cell>
          <cell r="C865">
            <v>5</v>
          </cell>
        </row>
        <row r="866">
          <cell r="B866">
            <v>39215</v>
          </cell>
          <cell r="C866">
            <v>5</v>
          </cell>
        </row>
        <row r="867">
          <cell r="B867">
            <v>39216</v>
          </cell>
          <cell r="C867">
            <v>5</v>
          </cell>
        </row>
        <row r="868">
          <cell r="B868">
            <v>39217</v>
          </cell>
          <cell r="C868">
            <v>5</v>
          </cell>
        </row>
        <row r="869">
          <cell r="B869">
            <v>39218</v>
          </cell>
          <cell r="C869">
            <v>5</v>
          </cell>
        </row>
        <row r="870">
          <cell r="B870">
            <v>39219</v>
          </cell>
          <cell r="C870">
            <v>5</v>
          </cell>
        </row>
        <row r="871">
          <cell r="B871">
            <v>39220</v>
          </cell>
          <cell r="C871">
            <v>5</v>
          </cell>
        </row>
        <row r="872">
          <cell r="B872">
            <v>39221</v>
          </cell>
          <cell r="C872">
            <v>5</v>
          </cell>
        </row>
        <row r="873">
          <cell r="B873">
            <v>39222</v>
          </cell>
          <cell r="C873">
            <v>5</v>
          </cell>
        </row>
        <row r="874">
          <cell r="B874">
            <v>39223</v>
          </cell>
          <cell r="C874">
            <v>5</v>
          </cell>
        </row>
        <row r="875">
          <cell r="B875">
            <v>39224</v>
          </cell>
          <cell r="C875">
            <v>5</v>
          </cell>
        </row>
        <row r="876">
          <cell r="B876">
            <v>39225</v>
          </cell>
          <cell r="C876">
            <v>5</v>
          </cell>
        </row>
        <row r="877">
          <cell r="B877">
            <v>39226</v>
          </cell>
          <cell r="C877">
            <v>5</v>
          </cell>
        </row>
        <row r="878">
          <cell r="B878">
            <v>39227</v>
          </cell>
          <cell r="C878">
            <v>5</v>
          </cell>
        </row>
        <row r="879">
          <cell r="B879">
            <v>39228</v>
          </cell>
          <cell r="C879">
            <v>5</v>
          </cell>
        </row>
        <row r="880">
          <cell r="B880">
            <v>39229</v>
          </cell>
          <cell r="C880">
            <v>5</v>
          </cell>
        </row>
        <row r="881">
          <cell r="B881">
            <v>39230</v>
          </cell>
          <cell r="C881">
            <v>5</v>
          </cell>
        </row>
        <row r="882">
          <cell r="B882">
            <v>39231</v>
          </cell>
          <cell r="C882">
            <v>5</v>
          </cell>
        </row>
        <row r="883">
          <cell r="B883">
            <v>39232</v>
          </cell>
          <cell r="C883">
            <v>5</v>
          </cell>
        </row>
        <row r="884">
          <cell r="B884">
            <v>39233</v>
          </cell>
          <cell r="C884">
            <v>5</v>
          </cell>
        </row>
        <row r="885">
          <cell r="B885">
            <v>39234</v>
          </cell>
          <cell r="C885">
            <v>6</v>
          </cell>
        </row>
        <row r="886">
          <cell r="B886">
            <v>39235</v>
          </cell>
          <cell r="C886">
            <v>6</v>
          </cell>
        </row>
        <row r="887">
          <cell r="B887">
            <v>39236</v>
          </cell>
          <cell r="C887">
            <v>6</v>
          </cell>
        </row>
        <row r="888">
          <cell r="B888">
            <v>39237</v>
          </cell>
          <cell r="C888">
            <v>6</v>
          </cell>
        </row>
        <row r="889">
          <cell r="B889">
            <v>39238</v>
          </cell>
          <cell r="C889">
            <v>6</v>
          </cell>
        </row>
        <row r="890">
          <cell r="B890">
            <v>39239</v>
          </cell>
          <cell r="C890">
            <v>6</v>
          </cell>
        </row>
        <row r="891">
          <cell r="B891">
            <v>39240</v>
          </cell>
          <cell r="C891">
            <v>6</v>
          </cell>
        </row>
        <row r="892">
          <cell r="B892">
            <v>39241</v>
          </cell>
          <cell r="C892">
            <v>6</v>
          </cell>
        </row>
        <row r="893">
          <cell r="B893">
            <v>39242</v>
          </cell>
          <cell r="C893">
            <v>6</v>
          </cell>
        </row>
        <row r="894">
          <cell r="B894">
            <v>39243</v>
          </cell>
          <cell r="C894">
            <v>6</v>
          </cell>
        </row>
        <row r="895">
          <cell r="B895">
            <v>39244</v>
          </cell>
          <cell r="C895">
            <v>6</v>
          </cell>
        </row>
        <row r="896">
          <cell r="B896">
            <v>39245</v>
          </cell>
          <cell r="C896">
            <v>6</v>
          </cell>
        </row>
        <row r="897">
          <cell r="B897">
            <v>39246</v>
          </cell>
          <cell r="C897">
            <v>6</v>
          </cell>
        </row>
        <row r="898">
          <cell r="B898">
            <v>39247</v>
          </cell>
          <cell r="C898">
            <v>6</v>
          </cell>
        </row>
        <row r="899">
          <cell r="B899">
            <v>39248</v>
          </cell>
          <cell r="C899">
            <v>6</v>
          </cell>
        </row>
        <row r="900">
          <cell r="B900">
            <v>39249</v>
          </cell>
          <cell r="C900">
            <v>6</v>
          </cell>
        </row>
        <row r="901">
          <cell r="B901">
            <v>39250</v>
          </cell>
          <cell r="C901">
            <v>6</v>
          </cell>
        </row>
        <row r="902">
          <cell r="B902">
            <v>39251</v>
          </cell>
          <cell r="C902">
            <v>6</v>
          </cell>
        </row>
        <row r="903">
          <cell r="B903">
            <v>39252</v>
          </cell>
          <cell r="C903">
            <v>6</v>
          </cell>
        </row>
        <row r="904">
          <cell r="B904">
            <v>39253</v>
          </cell>
          <cell r="C904">
            <v>6</v>
          </cell>
        </row>
        <row r="905">
          <cell r="B905">
            <v>39254</v>
          </cell>
          <cell r="C905">
            <v>6</v>
          </cell>
        </row>
        <row r="906">
          <cell r="B906">
            <v>39255</v>
          </cell>
          <cell r="C906">
            <v>6</v>
          </cell>
        </row>
        <row r="907">
          <cell r="B907">
            <v>39256</v>
          </cell>
          <cell r="C907">
            <v>6</v>
          </cell>
        </row>
        <row r="908">
          <cell r="B908">
            <v>39257</v>
          </cell>
          <cell r="C908">
            <v>6</v>
          </cell>
        </row>
        <row r="909">
          <cell r="B909">
            <v>39258</v>
          </cell>
          <cell r="C909">
            <v>6</v>
          </cell>
        </row>
        <row r="910">
          <cell r="B910">
            <v>39259</v>
          </cell>
          <cell r="C910">
            <v>6</v>
          </cell>
        </row>
        <row r="911">
          <cell r="B911">
            <v>39260</v>
          </cell>
          <cell r="C911">
            <v>6</v>
          </cell>
        </row>
        <row r="912">
          <cell r="B912">
            <v>39261</v>
          </cell>
          <cell r="C912">
            <v>6</v>
          </cell>
        </row>
        <row r="913">
          <cell r="B913">
            <v>39262</v>
          </cell>
          <cell r="C913">
            <v>6</v>
          </cell>
        </row>
        <row r="914">
          <cell r="B914">
            <v>39263</v>
          </cell>
          <cell r="C914">
            <v>6</v>
          </cell>
        </row>
        <row r="915">
          <cell r="B915">
            <v>39264</v>
          </cell>
          <cell r="C915">
            <v>7</v>
          </cell>
        </row>
        <row r="916">
          <cell r="B916">
            <v>39265</v>
          </cell>
          <cell r="C916">
            <v>7</v>
          </cell>
        </row>
        <row r="917">
          <cell r="B917">
            <v>39266</v>
          </cell>
          <cell r="C917">
            <v>7</v>
          </cell>
        </row>
        <row r="918">
          <cell r="B918">
            <v>39267</v>
          </cell>
          <cell r="C918">
            <v>7</v>
          </cell>
        </row>
        <row r="919">
          <cell r="B919">
            <v>39268</v>
          </cell>
          <cell r="C919">
            <v>7</v>
          </cell>
        </row>
        <row r="920">
          <cell r="B920">
            <v>39269</v>
          </cell>
          <cell r="C920">
            <v>7</v>
          </cell>
        </row>
        <row r="921">
          <cell r="B921">
            <v>39270</v>
          </cell>
          <cell r="C921">
            <v>7</v>
          </cell>
        </row>
        <row r="922">
          <cell r="B922">
            <v>39271</v>
          </cell>
          <cell r="C922">
            <v>7</v>
          </cell>
        </row>
        <row r="923">
          <cell r="B923">
            <v>39272</v>
          </cell>
          <cell r="C923">
            <v>7</v>
          </cell>
        </row>
        <row r="924">
          <cell r="B924">
            <v>39273</v>
          </cell>
          <cell r="C924">
            <v>7</v>
          </cell>
        </row>
        <row r="925">
          <cell r="B925">
            <v>39274</v>
          </cell>
          <cell r="C925">
            <v>7</v>
          </cell>
        </row>
        <row r="926">
          <cell r="B926">
            <v>39275</v>
          </cell>
          <cell r="C926">
            <v>7</v>
          </cell>
        </row>
        <row r="927">
          <cell r="B927">
            <v>39276</v>
          </cell>
          <cell r="C927">
            <v>7</v>
          </cell>
        </row>
        <row r="928">
          <cell r="B928">
            <v>39277</v>
          </cell>
          <cell r="C928">
            <v>7</v>
          </cell>
        </row>
        <row r="929">
          <cell r="B929">
            <v>39278</v>
          </cell>
          <cell r="C929">
            <v>7</v>
          </cell>
        </row>
        <row r="930">
          <cell r="B930">
            <v>39279</v>
          </cell>
          <cell r="C930">
            <v>7</v>
          </cell>
        </row>
        <row r="931">
          <cell r="B931">
            <v>39280</v>
          </cell>
          <cell r="C931">
            <v>7</v>
          </cell>
        </row>
        <row r="932">
          <cell r="B932">
            <v>39281</v>
          </cell>
          <cell r="C932">
            <v>7</v>
          </cell>
        </row>
        <row r="933">
          <cell r="B933">
            <v>39282</v>
          </cell>
          <cell r="C933">
            <v>7</v>
          </cell>
        </row>
        <row r="934">
          <cell r="B934">
            <v>39283</v>
          </cell>
          <cell r="C934">
            <v>7</v>
          </cell>
        </row>
        <row r="935">
          <cell r="B935">
            <v>39284</v>
          </cell>
          <cell r="C935">
            <v>7</v>
          </cell>
        </row>
        <row r="936">
          <cell r="B936">
            <v>39285</v>
          </cell>
          <cell r="C936">
            <v>7</v>
          </cell>
        </row>
        <row r="937">
          <cell r="B937">
            <v>39286</v>
          </cell>
          <cell r="C937">
            <v>7</v>
          </cell>
        </row>
        <row r="938">
          <cell r="B938">
            <v>39287</v>
          </cell>
          <cell r="C938">
            <v>7</v>
          </cell>
        </row>
        <row r="939">
          <cell r="B939">
            <v>39288</v>
          </cell>
          <cell r="C939">
            <v>7</v>
          </cell>
        </row>
        <row r="940">
          <cell r="B940">
            <v>39289</v>
          </cell>
          <cell r="C940">
            <v>7</v>
          </cell>
        </row>
        <row r="941">
          <cell r="B941">
            <v>39290</v>
          </cell>
          <cell r="C941">
            <v>7</v>
          </cell>
        </row>
        <row r="942">
          <cell r="B942">
            <v>39291</v>
          </cell>
          <cell r="C942">
            <v>7</v>
          </cell>
        </row>
        <row r="943">
          <cell r="B943">
            <v>39292</v>
          </cell>
          <cell r="C943">
            <v>7</v>
          </cell>
        </row>
        <row r="944">
          <cell r="B944">
            <v>39293</v>
          </cell>
          <cell r="C944">
            <v>7</v>
          </cell>
        </row>
        <row r="945">
          <cell r="B945">
            <v>39294</v>
          </cell>
          <cell r="C945">
            <v>7</v>
          </cell>
        </row>
        <row r="946">
          <cell r="B946">
            <v>39295</v>
          </cell>
          <cell r="C946">
            <v>8</v>
          </cell>
        </row>
        <row r="947">
          <cell r="B947">
            <v>39296</v>
          </cell>
          <cell r="C947">
            <v>8</v>
          </cell>
        </row>
        <row r="948">
          <cell r="B948">
            <v>39297</v>
          </cell>
          <cell r="C948">
            <v>8</v>
          </cell>
        </row>
        <row r="949">
          <cell r="B949">
            <v>39298</v>
          </cell>
          <cell r="C949">
            <v>8</v>
          </cell>
        </row>
        <row r="950">
          <cell r="B950">
            <v>39299</v>
          </cell>
          <cell r="C950">
            <v>8</v>
          </cell>
        </row>
        <row r="951">
          <cell r="B951">
            <v>39300</v>
          </cell>
          <cell r="C951">
            <v>8</v>
          </cell>
        </row>
        <row r="952">
          <cell r="B952">
            <v>39301</v>
          </cell>
          <cell r="C952">
            <v>8</v>
          </cell>
        </row>
        <row r="953">
          <cell r="B953">
            <v>39302</v>
          </cell>
          <cell r="C953">
            <v>8</v>
          </cell>
        </row>
        <row r="954">
          <cell r="B954">
            <v>39303</v>
          </cell>
          <cell r="C954">
            <v>8</v>
          </cell>
        </row>
        <row r="955">
          <cell r="B955">
            <v>39304</v>
          </cell>
          <cell r="C955">
            <v>8</v>
          </cell>
        </row>
        <row r="956">
          <cell r="B956">
            <v>39305</v>
          </cell>
          <cell r="C956">
            <v>8</v>
          </cell>
        </row>
        <row r="957">
          <cell r="B957">
            <v>39306</v>
          </cell>
          <cell r="C957">
            <v>8</v>
          </cell>
        </row>
        <row r="958">
          <cell r="B958">
            <v>39307</v>
          </cell>
          <cell r="C958">
            <v>8</v>
          </cell>
        </row>
        <row r="959">
          <cell r="B959">
            <v>39308</v>
          </cell>
          <cell r="C959">
            <v>8</v>
          </cell>
        </row>
        <row r="960">
          <cell r="B960">
            <v>39309</v>
          </cell>
          <cell r="C960">
            <v>8</v>
          </cell>
        </row>
        <row r="961">
          <cell r="B961">
            <v>39310</v>
          </cell>
          <cell r="C961">
            <v>8</v>
          </cell>
        </row>
        <row r="962">
          <cell r="B962">
            <v>39311</v>
          </cell>
          <cell r="C962">
            <v>8</v>
          </cell>
        </row>
        <row r="963">
          <cell r="B963">
            <v>39312</v>
          </cell>
          <cell r="C963">
            <v>8</v>
          </cell>
        </row>
        <row r="964">
          <cell r="B964">
            <v>39313</v>
          </cell>
          <cell r="C964">
            <v>8</v>
          </cell>
        </row>
        <row r="965">
          <cell r="B965">
            <v>39314</v>
          </cell>
          <cell r="C965">
            <v>8</v>
          </cell>
        </row>
        <row r="966">
          <cell r="B966">
            <v>39315</v>
          </cell>
          <cell r="C966">
            <v>8</v>
          </cell>
        </row>
        <row r="967">
          <cell r="B967">
            <v>39316</v>
          </cell>
          <cell r="C967">
            <v>8</v>
          </cell>
        </row>
        <row r="968">
          <cell r="B968">
            <v>39317</v>
          </cell>
          <cell r="C968">
            <v>8</v>
          </cell>
        </row>
        <row r="969">
          <cell r="B969">
            <v>39318</v>
          </cell>
          <cell r="C969">
            <v>8</v>
          </cell>
        </row>
        <row r="970">
          <cell r="B970">
            <v>39319</v>
          </cell>
          <cell r="C970">
            <v>8</v>
          </cell>
        </row>
        <row r="971">
          <cell r="B971">
            <v>39320</v>
          </cell>
          <cell r="C971">
            <v>8</v>
          </cell>
        </row>
        <row r="972">
          <cell r="B972">
            <v>39321</v>
          </cell>
          <cell r="C972">
            <v>8</v>
          </cell>
        </row>
        <row r="973">
          <cell r="B973">
            <v>39322</v>
          </cell>
          <cell r="C973">
            <v>8</v>
          </cell>
        </row>
        <row r="974">
          <cell r="B974">
            <v>39323</v>
          </cell>
          <cell r="C974">
            <v>8</v>
          </cell>
        </row>
        <row r="975">
          <cell r="B975">
            <v>39324</v>
          </cell>
          <cell r="C975">
            <v>8</v>
          </cell>
        </row>
        <row r="976">
          <cell r="B976">
            <v>39325</v>
          </cell>
          <cell r="C976">
            <v>8</v>
          </cell>
        </row>
        <row r="977">
          <cell r="B977">
            <v>39326</v>
          </cell>
          <cell r="C977">
            <v>9</v>
          </cell>
        </row>
        <row r="978">
          <cell r="B978">
            <v>39327</v>
          </cell>
          <cell r="C978">
            <v>9</v>
          </cell>
        </row>
        <row r="979">
          <cell r="B979">
            <v>39328</v>
          </cell>
          <cell r="C979">
            <v>9</v>
          </cell>
        </row>
        <row r="980">
          <cell r="B980">
            <v>39329</v>
          </cell>
          <cell r="C980">
            <v>9</v>
          </cell>
        </row>
        <row r="981">
          <cell r="B981">
            <v>39330</v>
          </cell>
          <cell r="C981">
            <v>9</v>
          </cell>
        </row>
        <row r="982">
          <cell r="B982">
            <v>39331</v>
          </cell>
          <cell r="C982">
            <v>9</v>
          </cell>
        </row>
        <row r="983">
          <cell r="B983">
            <v>39332</v>
          </cell>
          <cell r="C983">
            <v>9</v>
          </cell>
        </row>
        <row r="984">
          <cell r="B984">
            <v>39333</v>
          </cell>
          <cell r="C984">
            <v>9</v>
          </cell>
        </row>
        <row r="985">
          <cell r="B985">
            <v>39334</v>
          </cell>
          <cell r="C985">
            <v>9</v>
          </cell>
        </row>
        <row r="986">
          <cell r="B986">
            <v>39335</v>
          </cell>
          <cell r="C986">
            <v>9</v>
          </cell>
        </row>
        <row r="987">
          <cell r="B987">
            <v>39336</v>
          </cell>
          <cell r="C987">
            <v>9</v>
          </cell>
        </row>
        <row r="988">
          <cell r="B988">
            <v>39337</v>
          </cell>
          <cell r="C988">
            <v>9</v>
          </cell>
        </row>
        <row r="989">
          <cell r="B989">
            <v>39338</v>
          </cell>
          <cell r="C989">
            <v>9</v>
          </cell>
        </row>
        <row r="990">
          <cell r="B990">
            <v>39339</v>
          </cell>
          <cell r="C990">
            <v>9</v>
          </cell>
        </row>
        <row r="991">
          <cell r="B991">
            <v>39340</v>
          </cell>
          <cell r="C991">
            <v>9</v>
          </cell>
        </row>
        <row r="992">
          <cell r="B992">
            <v>39341</v>
          </cell>
          <cell r="C992">
            <v>9</v>
          </cell>
        </row>
        <row r="993">
          <cell r="B993">
            <v>39342</v>
          </cell>
          <cell r="C993">
            <v>9</v>
          </cell>
        </row>
        <row r="994">
          <cell r="B994">
            <v>39343</v>
          </cell>
          <cell r="C994">
            <v>9</v>
          </cell>
        </row>
        <row r="995">
          <cell r="B995">
            <v>39344</v>
          </cell>
          <cell r="C995">
            <v>9</v>
          </cell>
        </row>
        <row r="996">
          <cell r="B996">
            <v>39345</v>
          </cell>
          <cell r="C996">
            <v>9</v>
          </cell>
        </row>
        <row r="997">
          <cell r="B997">
            <v>39346</v>
          </cell>
          <cell r="C997">
            <v>9</v>
          </cell>
        </row>
        <row r="998">
          <cell r="B998">
            <v>39347</v>
          </cell>
          <cell r="C998">
            <v>9</v>
          </cell>
        </row>
        <row r="999">
          <cell r="B999">
            <v>39348</v>
          </cell>
          <cell r="C999">
            <v>9</v>
          </cell>
        </row>
        <row r="1000">
          <cell r="B1000">
            <v>39349</v>
          </cell>
          <cell r="C1000">
            <v>9</v>
          </cell>
        </row>
        <row r="1001">
          <cell r="B1001">
            <v>39350</v>
          </cell>
          <cell r="C1001">
            <v>9</v>
          </cell>
        </row>
        <row r="1002">
          <cell r="B1002">
            <v>39351</v>
          </cell>
          <cell r="C1002">
            <v>9</v>
          </cell>
        </row>
        <row r="1003">
          <cell r="B1003">
            <v>39352</v>
          </cell>
          <cell r="C1003">
            <v>9</v>
          </cell>
        </row>
        <row r="1004">
          <cell r="B1004">
            <v>39353</v>
          </cell>
          <cell r="C1004">
            <v>9</v>
          </cell>
        </row>
        <row r="1005">
          <cell r="B1005">
            <v>39354</v>
          </cell>
          <cell r="C1005">
            <v>9</v>
          </cell>
        </row>
        <row r="1006">
          <cell r="B1006">
            <v>39355</v>
          </cell>
          <cell r="C1006">
            <v>9</v>
          </cell>
        </row>
        <row r="1007">
          <cell r="B1007">
            <v>39356</v>
          </cell>
          <cell r="C1007">
            <v>10</v>
          </cell>
        </row>
        <row r="1008">
          <cell r="B1008">
            <v>39357</v>
          </cell>
          <cell r="C1008">
            <v>10</v>
          </cell>
        </row>
        <row r="1009">
          <cell r="B1009">
            <v>39358</v>
          </cell>
          <cell r="C1009">
            <v>10</v>
          </cell>
        </row>
        <row r="1010">
          <cell r="B1010">
            <v>39359</v>
          </cell>
          <cell r="C1010">
            <v>10</v>
          </cell>
        </row>
        <row r="1011">
          <cell r="B1011">
            <v>39360</v>
          </cell>
          <cell r="C1011">
            <v>10</v>
          </cell>
        </row>
        <row r="1012">
          <cell r="B1012">
            <v>39361</v>
          </cell>
          <cell r="C1012">
            <v>10</v>
          </cell>
        </row>
        <row r="1013">
          <cell r="B1013">
            <v>39362</v>
          </cell>
          <cell r="C1013">
            <v>10</v>
          </cell>
        </row>
        <row r="1014">
          <cell r="B1014">
            <v>39363</v>
          </cell>
          <cell r="C1014">
            <v>10</v>
          </cell>
        </row>
        <row r="1015">
          <cell r="B1015">
            <v>39364</v>
          </cell>
          <cell r="C1015">
            <v>10</v>
          </cell>
        </row>
        <row r="1016">
          <cell r="B1016">
            <v>39365</v>
          </cell>
          <cell r="C1016">
            <v>10</v>
          </cell>
        </row>
        <row r="1017">
          <cell r="B1017">
            <v>39366</v>
          </cell>
          <cell r="C1017">
            <v>10</v>
          </cell>
        </row>
        <row r="1018">
          <cell r="B1018">
            <v>39367</v>
          </cell>
          <cell r="C1018">
            <v>10</v>
          </cell>
        </row>
        <row r="1019">
          <cell r="B1019">
            <v>39368</v>
          </cell>
          <cell r="C1019">
            <v>10</v>
          </cell>
        </row>
        <row r="1020">
          <cell r="B1020">
            <v>39369</v>
          </cell>
          <cell r="C1020">
            <v>10</v>
          </cell>
        </row>
        <row r="1021">
          <cell r="B1021">
            <v>39370</v>
          </cell>
          <cell r="C1021">
            <v>10</v>
          </cell>
        </row>
        <row r="1022">
          <cell r="B1022">
            <v>39371</v>
          </cell>
          <cell r="C1022">
            <v>10</v>
          </cell>
        </row>
        <row r="1023">
          <cell r="B1023">
            <v>39372</v>
          </cell>
          <cell r="C1023">
            <v>10</v>
          </cell>
        </row>
        <row r="1024">
          <cell r="B1024">
            <v>39373</v>
          </cell>
          <cell r="C1024">
            <v>10</v>
          </cell>
        </row>
        <row r="1025">
          <cell r="B1025">
            <v>39374</v>
          </cell>
          <cell r="C1025">
            <v>10</v>
          </cell>
        </row>
        <row r="1026">
          <cell r="B1026">
            <v>39375</v>
          </cell>
          <cell r="C1026">
            <v>10</v>
          </cell>
        </row>
        <row r="1027">
          <cell r="B1027">
            <v>39376</v>
          </cell>
          <cell r="C1027">
            <v>10</v>
          </cell>
        </row>
        <row r="1028">
          <cell r="B1028">
            <v>39377</v>
          </cell>
          <cell r="C1028">
            <v>10</v>
          </cell>
        </row>
        <row r="1029">
          <cell r="B1029">
            <v>39378</v>
          </cell>
          <cell r="C1029">
            <v>10</v>
          </cell>
        </row>
        <row r="1030">
          <cell r="B1030">
            <v>39379</v>
          </cell>
          <cell r="C1030">
            <v>10</v>
          </cell>
        </row>
        <row r="1031">
          <cell r="B1031">
            <v>39380</v>
          </cell>
          <cell r="C1031">
            <v>10</v>
          </cell>
        </row>
        <row r="1032">
          <cell r="B1032">
            <v>39381</v>
          </cell>
          <cell r="C1032">
            <v>10</v>
          </cell>
        </row>
        <row r="1033">
          <cell r="B1033">
            <v>39382</v>
          </cell>
          <cell r="C1033">
            <v>10</v>
          </cell>
        </row>
        <row r="1034">
          <cell r="B1034">
            <v>39383</v>
          </cell>
          <cell r="C1034">
            <v>10</v>
          </cell>
        </row>
        <row r="1035">
          <cell r="B1035">
            <v>39384</v>
          </cell>
          <cell r="C1035">
            <v>10</v>
          </cell>
        </row>
        <row r="1036">
          <cell r="B1036">
            <v>39385</v>
          </cell>
          <cell r="C1036">
            <v>10</v>
          </cell>
        </row>
        <row r="1037">
          <cell r="B1037">
            <v>39386</v>
          </cell>
          <cell r="C1037">
            <v>10</v>
          </cell>
        </row>
        <row r="1038">
          <cell r="B1038">
            <v>39387</v>
          </cell>
          <cell r="C1038">
            <v>11</v>
          </cell>
        </row>
        <row r="1039">
          <cell r="B1039">
            <v>39388</v>
          </cell>
          <cell r="C1039">
            <v>11</v>
          </cell>
        </row>
        <row r="1040">
          <cell r="B1040">
            <v>39389</v>
          </cell>
          <cell r="C1040">
            <v>11</v>
          </cell>
        </row>
        <row r="1041">
          <cell r="B1041">
            <v>39390</v>
          </cell>
          <cell r="C1041">
            <v>11</v>
          </cell>
        </row>
        <row r="1042">
          <cell r="B1042">
            <v>39391</v>
          </cell>
          <cell r="C1042">
            <v>11</v>
          </cell>
        </row>
        <row r="1043">
          <cell r="B1043">
            <v>39392</v>
          </cell>
          <cell r="C1043">
            <v>11</v>
          </cell>
        </row>
        <row r="1044">
          <cell r="B1044">
            <v>39393</v>
          </cell>
          <cell r="C1044">
            <v>11</v>
          </cell>
        </row>
        <row r="1045">
          <cell r="B1045">
            <v>39394</v>
          </cell>
          <cell r="C1045">
            <v>11</v>
          </cell>
        </row>
        <row r="1046">
          <cell r="B1046">
            <v>39395</v>
          </cell>
          <cell r="C1046">
            <v>11</v>
          </cell>
        </row>
        <row r="1047">
          <cell r="B1047">
            <v>39396</v>
          </cell>
          <cell r="C1047">
            <v>11</v>
          </cell>
        </row>
        <row r="1048">
          <cell r="B1048">
            <v>39397</v>
          </cell>
          <cell r="C1048">
            <v>11</v>
          </cell>
        </row>
        <row r="1049">
          <cell r="B1049">
            <v>39398</v>
          </cell>
          <cell r="C1049">
            <v>11</v>
          </cell>
        </row>
        <row r="1050">
          <cell r="B1050">
            <v>39399</v>
          </cell>
          <cell r="C1050">
            <v>11</v>
          </cell>
        </row>
        <row r="1051">
          <cell r="B1051">
            <v>39400</v>
          </cell>
          <cell r="C1051">
            <v>11</v>
          </cell>
        </row>
        <row r="1052">
          <cell r="B1052">
            <v>39401</v>
          </cell>
          <cell r="C1052">
            <v>11</v>
          </cell>
        </row>
        <row r="1053">
          <cell r="B1053">
            <v>39402</v>
          </cell>
          <cell r="C1053">
            <v>11</v>
          </cell>
        </row>
        <row r="1054">
          <cell r="B1054">
            <v>39403</v>
          </cell>
          <cell r="C1054">
            <v>11</v>
          </cell>
        </row>
        <row r="1055">
          <cell r="B1055">
            <v>39404</v>
          </cell>
          <cell r="C1055">
            <v>11</v>
          </cell>
        </row>
        <row r="1056">
          <cell r="B1056">
            <v>39405</v>
          </cell>
          <cell r="C1056">
            <v>11</v>
          </cell>
        </row>
        <row r="1057">
          <cell r="B1057">
            <v>39406</v>
          </cell>
          <cell r="C1057">
            <v>11</v>
          </cell>
        </row>
        <row r="1058">
          <cell r="B1058">
            <v>39407</v>
          </cell>
          <cell r="C1058">
            <v>11</v>
          </cell>
        </row>
        <row r="1059">
          <cell r="B1059">
            <v>39408</v>
          </cell>
          <cell r="C1059">
            <v>11</v>
          </cell>
        </row>
        <row r="1060">
          <cell r="B1060">
            <v>39409</v>
          </cell>
          <cell r="C1060">
            <v>11</v>
          </cell>
        </row>
        <row r="1061">
          <cell r="B1061">
            <v>39410</v>
          </cell>
          <cell r="C1061">
            <v>11</v>
          </cell>
        </row>
        <row r="1062">
          <cell r="B1062">
            <v>39411</v>
          </cell>
          <cell r="C1062">
            <v>11</v>
          </cell>
        </row>
        <row r="1063">
          <cell r="B1063">
            <v>39412</v>
          </cell>
          <cell r="C1063">
            <v>11</v>
          </cell>
        </row>
        <row r="1064">
          <cell r="B1064">
            <v>39413</v>
          </cell>
          <cell r="C1064">
            <v>11</v>
          </cell>
        </row>
        <row r="1065">
          <cell r="B1065">
            <v>39414</v>
          </cell>
          <cell r="C1065">
            <v>11</v>
          </cell>
        </row>
        <row r="1066">
          <cell r="B1066">
            <v>39415</v>
          </cell>
          <cell r="C1066">
            <v>11</v>
          </cell>
        </row>
        <row r="1067">
          <cell r="B1067">
            <v>39416</v>
          </cell>
          <cell r="C1067">
            <v>11</v>
          </cell>
        </row>
        <row r="1068">
          <cell r="B1068">
            <v>39417</v>
          </cell>
          <cell r="C1068">
            <v>12</v>
          </cell>
        </row>
        <row r="1069">
          <cell r="B1069">
            <v>39418</v>
          </cell>
          <cell r="C1069">
            <v>12</v>
          </cell>
        </row>
        <row r="1070">
          <cell r="B1070">
            <v>39419</v>
          </cell>
          <cell r="C1070">
            <v>12</v>
          </cell>
        </row>
        <row r="1071">
          <cell r="B1071">
            <v>39420</v>
          </cell>
          <cell r="C1071">
            <v>12</v>
          </cell>
        </row>
        <row r="1072">
          <cell r="B1072">
            <v>39421</v>
          </cell>
          <cell r="C1072">
            <v>12</v>
          </cell>
        </row>
        <row r="1073">
          <cell r="B1073">
            <v>39422</v>
          </cell>
          <cell r="C1073">
            <v>12</v>
          </cell>
        </row>
        <row r="1074">
          <cell r="B1074">
            <v>39423</v>
          </cell>
          <cell r="C1074">
            <v>12</v>
          </cell>
        </row>
        <row r="1075">
          <cell r="B1075">
            <v>39424</v>
          </cell>
          <cell r="C1075">
            <v>12</v>
          </cell>
        </row>
        <row r="1076">
          <cell r="B1076">
            <v>39425</v>
          </cell>
          <cell r="C1076">
            <v>12</v>
          </cell>
        </row>
        <row r="1077">
          <cell r="B1077">
            <v>39426</v>
          </cell>
          <cell r="C1077">
            <v>12</v>
          </cell>
        </row>
        <row r="1078">
          <cell r="B1078">
            <v>39427</v>
          </cell>
          <cell r="C1078">
            <v>12</v>
          </cell>
        </row>
        <row r="1079">
          <cell r="B1079">
            <v>39428</v>
          </cell>
          <cell r="C1079">
            <v>12</v>
          </cell>
        </row>
        <row r="1080">
          <cell r="B1080">
            <v>39429</v>
          </cell>
          <cell r="C1080">
            <v>12</v>
          </cell>
        </row>
        <row r="1081">
          <cell r="B1081">
            <v>39430</v>
          </cell>
          <cell r="C1081">
            <v>12</v>
          </cell>
        </row>
        <row r="1082">
          <cell r="B1082">
            <v>39431</v>
          </cell>
          <cell r="C1082">
            <v>12</v>
          </cell>
        </row>
        <row r="1083">
          <cell r="B1083">
            <v>39432</v>
          </cell>
          <cell r="C1083">
            <v>12</v>
          </cell>
        </row>
        <row r="1084">
          <cell r="B1084">
            <v>39433</v>
          </cell>
          <cell r="C1084">
            <v>12</v>
          </cell>
        </row>
        <row r="1085">
          <cell r="B1085">
            <v>39434</v>
          </cell>
          <cell r="C1085">
            <v>12</v>
          </cell>
        </row>
        <row r="1086">
          <cell r="B1086">
            <v>39435</v>
          </cell>
          <cell r="C1086">
            <v>12</v>
          </cell>
        </row>
        <row r="1087">
          <cell r="B1087">
            <v>39436</v>
          </cell>
          <cell r="C1087">
            <v>12</v>
          </cell>
        </row>
        <row r="1088">
          <cell r="B1088">
            <v>39437</v>
          </cell>
          <cell r="C1088">
            <v>12</v>
          </cell>
        </row>
        <row r="1089">
          <cell r="B1089">
            <v>39438</v>
          </cell>
          <cell r="C1089">
            <v>12</v>
          </cell>
        </row>
        <row r="1090">
          <cell r="B1090">
            <v>39439</v>
          </cell>
          <cell r="C1090">
            <v>12</v>
          </cell>
        </row>
        <row r="1091">
          <cell r="B1091">
            <v>39440</v>
          </cell>
          <cell r="C1091">
            <v>12</v>
          </cell>
        </row>
        <row r="1092">
          <cell r="B1092">
            <v>39441</v>
          </cell>
          <cell r="C1092">
            <v>12</v>
          </cell>
        </row>
        <row r="1093">
          <cell r="B1093">
            <v>39442</v>
          </cell>
          <cell r="C1093">
            <v>12</v>
          </cell>
        </row>
        <row r="1094">
          <cell r="B1094">
            <v>39443</v>
          </cell>
          <cell r="C1094">
            <v>12</v>
          </cell>
        </row>
        <row r="1095">
          <cell r="B1095">
            <v>39444</v>
          </cell>
          <cell r="C1095">
            <v>12</v>
          </cell>
        </row>
        <row r="1096">
          <cell r="B1096">
            <v>39445</v>
          </cell>
          <cell r="C1096">
            <v>12</v>
          </cell>
        </row>
        <row r="1097">
          <cell r="B1097">
            <v>39446</v>
          </cell>
          <cell r="C1097">
            <v>12</v>
          </cell>
        </row>
        <row r="1098">
          <cell r="B1098">
            <v>39447</v>
          </cell>
          <cell r="C1098">
            <v>12</v>
          </cell>
        </row>
        <row r="1099">
          <cell r="B1099">
            <v>39448</v>
          </cell>
          <cell r="C1099">
            <v>1</v>
          </cell>
        </row>
        <row r="1100">
          <cell r="B1100">
            <v>39449</v>
          </cell>
          <cell r="C1100">
            <v>1</v>
          </cell>
        </row>
        <row r="1101">
          <cell r="B1101">
            <v>39450</v>
          </cell>
          <cell r="C1101">
            <v>1</v>
          </cell>
        </row>
        <row r="1102">
          <cell r="B1102">
            <v>39451</v>
          </cell>
          <cell r="C1102">
            <v>1</v>
          </cell>
        </row>
        <row r="1103">
          <cell r="B1103">
            <v>39452</v>
          </cell>
          <cell r="C1103">
            <v>1</v>
          </cell>
        </row>
        <row r="1104">
          <cell r="B1104">
            <v>39453</v>
          </cell>
          <cell r="C1104">
            <v>1</v>
          </cell>
        </row>
        <row r="1105">
          <cell r="B1105">
            <v>39454</v>
          </cell>
          <cell r="C1105">
            <v>1</v>
          </cell>
        </row>
        <row r="1106">
          <cell r="B1106">
            <v>39455</v>
          </cell>
          <cell r="C1106">
            <v>1</v>
          </cell>
        </row>
        <row r="1107">
          <cell r="B1107">
            <v>39456</v>
          </cell>
          <cell r="C1107">
            <v>1</v>
          </cell>
        </row>
        <row r="1108">
          <cell r="B1108">
            <v>39457</v>
          </cell>
          <cell r="C1108">
            <v>1</v>
          </cell>
        </row>
        <row r="1109">
          <cell r="B1109">
            <v>39458</v>
          </cell>
          <cell r="C1109">
            <v>1</v>
          </cell>
        </row>
        <row r="1110">
          <cell r="B1110">
            <v>39459</v>
          </cell>
          <cell r="C1110">
            <v>1</v>
          </cell>
        </row>
        <row r="1111">
          <cell r="B1111">
            <v>39460</v>
          </cell>
          <cell r="C1111">
            <v>1</v>
          </cell>
        </row>
        <row r="1112">
          <cell r="B1112">
            <v>39461</v>
          </cell>
          <cell r="C1112">
            <v>1</v>
          </cell>
        </row>
        <row r="1113">
          <cell r="B1113">
            <v>39462</v>
          </cell>
          <cell r="C1113">
            <v>1</v>
          </cell>
        </row>
        <row r="1114">
          <cell r="B1114">
            <v>39463</v>
          </cell>
          <cell r="C1114">
            <v>1</v>
          </cell>
        </row>
        <row r="1115">
          <cell r="B1115">
            <v>39464</v>
          </cell>
          <cell r="C1115">
            <v>1</v>
          </cell>
        </row>
        <row r="1116">
          <cell r="B1116">
            <v>39465</v>
          </cell>
          <cell r="C1116">
            <v>1</v>
          </cell>
        </row>
        <row r="1117">
          <cell r="B1117">
            <v>39466</v>
          </cell>
          <cell r="C1117">
            <v>1</v>
          </cell>
        </row>
        <row r="1118">
          <cell r="B1118">
            <v>39467</v>
          </cell>
          <cell r="C1118">
            <v>1</v>
          </cell>
        </row>
        <row r="1119">
          <cell r="B1119">
            <v>39468</v>
          </cell>
          <cell r="C1119">
            <v>1</v>
          </cell>
        </row>
        <row r="1120">
          <cell r="B1120">
            <v>39469</v>
          </cell>
          <cell r="C1120">
            <v>1</v>
          </cell>
        </row>
        <row r="1121">
          <cell r="B1121">
            <v>39470</v>
          </cell>
          <cell r="C1121">
            <v>1</v>
          </cell>
        </row>
        <row r="1122">
          <cell r="B1122">
            <v>39471</v>
          </cell>
          <cell r="C1122">
            <v>1</v>
          </cell>
        </row>
        <row r="1123">
          <cell r="B1123">
            <v>39472</v>
          </cell>
          <cell r="C1123">
            <v>1</v>
          </cell>
        </row>
        <row r="1124">
          <cell r="B1124">
            <v>39473</v>
          </cell>
          <cell r="C1124">
            <v>1</v>
          </cell>
        </row>
        <row r="1125">
          <cell r="B1125">
            <v>39474</v>
          </cell>
          <cell r="C1125">
            <v>1</v>
          </cell>
        </row>
        <row r="1126">
          <cell r="B1126">
            <v>39475</v>
          </cell>
          <cell r="C1126">
            <v>1</v>
          </cell>
        </row>
        <row r="1127">
          <cell r="B1127">
            <v>39476</v>
          </cell>
          <cell r="C1127">
            <v>1</v>
          </cell>
        </row>
        <row r="1128">
          <cell r="B1128">
            <v>39477</v>
          </cell>
          <cell r="C1128">
            <v>1</v>
          </cell>
        </row>
        <row r="1129">
          <cell r="B1129">
            <v>39478</v>
          </cell>
          <cell r="C1129">
            <v>1</v>
          </cell>
        </row>
        <row r="1130">
          <cell r="B1130">
            <v>39479</v>
          </cell>
          <cell r="C1130">
            <v>2</v>
          </cell>
        </row>
        <row r="1131">
          <cell r="B1131">
            <v>39480</v>
          </cell>
          <cell r="C1131">
            <v>2</v>
          </cell>
        </row>
        <row r="1132">
          <cell r="B1132">
            <v>39481</v>
          </cell>
          <cell r="C1132">
            <v>2</v>
          </cell>
        </row>
        <row r="1133">
          <cell r="B1133">
            <v>39482</v>
          </cell>
          <cell r="C1133">
            <v>2</v>
          </cell>
        </row>
        <row r="1134">
          <cell r="B1134">
            <v>39483</v>
          </cell>
          <cell r="C1134">
            <v>2</v>
          </cell>
        </row>
        <row r="1135">
          <cell r="B1135">
            <v>39484</v>
          </cell>
          <cell r="C1135">
            <v>2</v>
          </cell>
        </row>
        <row r="1136">
          <cell r="B1136">
            <v>39485</v>
          </cell>
          <cell r="C1136">
            <v>2</v>
          </cell>
        </row>
        <row r="1137">
          <cell r="B1137">
            <v>39486</v>
          </cell>
          <cell r="C1137">
            <v>2</v>
          </cell>
        </row>
        <row r="1138">
          <cell r="B1138">
            <v>39487</v>
          </cell>
          <cell r="C1138">
            <v>2</v>
          </cell>
        </row>
        <row r="1139">
          <cell r="B1139">
            <v>39488</v>
          </cell>
          <cell r="C1139">
            <v>2</v>
          </cell>
        </row>
        <row r="1140">
          <cell r="B1140">
            <v>39489</v>
          </cell>
          <cell r="C1140">
            <v>2</v>
          </cell>
        </row>
        <row r="1141">
          <cell r="B1141">
            <v>39490</v>
          </cell>
          <cell r="C1141">
            <v>2</v>
          </cell>
        </row>
        <row r="1142">
          <cell r="B1142">
            <v>39491</v>
          </cell>
          <cell r="C1142">
            <v>2</v>
          </cell>
        </row>
        <row r="1143">
          <cell r="B1143">
            <v>39492</v>
          </cell>
          <cell r="C1143">
            <v>2</v>
          </cell>
        </row>
        <row r="1144">
          <cell r="B1144">
            <v>39493</v>
          </cell>
          <cell r="C1144">
            <v>2</v>
          </cell>
        </row>
        <row r="1145">
          <cell r="B1145">
            <v>39494</v>
          </cell>
          <cell r="C1145">
            <v>2</v>
          </cell>
        </row>
        <row r="1146">
          <cell r="B1146">
            <v>39495</v>
          </cell>
          <cell r="C1146">
            <v>2</v>
          </cell>
        </row>
        <row r="1147">
          <cell r="B1147">
            <v>39496</v>
          </cell>
          <cell r="C1147">
            <v>2</v>
          </cell>
        </row>
        <row r="1148">
          <cell r="B1148">
            <v>39497</v>
          </cell>
          <cell r="C1148">
            <v>2</v>
          </cell>
        </row>
        <row r="1149">
          <cell r="B1149">
            <v>39498</v>
          </cell>
          <cell r="C1149">
            <v>2</v>
          </cell>
        </row>
        <row r="1150">
          <cell r="B1150">
            <v>39499</v>
          </cell>
          <cell r="C1150">
            <v>2</v>
          </cell>
        </row>
        <row r="1151">
          <cell r="B1151">
            <v>39500</v>
          </cell>
          <cell r="C1151">
            <v>2</v>
          </cell>
        </row>
        <row r="1152">
          <cell r="B1152">
            <v>39501</v>
          </cell>
          <cell r="C1152">
            <v>2</v>
          </cell>
        </row>
        <row r="1153">
          <cell r="B1153">
            <v>39502</v>
          </cell>
          <cell r="C1153">
            <v>2</v>
          </cell>
        </row>
        <row r="1154">
          <cell r="B1154">
            <v>39503</v>
          </cell>
          <cell r="C1154">
            <v>2</v>
          </cell>
        </row>
        <row r="1155">
          <cell r="B1155">
            <v>39504</v>
          </cell>
          <cell r="C1155">
            <v>2</v>
          </cell>
        </row>
        <row r="1156">
          <cell r="B1156">
            <v>39505</v>
          </cell>
          <cell r="C1156">
            <v>2</v>
          </cell>
        </row>
        <row r="1157">
          <cell r="B1157">
            <v>39506</v>
          </cell>
          <cell r="C1157">
            <v>2</v>
          </cell>
        </row>
        <row r="1158">
          <cell r="B1158">
            <v>39507</v>
          </cell>
          <cell r="C1158">
            <v>2</v>
          </cell>
        </row>
        <row r="1159">
          <cell r="B1159">
            <v>39508</v>
          </cell>
          <cell r="C1159">
            <v>3</v>
          </cell>
        </row>
        <row r="1160">
          <cell r="B1160">
            <v>39509</v>
          </cell>
          <cell r="C1160">
            <v>3</v>
          </cell>
        </row>
        <row r="1161">
          <cell r="B1161">
            <v>39510</v>
          </cell>
          <cell r="C1161">
            <v>3</v>
          </cell>
        </row>
        <row r="1162">
          <cell r="B1162">
            <v>39511</v>
          </cell>
          <cell r="C1162">
            <v>3</v>
          </cell>
        </row>
        <row r="1163">
          <cell r="B1163">
            <v>39512</v>
          </cell>
          <cell r="C1163">
            <v>3</v>
          </cell>
        </row>
        <row r="1164">
          <cell r="B1164">
            <v>39513</v>
          </cell>
          <cell r="C1164">
            <v>3</v>
          </cell>
        </row>
        <row r="1165">
          <cell r="B1165">
            <v>39514</v>
          </cell>
          <cell r="C1165">
            <v>3</v>
          </cell>
        </row>
        <row r="1166">
          <cell r="B1166">
            <v>39515</v>
          </cell>
          <cell r="C1166">
            <v>3</v>
          </cell>
        </row>
        <row r="1167">
          <cell r="B1167">
            <v>39516</v>
          </cell>
          <cell r="C1167">
            <v>3</v>
          </cell>
        </row>
        <row r="1168">
          <cell r="B1168">
            <v>39517</v>
          </cell>
          <cell r="C1168">
            <v>3</v>
          </cell>
        </row>
        <row r="1169">
          <cell r="B1169">
            <v>39518</v>
          </cell>
          <cell r="C1169">
            <v>3</v>
          </cell>
        </row>
        <row r="1170">
          <cell r="B1170">
            <v>39519</v>
          </cell>
          <cell r="C1170">
            <v>3</v>
          </cell>
        </row>
        <row r="1171">
          <cell r="B1171">
            <v>39520</v>
          </cell>
          <cell r="C1171">
            <v>3</v>
          </cell>
        </row>
        <row r="1172">
          <cell r="B1172">
            <v>39521</v>
          </cell>
          <cell r="C1172">
            <v>3</v>
          </cell>
        </row>
        <row r="1173">
          <cell r="B1173">
            <v>39522</v>
          </cell>
          <cell r="C1173">
            <v>3</v>
          </cell>
        </row>
        <row r="1174">
          <cell r="B1174">
            <v>39523</v>
          </cell>
          <cell r="C1174">
            <v>3</v>
          </cell>
        </row>
        <row r="1175">
          <cell r="B1175">
            <v>39524</v>
          </cell>
          <cell r="C1175">
            <v>3</v>
          </cell>
        </row>
        <row r="1176">
          <cell r="B1176">
            <v>39525</v>
          </cell>
          <cell r="C1176">
            <v>3</v>
          </cell>
        </row>
        <row r="1177">
          <cell r="B1177">
            <v>39526</v>
          </cell>
          <cell r="C1177">
            <v>3</v>
          </cell>
        </row>
        <row r="1178">
          <cell r="B1178">
            <v>39527</v>
          </cell>
          <cell r="C1178">
            <v>3</v>
          </cell>
        </row>
        <row r="1179">
          <cell r="B1179">
            <v>39528</v>
          </cell>
          <cell r="C1179">
            <v>3</v>
          </cell>
        </row>
        <row r="1180">
          <cell r="B1180">
            <v>39529</v>
          </cell>
          <cell r="C1180">
            <v>3</v>
          </cell>
        </row>
        <row r="1181">
          <cell r="B1181">
            <v>39530</v>
          </cell>
          <cell r="C1181">
            <v>3</v>
          </cell>
        </row>
        <row r="1182">
          <cell r="B1182">
            <v>39531</v>
          </cell>
          <cell r="C1182">
            <v>3</v>
          </cell>
        </row>
        <row r="1183">
          <cell r="B1183">
            <v>39532</v>
          </cell>
          <cell r="C1183">
            <v>3</v>
          </cell>
        </row>
        <row r="1184">
          <cell r="B1184">
            <v>39533</v>
          </cell>
          <cell r="C1184">
            <v>3</v>
          </cell>
        </row>
        <row r="1185">
          <cell r="B1185">
            <v>39534</v>
          </cell>
          <cell r="C1185">
            <v>3</v>
          </cell>
        </row>
        <row r="1186">
          <cell r="B1186">
            <v>39535</v>
          </cell>
          <cell r="C1186">
            <v>3</v>
          </cell>
        </row>
        <row r="1187">
          <cell r="B1187">
            <v>39536</v>
          </cell>
          <cell r="C1187">
            <v>3</v>
          </cell>
        </row>
        <row r="1188">
          <cell r="B1188">
            <v>39537</v>
          </cell>
          <cell r="C1188">
            <v>3</v>
          </cell>
        </row>
        <row r="1189">
          <cell r="B1189">
            <v>39538</v>
          </cell>
          <cell r="C1189">
            <v>3</v>
          </cell>
        </row>
        <row r="1190">
          <cell r="B1190">
            <v>39539</v>
          </cell>
          <cell r="C1190">
            <v>4</v>
          </cell>
        </row>
        <row r="1191">
          <cell r="B1191">
            <v>39540</v>
          </cell>
          <cell r="C1191">
            <v>4</v>
          </cell>
        </row>
        <row r="1192">
          <cell r="B1192">
            <v>39541</v>
          </cell>
          <cell r="C1192">
            <v>4</v>
          </cell>
        </row>
        <row r="1193">
          <cell r="B1193">
            <v>39542</v>
          </cell>
          <cell r="C1193">
            <v>4</v>
          </cell>
        </row>
        <row r="1194">
          <cell r="B1194">
            <v>39543</v>
          </cell>
          <cell r="C1194">
            <v>4</v>
          </cell>
        </row>
        <row r="1195">
          <cell r="B1195">
            <v>39544</v>
          </cell>
          <cell r="C1195">
            <v>4</v>
          </cell>
        </row>
        <row r="1196">
          <cell r="B1196">
            <v>39545</v>
          </cell>
          <cell r="C1196">
            <v>4</v>
          </cell>
        </row>
        <row r="1197">
          <cell r="B1197">
            <v>39546</v>
          </cell>
          <cell r="C1197">
            <v>4</v>
          </cell>
        </row>
        <row r="1198">
          <cell r="B1198">
            <v>39547</v>
          </cell>
          <cell r="C1198">
            <v>4</v>
          </cell>
        </row>
        <row r="1199">
          <cell r="B1199">
            <v>39548</v>
          </cell>
          <cell r="C1199">
            <v>4</v>
          </cell>
        </row>
        <row r="1200">
          <cell r="B1200">
            <v>39549</v>
          </cell>
          <cell r="C1200">
            <v>4</v>
          </cell>
        </row>
        <row r="1201">
          <cell r="B1201">
            <v>39550</v>
          </cell>
          <cell r="C1201">
            <v>4</v>
          </cell>
        </row>
        <row r="1202">
          <cell r="B1202">
            <v>39551</v>
          </cell>
          <cell r="C1202">
            <v>4</v>
          </cell>
        </row>
        <row r="1203">
          <cell r="B1203">
            <v>39552</v>
          </cell>
          <cell r="C1203">
            <v>4</v>
          </cell>
        </row>
        <row r="1204">
          <cell r="B1204">
            <v>39553</v>
          </cell>
          <cell r="C1204">
            <v>4</v>
          </cell>
        </row>
        <row r="1205">
          <cell r="B1205">
            <v>39554</v>
          </cell>
          <cell r="C1205">
            <v>4</v>
          </cell>
        </row>
        <row r="1206">
          <cell r="B1206">
            <v>39555</v>
          </cell>
          <cell r="C1206">
            <v>4</v>
          </cell>
        </row>
        <row r="1207">
          <cell r="B1207">
            <v>39556</v>
          </cell>
          <cell r="C1207">
            <v>4</v>
          </cell>
        </row>
        <row r="1208">
          <cell r="B1208">
            <v>39557</v>
          </cell>
          <cell r="C1208">
            <v>4</v>
          </cell>
        </row>
        <row r="1209">
          <cell r="B1209">
            <v>39558</v>
          </cell>
          <cell r="C1209">
            <v>4</v>
          </cell>
        </row>
        <row r="1210">
          <cell r="B1210">
            <v>39559</v>
          </cell>
          <cell r="C1210">
            <v>4</v>
          </cell>
        </row>
        <row r="1211">
          <cell r="B1211">
            <v>39560</v>
          </cell>
          <cell r="C1211">
            <v>4</v>
          </cell>
        </row>
        <row r="1212">
          <cell r="B1212">
            <v>39561</v>
          </cell>
          <cell r="C1212">
            <v>4</v>
          </cell>
        </row>
        <row r="1213">
          <cell r="B1213">
            <v>39562</v>
          </cell>
          <cell r="C1213">
            <v>4</v>
          </cell>
        </row>
        <row r="1214">
          <cell r="B1214">
            <v>39563</v>
          </cell>
          <cell r="C1214">
            <v>4</v>
          </cell>
        </row>
        <row r="1215">
          <cell r="B1215">
            <v>39564</v>
          </cell>
          <cell r="C1215">
            <v>4</v>
          </cell>
        </row>
        <row r="1216">
          <cell r="B1216">
            <v>39565</v>
          </cell>
          <cell r="C1216">
            <v>4</v>
          </cell>
        </row>
        <row r="1217">
          <cell r="B1217">
            <v>39566</v>
          </cell>
          <cell r="C1217">
            <v>4</v>
          </cell>
        </row>
        <row r="1218">
          <cell r="B1218">
            <v>39567</v>
          </cell>
          <cell r="C1218">
            <v>4</v>
          </cell>
        </row>
        <row r="1219">
          <cell r="B1219">
            <v>39568</v>
          </cell>
          <cell r="C1219">
            <v>4</v>
          </cell>
        </row>
        <row r="1220">
          <cell r="B1220">
            <v>39569</v>
          </cell>
          <cell r="C1220">
            <v>5</v>
          </cell>
        </row>
        <row r="1221">
          <cell r="B1221">
            <v>39570</v>
          </cell>
          <cell r="C1221">
            <v>5</v>
          </cell>
        </row>
        <row r="1222">
          <cell r="B1222">
            <v>39571</v>
          </cell>
          <cell r="C1222">
            <v>5</v>
          </cell>
        </row>
        <row r="1223">
          <cell r="B1223">
            <v>39572</v>
          </cell>
          <cell r="C1223">
            <v>5</v>
          </cell>
        </row>
        <row r="1224">
          <cell r="B1224">
            <v>39573</v>
          </cell>
          <cell r="C1224">
            <v>5</v>
          </cell>
        </row>
        <row r="1225">
          <cell r="B1225">
            <v>39574</v>
          </cell>
          <cell r="C1225">
            <v>5</v>
          </cell>
        </row>
        <row r="1226">
          <cell r="B1226">
            <v>39575</v>
          </cell>
          <cell r="C1226">
            <v>5</v>
          </cell>
        </row>
        <row r="1227">
          <cell r="B1227">
            <v>39576</v>
          </cell>
          <cell r="C1227">
            <v>5</v>
          </cell>
        </row>
        <row r="1228">
          <cell r="B1228">
            <v>39577</v>
          </cell>
          <cell r="C1228">
            <v>5</v>
          </cell>
        </row>
        <row r="1229">
          <cell r="B1229">
            <v>39578</v>
          </cell>
          <cell r="C1229">
            <v>5</v>
          </cell>
        </row>
        <row r="1230">
          <cell r="B1230">
            <v>39579</v>
          </cell>
          <cell r="C1230">
            <v>5</v>
          </cell>
        </row>
        <row r="1231">
          <cell r="B1231">
            <v>39580</v>
          </cell>
          <cell r="C1231">
            <v>5</v>
          </cell>
        </row>
        <row r="1232">
          <cell r="B1232">
            <v>39581</v>
          </cell>
          <cell r="C1232">
            <v>5</v>
          </cell>
        </row>
        <row r="1233">
          <cell r="B1233">
            <v>39582</v>
          </cell>
          <cell r="C1233">
            <v>5</v>
          </cell>
        </row>
        <row r="1234">
          <cell r="B1234">
            <v>39583</v>
          </cell>
          <cell r="C1234">
            <v>5</v>
          </cell>
        </row>
        <row r="1235">
          <cell r="B1235">
            <v>39584</v>
          </cell>
          <cell r="C1235">
            <v>5</v>
          </cell>
        </row>
        <row r="1236">
          <cell r="B1236">
            <v>39585</v>
          </cell>
          <cell r="C1236">
            <v>5</v>
          </cell>
        </row>
        <row r="1237">
          <cell r="B1237">
            <v>39586</v>
          </cell>
          <cell r="C1237">
            <v>5</v>
          </cell>
        </row>
        <row r="1238">
          <cell r="B1238">
            <v>39587</v>
          </cell>
          <cell r="C1238">
            <v>5</v>
          </cell>
        </row>
        <row r="1239">
          <cell r="B1239">
            <v>39588</v>
          </cell>
          <cell r="C1239">
            <v>5</v>
          </cell>
        </row>
        <row r="1240">
          <cell r="B1240">
            <v>39589</v>
          </cell>
          <cell r="C1240">
            <v>5</v>
          </cell>
        </row>
        <row r="1241">
          <cell r="B1241">
            <v>39590</v>
          </cell>
          <cell r="C1241">
            <v>5</v>
          </cell>
        </row>
        <row r="1242">
          <cell r="B1242">
            <v>39591</v>
          </cell>
          <cell r="C1242">
            <v>5</v>
          </cell>
        </row>
        <row r="1243">
          <cell r="B1243">
            <v>39592</v>
          </cell>
          <cell r="C1243">
            <v>5</v>
          </cell>
        </row>
        <row r="1244">
          <cell r="B1244">
            <v>39593</v>
          </cell>
          <cell r="C1244">
            <v>5</v>
          </cell>
        </row>
        <row r="1245">
          <cell r="B1245">
            <v>39594</v>
          </cell>
          <cell r="C1245">
            <v>5</v>
          </cell>
        </row>
        <row r="1246">
          <cell r="B1246">
            <v>39595</v>
          </cell>
          <cell r="C1246">
            <v>5</v>
          </cell>
        </row>
        <row r="1247">
          <cell r="B1247">
            <v>39596</v>
          </cell>
          <cell r="C1247">
            <v>5</v>
          </cell>
        </row>
        <row r="1248">
          <cell r="B1248">
            <v>39597</v>
          </cell>
          <cell r="C1248">
            <v>5</v>
          </cell>
        </row>
        <row r="1249">
          <cell r="B1249">
            <v>39598</v>
          </cell>
          <cell r="C1249">
            <v>5</v>
          </cell>
        </row>
        <row r="1250">
          <cell r="B1250">
            <v>39599</v>
          </cell>
          <cell r="C1250">
            <v>5</v>
          </cell>
        </row>
        <row r="1251">
          <cell r="B1251">
            <v>39600</v>
          </cell>
          <cell r="C1251">
            <v>6</v>
          </cell>
        </row>
        <row r="1252">
          <cell r="B1252">
            <v>39601</v>
          </cell>
          <cell r="C1252">
            <v>6</v>
          </cell>
        </row>
        <row r="1253">
          <cell r="B1253">
            <v>39602</v>
          </cell>
          <cell r="C1253">
            <v>6</v>
          </cell>
        </row>
        <row r="1254">
          <cell r="B1254">
            <v>39603</v>
          </cell>
          <cell r="C1254">
            <v>6</v>
          </cell>
        </row>
        <row r="1255">
          <cell r="B1255">
            <v>39604</v>
          </cell>
          <cell r="C1255">
            <v>6</v>
          </cell>
        </row>
        <row r="1256">
          <cell r="B1256">
            <v>39605</v>
          </cell>
          <cell r="C1256">
            <v>6</v>
          </cell>
        </row>
        <row r="1257">
          <cell r="B1257">
            <v>39606</v>
          </cell>
          <cell r="C1257">
            <v>6</v>
          </cell>
        </row>
        <row r="1258">
          <cell r="B1258">
            <v>39607</v>
          </cell>
          <cell r="C1258">
            <v>6</v>
          </cell>
        </row>
        <row r="1259">
          <cell r="B1259">
            <v>39608</v>
          </cell>
          <cell r="C1259">
            <v>6</v>
          </cell>
        </row>
        <row r="1260">
          <cell r="B1260">
            <v>39609</v>
          </cell>
          <cell r="C1260">
            <v>6</v>
          </cell>
        </row>
        <row r="1261">
          <cell r="B1261">
            <v>39610</v>
          </cell>
          <cell r="C1261">
            <v>6</v>
          </cell>
        </row>
        <row r="1262">
          <cell r="B1262">
            <v>39611</v>
          </cell>
          <cell r="C1262">
            <v>6</v>
          </cell>
        </row>
        <row r="1263">
          <cell r="B1263">
            <v>39612</v>
          </cell>
          <cell r="C1263">
            <v>6</v>
          </cell>
        </row>
        <row r="1264">
          <cell r="B1264">
            <v>39613</v>
          </cell>
          <cell r="C1264">
            <v>6</v>
          </cell>
        </row>
        <row r="1265">
          <cell r="B1265">
            <v>39614</v>
          </cell>
          <cell r="C1265">
            <v>6</v>
          </cell>
        </row>
        <row r="1266">
          <cell r="B1266">
            <v>39615</v>
          </cell>
          <cell r="C1266">
            <v>6</v>
          </cell>
        </row>
        <row r="1267">
          <cell r="B1267">
            <v>39616</v>
          </cell>
          <cell r="C1267">
            <v>6</v>
          </cell>
        </row>
        <row r="1268">
          <cell r="B1268">
            <v>39617</v>
          </cell>
          <cell r="C1268">
            <v>6</v>
          </cell>
        </row>
        <row r="1269">
          <cell r="B1269">
            <v>39618</v>
          </cell>
          <cell r="C1269">
            <v>6</v>
          </cell>
        </row>
        <row r="1270">
          <cell r="B1270">
            <v>39619</v>
          </cell>
          <cell r="C1270">
            <v>6</v>
          </cell>
        </row>
        <row r="1271">
          <cell r="B1271">
            <v>39620</v>
          </cell>
          <cell r="C1271">
            <v>6</v>
          </cell>
        </row>
        <row r="1272">
          <cell r="B1272">
            <v>39621</v>
          </cell>
          <cell r="C1272">
            <v>6</v>
          </cell>
        </row>
        <row r="1273">
          <cell r="B1273">
            <v>39622</v>
          </cell>
          <cell r="C1273">
            <v>6</v>
          </cell>
        </row>
        <row r="1274">
          <cell r="B1274">
            <v>39623</v>
          </cell>
          <cell r="C1274">
            <v>6</v>
          </cell>
        </row>
        <row r="1275">
          <cell r="B1275">
            <v>39624</v>
          </cell>
          <cell r="C1275">
            <v>6</v>
          </cell>
        </row>
        <row r="1276">
          <cell r="B1276">
            <v>39625</v>
          </cell>
          <cell r="C1276">
            <v>6</v>
          </cell>
        </row>
        <row r="1277">
          <cell r="B1277">
            <v>39626</v>
          </cell>
          <cell r="C1277">
            <v>6</v>
          </cell>
        </row>
        <row r="1278">
          <cell r="B1278">
            <v>39627</v>
          </cell>
          <cell r="C1278">
            <v>6</v>
          </cell>
        </row>
        <row r="1279">
          <cell r="B1279">
            <v>39628</v>
          </cell>
          <cell r="C1279">
            <v>6</v>
          </cell>
        </row>
        <row r="1280">
          <cell r="B1280">
            <v>39629</v>
          </cell>
          <cell r="C1280">
            <v>6</v>
          </cell>
        </row>
        <row r="1281">
          <cell r="B1281">
            <v>39630</v>
          </cell>
          <cell r="C1281">
            <v>7</v>
          </cell>
        </row>
        <row r="1282">
          <cell r="B1282">
            <v>39631</v>
          </cell>
          <cell r="C1282">
            <v>7</v>
          </cell>
        </row>
        <row r="1283">
          <cell r="B1283">
            <v>39632</v>
          </cell>
          <cell r="C1283">
            <v>7</v>
          </cell>
        </row>
        <row r="1284">
          <cell r="B1284">
            <v>39633</v>
          </cell>
          <cell r="C1284">
            <v>7</v>
          </cell>
        </row>
        <row r="1285">
          <cell r="B1285">
            <v>39634</v>
          </cell>
          <cell r="C1285">
            <v>7</v>
          </cell>
        </row>
        <row r="1286">
          <cell r="B1286">
            <v>39635</v>
          </cell>
          <cell r="C1286">
            <v>7</v>
          </cell>
        </row>
        <row r="1287">
          <cell r="B1287">
            <v>39636</v>
          </cell>
          <cell r="C1287">
            <v>7</v>
          </cell>
        </row>
        <row r="1288">
          <cell r="B1288">
            <v>39637</v>
          </cell>
          <cell r="C1288">
            <v>7</v>
          </cell>
        </row>
        <row r="1289">
          <cell r="B1289">
            <v>39638</v>
          </cell>
          <cell r="C1289">
            <v>7</v>
          </cell>
        </row>
        <row r="1290">
          <cell r="B1290">
            <v>39639</v>
          </cell>
          <cell r="C1290">
            <v>7</v>
          </cell>
        </row>
        <row r="1291">
          <cell r="B1291">
            <v>39640</v>
          </cell>
          <cell r="C1291">
            <v>7</v>
          </cell>
        </row>
        <row r="1292">
          <cell r="B1292">
            <v>39641</v>
          </cell>
          <cell r="C1292">
            <v>7</v>
          </cell>
        </row>
        <row r="1293">
          <cell r="B1293">
            <v>39642</v>
          </cell>
          <cell r="C1293">
            <v>7</v>
          </cell>
        </row>
        <row r="1294">
          <cell r="B1294">
            <v>39643</v>
          </cell>
          <cell r="C1294">
            <v>7</v>
          </cell>
        </row>
        <row r="1295">
          <cell r="B1295">
            <v>39644</v>
          </cell>
          <cell r="C1295">
            <v>7</v>
          </cell>
        </row>
        <row r="1296">
          <cell r="B1296">
            <v>39645</v>
          </cell>
          <cell r="C1296">
            <v>7</v>
          </cell>
        </row>
        <row r="1297">
          <cell r="B1297">
            <v>39646</v>
          </cell>
          <cell r="C1297">
            <v>7</v>
          </cell>
        </row>
        <row r="1298">
          <cell r="B1298">
            <v>39647</v>
          </cell>
          <cell r="C1298">
            <v>7</v>
          </cell>
        </row>
        <row r="1299">
          <cell r="B1299">
            <v>39648</v>
          </cell>
          <cell r="C1299">
            <v>7</v>
          </cell>
        </row>
        <row r="1300">
          <cell r="B1300">
            <v>39649</v>
          </cell>
          <cell r="C1300">
            <v>7</v>
          </cell>
        </row>
        <row r="1301">
          <cell r="B1301">
            <v>39650</v>
          </cell>
          <cell r="C1301">
            <v>7</v>
          </cell>
        </row>
        <row r="1302">
          <cell r="B1302">
            <v>39651</v>
          </cell>
          <cell r="C1302">
            <v>7</v>
          </cell>
        </row>
        <row r="1303">
          <cell r="B1303">
            <v>39652</v>
          </cell>
          <cell r="C1303">
            <v>7</v>
          </cell>
        </row>
        <row r="1304">
          <cell r="B1304">
            <v>39653</v>
          </cell>
          <cell r="C1304">
            <v>7</v>
          </cell>
        </row>
        <row r="1305">
          <cell r="B1305">
            <v>39654</v>
          </cell>
          <cell r="C1305">
            <v>7</v>
          </cell>
        </row>
        <row r="1306">
          <cell r="B1306">
            <v>39655</v>
          </cell>
          <cell r="C1306">
            <v>7</v>
          </cell>
        </row>
        <row r="1307">
          <cell r="B1307">
            <v>39656</v>
          </cell>
          <cell r="C1307">
            <v>7</v>
          </cell>
        </row>
        <row r="1308">
          <cell r="B1308">
            <v>39657</v>
          </cell>
          <cell r="C1308">
            <v>7</v>
          </cell>
        </row>
        <row r="1309">
          <cell r="B1309">
            <v>39658</v>
          </cell>
          <cell r="C1309">
            <v>7</v>
          </cell>
        </row>
        <row r="1310">
          <cell r="B1310">
            <v>39659</v>
          </cell>
          <cell r="C1310">
            <v>7</v>
          </cell>
        </row>
        <row r="1311">
          <cell r="B1311">
            <v>39660</v>
          </cell>
          <cell r="C1311">
            <v>7</v>
          </cell>
        </row>
        <row r="1312">
          <cell r="B1312">
            <v>39661</v>
          </cell>
          <cell r="C1312">
            <v>8</v>
          </cell>
        </row>
        <row r="1313">
          <cell r="B1313">
            <v>39662</v>
          </cell>
          <cell r="C1313">
            <v>8</v>
          </cell>
        </row>
        <row r="1314">
          <cell r="B1314">
            <v>39663</v>
          </cell>
          <cell r="C1314">
            <v>8</v>
          </cell>
        </row>
        <row r="1315">
          <cell r="B1315">
            <v>39664</v>
          </cell>
          <cell r="C1315">
            <v>8</v>
          </cell>
        </row>
        <row r="1316">
          <cell r="B1316">
            <v>39665</v>
          </cell>
          <cell r="C1316">
            <v>8</v>
          </cell>
        </row>
        <row r="1317">
          <cell r="B1317">
            <v>39666</v>
          </cell>
          <cell r="C1317">
            <v>8</v>
          </cell>
        </row>
        <row r="1318">
          <cell r="B1318">
            <v>39667</v>
          </cell>
          <cell r="C1318">
            <v>8</v>
          </cell>
        </row>
        <row r="1319">
          <cell r="B1319">
            <v>39668</v>
          </cell>
          <cell r="C1319">
            <v>8</v>
          </cell>
        </row>
        <row r="1320">
          <cell r="B1320">
            <v>39669</v>
          </cell>
          <cell r="C1320">
            <v>8</v>
          </cell>
        </row>
        <row r="1321">
          <cell r="B1321">
            <v>39670</v>
          </cell>
          <cell r="C1321">
            <v>8</v>
          </cell>
        </row>
        <row r="1322">
          <cell r="B1322">
            <v>39671</v>
          </cell>
          <cell r="C1322">
            <v>8</v>
          </cell>
        </row>
        <row r="1323">
          <cell r="B1323">
            <v>39672</v>
          </cell>
          <cell r="C1323">
            <v>8</v>
          </cell>
        </row>
        <row r="1324">
          <cell r="B1324">
            <v>39673</v>
          </cell>
          <cell r="C1324">
            <v>8</v>
          </cell>
        </row>
        <row r="1325">
          <cell r="B1325">
            <v>39674</v>
          </cell>
          <cell r="C1325">
            <v>8</v>
          </cell>
        </row>
        <row r="1326">
          <cell r="B1326">
            <v>39675</v>
          </cell>
          <cell r="C1326">
            <v>8</v>
          </cell>
        </row>
        <row r="1327">
          <cell r="B1327">
            <v>39676</v>
          </cell>
          <cell r="C1327">
            <v>8</v>
          </cell>
        </row>
        <row r="1328">
          <cell r="B1328">
            <v>39677</v>
          </cell>
          <cell r="C1328">
            <v>8</v>
          </cell>
        </row>
        <row r="1329">
          <cell r="B1329">
            <v>39678</v>
          </cell>
          <cell r="C1329">
            <v>8</v>
          </cell>
        </row>
        <row r="1330">
          <cell r="B1330">
            <v>39679</v>
          </cell>
          <cell r="C1330">
            <v>8</v>
          </cell>
        </row>
        <row r="1331">
          <cell r="B1331">
            <v>39680</v>
          </cell>
          <cell r="C1331">
            <v>8</v>
          </cell>
        </row>
        <row r="1332">
          <cell r="B1332">
            <v>39681</v>
          </cell>
          <cell r="C1332">
            <v>8</v>
          </cell>
        </row>
        <row r="1333">
          <cell r="B1333">
            <v>39682</v>
          </cell>
          <cell r="C1333">
            <v>8</v>
          </cell>
        </row>
        <row r="1334">
          <cell r="B1334">
            <v>39683</v>
          </cell>
          <cell r="C1334">
            <v>8</v>
          </cell>
        </row>
        <row r="1335">
          <cell r="B1335">
            <v>39684</v>
          </cell>
          <cell r="C1335">
            <v>8</v>
          </cell>
        </row>
        <row r="1336">
          <cell r="B1336">
            <v>39685</v>
          </cell>
          <cell r="C1336">
            <v>8</v>
          </cell>
        </row>
        <row r="1337">
          <cell r="B1337">
            <v>39686</v>
          </cell>
          <cell r="C1337">
            <v>8</v>
          </cell>
        </row>
        <row r="1338">
          <cell r="B1338">
            <v>39687</v>
          </cell>
          <cell r="C1338">
            <v>8</v>
          </cell>
        </row>
        <row r="1339">
          <cell r="B1339">
            <v>39688</v>
          </cell>
          <cell r="C1339">
            <v>8</v>
          </cell>
        </row>
        <row r="1340">
          <cell r="B1340">
            <v>39689</v>
          </cell>
          <cell r="C1340">
            <v>8</v>
          </cell>
        </row>
        <row r="1341">
          <cell r="B1341">
            <v>39690</v>
          </cell>
          <cell r="C1341">
            <v>8</v>
          </cell>
        </row>
        <row r="1342">
          <cell r="B1342">
            <v>39691</v>
          </cell>
          <cell r="C1342">
            <v>8</v>
          </cell>
        </row>
        <row r="1343">
          <cell r="B1343">
            <v>39692</v>
          </cell>
          <cell r="C1343">
            <v>9</v>
          </cell>
        </row>
        <row r="1344">
          <cell r="B1344">
            <v>39693</v>
          </cell>
          <cell r="C1344">
            <v>9</v>
          </cell>
        </row>
        <row r="1345">
          <cell r="B1345">
            <v>39694</v>
          </cell>
          <cell r="C1345">
            <v>9</v>
          </cell>
        </row>
        <row r="1346">
          <cell r="B1346">
            <v>39695</v>
          </cell>
          <cell r="C1346">
            <v>9</v>
          </cell>
        </row>
        <row r="1347">
          <cell r="B1347">
            <v>39696</v>
          </cell>
          <cell r="C1347">
            <v>9</v>
          </cell>
        </row>
        <row r="1348">
          <cell r="B1348">
            <v>39697</v>
          </cell>
          <cell r="C1348">
            <v>9</v>
          </cell>
        </row>
        <row r="1349">
          <cell r="B1349">
            <v>39698</v>
          </cell>
          <cell r="C1349">
            <v>9</v>
          </cell>
        </row>
        <row r="1350">
          <cell r="B1350">
            <v>39699</v>
          </cell>
          <cell r="C1350">
            <v>9</v>
          </cell>
        </row>
        <row r="1351">
          <cell r="B1351">
            <v>39700</v>
          </cell>
          <cell r="C1351">
            <v>9</v>
          </cell>
        </row>
        <row r="1352">
          <cell r="B1352">
            <v>39701</v>
          </cell>
          <cell r="C1352">
            <v>9</v>
          </cell>
        </row>
        <row r="1353">
          <cell r="B1353">
            <v>39702</v>
          </cell>
          <cell r="C1353">
            <v>9</v>
          </cell>
        </row>
        <row r="1354">
          <cell r="B1354">
            <v>39703</v>
          </cell>
          <cell r="C1354">
            <v>9</v>
          </cell>
        </row>
        <row r="1355">
          <cell r="B1355">
            <v>39704</v>
          </cell>
          <cell r="C1355">
            <v>9</v>
          </cell>
        </row>
        <row r="1356">
          <cell r="B1356">
            <v>39705</v>
          </cell>
          <cell r="C1356">
            <v>9</v>
          </cell>
        </row>
        <row r="1357">
          <cell r="B1357">
            <v>39706</v>
          </cell>
          <cell r="C1357">
            <v>9</v>
          </cell>
        </row>
        <row r="1358">
          <cell r="B1358">
            <v>39707</v>
          </cell>
          <cell r="C1358">
            <v>9</v>
          </cell>
        </row>
        <row r="1359">
          <cell r="B1359">
            <v>39708</v>
          </cell>
          <cell r="C1359">
            <v>9</v>
          </cell>
        </row>
        <row r="1360">
          <cell r="B1360">
            <v>39709</v>
          </cell>
          <cell r="C1360">
            <v>9</v>
          </cell>
        </row>
        <row r="1361">
          <cell r="B1361">
            <v>39710</v>
          </cell>
          <cell r="C1361">
            <v>9</v>
          </cell>
        </row>
        <row r="1362">
          <cell r="B1362">
            <v>39711</v>
          </cell>
          <cell r="C1362">
            <v>9</v>
          </cell>
        </row>
        <row r="1363">
          <cell r="B1363">
            <v>39712</v>
          </cell>
          <cell r="C1363">
            <v>9</v>
          </cell>
        </row>
        <row r="1364">
          <cell r="B1364">
            <v>39713</v>
          </cell>
          <cell r="C1364">
            <v>9</v>
          </cell>
        </row>
        <row r="1365">
          <cell r="B1365">
            <v>39714</v>
          </cell>
          <cell r="C1365">
            <v>9</v>
          </cell>
        </row>
        <row r="1366">
          <cell r="B1366">
            <v>39715</v>
          </cell>
          <cell r="C1366">
            <v>9</v>
          </cell>
        </row>
        <row r="1367">
          <cell r="B1367">
            <v>39716</v>
          </cell>
          <cell r="C1367">
            <v>9</v>
          </cell>
        </row>
        <row r="1368">
          <cell r="B1368">
            <v>39717</v>
          </cell>
          <cell r="C1368">
            <v>9</v>
          </cell>
        </row>
        <row r="1369">
          <cell r="B1369">
            <v>39718</v>
          </cell>
          <cell r="C1369">
            <v>9</v>
          </cell>
        </row>
        <row r="1370">
          <cell r="B1370">
            <v>39719</v>
          </cell>
          <cell r="C1370">
            <v>9</v>
          </cell>
        </row>
        <row r="1371">
          <cell r="B1371">
            <v>39720</v>
          </cell>
          <cell r="C1371">
            <v>9</v>
          </cell>
        </row>
        <row r="1372">
          <cell r="B1372">
            <v>39721</v>
          </cell>
          <cell r="C1372">
            <v>9</v>
          </cell>
        </row>
        <row r="1373">
          <cell r="B1373">
            <v>39722</v>
          </cell>
          <cell r="C1373">
            <v>10</v>
          </cell>
        </row>
        <row r="1374">
          <cell r="B1374">
            <v>39723</v>
          </cell>
          <cell r="C1374">
            <v>10</v>
          </cell>
        </row>
        <row r="1375">
          <cell r="B1375">
            <v>39724</v>
          </cell>
          <cell r="C1375">
            <v>10</v>
          </cell>
        </row>
        <row r="1376">
          <cell r="B1376">
            <v>39725</v>
          </cell>
          <cell r="C1376">
            <v>10</v>
          </cell>
        </row>
        <row r="1377">
          <cell r="B1377">
            <v>39726</v>
          </cell>
          <cell r="C1377">
            <v>10</v>
          </cell>
        </row>
        <row r="1378">
          <cell r="B1378">
            <v>39727</v>
          </cell>
          <cell r="C1378">
            <v>10</v>
          </cell>
        </row>
        <row r="1379">
          <cell r="B1379">
            <v>39728</v>
          </cell>
          <cell r="C1379">
            <v>10</v>
          </cell>
        </row>
        <row r="1380">
          <cell r="B1380">
            <v>39729</v>
          </cell>
          <cell r="C1380">
            <v>10</v>
          </cell>
        </row>
        <row r="1381">
          <cell r="B1381">
            <v>39730</v>
          </cell>
          <cell r="C1381">
            <v>10</v>
          </cell>
        </row>
        <row r="1382">
          <cell r="B1382">
            <v>39731</v>
          </cell>
          <cell r="C1382">
            <v>10</v>
          </cell>
        </row>
        <row r="1383">
          <cell r="B1383">
            <v>39732</v>
          </cell>
          <cell r="C1383">
            <v>10</v>
          </cell>
        </row>
        <row r="1384">
          <cell r="B1384">
            <v>39733</v>
          </cell>
          <cell r="C1384">
            <v>10</v>
          </cell>
        </row>
        <row r="1385">
          <cell r="B1385">
            <v>39734</v>
          </cell>
          <cell r="C1385">
            <v>10</v>
          </cell>
        </row>
        <row r="1386">
          <cell r="B1386">
            <v>39735</v>
          </cell>
          <cell r="C1386">
            <v>10</v>
          </cell>
        </row>
        <row r="1387">
          <cell r="B1387">
            <v>39736</v>
          </cell>
          <cell r="C1387">
            <v>10</v>
          </cell>
        </row>
        <row r="1388">
          <cell r="B1388">
            <v>39737</v>
          </cell>
          <cell r="C1388">
            <v>10</v>
          </cell>
        </row>
        <row r="1389">
          <cell r="B1389">
            <v>39738</v>
          </cell>
          <cell r="C1389">
            <v>10</v>
          </cell>
        </row>
        <row r="1390">
          <cell r="B1390">
            <v>39739</v>
          </cell>
          <cell r="C1390">
            <v>10</v>
          </cell>
        </row>
        <row r="1391">
          <cell r="B1391">
            <v>39740</v>
          </cell>
          <cell r="C1391">
            <v>10</v>
          </cell>
        </row>
        <row r="1392">
          <cell r="B1392">
            <v>39741</v>
          </cell>
          <cell r="C1392">
            <v>10</v>
          </cell>
        </row>
        <row r="1393">
          <cell r="B1393">
            <v>39742</v>
          </cell>
          <cell r="C1393">
            <v>10</v>
          </cell>
        </row>
        <row r="1394">
          <cell r="B1394">
            <v>39743</v>
          </cell>
          <cell r="C1394">
            <v>10</v>
          </cell>
        </row>
        <row r="1395">
          <cell r="B1395">
            <v>39744</v>
          </cell>
          <cell r="C1395">
            <v>10</v>
          </cell>
        </row>
        <row r="1396">
          <cell r="B1396">
            <v>39745</v>
          </cell>
          <cell r="C1396">
            <v>10</v>
          </cell>
        </row>
        <row r="1397">
          <cell r="B1397">
            <v>39746</v>
          </cell>
          <cell r="C1397">
            <v>10</v>
          </cell>
        </row>
        <row r="1398">
          <cell r="B1398">
            <v>39747</v>
          </cell>
          <cell r="C1398">
            <v>10</v>
          </cell>
        </row>
        <row r="1399">
          <cell r="B1399">
            <v>39748</v>
          </cell>
          <cell r="C1399">
            <v>10</v>
          </cell>
        </row>
        <row r="1400">
          <cell r="B1400">
            <v>39749</v>
          </cell>
          <cell r="C1400">
            <v>10</v>
          </cell>
        </row>
        <row r="1401">
          <cell r="B1401">
            <v>39750</v>
          </cell>
          <cell r="C1401">
            <v>10</v>
          </cell>
        </row>
        <row r="1402">
          <cell r="B1402">
            <v>39751</v>
          </cell>
          <cell r="C1402">
            <v>10</v>
          </cell>
        </row>
        <row r="1403">
          <cell r="B1403">
            <v>39752</v>
          </cell>
          <cell r="C1403">
            <v>10</v>
          </cell>
        </row>
        <row r="1404">
          <cell r="B1404">
            <v>39753</v>
          </cell>
          <cell r="C1404">
            <v>11</v>
          </cell>
        </row>
        <row r="1405">
          <cell r="B1405">
            <v>39754</v>
          </cell>
          <cell r="C1405">
            <v>11</v>
          </cell>
        </row>
        <row r="1406">
          <cell r="B1406">
            <v>39755</v>
          </cell>
          <cell r="C1406">
            <v>11</v>
          </cell>
        </row>
        <row r="1407">
          <cell r="B1407">
            <v>39756</v>
          </cell>
          <cell r="C1407">
            <v>11</v>
          </cell>
        </row>
        <row r="1408">
          <cell r="B1408">
            <v>39757</v>
          </cell>
          <cell r="C1408">
            <v>11</v>
          </cell>
        </row>
        <row r="1409">
          <cell r="B1409">
            <v>39758</v>
          </cell>
          <cell r="C1409">
            <v>11</v>
          </cell>
        </row>
        <row r="1410">
          <cell r="B1410">
            <v>39759</v>
          </cell>
          <cell r="C1410">
            <v>11</v>
          </cell>
        </row>
        <row r="1411">
          <cell r="B1411">
            <v>39760</v>
          </cell>
          <cell r="C1411">
            <v>11</v>
          </cell>
        </row>
        <row r="1412">
          <cell r="B1412">
            <v>39761</v>
          </cell>
          <cell r="C1412">
            <v>11</v>
          </cell>
        </row>
        <row r="1413">
          <cell r="B1413">
            <v>39762</v>
          </cell>
          <cell r="C1413">
            <v>11</v>
          </cell>
        </row>
        <row r="1414">
          <cell r="B1414">
            <v>39763</v>
          </cell>
          <cell r="C1414">
            <v>11</v>
          </cell>
        </row>
        <row r="1415">
          <cell r="B1415">
            <v>39764</v>
          </cell>
          <cell r="C1415">
            <v>11</v>
          </cell>
        </row>
        <row r="1416">
          <cell r="B1416">
            <v>39765</v>
          </cell>
          <cell r="C1416">
            <v>11</v>
          </cell>
        </row>
        <row r="1417">
          <cell r="B1417">
            <v>39766</v>
          </cell>
          <cell r="C1417">
            <v>11</v>
          </cell>
        </row>
        <row r="1418">
          <cell r="B1418">
            <v>39767</v>
          </cell>
          <cell r="C1418">
            <v>11</v>
          </cell>
        </row>
        <row r="1419">
          <cell r="B1419">
            <v>39768</v>
          </cell>
          <cell r="C1419">
            <v>11</v>
          </cell>
        </row>
        <row r="1420">
          <cell r="B1420">
            <v>39769</v>
          </cell>
          <cell r="C1420">
            <v>11</v>
          </cell>
        </row>
        <row r="1421">
          <cell r="B1421">
            <v>39770</v>
          </cell>
          <cell r="C1421">
            <v>11</v>
          </cell>
        </row>
        <row r="1422">
          <cell r="B1422">
            <v>39771</v>
          </cell>
          <cell r="C1422">
            <v>11</v>
          </cell>
        </row>
        <row r="1423">
          <cell r="B1423">
            <v>39772</v>
          </cell>
          <cell r="C1423">
            <v>11</v>
          </cell>
        </row>
        <row r="1424">
          <cell r="B1424">
            <v>39773</v>
          </cell>
          <cell r="C1424">
            <v>11</v>
          </cell>
        </row>
        <row r="1425">
          <cell r="B1425">
            <v>39774</v>
          </cell>
          <cell r="C1425">
            <v>11</v>
          </cell>
        </row>
        <row r="1426">
          <cell r="B1426">
            <v>39775</v>
          </cell>
          <cell r="C1426">
            <v>11</v>
          </cell>
        </row>
        <row r="1427">
          <cell r="B1427">
            <v>39776</v>
          </cell>
          <cell r="C1427">
            <v>11</v>
          </cell>
        </row>
        <row r="1428">
          <cell r="B1428">
            <v>39777</v>
          </cell>
          <cell r="C1428">
            <v>11</v>
          </cell>
        </row>
        <row r="1429">
          <cell r="B1429">
            <v>39778</v>
          </cell>
          <cell r="C1429">
            <v>11</v>
          </cell>
        </row>
        <row r="1430">
          <cell r="B1430">
            <v>39779</v>
          </cell>
          <cell r="C1430">
            <v>11</v>
          </cell>
        </row>
        <row r="1431">
          <cell r="B1431">
            <v>39780</v>
          </cell>
          <cell r="C1431">
            <v>11</v>
          </cell>
        </row>
        <row r="1432">
          <cell r="B1432">
            <v>39781</v>
          </cell>
          <cell r="C1432">
            <v>11</v>
          </cell>
        </row>
        <row r="1433">
          <cell r="B1433">
            <v>39782</v>
          </cell>
          <cell r="C1433">
            <v>11</v>
          </cell>
        </row>
        <row r="1434">
          <cell r="B1434">
            <v>39783</v>
          </cell>
          <cell r="C1434">
            <v>12</v>
          </cell>
        </row>
        <row r="1435">
          <cell r="B1435">
            <v>39784</v>
          </cell>
          <cell r="C1435">
            <v>12</v>
          </cell>
        </row>
        <row r="1436">
          <cell r="B1436">
            <v>39785</v>
          </cell>
          <cell r="C1436">
            <v>12</v>
          </cell>
        </row>
        <row r="1437">
          <cell r="B1437">
            <v>39786</v>
          </cell>
          <cell r="C1437">
            <v>12</v>
          </cell>
        </row>
        <row r="1438">
          <cell r="B1438">
            <v>39787</v>
          </cell>
          <cell r="C1438">
            <v>12</v>
          </cell>
        </row>
        <row r="1439">
          <cell r="B1439">
            <v>39788</v>
          </cell>
          <cell r="C1439">
            <v>12</v>
          </cell>
        </row>
        <row r="1440">
          <cell r="B1440">
            <v>39789</v>
          </cell>
          <cell r="C1440">
            <v>12</v>
          </cell>
        </row>
        <row r="1441">
          <cell r="B1441">
            <v>39790</v>
          </cell>
          <cell r="C1441">
            <v>12</v>
          </cell>
        </row>
        <row r="1442">
          <cell r="B1442">
            <v>39791</v>
          </cell>
          <cell r="C1442">
            <v>12</v>
          </cell>
        </row>
        <row r="1443">
          <cell r="B1443">
            <v>39792</v>
          </cell>
          <cell r="C1443">
            <v>12</v>
          </cell>
        </row>
        <row r="1444">
          <cell r="B1444">
            <v>39793</v>
          </cell>
          <cell r="C1444">
            <v>12</v>
          </cell>
        </row>
        <row r="1445">
          <cell r="B1445">
            <v>39794</v>
          </cell>
          <cell r="C1445">
            <v>12</v>
          </cell>
        </row>
        <row r="1446">
          <cell r="B1446">
            <v>39795</v>
          </cell>
          <cell r="C1446">
            <v>12</v>
          </cell>
        </row>
        <row r="1447">
          <cell r="B1447">
            <v>39796</v>
          </cell>
          <cell r="C1447">
            <v>12</v>
          </cell>
        </row>
        <row r="1448">
          <cell r="B1448">
            <v>39797</v>
          </cell>
          <cell r="C1448">
            <v>12</v>
          </cell>
        </row>
        <row r="1449">
          <cell r="B1449">
            <v>39798</v>
          </cell>
          <cell r="C1449">
            <v>12</v>
          </cell>
        </row>
        <row r="1450">
          <cell r="B1450">
            <v>39799</v>
          </cell>
          <cell r="C1450">
            <v>12</v>
          </cell>
        </row>
        <row r="1451">
          <cell r="B1451">
            <v>39800</v>
          </cell>
          <cell r="C1451">
            <v>12</v>
          </cell>
        </row>
        <row r="1452">
          <cell r="B1452">
            <v>39801</v>
          </cell>
          <cell r="C1452">
            <v>12</v>
          </cell>
        </row>
        <row r="1453">
          <cell r="B1453">
            <v>39802</v>
          </cell>
          <cell r="C1453">
            <v>12</v>
          </cell>
        </row>
        <row r="1454">
          <cell r="B1454">
            <v>39803</v>
          </cell>
          <cell r="C1454">
            <v>12</v>
          </cell>
        </row>
        <row r="1455">
          <cell r="B1455">
            <v>39804</v>
          </cell>
          <cell r="C1455">
            <v>12</v>
          </cell>
        </row>
        <row r="1456">
          <cell r="B1456">
            <v>39805</v>
          </cell>
          <cell r="C1456">
            <v>12</v>
          </cell>
        </row>
        <row r="1457">
          <cell r="B1457">
            <v>39806</v>
          </cell>
          <cell r="C1457">
            <v>12</v>
          </cell>
        </row>
        <row r="1458">
          <cell r="B1458">
            <v>39807</v>
          </cell>
          <cell r="C1458">
            <v>12</v>
          </cell>
        </row>
        <row r="1459">
          <cell r="B1459">
            <v>39808</v>
          </cell>
          <cell r="C1459">
            <v>12</v>
          </cell>
        </row>
        <row r="1460">
          <cell r="B1460">
            <v>39809</v>
          </cell>
          <cell r="C1460">
            <v>12</v>
          </cell>
        </row>
        <row r="1461">
          <cell r="B1461">
            <v>39810</v>
          </cell>
          <cell r="C1461">
            <v>12</v>
          </cell>
        </row>
        <row r="1462">
          <cell r="B1462">
            <v>39811</v>
          </cell>
          <cell r="C1462">
            <v>12</v>
          </cell>
        </row>
        <row r="1463">
          <cell r="B1463">
            <v>39812</v>
          </cell>
          <cell r="C1463">
            <v>12</v>
          </cell>
        </row>
        <row r="1464">
          <cell r="B1464">
            <v>39813</v>
          </cell>
          <cell r="C1464">
            <v>12</v>
          </cell>
        </row>
        <row r="1465">
          <cell r="B1465">
            <v>39814</v>
          </cell>
          <cell r="C1465">
            <v>1</v>
          </cell>
        </row>
        <row r="1466">
          <cell r="B1466">
            <v>39815</v>
          </cell>
          <cell r="C1466">
            <v>1</v>
          </cell>
        </row>
        <row r="1467">
          <cell r="B1467">
            <v>39816</v>
          </cell>
          <cell r="C1467">
            <v>1</v>
          </cell>
        </row>
        <row r="1468">
          <cell r="B1468">
            <v>39817</v>
          </cell>
          <cell r="C1468">
            <v>1</v>
          </cell>
        </row>
        <row r="1469">
          <cell r="B1469">
            <v>39818</v>
          </cell>
          <cell r="C1469">
            <v>1</v>
          </cell>
        </row>
        <row r="1470">
          <cell r="B1470">
            <v>39819</v>
          </cell>
          <cell r="C1470">
            <v>1</v>
          </cell>
        </row>
        <row r="1471">
          <cell r="B1471">
            <v>39820</v>
          </cell>
          <cell r="C1471">
            <v>1</v>
          </cell>
        </row>
        <row r="1472">
          <cell r="B1472">
            <v>39821</v>
          </cell>
          <cell r="C1472">
            <v>1</v>
          </cell>
        </row>
        <row r="1473">
          <cell r="B1473">
            <v>39822</v>
          </cell>
          <cell r="C1473">
            <v>1</v>
          </cell>
        </row>
        <row r="1474">
          <cell r="B1474">
            <v>39823</v>
          </cell>
          <cell r="C1474">
            <v>1</v>
          </cell>
        </row>
        <row r="1475">
          <cell r="B1475">
            <v>39824</v>
          </cell>
          <cell r="C1475">
            <v>1</v>
          </cell>
        </row>
        <row r="1476">
          <cell r="B1476">
            <v>39825</v>
          </cell>
          <cell r="C1476">
            <v>1</v>
          </cell>
        </row>
        <row r="1477">
          <cell r="B1477">
            <v>39826</v>
          </cell>
          <cell r="C1477">
            <v>1</v>
          </cell>
        </row>
        <row r="1478">
          <cell r="B1478">
            <v>39827</v>
          </cell>
          <cell r="C1478">
            <v>1</v>
          </cell>
        </row>
        <row r="1479">
          <cell r="B1479">
            <v>39828</v>
          </cell>
          <cell r="C1479">
            <v>1</v>
          </cell>
        </row>
        <row r="1480">
          <cell r="B1480">
            <v>39829</v>
          </cell>
          <cell r="C1480">
            <v>1</v>
          </cell>
        </row>
        <row r="1481">
          <cell r="B1481">
            <v>39830</v>
          </cell>
          <cell r="C1481">
            <v>1</v>
          </cell>
        </row>
        <row r="1482">
          <cell r="B1482">
            <v>39831</v>
          </cell>
          <cell r="C1482">
            <v>1</v>
          </cell>
        </row>
        <row r="1483">
          <cell r="B1483">
            <v>39832</v>
          </cell>
          <cell r="C1483">
            <v>1</v>
          </cell>
        </row>
        <row r="1484">
          <cell r="B1484">
            <v>39833</v>
          </cell>
          <cell r="C1484">
            <v>1</v>
          </cell>
        </row>
        <row r="1485">
          <cell r="B1485">
            <v>39834</v>
          </cell>
          <cell r="C1485">
            <v>1</v>
          </cell>
        </row>
        <row r="1486">
          <cell r="B1486">
            <v>39835</v>
          </cell>
          <cell r="C1486">
            <v>1</v>
          </cell>
        </row>
        <row r="1487">
          <cell r="B1487">
            <v>39836</v>
          </cell>
          <cell r="C1487">
            <v>1</v>
          </cell>
        </row>
        <row r="1488">
          <cell r="B1488">
            <v>39837</v>
          </cell>
          <cell r="C1488">
            <v>1</v>
          </cell>
        </row>
        <row r="1489">
          <cell r="B1489">
            <v>39838</v>
          </cell>
          <cell r="C1489">
            <v>1</v>
          </cell>
        </row>
        <row r="1490">
          <cell r="B1490">
            <v>39839</v>
          </cell>
          <cell r="C1490">
            <v>1</v>
          </cell>
        </row>
        <row r="1491">
          <cell r="B1491">
            <v>39840</v>
          </cell>
          <cell r="C1491">
            <v>1</v>
          </cell>
        </row>
        <row r="1492">
          <cell r="B1492">
            <v>39841</v>
          </cell>
          <cell r="C1492">
            <v>1</v>
          </cell>
        </row>
        <row r="1493">
          <cell r="B1493">
            <v>39842</v>
          </cell>
          <cell r="C1493">
            <v>1</v>
          </cell>
        </row>
        <row r="1494">
          <cell r="B1494">
            <v>39843</v>
          </cell>
          <cell r="C1494">
            <v>1</v>
          </cell>
        </row>
        <row r="1495">
          <cell r="B1495">
            <v>39844</v>
          </cell>
          <cell r="C1495">
            <v>1</v>
          </cell>
        </row>
        <row r="1496">
          <cell r="B1496">
            <v>39845</v>
          </cell>
          <cell r="C1496">
            <v>2</v>
          </cell>
        </row>
        <row r="1497">
          <cell r="B1497">
            <v>39846</v>
          </cell>
          <cell r="C1497">
            <v>2</v>
          </cell>
        </row>
        <row r="1498">
          <cell r="B1498">
            <v>39847</v>
          </cell>
          <cell r="C1498">
            <v>2</v>
          </cell>
        </row>
        <row r="1499">
          <cell r="B1499">
            <v>39848</v>
          </cell>
          <cell r="C1499">
            <v>2</v>
          </cell>
        </row>
        <row r="1500">
          <cell r="B1500">
            <v>39849</v>
          </cell>
          <cell r="C1500">
            <v>2</v>
          </cell>
        </row>
        <row r="1501">
          <cell r="B1501">
            <v>39850</v>
          </cell>
          <cell r="C1501">
            <v>2</v>
          </cell>
        </row>
        <row r="1502">
          <cell r="B1502">
            <v>39851</v>
          </cell>
          <cell r="C1502">
            <v>2</v>
          </cell>
        </row>
        <row r="1503">
          <cell r="B1503">
            <v>39852</v>
          </cell>
          <cell r="C1503">
            <v>2</v>
          </cell>
        </row>
        <row r="1504">
          <cell r="B1504">
            <v>39853</v>
          </cell>
          <cell r="C1504">
            <v>2</v>
          </cell>
        </row>
        <row r="1505">
          <cell r="B1505">
            <v>39854</v>
          </cell>
          <cell r="C1505">
            <v>2</v>
          </cell>
        </row>
        <row r="1506">
          <cell r="B1506">
            <v>39855</v>
          </cell>
          <cell r="C1506">
            <v>2</v>
          </cell>
        </row>
        <row r="1507">
          <cell r="B1507">
            <v>39856</v>
          </cell>
          <cell r="C1507">
            <v>2</v>
          </cell>
        </row>
        <row r="1508">
          <cell r="B1508">
            <v>39857</v>
          </cell>
          <cell r="C1508">
            <v>2</v>
          </cell>
        </row>
        <row r="1509">
          <cell r="B1509">
            <v>39858</v>
          </cell>
          <cell r="C1509">
            <v>2</v>
          </cell>
        </row>
        <row r="1510">
          <cell r="B1510">
            <v>39859</v>
          </cell>
          <cell r="C1510">
            <v>2</v>
          </cell>
        </row>
        <row r="1511">
          <cell r="B1511">
            <v>39860</v>
          </cell>
          <cell r="C1511">
            <v>2</v>
          </cell>
        </row>
        <row r="1512">
          <cell r="B1512">
            <v>39861</v>
          </cell>
          <cell r="C1512">
            <v>2</v>
          </cell>
        </row>
        <row r="1513">
          <cell r="B1513">
            <v>39862</v>
          </cell>
          <cell r="C1513">
            <v>2</v>
          </cell>
        </row>
        <row r="1514">
          <cell r="B1514">
            <v>39863</v>
          </cell>
          <cell r="C1514">
            <v>2</v>
          </cell>
        </row>
        <row r="1515">
          <cell r="B1515">
            <v>39864</v>
          </cell>
          <cell r="C1515">
            <v>2</v>
          </cell>
        </row>
        <row r="1516">
          <cell r="B1516">
            <v>39865</v>
          </cell>
          <cell r="C1516">
            <v>2</v>
          </cell>
        </row>
        <row r="1517">
          <cell r="B1517">
            <v>39866</v>
          </cell>
          <cell r="C1517">
            <v>2</v>
          </cell>
        </row>
        <row r="1518">
          <cell r="B1518">
            <v>39867</v>
          </cell>
          <cell r="C1518">
            <v>2</v>
          </cell>
        </row>
        <row r="1519">
          <cell r="B1519">
            <v>39868</v>
          </cell>
          <cell r="C1519">
            <v>2</v>
          </cell>
        </row>
        <row r="1520">
          <cell r="B1520">
            <v>39869</v>
          </cell>
          <cell r="C1520">
            <v>2</v>
          </cell>
        </row>
        <row r="1521">
          <cell r="B1521">
            <v>39870</v>
          </cell>
          <cell r="C1521">
            <v>2</v>
          </cell>
        </row>
        <row r="1522">
          <cell r="B1522">
            <v>39871</v>
          </cell>
          <cell r="C1522">
            <v>2</v>
          </cell>
        </row>
        <row r="1523">
          <cell r="B1523">
            <v>39872</v>
          </cell>
          <cell r="C1523">
            <v>2</v>
          </cell>
        </row>
        <row r="1524">
          <cell r="B1524">
            <v>39873</v>
          </cell>
          <cell r="C1524">
            <v>3</v>
          </cell>
        </row>
        <row r="1525">
          <cell r="B1525">
            <v>39874</v>
          </cell>
          <cell r="C1525">
            <v>3</v>
          </cell>
        </row>
        <row r="1526">
          <cell r="B1526">
            <v>39875</v>
          </cell>
          <cell r="C1526">
            <v>3</v>
          </cell>
        </row>
        <row r="1527">
          <cell r="B1527">
            <v>39876</v>
          </cell>
          <cell r="C1527">
            <v>3</v>
          </cell>
        </row>
        <row r="1528">
          <cell r="B1528">
            <v>39877</v>
          </cell>
          <cell r="C1528">
            <v>3</v>
          </cell>
        </row>
        <row r="1529">
          <cell r="B1529">
            <v>39878</v>
          </cell>
          <cell r="C1529">
            <v>3</v>
          </cell>
        </row>
        <row r="1530">
          <cell r="B1530">
            <v>39879</v>
          </cell>
          <cell r="C1530">
            <v>3</v>
          </cell>
        </row>
        <row r="1531">
          <cell r="B1531">
            <v>39880</v>
          </cell>
          <cell r="C1531">
            <v>3</v>
          </cell>
        </row>
        <row r="1532">
          <cell r="B1532">
            <v>39881</v>
          </cell>
          <cell r="C1532">
            <v>3</v>
          </cell>
        </row>
        <row r="1533">
          <cell r="B1533">
            <v>39882</v>
          </cell>
          <cell r="C1533">
            <v>3</v>
          </cell>
        </row>
        <row r="1534">
          <cell r="B1534">
            <v>39883</v>
          </cell>
          <cell r="C1534">
            <v>3</v>
          </cell>
        </row>
        <row r="1535">
          <cell r="B1535">
            <v>39884</v>
          </cell>
          <cell r="C1535">
            <v>3</v>
          </cell>
        </row>
        <row r="1536">
          <cell r="B1536">
            <v>39885</v>
          </cell>
          <cell r="C1536">
            <v>3</v>
          </cell>
        </row>
        <row r="1537">
          <cell r="B1537">
            <v>39886</v>
          </cell>
          <cell r="C1537">
            <v>3</v>
          </cell>
        </row>
        <row r="1538">
          <cell r="B1538">
            <v>39887</v>
          </cell>
          <cell r="C1538">
            <v>3</v>
          </cell>
        </row>
        <row r="1539">
          <cell r="B1539">
            <v>39888</v>
          </cell>
          <cell r="C1539">
            <v>3</v>
          </cell>
        </row>
        <row r="1540">
          <cell r="B1540">
            <v>39889</v>
          </cell>
          <cell r="C1540">
            <v>3</v>
          </cell>
        </row>
        <row r="1541">
          <cell r="B1541">
            <v>39890</v>
          </cell>
          <cell r="C1541">
            <v>3</v>
          </cell>
        </row>
        <row r="1542">
          <cell r="B1542">
            <v>39891</v>
          </cell>
          <cell r="C1542">
            <v>3</v>
          </cell>
        </row>
        <row r="1543">
          <cell r="B1543">
            <v>39892</v>
          </cell>
          <cell r="C1543">
            <v>3</v>
          </cell>
        </row>
        <row r="1544">
          <cell r="B1544">
            <v>39893</v>
          </cell>
          <cell r="C1544">
            <v>3</v>
          </cell>
        </row>
        <row r="1545">
          <cell r="B1545">
            <v>39894</v>
          </cell>
          <cell r="C1545">
            <v>3</v>
          </cell>
        </row>
        <row r="1546">
          <cell r="B1546">
            <v>39895</v>
          </cell>
          <cell r="C1546">
            <v>3</v>
          </cell>
        </row>
        <row r="1547">
          <cell r="B1547">
            <v>39896</v>
          </cell>
          <cell r="C1547">
            <v>3</v>
          </cell>
        </row>
        <row r="1548">
          <cell r="B1548">
            <v>39897</v>
          </cell>
          <cell r="C1548">
            <v>3</v>
          </cell>
        </row>
        <row r="1549">
          <cell r="B1549">
            <v>39898</v>
          </cell>
          <cell r="C1549">
            <v>3</v>
          </cell>
        </row>
        <row r="1550">
          <cell r="B1550">
            <v>39899</v>
          </cell>
          <cell r="C1550">
            <v>3</v>
          </cell>
        </row>
        <row r="1551">
          <cell r="B1551">
            <v>39900</v>
          </cell>
          <cell r="C1551">
            <v>3</v>
          </cell>
        </row>
        <row r="1552">
          <cell r="B1552">
            <v>39901</v>
          </cell>
          <cell r="C1552">
            <v>3</v>
          </cell>
        </row>
        <row r="1553">
          <cell r="B1553">
            <v>39902</v>
          </cell>
          <cell r="C1553">
            <v>3</v>
          </cell>
        </row>
        <row r="1554">
          <cell r="B1554">
            <v>39903</v>
          </cell>
          <cell r="C1554">
            <v>3</v>
          </cell>
        </row>
        <row r="1555">
          <cell r="B1555">
            <v>39904</v>
          </cell>
          <cell r="C1555">
            <v>4</v>
          </cell>
        </row>
        <row r="1556">
          <cell r="B1556">
            <v>39905</v>
          </cell>
          <cell r="C1556">
            <v>4</v>
          </cell>
        </row>
        <row r="1557">
          <cell r="B1557">
            <v>39906</v>
          </cell>
          <cell r="C1557">
            <v>4</v>
          </cell>
        </row>
        <row r="1558">
          <cell r="B1558">
            <v>39907</v>
          </cell>
          <cell r="C1558">
            <v>4</v>
          </cell>
        </row>
        <row r="1559">
          <cell r="B1559">
            <v>39908</v>
          </cell>
          <cell r="C1559">
            <v>4</v>
          </cell>
        </row>
        <row r="1560">
          <cell r="B1560">
            <v>39909</v>
          </cell>
          <cell r="C1560">
            <v>4</v>
          </cell>
        </row>
        <row r="1561">
          <cell r="B1561">
            <v>39910</v>
          </cell>
          <cell r="C1561">
            <v>4</v>
          </cell>
        </row>
        <row r="1562">
          <cell r="B1562">
            <v>39911</v>
          </cell>
          <cell r="C1562">
            <v>4</v>
          </cell>
        </row>
        <row r="1563">
          <cell r="B1563">
            <v>39912</v>
          </cell>
          <cell r="C1563">
            <v>4</v>
          </cell>
        </row>
        <row r="1564">
          <cell r="B1564">
            <v>39913</v>
          </cell>
          <cell r="C1564">
            <v>4</v>
          </cell>
        </row>
        <row r="1565">
          <cell r="B1565">
            <v>39914</v>
          </cell>
          <cell r="C1565">
            <v>4</v>
          </cell>
        </row>
        <row r="1566">
          <cell r="B1566">
            <v>39915</v>
          </cell>
          <cell r="C1566">
            <v>4</v>
          </cell>
        </row>
        <row r="1567">
          <cell r="B1567">
            <v>39916</v>
          </cell>
          <cell r="C1567">
            <v>4</v>
          </cell>
        </row>
        <row r="1568">
          <cell r="B1568">
            <v>39917</v>
          </cell>
          <cell r="C1568">
            <v>4</v>
          </cell>
        </row>
        <row r="1569">
          <cell r="B1569">
            <v>39918</v>
          </cell>
          <cell r="C1569">
            <v>4</v>
          </cell>
        </row>
        <row r="1570">
          <cell r="B1570">
            <v>39919</v>
          </cell>
          <cell r="C1570">
            <v>4</v>
          </cell>
        </row>
        <row r="1571">
          <cell r="B1571">
            <v>39920</v>
          </cell>
          <cell r="C1571">
            <v>4</v>
          </cell>
        </row>
        <row r="1572">
          <cell r="B1572">
            <v>39921</v>
          </cell>
          <cell r="C1572">
            <v>4</v>
          </cell>
        </row>
        <row r="1573">
          <cell r="B1573">
            <v>39922</v>
          </cell>
          <cell r="C1573">
            <v>4</v>
          </cell>
        </row>
        <row r="1574">
          <cell r="B1574">
            <v>39923</v>
          </cell>
          <cell r="C1574">
            <v>4</v>
          </cell>
        </row>
        <row r="1575">
          <cell r="B1575">
            <v>39924</v>
          </cell>
          <cell r="C1575">
            <v>4</v>
          </cell>
        </row>
        <row r="1576">
          <cell r="B1576">
            <v>39925</v>
          </cell>
          <cell r="C1576">
            <v>4</v>
          </cell>
        </row>
        <row r="1577">
          <cell r="B1577">
            <v>39926</v>
          </cell>
          <cell r="C1577">
            <v>4</v>
          </cell>
        </row>
        <row r="1578">
          <cell r="B1578">
            <v>39927</v>
          </cell>
          <cell r="C1578">
            <v>4</v>
          </cell>
        </row>
        <row r="1579">
          <cell r="B1579">
            <v>39928</v>
          </cell>
          <cell r="C1579">
            <v>4</v>
          </cell>
        </row>
        <row r="1580">
          <cell r="B1580">
            <v>39929</v>
          </cell>
          <cell r="C1580">
            <v>4</v>
          </cell>
        </row>
        <row r="1581">
          <cell r="B1581">
            <v>39930</v>
          </cell>
          <cell r="C1581">
            <v>4</v>
          </cell>
        </row>
        <row r="1582">
          <cell r="B1582">
            <v>39931</v>
          </cell>
          <cell r="C1582">
            <v>4</v>
          </cell>
        </row>
        <row r="1583">
          <cell r="B1583">
            <v>39932</v>
          </cell>
          <cell r="C1583">
            <v>4</v>
          </cell>
        </row>
        <row r="1584">
          <cell r="B1584">
            <v>39933</v>
          </cell>
          <cell r="C1584">
            <v>4</v>
          </cell>
        </row>
        <row r="1585">
          <cell r="B1585">
            <v>39934</v>
          </cell>
          <cell r="C1585">
            <v>5</v>
          </cell>
        </row>
        <row r="1586">
          <cell r="B1586">
            <v>39935</v>
          </cell>
          <cell r="C1586">
            <v>5</v>
          </cell>
        </row>
        <row r="1587">
          <cell r="B1587">
            <v>39936</v>
          </cell>
          <cell r="C1587">
            <v>5</v>
          </cell>
        </row>
        <row r="1588">
          <cell r="B1588">
            <v>39937</v>
          </cell>
          <cell r="C1588">
            <v>5</v>
          </cell>
        </row>
        <row r="1589">
          <cell r="B1589">
            <v>39938</v>
          </cell>
          <cell r="C1589">
            <v>5</v>
          </cell>
        </row>
        <row r="1590">
          <cell r="B1590">
            <v>39939</v>
          </cell>
          <cell r="C1590">
            <v>5</v>
          </cell>
        </row>
        <row r="1591">
          <cell r="B1591">
            <v>39940</v>
          </cell>
          <cell r="C1591">
            <v>5</v>
          </cell>
        </row>
        <row r="1592">
          <cell r="B1592">
            <v>39941</v>
          </cell>
          <cell r="C1592">
            <v>5</v>
          </cell>
        </row>
        <row r="1593">
          <cell r="B1593">
            <v>39942</v>
          </cell>
          <cell r="C1593">
            <v>5</v>
          </cell>
        </row>
        <row r="1594">
          <cell r="B1594">
            <v>39943</v>
          </cell>
          <cell r="C1594">
            <v>5</v>
          </cell>
        </row>
        <row r="1595">
          <cell r="B1595">
            <v>39944</v>
          </cell>
          <cell r="C1595">
            <v>5</v>
          </cell>
        </row>
        <row r="1596">
          <cell r="B1596">
            <v>39945</v>
          </cell>
          <cell r="C1596">
            <v>5</v>
          </cell>
        </row>
        <row r="1597">
          <cell r="B1597">
            <v>39946</v>
          </cell>
          <cell r="C1597">
            <v>5</v>
          </cell>
        </row>
        <row r="1598">
          <cell r="B1598">
            <v>39947</v>
          </cell>
          <cell r="C1598">
            <v>5</v>
          </cell>
        </row>
        <row r="1599">
          <cell r="B1599">
            <v>39948</v>
          </cell>
          <cell r="C1599">
            <v>5</v>
          </cell>
        </row>
        <row r="1600">
          <cell r="B1600">
            <v>39949</v>
          </cell>
          <cell r="C1600">
            <v>5</v>
          </cell>
        </row>
        <row r="1601">
          <cell r="B1601">
            <v>39950</v>
          </cell>
          <cell r="C1601">
            <v>5</v>
          </cell>
        </row>
        <row r="1602">
          <cell r="B1602">
            <v>39951</v>
          </cell>
          <cell r="C1602">
            <v>5</v>
          </cell>
        </row>
        <row r="1603">
          <cell r="B1603">
            <v>39952</v>
          </cell>
          <cell r="C1603">
            <v>5</v>
          </cell>
        </row>
        <row r="1604">
          <cell r="B1604">
            <v>39953</v>
          </cell>
          <cell r="C1604">
            <v>5</v>
          </cell>
        </row>
        <row r="1605">
          <cell r="B1605">
            <v>39954</v>
          </cell>
          <cell r="C1605">
            <v>5</v>
          </cell>
        </row>
        <row r="1606">
          <cell r="B1606">
            <v>39955</v>
          </cell>
          <cell r="C1606">
            <v>5</v>
          </cell>
        </row>
        <row r="1607">
          <cell r="B1607">
            <v>39956</v>
          </cell>
          <cell r="C1607">
            <v>5</v>
          </cell>
        </row>
        <row r="1608">
          <cell r="B1608">
            <v>39957</v>
          </cell>
          <cell r="C1608">
            <v>5</v>
          </cell>
        </row>
        <row r="1609">
          <cell r="B1609">
            <v>39958</v>
          </cell>
          <cell r="C1609">
            <v>5</v>
          </cell>
        </row>
        <row r="1610">
          <cell r="B1610">
            <v>39959</v>
          </cell>
          <cell r="C1610">
            <v>5</v>
          </cell>
        </row>
        <row r="1611">
          <cell r="B1611">
            <v>39960</v>
          </cell>
          <cell r="C1611">
            <v>5</v>
          </cell>
        </row>
        <row r="1612">
          <cell r="B1612">
            <v>39961</v>
          </cell>
          <cell r="C1612">
            <v>5</v>
          </cell>
        </row>
        <row r="1613">
          <cell r="B1613">
            <v>39962</v>
          </cell>
          <cell r="C1613">
            <v>5</v>
          </cell>
        </row>
        <row r="1614">
          <cell r="B1614">
            <v>39963</v>
          </cell>
          <cell r="C1614">
            <v>5</v>
          </cell>
        </row>
        <row r="1615">
          <cell r="B1615">
            <v>39964</v>
          </cell>
          <cell r="C1615">
            <v>5</v>
          </cell>
        </row>
        <row r="1616">
          <cell r="B1616">
            <v>39965</v>
          </cell>
          <cell r="C1616">
            <v>6</v>
          </cell>
        </row>
        <row r="1617">
          <cell r="B1617">
            <v>39966</v>
          </cell>
          <cell r="C1617">
            <v>6</v>
          </cell>
        </row>
        <row r="1618">
          <cell r="B1618">
            <v>39967</v>
          </cell>
          <cell r="C1618">
            <v>6</v>
          </cell>
        </row>
        <row r="1619">
          <cell r="B1619">
            <v>39968</v>
          </cell>
          <cell r="C1619">
            <v>6</v>
          </cell>
        </row>
        <row r="1620">
          <cell r="B1620">
            <v>39969</v>
          </cell>
          <cell r="C1620">
            <v>6</v>
          </cell>
        </row>
        <row r="1621">
          <cell r="B1621">
            <v>39970</v>
          </cell>
          <cell r="C1621">
            <v>6</v>
          </cell>
        </row>
        <row r="1622">
          <cell r="B1622">
            <v>39971</v>
          </cell>
          <cell r="C1622">
            <v>6</v>
          </cell>
        </row>
        <row r="1623">
          <cell r="B1623">
            <v>39972</v>
          </cell>
          <cell r="C1623">
            <v>6</v>
          </cell>
        </row>
        <row r="1624">
          <cell r="B1624">
            <v>39973</v>
          </cell>
          <cell r="C1624">
            <v>6</v>
          </cell>
        </row>
        <row r="1625">
          <cell r="B1625">
            <v>39974</v>
          </cell>
          <cell r="C1625">
            <v>6</v>
          </cell>
        </row>
        <row r="1626">
          <cell r="B1626">
            <v>39975</v>
          </cell>
          <cell r="C1626">
            <v>6</v>
          </cell>
        </row>
        <row r="1627">
          <cell r="B1627">
            <v>39976</v>
          </cell>
          <cell r="C1627">
            <v>6</v>
          </cell>
        </row>
        <row r="1628">
          <cell r="B1628">
            <v>39977</v>
          </cell>
          <cell r="C1628">
            <v>6</v>
          </cell>
        </row>
        <row r="1629">
          <cell r="B1629">
            <v>39978</v>
          </cell>
          <cell r="C1629">
            <v>6</v>
          </cell>
        </row>
        <row r="1630">
          <cell r="B1630">
            <v>39979</v>
          </cell>
          <cell r="C1630">
            <v>6</v>
          </cell>
        </row>
        <row r="1631">
          <cell r="B1631">
            <v>39980</v>
          </cell>
          <cell r="C1631">
            <v>6</v>
          </cell>
        </row>
        <row r="1632">
          <cell r="B1632">
            <v>39981</v>
          </cell>
          <cell r="C1632">
            <v>6</v>
          </cell>
        </row>
        <row r="1633">
          <cell r="B1633">
            <v>39982</v>
          </cell>
          <cell r="C1633">
            <v>6</v>
          </cell>
        </row>
        <row r="1634">
          <cell r="B1634">
            <v>39983</v>
          </cell>
          <cell r="C1634">
            <v>6</v>
          </cell>
        </row>
        <row r="1635">
          <cell r="B1635">
            <v>39984</v>
          </cell>
          <cell r="C1635">
            <v>6</v>
          </cell>
        </row>
        <row r="1636">
          <cell r="B1636">
            <v>39985</v>
          </cell>
          <cell r="C1636">
            <v>6</v>
          </cell>
        </row>
        <row r="1637">
          <cell r="B1637">
            <v>39986</v>
          </cell>
          <cell r="C1637">
            <v>6</v>
          </cell>
        </row>
        <row r="1638">
          <cell r="B1638">
            <v>39987</v>
          </cell>
          <cell r="C1638">
            <v>6</v>
          </cell>
        </row>
        <row r="1639">
          <cell r="B1639">
            <v>39988</v>
          </cell>
          <cell r="C1639">
            <v>6</v>
          </cell>
        </row>
        <row r="1640">
          <cell r="B1640">
            <v>39989</v>
          </cell>
          <cell r="C1640">
            <v>6</v>
          </cell>
        </row>
        <row r="1641">
          <cell r="B1641">
            <v>39990</v>
          </cell>
          <cell r="C1641">
            <v>6</v>
          </cell>
        </row>
        <row r="1642">
          <cell r="B1642">
            <v>39991</v>
          </cell>
          <cell r="C1642">
            <v>6</v>
          </cell>
        </row>
        <row r="1643">
          <cell r="B1643">
            <v>39992</v>
          </cell>
          <cell r="C1643">
            <v>6</v>
          </cell>
        </row>
        <row r="1644">
          <cell r="B1644">
            <v>39993</v>
          </cell>
          <cell r="C1644">
            <v>6</v>
          </cell>
        </row>
        <row r="1645">
          <cell r="B1645">
            <v>39994</v>
          </cell>
          <cell r="C1645">
            <v>6</v>
          </cell>
        </row>
        <row r="1646">
          <cell r="B1646">
            <v>39995</v>
          </cell>
          <cell r="C1646">
            <v>7</v>
          </cell>
        </row>
        <row r="1647">
          <cell r="B1647">
            <v>39996</v>
          </cell>
          <cell r="C1647">
            <v>7</v>
          </cell>
        </row>
        <row r="1648">
          <cell r="B1648">
            <v>39997</v>
          </cell>
          <cell r="C1648">
            <v>7</v>
          </cell>
        </row>
        <row r="1649">
          <cell r="B1649">
            <v>39998</v>
          </cell>
          <cell r="C1649">
            <v>7</v>
          </cell>
        </row>
        <row r="1650">
          <cell r="B1650">
            <v>39999</v>
          </cell>
          <cell r="C1650">
            <v>7</v>
          </cell>
        </row>
        <row r="1651">
          <cell r="B1651">
            <v>40000</v>
          </cell>
          <cell r="C1651">
            <v>7</v>
          </cell>
        </row>
        <row r="1652">
          <cell r="B1652">
            <v>40001</v>
          </cell>
          <cell r="C1652">
            <v>7</v>
          </cell>
        </row>
        <row r="1653">
          <cell r="B1653">
            <v>40002</v>
          </cell>
          <cell r="C1653">
            <v>7</v>
          </cell>
        </row>
        <row r="1654">
          <cell r="B1654">
            <v>40003</v>
          </cell>
          <cell r="C1654">
            <v>7</v>
          </cell>
        </row>
        <row r="1655">
          <cell r="B1655">
            <v>40004</v>
          </cell>
          <cell r="C1655">
            <v>7</v>
          </cell>
        </row>
        <row r="1656">
          <cell r="B1656">
            <v>40005</v>
          </cell>
          <cell r="C1656">
            <v>7</v>
          </cell>
        </row>
        <row r="1657">
          <cell r="B1657">
            <v>40006</v>
          </cell>
          <cell r="C1657">
            <v>7</v>
          </cell>
        </row>
        <row r="1658">
          <cell r="B1658">
            <v>40007</v>
          </cell>
          <cell r="C1658">
            <v>7</v>
          </cell>
        </row>
        <row r="1659">
          <cell r="B1659">
            <v>40008</v>
          </cell>
          <cell r="C1659">
            <v>7</v>
          </cell>
        </row>
        <row r="1660">
          <cell r="B1660">
            <v>40009</v>
          </cell>
          <cell r="C1660">
            <v>7</v>
          </cell>
        </row>
        <row r="1661">
          <cell r="B1661">
            <v>40010</v>
          </cell>
          <cell r="C1661">
            <v>7</v>
          </cell>
        </row>
        <row r="1662">
          <cell r="B1662">
            <v>40011</v>
          </cell>
          <cell r="C1662">
            <v>7</v>
          </cell>
        </row>
        <row r="1663">
          <cell r="B1663">
            <v>40012</v>
          </cell>
          <cell r="C1663">
            <v>7</v>
          </cell>
        </row>
        <row r="1664">
          <cell r="B1664">
            <v>40013</v>
          </cell>
          <cell r="C1664">
            <v>7</v>
          </cell>
        </row>
        <row r="1665">
          <cell r="B1665">
            <v>40014</v>
          </cell>
          <cell r="C1665">
            <v>7</v>
          </cell>
        </row>
        <row r="1666">
          <cell r="B1666">
            <v>40015</v>
          </cell>
          <cell r="C1666">
            <v>7</v>
          </cell>
        </row>
        <row r="1667">
          <cell r="B1667">
            <v>40016</v>
          </cell>
          <cell r="C1667">
            <v>7</v>
          </cell>
        </row>
        <row r="1668">
          <cell r="B1668">
            <v>40017</v>
          </cell>
          <cell r="C1668">
            <v>7</v>
          </cell>
        </row>
        <row r="1669">
          <cell r="B1669">
            <v>40018</v>
          </cell>
          <cell r="C1669">
            <v>7</v>
          </cell>
        </row>
        <row r="1670">
          <cell r="B1670">
            <v>40019</v>
          </cell>
          <cell r="C1670">
            <v>7</v>
          </cell>
        </row>
        <row r="1671">
          <cell r="B1671">
            <v>40020</v>
          </cell>
          <cell r="C1671">
            <v>7</v>
          </cell>
        </row>
        <row r="1672">
          <cell r="B1672">
            <v>40021</v>
          </cell>
          <cell r="C1672">
            <v>7</v>
          </cell>
        </row>
        <row r="1673">
          <cell r="B1673">
            <v>40022</v>
          </cell>
          <cell r="C1673">
            <v>7</v>
          </cell>
        </row>
        <row r="1674">
          <cell r="B1674">
            <v>40023</v>
          </cell>
          <cell r="C1674">
            <v>7</v>
          </cell>
        </row>
        <row r="1675">
          <cell r="B1675">
            <v>40024</v>
          </cell>
          <cell r="C1675">
            <v>7</v>
          </cell>
        </row>
        <row r="1676">
          <cell r="B1676">
            <v>40025</v>
          </cell>
          <cell r="C1676">
            <v>7</v>
          </cell>
        </row>
        <row r="1677">
          <cell r="B1677">
            <v>40026</v>
          </cell>
          <cell r="C1677">
            <v>8</v>
          </cell>
        </row>
        <row r="1678">
          <cell r="B1678">
            <v>40027</v>
          </cell>
          <cell r="C1678">
            <v>8</v>
          </cell>
        </row>
        <row r="1679">
          <cell r="B1679">
            <v>40028</v>
          </cell>
          <cell r="C1679">
            <v>8</v>
          </cell>
        </row>
        <row r="1680">
          <cell r="B1680">
            <v>40029</v>
          </cell>
          <cell r="C1680">
            <v>8</v>
          </cell>
        </row>
        <row r="1681">
          <cell r="B1681">
            <v>40030</v>
          </cell>
          <cell r="C1681">
            <v>8</v>
          </cell>
        </row>
        <row r="1682">
          <cell r="B1682">
            <v>40031</v>
          </cell>
          <cell r="C1682">
            <v>8</v>
          </cell>
        </row>
        <row r="1683">
          <cell r="B1683">
            <v>40032</v>
          </cell>
          <cell r="C1683">
            <v>8</v>
          </cell>
        </row>
        <row r="1684">
          <cell r="B1684">
            <v>40033</v>
          </cell>
          <cell r="C1684">
            <v>8</v>
          </cell>
        </row>
        <row r="1685">
          <cell r="B1685">
            <v>40034</v>
          </cell>
          <cell r="C1685">
            <v>8</v>
          </cell>
        </row>
        <row r="1686">
          <cell r="B1686">
            <v>40035</v>
          </cell>
          <cell r="C1686">
            <v>8</v>
          </cell>
        </row>
        <row r="1687">
          <cell r="B1687">
            <v>40036</v>
          </cell>
          <cell r="C1687">
            <v>8</v>
          </cell>
        </row>
        <row r="1688">
          <cell r="B1688">
            <v>40037</v>
          </cell>
          <cell r="C1688">
            <v>8</v>
          </cell>
        </row>
        <row r="1689">
          <cell r="B1689">
            <v>40038</v>
          </cell>
          <cell r="C1689">
            <v>8</v>
          </cell>
        </row>
        <row r="1690">
          <cell r="B1690">
            <v>40039</v>
          </cell>
          <cell r="C1690">
            <v>8</v>
          </cell>
        </row>
        <row r="1691">
          <cell r="B1691">
            <v>40040</v>
          </cell>
          <cell r="C1691">
            <v>8</v>
          </cell>
        </row>
        <row r="1692">
          <cell r="B1692">
            <v>40041</v>
          </cell>
          <cell r="C1692">
            <v>8</v>
          </cell>
        </row>
        <row r="1693">
          <cell r="B1693">
            <v>40042</v>
          </cell>
          <cell r="C1693">
            <v>8</v>
          </cell>
        </row>
        <row r="1694">
          <cell r="B1694">
            <v>40043</v>
          </cell>
          <cell r="C1694">
            <v>8</v>
          </cell>
        </row>
        <row r="1695">
          <cell r="B1695">
            <v>40044</v>
          </cell>
          <cell r="C1695">
            <v>8</v>
          </cell>
        </row>
        <row r="1696">
          <cell r="B1696">
            <v>40045</v>
          </cell>
          <cell r="C1696">
            <v>8</v>
          </cell>
        </row>
        <row r="1697">
          <cell r="B1697">
            <v>40046</v>
          </cell>
          <cell r="C1697">
            <v>8</v>
          </cell>
        </row>
        <row r="1698">
          <cell r="B1698">
            <v>40047</v>
          </cell>
          <cell r="C1698">
            <v>8</v>
          </cell>
        </row>
        <row r="1699">
          <cell r="B1699">
            <v>40048</v>
          </cell>
          <cell r="C1699">
            <v>8</v>
          </cell>
        </row>
        <row r="1700">
          <cell r="B1700">
            <v>40049</v>
          </cell>
          <cell r="C1700">
            <v>8</v>
          </cell>
        </row>
        <row r="1701">
          <cell r="B1701">
            <v>40050</v>
          </cell>
          <cell r="C1701">
            <v>8</v>
          </cell>
        </row>
        <row r="1702">
          <cell r="B1702">
            <v>40051</v>
          </cell>
          <cell r="C1702">
            <v>8</v>
          </cell>
        </row>
        <row r="1703">
          <cell r="B1703">
            <v>40052</v>
          </cell>
          <cell r="C1703">
            <v>8</v>
          </cell>
        </row>
        <row r="1704">
          <cell r="B1704">
            <v>40053</v>
          </cell>
          <cell r="C1704">
            <v>8</v>
          </cell>
        </row>
        <row r="1705">
          <cell r="B1705">
            <v>40054</v>
          </cell>
          <cell r="C1705">
            <v>8</v>
          </cell>
        </row>
        <row r="1706">
          <cell r="B1706">
            <v>40055</v>
          </cell>
          <cell r="C1706">
            <v>8</v>
          </cell>
        </row>
        <row r="1707">
          <cell r="B1707">
            <v>40056</v>
          </cell>
          <cell r="C1707">
            <v>8</v>
          </cell>
        </row>
        <row r="1708">
          <cell r="B1708">
            <v>40057</v>
          </cell>
          <cell r="C1708">
            <v>9</v>
          </cell>
        </row>
        <row r="1709">
          <cell r="B1709">
            <v>40058</v>
          </cell>
          <cell r="C1709">
            <v>9</v>
          </cell>
        </row>
        <row r="1710">
          <cell r="B1710">
            <v>40059</v>
          </cell>
          <cell r="C1710">
            <v>9</v>
          </cell>
        </row>
        <row r="1711">
          <cell r="B1711">
            <v>40060</v>
          </cell>
          <cell r="C1711">
            <v>9</v>
          </cell>
        </row>
        <row r="1712">
          <cell r="B1712">
            <v>40061</v>
          </cell>
          <cell r="C1712">
            <v>9</v>
          </cell>
        </row>
        <row r="1713">
          <cell r="B1713">
            <v>40062</v>
          </cell>
          <cell r="C1713">
            <v>9</v>
          </cell>
        </row>
        <row r="1714">
          <cell r="B1714">
            <v>40063</v>
          </cell>
          <cell r="C1714">
            <v>9</v>
          </cell>
        </row>
        <row r="1715">
          <cell r="B1715">
            <v>40064</v>
          </cell>
          <cell r="C1715">
            <v>9</v>
          </cell>
        </row>
        <row r="1716">
          <cell r="B1716">
            <v>40065</v>
          </cell>
          <cell r="C1716">
            <v>9</v>
          </cell>
        </row>
        <row r="1717">
          <cell r="B1717">
            <v>40066</v>
          </cell>
          <cell r="C1717">
            <v>9</v>
          </cell>
        </row>
        <row r="1718">
          <cell r="B1718">
            <v>40067</v>
          </cell>
          <cell r="C1718">
            <v>9</v>
          </cell>
        </row>
        <row r="1719">
          <cell r="B1719">
            <v>40068</v>
          </cell>
          <cell r="C1719">
            <v>9</v>
          </cell>
        </row>
        <row r="1720">
          <cell r="B1720">
            <v>40069</v>
          </cell>
          <cell r="C1720">
            <v>9</v>
          </cell>
        </row>
        <row r="1721">
          <cell r="B1721">
            <v>40070</v>
          </cell>
          <cell r="C1721">
            <v>9</v>
          </cell>
        </row>
        <row r="1722">
          <cell r="B1722">
            <v>40071</v>
          </cell>
          <cell r="C1722">
            <v>9</v>
          </cell>
        </row>
        <row r="1723">
          <cell r="B1723">
            <v>40072</v>
          </cell>
          <cell r="C1723">
            <v>9</v>
          </cell>
        </row>
        <row r="1724">
          <cell r="B1724">
            <v>40073</v>
          </cell>
          <cell r="C1724">
            <v>9</v>
          </cell>
        </row>
        <row r="1725">
          <cell r="B1725">
            <v>40074</v>
          </cell>
          <cell r="C1725">
            <v>9</v>
          </cell>
        </row>
        <row r="1726">
          <cell r="B1726">
            <v>40075</v>
          </cell>
          <cell r="C1726">
            <v>9</v>
          </cell>
        </row>
        <row r="1727">
          <cell r="B1727">
            <v>40076</v>
          </cell>
          <cell r="C1727">
            <v>9</v>
          </cell>
        </row>
        <row r="1728">
          <cell r="B1728">
            <v>40077</v>
          </cell>
          <cell r="C1728">
            <v>9</v>
          </cell>
        </row>
        <row r="1729">
          <cell r="B1729">
            <v>40078</v>
          </cell>
          <cell r="C1729">
            <v>9</v>
          </cell>
        </row>
        <row r="1730">
          <cell r="B1730">
            <v>40079</v>
          </cell>
          <cell r="C1730">
            <v>9</v>
          </cell>
        </row>
        <row r="1731">
          <cell r="B1731">
            <v>40080</v>
          </cell>
          <cell r="C1731">
            <v>9</v>
          </cell>
        </row>
        <row r="1732">
          <cell r="B1732">
            <v>40081</v>
          </cell>
          <cell r="C1732">
            <v>9</v>
          </cell>
        </row>
        <row r="1733">
          <cell r="B1733">
            <v>40082</v>
          </cell>
          <cell r="C1733">
            <v>9</v>
          </cell>
        </row>
        <row r="1734">
          <cell r="B1734">
            <v>40083</v>
          </cell>
          <cell r="C1734">
            <v>9</v>
          </cell>
        </row>
        <row r="1735">
          <cell r="B1735">
            <v>40084</v>
          </cell>
          <cell r="C1735">
            <v>9</v>
          </cell>
        </row>
        <row r="1736">
          <cell r="B1736">
            <v>40085</v>
          </cell>
          <cell r="C1736">
            <v>9</v>
          </cell>
        </row>
        <row r="1737">
          <cell r="B1737">
            <v>40086</v>
          </cell>
          <cell r="C1737">
            <v>9</v>
          </cell>
        </row>
        <row r="1738">
          <cell r="B1738">
            <v>40087</v>
          </cell>
          <cell r="C1738">
            <v>10</v>
          </cell>
        </row>
        <row r="1739">
          <cell r="B1739">
            <v>40088</v>
          </cell>
          <cell r="C1739">
            <v>10</v>
          </cell>
        </row>
        <row r="1740">
          <cell r="B1740">
            <v>40089</v>
          </cell>
          <cell r="C1740">
            <v>10</v>
          </cell>
        </row>
        <row r="1741">
          <cell r="B1741">
            <v>40090</v>
          </cell>
          <cell r="C1741">
            <v>10</v>
          </cell>
        </row>
        <row r="1742">
          <cell r="B1742">
            <v>40091</v>
          </cell>
          <cell r="C1742">
            <v>10</v>
          </cell>
        </row>
        <row r="1743">
          <cell r="B1743">
            <v>40092</v>
          </cell>
          <cell r="C1743">
            <v>10</v>
          </cell>
        </row>
        <row r="1744">
          <cell r="B1744">
            <v>40093</v>
          </cell>
          <cell r="C1744">
            <v>10</v>
          </cell>
        </row>
        <row r="1745">
          <cell r="B1745">
            <v>40094</v>
          </cell>
          <cell r="C1745">
            <v>10</v>
          </cell>
        </row>
        <row r="1746">
          <cell r="B1746">
            <v>40095</v>
          </cell>
          <cell r="C1746">
            <v>10</v>
          </cell>
        </row>
        <row r="1747">
          <cell r="B1747">
            <v>40096</v>
          </cell>
          <cell r="C1747">
            <v>10</v>
          </cell>
        </row>
        <row r="1748">
          <cell r="B1748">
            <v>40097</v>
          </cell>
          <cell r="C1748">
            <v>10</v>
          </cell>
        </row>
        <row r="1749">
          <cell r="B1749">
            <v>40098</v>
          </cell>
          <cell r="C1749">
            <v>10</v>
          </cell>
        </row>
        <row r="1750">
          <cell r="B1750">
            <v>40099</v>
          </cell>
          <cell r="C1750">
            <v>10</v>
          </cell>
        </row>
        <row r="1751">
          <cell r="B1751">
            <v>40100</v>
          </cell>
          <cell r="C1751">
            <v>10</v>
          </cell>
        </row>
        <row r="1752">
          <cell r="B1752">
            <v>40101</v>
          </cell>
          <cell r="C1752">
            <v>10</v>
          </cell>
        </row>
        <row r="1753">
          <cell r="B1753">
            <v>40102</v>
          </cell>
          <cell r="C1753">
            <v>10</v>
          </cell>
        </row>
        <row r="1754">
          <cell r="B1754">
            <v>40103</v>
          </cell>
          <cell r="C1754">
            <v>10</v>
          </cell>
        </row>
        <row r="1755">
          <cell r="B1755">
            <v>40104</v>
          </cell>
          <cell r="C1755">
            <v>10</v>
          </cell>
        </row>
        <row r="1756">
          <cell r="B1756">
            <v>40105</v>
          </cell>
          <cell r="C1756">
            <v>10</v>
          </cell>
        </row>
        <row r="1757">
          <cell r="B1757">
            <v>40106</v>
          </cell>
          <cell r="C1757">
            <v>10</v>
          </cell>
        </row>
        <row r="1758">
          <cell r="B1758">
            <v>40107</v>
          </cell>
          <cell r="C1758">
            <v>10</v>
          </cell>
        </row>
        <row r="1759">
          <cell r="B1759">
            <v>40108</v>
          </cell>
          <cell r="C1759">
            <v>10</v>
          </cell>
        </row>
        <row r="1760">
          <cell r="B1760">
            <v>40109</v>
          </cell>
          <cell r="C1760">
            <v>10</v>
          </cell>
        </row>
        <row r="1761">
          <cell r="B1761">
            <v>40110</v>
          </cell>
          <cell r="C1761">
            <v>10</v>
          </cell>
        </row>
        <row r="1762">
          <cell r="B1762">
            <v>40111</v>
          </cell>
          <cell r="C1762">
            <v>10</v>
          </cell>
        </row>
        <row r="1763">
          <cell r="B1763">
            <v>40112</v>
          </cell>
          <cell r="C1763">
            <v>10</v>
          </cell>
        </row>
        <row r="1764">
          <cell r="B1764">
            <v>40113</v>
          </cell>
          <cell r="C1764">
            <v>10</v>
          </cell>
        </row>
        <row r="1765">
          <cell r="B1765">
            <v>40114</v>
          </cell>
          <cell r="C1765">
            <v>10</v>
          </cell>
        </row>
        <row r="1766">
          <cell r="B1766">
            <v>40115</v>
          </cell>
          <cell r="C1766">
            <v>10</v>
          </cell>
        </row>
        <row r="1767">
          <cell r="B1767">
            <v>40116</v>
          </cell>
          <cell r="C1767">
            <v>10</v>
          </cell>
        </row>
        <row r="1768">
          <cell r="B1768">
            <v>40117</v>
          </cell>
          <cell r="C1768">
            <v>10</v>
          </cell>
        </row>
        <row r="1769">
          <cell r="B1769">
            <v>40118</v>
          </cell>
          <cell r="C1769">
            <v>11</v>
          </cell>
        </row>
        <row r="1770">
          <cell r="B1770">
            <v>40119</v>
          </cell>
          <cell r="C1770">
            <v>11</v>
          </cell>
        </row>
        <row r="1771">
          <cell r="B1771">
            <v>40120</v>
          </cell>
          <cell r="C1771">
            <v>11</v>
          </cell>
        </row>
        <row r="1772">
          <cell r="B1772">
            <v>40121</v>
          </cell>
          <cell r="C1772">
            <v>11</v>
          </cell>
        </row>
        <row r="1773">
          <cell r="B1773">
            <v>40122</v>
          </cell>
          <cell r="C1773">
            <v>11</v>
          </cell>
        </row>
        <row r="1774">
          <cell r="B1774">
            <v>40123</v>
          </cell>
          <cell r="C1774">
            <v>11</v>
          </cell>
        </row>
        <row r="1775">
          <cell r="B1775">
            <v>40124</v>
          </cell>
          <cell r="C1775">
            <v>11</v>
          </cell>
        </row>
        <row r="1776">
          <cell r="B1776">
            <v>40125</v>
          </cell>
          <cell r="C1776">
            <v>11</v>
          </cell>
        </row>
        <row r="1777">
          <cell r="B1777">
            <v>40126</v>
          </cell>
          <cell r="C1777">
            <v>11</v>
          </cell>
        </row>
        <row r="1778">
          <cell r="B1778">
            <v>40127</v>
          </cell>
          <cell r="C1778">
            <v>11</v>
          </cell>
        </row>
        <row r="1779">
          <cell r="B1779">
            <v>40128</v>
          </cell>
          <cell r="C1779">
            <v>11</v>
          </cell>
        </row>
        <row r="1780">
          <cell r="B1780">
            <v>40129</v>
          </cell>
          <cell r="C1780">
            <v>11</v>
          </cell>
        </row>
        <row r="1781">
          <cell r="B1781">
            <v>40130</v>
          </cell>
          <cell r="C1781">
            <v>11</v>
          </cell>
        </row>
        <row r="1782">
          <cell r="B1782">
            <v>40131</v>
          </cell>
          <cell r="C1782">
            <v>11</v>
          </cell>
        </row>
        <row r="1783">
          <cell r="B1783">
            <v>40132</v>
          </cell>
          <cell r="C1783">
            <v>11</v>
          </cell>
        </row>
        <row r="1784">
          <cell r="B1784">
            <v>40133</v>
          </cell>
          <cell r="C1784">
            <v>11</v>
          </cell>
        </row>
        <row r="1785">
          <cell r="B1785">
            <v>40134</v>
          </cell>
          <cell r="C1785">
            <v>11</v>
          </cell>
        </row>
        <row r="1786">
          <cell r="B1786">
            <v>40135</v>
          </cell>
          <cell r="C1786">
            <v>11</v>
          </cell>
        </row>
        <row r="1787">
          <cell r="B1787">
            <v>40136</v>
          </cell>
          <cell r="C1787">
            <v>11</v>
          </cell>
        </row>
        <row r="1788">
          <cell r="B1788">
            <v>40137</v>
          </cell>
          <cell r="C1788">
            <v>11</v>
          </cell>
        </row>
        <row r="1789">
          <cell r="B1789">
            <v>40138</v>
          </cell>
          <cell r="C1789">
            <v>11</v>
          </cell>
        </row>
        <row r="1790">
          <cell r="B1790">
            <v>40139</v>
          </cell>
          <cell r="C1790">
            <v>11</v>
          </cell>
        </row>
        <row r="1791">
          <cell r="B1791">
            <v>40140</v>
          </cell>
          <cell r="C1791">
            <v>11</v>
          </cell>
        </row>
        <row r="1792">
          <cell r="B1792">
            <v>40141</v>
          </cell>
          <cell r="C1792">
            <v>11</v>
          </cell>
        </row>
        <row r="1793">
          <cell r="B1793">
            <v>40142</v>
          </cell>
          <cell r="C1793">
            <v>11</v>
          </cell>
        </row>
        <row r="1794">
          <cell r="B1794">
            <v>40143</v>
          </cell>
          <cell r="C1794">
            <v>11</v>
          </cell>
        </row>
        <row r="1795">
          <cell r="B1795">
            <v>40144</v>
          </cell>
          <cell r="C1795">
            <v>11</v>
          </cell>
        </row>
        <row r="1796">
          <cell r="B1796">
            <v>40145</v>
          </cell>
          <cell r="C1796">
            <v>11</v>
          </cell>
        </row>
        <row r="1797">
          <cell r="B1797">
            <v>40146</v>
          </cell>
          <cell r="C1797">
            <v>11</v>
          </cell>
        </row>
        <row r="1798">
          <cell r="B1798">
            <v>40147</v>
          </cell>
          <cell r="C1798">
            <v>11</v>
          </cell>
        </row>
        <row r="1799">
          <cell r="B1799">
            <v>40148</v>
          </cell>
          <cell r="C1799">
            <v>12</v>
          </cell>
        </row>
        <row r="1800">
          <cell r="B1800">
            <v>40149</v>
          </cell>
          <cell r="C1800">
            <v>12</v>
          </cell>
        </row>
        <row r="1801">
          <cell r="B1801">
            <v>40150</v>
          </cell>
          <cell r="C1801">
            <v>12</v>
          </cell>
        </row>
        <row r="1802">
          <cell r="B1802">
            <v>40151</v>
          </cell>
          <cell r="C1802">
            <v>12</v>
          </cell>
        </row>
        <row r="1803">
          <cell r="B1803">
            <v>40152</v>
          </cell>
          <cell r="C1803">
            <v>12</v>
          </cell>
        </row>
        <row r="1804">
          <cell r="B1804">
            <v>40153</v>
          </cell>
          <cell r="C1804">
            <v>12</v>
          </cell>
        </row>
        <row r="1805">
          <cell r="B1805">
            <v>40154</v>
          </cell>
          <cell r="C1805">
            <v>12</v>
          </cell>
        </row>
        <row r="1806">
          <cell r="B1806">
            <v>40155</v>
          </cell>
          <cell r="C1806">
            <v>12</v>
          </cell>
        </row>
        <row r="1807">
          <cell r="B1807">
            <v>40156</v>
          </cell>
          <cell r="C1807">
            <v>12</v>
          </cell>
        </row>
        <row r="1808">
          <cell r="B1808">
            <v>40157</v>
          </cell>
          <cell r="C1808">
            <v>12</v>
          </cell>
        </row>
        <row r="1809">
          <cell r="B1809">
            <v>40158</v>
          </cell>
          <cell r="C1809">
            <v>12</v>
          </cell>
        </row>
        <row r="1810">
          <cell r="B1810">
            <v>40159</v>
          </cell>
          <cell r="C1810">
            <v>12</v>
          </cell>
        </row>
        <row r="1811">
          <cell r="B1811">
            <v>40160</v>
          </cell>
          <cell r="C1811">
            <v>12</v>
          </cell>
        </row>
        <row r="1812">
          <cell r="B1812">
            <v>40161</v>
          </cell>
          <cell r="C1812">
            <v>12</v>
          </cell>
        </row>
        <row r="1813">
          <cell r="B1813">
            <v>40162</v>
          </cell>
          <cell r="C1813">
            <v>12</v>
          </cell>
        </row>
        <row r="1814">
          <cell r="B1814">
            <v>40163</v>
          </cell>
          <cell r="C1814">
            <v>12</v>
          </cell>
        </row>
        <row r="1815">
          <cell r="B1815">
            <v>40164</v>
          </cell>
          <cell r="C1815">
            <v>12</v>
          </cell>
        </row>
        <row r="1816">
          <cell r="B1816">
            <v>40165</v>
          </cell>
          <cell r="C1816">
            <v>12</v>
          </cell>
        </row>
        <row r="1817">
          <cell r="B1817">
            <v>40166</v>
          </cell>
          <cell r="C1817">
            <v>12</v>
          </cell>
        </row>
        <row r="1818">
          <cell r="B1818">
            <v>40167</v>
          </cell>
          <cell r="C1818">
            <v>12</v>
          </cell>
        </row>
        <row r="1819">
          <cell r="B1819">
            <v>40168</v>
          </cell>
          <cell r="C1819">
            <v>12</v>
          </cell>
        </row>
        <row r="1820">
          <cell r="B1820">
            <v>40169</v>
          </cell>
          <cell r="C1820">
            <v>12</v>
          </cell>
        </row>
        <row r="1821">
          <cell r="B1821">
            <v>40170</v>
          </cell>
          <cell r="C1821">
            <v>12</v>
          </cell>
        </row>
        <row r="1822">
          <cell r="B1822">
            <v>40171</v>
          </cell>
          <cell r="C1822">
            <v>12</v>
          </cell>
        </row>
        <row r="1823">
          <cell r="B1823">
            <v>40172</v>
          </cell>
          <cell r="C1823">
            <v>12</v>
          </cell>
        </row>
        <row r="1824">
          <cell r="B1824">
            <v>40173</v>
          </cell>
          <cell r="C1824">
            <v>12</v>
          </cell>
        </row>
        <row r="1825">
          <cell r="B1825">
            <v>40174</v>
          </cell>
          <cell r="C1825">
            <v>12</v>
          </cell>
        </row>
        <row r="1826">
          <cell r="B1826">
            <v>40175</v>
          </cell>
          <cell r="C1826">
            <v>12</v>
          </cell>
        </row>
        <row r="1827">
          <cell r="B1827">
            <v>40176</v>
          </cell>
          <cell r="C1827">
            <v>12</v>
          </cell>
        </row>
        <row r="1828">
          <cell r="B1828">
            <v>40177</v>
          </cell>
          <cell r="C1828">
            <v>12</v>
          </cell>
        </row>
        <row r="1829">
          <cell r="B1829">
            <v>40178</v>
          </cell>
          <cell r="C1829">
            <v>12</v>
          </cell>
        </row>
        <row r="1830">
          <cell r="B1830">
            <v>40179</v>
          </cell>
          <cell r="C1830">
            <v>1</v>
          </cell>
        </row>
        <row r="1831">
          <cell r="B1831">
            <v>40180</v>
          </cell>
          <cell r="C1831">
            <v>1</v>
          </cell>
        </row>
        <row r="1832">
          <cell r="B1832">
            <v>40181</v>
          </cell>
          <cell r="C1832">
            <v>1</v>
          </cell>
        </row>
        <row r="1833">
          <cell r="B1833">
            <v>40182</v>
          </cell>
          <cell r="C1833">
            <v>1</v>
          </cell>
        </row>
        <row r="1834">
          <cell r="B1834">
            <v>40183</v>
          </cell>
          <cell r="C1834">
            <v>1</v>
          </cell>
        </row>
        <row r="1835">
          <cell r="B1835">
            <v>40184</v>
          </cell>
          <cell r="C1835">
            <v>1</v>
          </cell>
        </row>
        <row r="1836">
          <cell r="B1836">
            <v>40185</v>
          </cell>
          <cell r="C1836">
            <v>1</v>
          </cell>
        </row>
        <row r="1837">
          <cell r="B1837">
            <v>40186</v>
          </cell>
          <cell r="C1837">
            <v>1</v>
          </cell>
        </row>
        <row r="1838">
          <cell r="B1838">
            <v>40187</v>
          </cell>
          <cell r="C1838">
            <v>1</v>
          </cell>
        </row>
        <row r="1839">
          <cell r="B1839">
            <v>40188</v>
          </cell>
          <cell r="C1839">
            <v>1</v>
          </cell>
        </row>
        <row r="1840">
          <cell r="B1840">
            <v>40189</v>
          </cell>
          <cell r="C1840">
            <v>1</v>
          </cell>
        </row>
        <row r="1841">
          <cell r="B1841">
            <v>40190</v>
          </cell>
          <cell r="C1841">
            <v>1</v>
          </cell>
        </row>
        <row r="1842">
          <cell r="B1842">
            <v>40191</v>
          </cell>
          <cell r="C1842">
            <v>1</v>
          </cell>
        </row>
        <row r="1843">
          <cell r="B1843">
            <v>40192</v>
          </cell>
          <cell r="C1843">
            <v>1</v>
          </cell>
        </row>
        <row r="1844">
          <cell r="B1844">
            <v>40193</v>
          </cell>
          <cell r="C1844">
            <v>1</v>
          </cell>
        </row>
        <row r="1845">
          <cell r="B1845">
            <v>40194</v>
          </cell>
          <cell r="C1845">
            <v>1</v>
          </cell>
        </row>
        <row r="1846">
          <cell r="B1846">
            <v>40195</v>
          </cell>
          <cell r="C1846">
            <v>1</v>
          </cell>
        </row>
        <row r="1847">
          <cell r="B1847">
            <v>40196</v>
          </cell>
          <cell r="C1847">
            <v>1</v>
          </cell>
        </row>
        <row r="1848">
          <cell r="B1848">
            <v>40197</v>
          </cell>
          <cell r="C1848">
            <v>1</v>
          </cell>
        </row>
        <row r="1849">
          <cell r="B1849">
            <v>40198</v>
          </cell>
          <cell r="C1849">
            <v>1</v>
          </cell>
        </row>
        <row r="1850">
          <cell r="B1850">
            <v>40199</v>
          </cell>
          <cell r="C1850">
            <v>1</v>
          </cell>
        </row>
        <row r="1851">
          <cell r="B1851">
            <v>40200</v>
          </cell>
          <cell r="C1851">
            <v>1</v>
          </cell>
        </row>
        <row r="1852">
          <cell r="B1852">
            <v>40201</v>
          </cell>
          <cell r="C1852">
            <v>1</v>
          </cell>
        </row>
        <row r="1853">
          <cell r="B1853">
            <v>40202</v>
          </cell>
          <cell r="C1853">
            <v>1</v>
          </cell>
        </row>
        <row r="1854">
          <cell r="B1854">
            <v>40203</v>
          </cell>
          <cell r="C1854">
            <v>1</v>
          </cell>
        </row>
        <row r="1855">
          <cell r="B1855">
            <v>40204</v>
          </cell>
          <cell r="C1855">
            <v>1</v>
          </cell>
        </row>
        <row r="1856">
          <cell r="B1856">
            <v>40205</v>
          </cell>
          <cell r="C1856">
            <v>1</v>
          </cell>
        </row>
        <row r="1857">
          <cell r="B1857">
            <v>40206</v>
          </cell>
          <cell r="C1857">
            <v>1</v>
          </cell>
        </row>
        <row r="1858">
          <cell r="B1858">
            <v>40207</v>
          </cell>
          <cell r="C1858">
            <v>1</v>
          </cell>
        </row>
        <row r="1859">
          <cell r="B1859">
            <v>40208</v>
          </cell>
          <cell r="C1859">
            <v>1</v>
          </cell>
        </row>
        <row r="1860">
          <cell r="B1860">
            <v>40209</v>
          </cell>
          <cell r="C1860">
            <v>1</v>
          </cell>
        </row>
        <row r="1861">
          <cell r="B1861">
            <v>40210</v>
          </cell>
          <cell r="C1861">
            <v>2</v>
          </cell>
        </row>
        <row r="1862">
          <cell r="B1862">
            <v>40211</v>
          </cell>
          <cell r="C1862">
            <v>2</v>
          </cell>
        </row>
        <row r="1863">
          <cell r="B1863">
            <v>40212</v>
          </cell>
          <cell r="C1863">
            <v>2</v>
          </cell>
        </row>
        <row r="1864">
          <cell r="B1864">
            <v>40213</v>
          </cell>
          <cell r="C1864">
            <v>2</v>
          </cell>
        </row>
        <row r="1865">
          <cell r="B1865">
            <v>40214</v>
          </cell>
          <cell r="C1865">
            <v>2</v>
          </cell>
        </row>
        <row r="1866">
          <cell r="B1866">
            <v>40215</v>
          </cell>
          <cell r="C1866">
            <v>2</v>
          </cell>
        </row>
        <row r="1867">
          <cell r="B1867">
            <v>40216</v>
          </cell>
          <cell r="C1867">
            <v>2</v>
          </cell>
        </row>
        <row r="1868">
          <cell r="B1868">
            <v>40217</v>
          </cell>
          <cell r="C1868">
            <v>2</v>
          </cell>
        </row>
        <row r="1869">
          <cell r="B1869">
            <v>40218</v>
          </cell>
          <cell r="C1869">
            <v>2</v>
          </cell>
        </row>
        <row r="1870">
          <cell r="B1870">
            <v>40219</v>
          </cell>
          <cell r="C1870">
            <v>2</v>
          </cell>
        </row>
        <row r="1871">
          <cell r="B1871">
            <v>40220</v>
          </cell>
          <cell r="C1871">
            <v>2</v>
          </cell>
        </row>
        <row r="1872">
          <cell r="B1872">
            <v>40221</v>
          </cell>
          <cell r="C1872">
            <v>2</v>
          </cell>
        </row>
        <row r="1873">
          <cell r="B1873">
            <v>40222</v>
          </cell>
          <cell r="C1873">
            <v>2</v>
          </cell>
        </row>
        <row r="1874">
          <cell r="B1874">
            <v>40223</v>
          </cell>
          <cell r="C1874">
            <v>2</v>
          </cell>
        </row>
        <row r="1875">
          <cell r="B1875">
            <v>40224</v>
          </cell>
          <cell r="C1875">
            <v>2</v>
          </cell>
        </row>
        <row r="1876">
          <cell r="B1876">
            <v>40225</v>
          </cell>
          <cell r="C1876">
            <v>2</v>
          </cell>
        </row>
        <row r="1877">
          <cell r="B1877">
            <v>40226</v>
          </cell>
          <cell r="C1877">
            <v>2</v>
          </cell>
        </row>
        <row r="1878">
          <cell r="B1878">
            <v>40227</v>
          </cell>
          <cell r="C1878">
            <v>2</v>
          </cell>
        </row>
        <row r="1879">
          <cell r="B1879">
            <v>40228</v>
          </cell>
          <cell r="C1879">
            <v>2</v>
          </cell>
        </row>
        <row r="1880">
          <cell r="B1880">
            <v>40229</v>
          </cell>
          <cell r="C1880">
            <v>2</v>
          </cell>
        </row>
        <row r="1881">
          <cell r="B1881">
            <v>40230</v>
          </cell>
          <cell r="C1881">
            <v>2</v>
          </cell>
        </row>
        <row r="1882">
          <cell r="B1882">
            <v>40231</v>
          </cell>
          <cell r="C1882">
            <v>2</v>
          </cell>
        </row>
        <row r="1883">
          <cell r="B1883">
            <v>40232</v>
          </cell>
          <cell r="C1883">
            <v>2</v>
          </cell>
        </row>
        <row r="1884">
          <cell r="B1884">
            <v>40233</v>
          </cell>
          <cell r="C1884">
            <v>2</v>
          </cell>
        </row>
        <row r="1885">
          <cell r="B1885">
            <v>40234</v>
          </cell>
          <cell r="C1885">
            <v>2</v>
          </cell>
        </row>
        <row r="1886">
          <cell r="B1886">
            <v>40235</v>
          </cell>
          <cell r="C1886">
            <v>2</v>
          </cell>
        </row>
        <row r="1887">
          <cell r="B1887">
            <v>40236</v>
          </cell>
          <cell r="C1887">
            <v>2</v>
          </cell>
        </row>
        <row r="1888">
          <cell r="B1888">
            <v>40237</v>
          </cell>
          <cell r="C1888">
            <v>2</v>
          </cell>
        </row>
        <row r="1889">
          <cell r="B1889">
            <v>40238</v>
          </cell>
          <cell r="C1889">
            <v>3</v>
          </cell>
        </row>
        <row r="1890">
          <cell r="B1890">
            <v>40239</v>
          </cell>
          <cell r="C1890">
            <v>3</v>
          </cell>
        </row>
        <row r="1891">
          <cell r="B1891">
            <v>40240</v>
          </cell>
          <cell r="C1891">
            <v>3</v>
          </cell>
        </row>
        <row r="1892">
          <cell r="B1892">
            <v>40241</v>
          </cell>
          <cell r="C1892">
            <v>3</v>
          </cell>
        </row>
        <row r="1893">
          <cell r="B1893">
            <v>40242</v>
          </cell>
          <cell r="C1893">
            <v>3</v>
          </cell>
        </row>
        <row r="1894">
          <cell r="B1894">
            <v>40243</v>
          </cell>
          <cell r="C1894">
            <v>3</v>
          </cell>
        </row>
        <row r="1895">
          <cell r="B1895">
            <v>40244</v>
          </cell>
          <cell r="C1895">
            <v>3</v>
          </cell>
        </row>
        <row r="1896">
          <cell r="B1896">
            <v>40245</v>
          </cell>
          <cell r="C1896">
            <v>3</v>
          </cell>
        </row>
        <row r="1897">
          <cell r="B1897">
            <v>40246</v>
          </cell>
          <cell r="C1897">
            <v>3</v>
          </cell>
        </row>
        <row r="1898">
          <cell r="B1898">
            <v>40247</v>
          </cell>
          <cell r="C1898">
            <v>3</v>
          </cell>
        </row>
        <row r="1899">
          <cell r="B1899">
            <v>40248</v>
          </cell>
          <cell r="C1899">
            <v>3</v>
          </cell>
        </row>
        <row r="1900">
          <cell r="B1900">
            <v>40249</v>
          </cell>
          <cell r="C1900">
            <v>3</v>
          </cell>
        </row>
        <row r="1901">
          <cell r="B1901">
            <v>40250</v>
          </cell>
          <cell r="C1901">
            <v>3</v>
          </cell>
        </row>
        <row r="1902">
          <cell r="B1902">
            <v>40251</v>
          </cell>
          <cell r="C1902">
            <v>3</v>
          </cell>
        </row>
        <row r="1903">
          <cell r="B1903">
            <v>40252</v>
          </cell>
          <cell r="C1903">
            <v>3</v>
          </cell>
        </row>
        <row r="1904">
          <cell r="B1904">
            <v>40253</v>
          </cell>
          <cell r="C1904">
            <v>3</v>
          </cell>
        </row>
        <row r="1905">
          <cell r="B1905">
            <v>40254</v>
          </cell>
          <cell r="C1905">
            <v>3</v>
          </cell>
        </row>
        <row r="1906">
          <cell r="B1906">
            <v>40255</v>
          </cell>
          <cell r="C1906">
            <v>3</v>
          </cell>
        </row>
        <row r="1907">
          <cell r="B1907">
            <v>40256</v>
          </cell>
          <cell r="C1907">
            <v>3</v>
          </cell>
        </row>
        <row r="1908">
          <cell r="B1908">
            <v>40257</v>
          </cell>
          <cell r="C1908">
            <v>3</v>
          </cell>
        </row>
        <row r="1909">
          <cell r="B1909">
            <v>40258</v>
          </cell>
          <cell r="C1909">
            <v>3</v>
          </cell>
        </row>
        <row r="1910">
          <cell r="B1910">
            <v>40259</v>
          </cell>
          <cell r="C1910">
            <v>3</v>
          </cell>
        </row>
        <row r="1911">
          <cell r="B1911">
            <v>40260</v>
          </cell>
          <cell r="C1911">
            <v>3</v>
          </cell>
        </row>
        <row r="1912">
          <cell r="B1912">
            <v>40261</v>
          </cell>
          <cell r="C1912">
            <v>3</v>
          </cell>
        </row>
        <row r="1913">
          <cell r="B1913">
            <v>40262</v>
          </cell>
          <cell r="C1913">
            <v>3</v>
          </cell>
        </row>
        <row r="1914">
          <cell r="B1914">
            <v>40263</v>
          </cell>
          <cell r="C1914">
            <v>3</v>
          </cell>
        </row>
        <row r="1915">
          <cell r="B1915">
            <v>40264</v>
          </cell>
          <cell r="C1915">
            <v>3</v>
          </cell>
        </row>
        <row r="1916">
          <cell r="B1916">
            <v>40265</v>
          </cell>
          <cell r="C1916">
            <v>3</v>
          </cell>
        </row>
        <row r="1917">
          <cell r="B1917">
            <v>40266</v>
          </cell>
          <cell r="C1917">
            <v>3</v>
          </cell>
        </row>
        <row r="1918">
          <cell r="B1918">
            <v>40267</v>
          </cell>
          <cell r="C1918">
            <v>3</v>
          </cell>
        </row>
        <row r="1919">
          <cell r="B1919">
            <v>40268</v>
          </cell>
          <cell r="C1919">
            <v>3</v>
          </cell>
        </row>
        <row r="1920">
          <cell r="B1920">
            <v>40269</v>
          </cell>
          <cell r="C1920">
            <v>4</v>
          </cell>
        </row>
        <row r="1921">
          <cell r="B1921">
            <v>40270</v>
          </cell>
          <cell r="C1921">
            <v>4</v>
          </cell>
        </row>
        <row r="1922">
          <cell r="B1922">
            <v>40271</v>
          </cell>
          <cell r="C1922">
            <v>4</v>
          </cell>
        </row>
        <row r="1923">
          <cell r="B1923">
            <v>40272</v>
          </cell>
          <cell r="C1923">
            <v>4</v>
          </cell>
        </row>
        <row r="1924">
          <cell r="B1924">
            <v>40273</v>
          </cell>
          <cell r="C1924">
            <v>4</v>
          </cell>
        </row>
        <row r="1925">
          <cell r="B1925">
            <v>40274</v>
          </cell>
          <cell r="C1925">
            <v>4</v>
          </cell>
        </row>
        <row r="1926">
          <cell r="B1926">
            <v>40275</v>
          </cell>
          <cell r="C1926">
            <v>4</v>
          </cell>
        </row>
        <row r="1927">
          <cell r="B1927">
            <v>40276</v>
          </cell>
          <cell r="C1927">
            <v>4</v>
          </cell>
        </row>
        <row r="1928">
          <cell r="B1928">
            <v>40277</v>
          </cell>
          <cell r="C1928">
            <v>4</v>
          </cell>
        </row>
        <row r="1929">
          <cell r="B1929">
            <v>40278</v>
          </cell>
          <cell r="C1929">
            <v>4</v>
          </cell>
        </row>
        <row r="1930">
          <cell r="B1930">
            <v>40279</v>
          </cell>
          <cell r="C1930">
            <v>4</v>
          </cell>
        </row>
        <row r="1931">
          <cell r="B1931">
            <v>40280</v>
          </cell>
          <cell r="C1931">
            <v>4</v>
          </cell>
        </row>
        <row r="1932">
          <cell r="B1932">
            <v>40281</v>
          </cell>
          <cell r="C1932">
            <v>4</v>
          </cell>
        </row>
        <row r="1933">
          <cell r="B1933">
            <v>40282</v>
          </cell>
          <cell r="C1933">
            <v>4</v>
          </cell>
        </row>
        <row r="1934">
          <cell r="B1934">
            <v>40283</v>
          </cell>
          <cell r="C1934">
            <v>4</v>
          </cell>
        </row>
        <row r="1935">
          <cell r="B1935">
            <v>40284</v>
          </cell>
          <cell r="C1935">
            <v>4</v>
          </cell>
        </row>
        <row r="1936">
          <cell r="B1936">
            <v>40285</v>
          </cell>
          <cell r="C1936">
            <v>4</v>
          </cell>
        </row>
        <row r="1937">
          <cell r="B1937">
            <v>40286</v>
          </cell>
          <cell r="C1937">
            <v>4</v>
          </cell>
        </row>
        <row r="1938">
          <cell r="B1938">
            <v>40287</v>
          </cell>
          <cell r="C1938">
            <v>4</v>
          </cell>
        </row>
        <row r="1939">
          <cell r="B1939">
            <v>40288</v>
          </cell>
          <cell r="C1939">
            <v>4</v>
          </cell>
        </row>
        <row r="1940">
          <cell r="B1940">
            <v>40289</v>
          </cell>
          <cell r="C1940">
            <v>4</v>
          </cell>
        </row>
        <row r="1941">
          <cell r="B1941">
            <v>40290</v>
          </cell>
          <cell r="C1941">
            <v>4</v>
          </cell>
        </row>
        <row r="1942">
          <cell r="B1942">
            <v>40291</v>
          </cell>
          <cell r="C1942">
            <v>4</v>
          </cell>
        </row>
        <row r="1943">
          <cell r="B1943">
            <v>40292</v>
          </cell>
          <cell r="C1943">
            <v>4</v>
          </cell>
        </row>
        <row r="1944">
          <cell r="B1944">
            <v>40293</v>
          </cell>
          <cell r="C1944">
            <v>4</v>
          </cell>
        </row>
        <row r="1945">
          <cell r="B1945">
            <v>40294</v>
          </cell>
          <cell r="C1945">
            <v>4</v>
          </cell>
        </row>
        <row r="1946">
          <cell r="B1946">
            <v>40295</v>
          </cell>
          <cell r="C1946">
            <v>4</v>
          </cell>
        </row>
        <row r="1947">
          <cell r="B1947">
            <v>40296</v>
          </cell>
          <cell r="C1947">
            <v>4</v>
          </cell>
        </row>
        <row r="1948">
          <cell r="B1948">
            <v>40297</v>
          </cell>
          <cell r="C1948">
            <v>4</v>
          </cell>
        </row>
        <row r="1949">
          <cell r="B1949">
            <v>40298</v>
          </cell>
          <cell r="C1949">
            <v>4</v>
          </cell>
        </row>
        <row r="1950">
          <cell r="B1950">
            <v>40299</v>
          </cell>
          <cell r="C1950">
            <v>5</v>
          </cell>
        </row>
        <row r="1951">
          <cell r="B1951">
            <v>40300</v>
          </cell>
          <cell r="C1951">
            <v>5</v>
          </cell>
        </row>
        <row r="1952">
          <cell r="B1952">
            <v>40301</v>
          </cell>
          <cell r="C1952">
            <v>5</v>
          </cell>
        </row>
        <row r="1953">
          <cell r="B1953">
            <v>40302</v>
          </cell>
          <cell r="C1953">
            <v>5</v>
          </cell>
        </row>
        <row r="1954">
          <cell r="B1954">
            <v>40303</v>
          </cell>
          <cell r="C1954">
            <v>5</v>
          </cell>
        </row>
        <row r="1955">
          <cell r="B1955">
            <v>40304</v>
          </cell>
          <cell r="C1955">
            <v>5</v>
          </cell>
        </row>
        <row r="1956">
          <cell r="B1956">
            <v>40305</v>
          </cell>
          <cell r="C1956">
            <v>5</v>
          </cell>
        </row>
        <row r="1957">
          <cell r="B1957">
            <v>40306</v>
          </cell>
          <cell r="C1957">
            <v>5</v>
          </cell>
        </row>
        <row r="1958">
          <cell r="B1958">
            <v>40307</v>
          </cell>
          <cell r="C1958">
            <v>5</v>
          </cell>
        </row>
        <row r="1959">
          <cell r="B1959">
            <v>40308</v>
          </cell>
          <cell r="C1959">
            <v>5</v>
          </cell>
        </row>
        <row r="1960">
          <cell r="B1960">
            <v>40309</v>
          </cell>
          <cell r="C1960">
            <v>5</v>
          </cell>
        </row>
        <row r="1961">
          <cell r="B1961">
            <v>40310</v>
          </cell>
          <cell r="C1961">
            <v>5</v>
          </cell>
        </row>
        <row r="1962">
          <cell r="B1962">
            <v>40311</v>
          </cell>
          <cell r="C1962">
            <v>5</v>
          </cell>
        </row>
        <row r="1963">
          <cell r="B1963">
            <v>40312</v>
          </cell>
          <cell r="C1963">
            <v>5</v>
          </cell>
        </row>
        <row r="1964">
          <cell r="B1964">
            <v>40313</v>
          </cell>
          <cell r="C1964">
            <v>5</v>
          </cell>
        </row>
        <row r="1965">
          <cell r="B1965">
            <v>40314</v>
          </cell>
          <cell r="C1965">
            <v>5</v>
          </cell>
        </row>
        <row r="1966">
          <cell r="B1966">
            <v>40315</v>
          </cell>
          <cell r="C1966">
            <v>5</v>
          </cell>
        </row>
        <row r="1967">
          <cell r="B1967">
            <v>40316</v>
          </cell>
          <cell r="C1967">
            <v>5</v>
          </cell>
        </row>
        <row r="1968">
          <cell r="B1968">
            <v>40317</v>
          </cell>
          <cell r="C1968">
            <v>5</v>
          </cell>
        </row>
        <row r="1969">
          <cell r="B1969">
            <v>40318</v>
          </cell>
          <cell r="C1969">
            <v>5</v>
          </cell>
        </row>
        <row r="1970">
          <cell r="B1970">
            <v>40319</v>
          </cell>
          <cell r="C1970">
            <v>5</v>
          </cell>
        </row>
        <row r="1971">
          <cell r="B1971">
            <v>40320</v>
          </cell>
          <cell r="C1971">
            <v>5</v>
          </cell>
        </row>
        <row r="1972">
          <cell r="B1972">
            <v>40321</v>
          </cell>
          <cell r="C1972">
            <v>5</v>
          </cell>
        </row>
        <row r="1973">
          <cell r="B1973">
            <v>40322</v>
          </cell>
          <cell r="C1973">
            <v>5</v>
          </cell>
        </row>
        <row r="1974">
          <cell r="B1974">
            <v>40323</v>
          </cell>
          <cell r="C1974">
            <v>5</v>
          </cell>
        </row>
        <row r="1975">
          <cell r="B1975">
            <v>40324</v>
          </cell>
          <cell r="C1975">
            <v>5</v>
          </cell>
        </row>
        <row r="1976">
          <cell r="B1976">
            <v>40325</v>
          </cell>
          <cell r="C1976">
            <v>5</v>
          </cell>
        </row>
        <row r="1977">
          <cell r="B1977">
            <v>40326</v>
          </cell>
          <cell r="C1977">
            <v>5</v>
          </cell>
        </row>
        <row r="1978">
          <cell r="B1978">
            <v>40327</v>
          </cell>
          <cell r="C1978">
            <v>5</v>
          </cell>
        </row>
        <row r="1979">
          <cell r="B1979">
            <v>40328</v>
          </cell>
          <cell r="C1979">
            <v>5</v>
          </cell>
        </row>
        <row r="1980">
          <cell r="B1980">
            <v>40329</v>
          </cell>
          <cell r="C1980">
            <v>5</v>
          </cell>
        </row>
        <row r="1981">
          <cell r="B1981">
            <v>40330</v>
          </cell>
          <cell r="C1981">
            <v>6</v>
          </cell>
        </row>
        <row r="1982">
          <cell r="B1982">
            <v>40331</v>
          </cell>
          <cell r="C1982">
            <v>6</v>
          </cell>
        </row>
        <row r="1983">
          <cell r="B1983">
            <v>40332</v>
          </cell>
          <cell r="C1983">
            <v>6</v>
          </cell>
        </row>
        <row r="1984">
          <cell r="B1984">
            <v>40333</v>
          </cell>
          <cell r="C1984">
            <v>6</v>
          </cell>
        </row>
        <row r="1985">
          <cell r="B1985">
            <v>40334</v>
          </cell>
          <cell r="C1985">
            <v>6</v>
          </cell>
        </row>
        <row r="1986">
          <cell r="B1986">
            <v>40335</v>
          </cell>
          <cell r="C1986">
            <v>6</v>
          </cell>
        </row>
        <row r="1987">
          <cell r="B1987">
            <v>40336</v>
          </cell>
          <cell r="C1987">
            <v>6</v>
          </cell>
        </row>
        <row r="1988">
          <cell r="B1988">
            <v>40337</v>
          </cell>
          <cell r="C1988">
            <v>6</v>
          </cell>
        </row>
        <row r="1989">
          <cell r="B1989">
            <v>40338</v>
          </cell>
          <cell r="C1989">
            <v>6</v>
          </cell>
        </row>
        <row r="1990">
          <cell r="B1990">
            <v>40339</v>
          </cell>
          <cell r="C1990">
            <v>6</v>
          </cell>
        </row>
        <row r="1991">
          <cell r="B1991">
            <v>40340</v>
          </cell>
          <cell r="C1991">
            <v>6</v>
          </cell>
        </row>
        <row r="1992">
          <cell r="B1992">
            <v>40341</v>
          </cell>
          <cell r="C1992">
            <v>6</v>
          </cell>
        </row>
        <row r="1993">
          <cell r="B1993">
            <v>40342</v>
          </cell>
          <cell r="C1993">
            <v>6</v>
          </cell>
        </row>
        <row r="1994">
          <cell r="B1994">
            <v>40343</v>
          </cell>
          <cell r="C1994">
            <v>6</v>
          </cell>
        </row>
        <row r="1995">
          <cell r="B1995">
            <v>40344</v>
          </cell>
          <cell r="C1995">
            <v>6</v>
          </cell>
        </row>
        <row r="1996">
          <cell r="B1996">
            <v>40345</v>
          </cell>
          <cell r="C1996">
            <v>6</v>
          </cell>
        </row>
        <row r="1997">
          <cell r="B1997">
            <v>40346</v>
          </cell>
          <cell r="C1997">
            <v>6</v>
          </cell>
        </row>
        <row r="1998">
          <cell r="B1998">
            <v>40347</v>
          </cell>
          <cell r="C1998">
            <v>6</v>
          </cell>
        </row>
        <row r="1999">
          <cell r="B1999">
            <v>40348</v>
          </cell>
          <cell r="C1999">
            <v>6</v>
          </cell>
        </row>
        <row r="2000">
          <cell r="B2000">
            <v>40349</v>
          </cell>
          <cell r="C2000">
            <v>6</v>
          </cell>
        </row>
        <row r="2001">
          <cell r="B2001">
            <v>40350</v>
          </cell>
          <cell r="C2001">
            <v>6</v>
          </cell>
        </row>
        <row r="2002">
          <cell r="B2002">
            <v>40351</v>
          </cell>
          <cell r="C2002">
            <v>6</v>
          </cell>
        </row>
        <row r="2003">
          <cell r="B2003">
            <v>40352</v>
          </cell>
          <cell r="C2003">
            <v>6</v>
          </cell>
        </row>
        <row r="2004">
          <cell r="B2004">
            <v>40353</v>
          </cell>
          <cell r="C2004">
            <v>6</v>
          </cell>
        </row>
        <row r="2005">
          <cell r="B2005">
            <v>40354</v>
          </cell>
          <cell r="C2005">
            <v>6</v>
          </cell>
        </row>
        <row r="2006">
          <cell r="B2006">
            <v>40355</v>
          </cell>
          <cell r="C2006">
            <v>6</v>
          </cell>
        </row>
        <row r="2007">
          <cell r="B2007">
            <v>40356</v>
          </cell>
          <cell r="C2007">
            <v>6</v>
          </cell>
        </row>
        <row r="2008">
          <cell r="B2008">
            <v>40357</v>
          </cell>
          <cell r="C2008">
            <v>6</v>
          </cell>
        </row>
        <row r="2009">
          <cell r="B2009">
            <v>40358</v>
          </cell>
          <cell r="C2009">
            <v>6</v>
          </cell>
        </row>
        <row r="2010">
          <cell r="B2010">
            <v>40359</v>
          </cell>
          <cell r="C2010">
            <v>6</v>
          </cell>
        </row>
        <row r="2011">
          <cell r="B2011">
            <v>40360</v>
          </cell>
          <cell r="C2011">
            <v>7</v>
          </cell>
        </row>
        <row r="2012">
          <cell r="B2012">
            <v>40361</v>
          </cell>
          <cell r="C2012">
            <v>7</v>
          </cell>
        </row>
        <row r="2013">
          <cell r="B2013">
            <v>40362</v>
          </cell>
          <cell r="C2013">
            <v>7</v>
          </cell>
        </row>
        <row r="2014">
          <cell r="B2014">
            <v>40363</v>
          </cell>
          <cell r="C2014">
            <v>7</v>
          </cell>
        </row>
        <row r="2015">
          <cell r="B2015">
            <v>40364</v>
          </cell>
          <cell r="C2015">
            <v>7</v>
          </cell>
        </row>
        <row r="2016">
          <cell r="B2016">
            <v>40365</v>
          </cell>
          <cell r="C2016">
            <v>7</v>
          </cell>
        </row>
        <row r="2017">
          <cell r="B2017">
            <v>40366</v>
          </cell>
          <cell r="C2017">
            <v>7</v>
          </cell>
        </row>
        <row r="2018">
          <cell r="B2018">
            <v>40367</v>
          </cell>
          <cell r="C2018">
            <v>7</v>
          </cell>
        </row>
        <row r="2019">
          <cell r="B2019">
            <v>40368</v>
          </cell>
          <cell r="C2019">
            <v>7</v>
          </cell>
        </row>
        <row r="2020">
          <cell r="B2020">
            <v>40369</v>
          </cell>
          <cell r="C2020">
            <v>7</v>
          </cell>
        </row>
        <row r="2021">
          <cell r="B2021">
            <v>40370</v>
          </cell>
          <cell r="C2021">
            <v>7</v>
          </cell>
        </row>
        <row r="2022">
          <cell r="B2022">
            <v>40371</v>
          </cell>
          <cell r="C2022">
            <v>7</v>
          </cell>
        </row>
        <row r="2023">
          <cell r="B2023">
            <v>40372</v>
          </cell>
          <cell r="C2023">
            <v>7</v>
          </cell>
        </row>
        <row r="2024">
          <cell r="B2024">
            <v>40373</v>
          </cell>
          <cell r="C2024">
            <v>7</v>
          </cell>
        </row>
        <row r="2025">
          <cell r="B2025">
            <v>40374</v>
          </cell>
          <cell r="C2025">
            <v>7</v>
          </cell>
        </row>
        <row r="2026">
          <cell r="B2026">
            <v>40375</v>
          </cell>
          <cell r="C2026">
            <v>7</v>
          </cell>
        </row>
        <row r="2027">
          <cell r="B2027">
            <v>40376</v>
          </cell>
          <cell r="C2027">
            <v>7</v>
          </cell>
        </row>
        <row r="2028">
          <cell r="B2028">
            <v>40377</v>
          </cell>
          <cell r="C2028">
            <v>7</v>
          </cell>
        </row>
        <row r="2029">
          <cell r="B2029">
            <v>40378</v>
          </cell>
          <cell r="C2029">
            <v>7</v>
          </cell>
        </row>
        <row r="2030">
          <cell r="B2030">
            <v>40379</v>
          </cell>
          <cell r="C2030">
            <v>7</v>
          </cell>
        </row>
        <row r="2031">
          <cell r="B2031">
            <v>40380</v>
          </cell>
          <cell r="C2031">
            <v>7</v>
          </cell>
        </row>
        <row r="2032">
          <cell r="B2032">
            <v>40381</v>
          </cell>
          <cell r="C2032">
            <v>7</v>
          </cell>
        </row>
        <row r="2033">
          <cell r="B2033">
            <v>40382</v>
          </cell>
          <cell r="C2033">
            <v>7</v>
          </cell>
        </row>
        <row r="2034">
          <cell r="B2034">
            <v>40383</v>
          </cell>
          <cell r="C2034">
            <v>7</v>
          </cell>
        </row>
        <row r="2035">
          <cell r="B2035">
            <v>40384</v>
          </cell>
          <cell r="C2035">
            <v>7</v>
          </cell>
        </row>
        <row r="2036">
          <cell r="B2036">
            <v>40385</v>
          </cell>
          <cell r="C2036">
            <v>7</v>
          </cell>
        </row>
        <row r="2037">
          <cell r="B2037">
            <v>40386</v>
          </cell>
          <cell r="C2037">
            <v>7</v>
          </cell>
        </row>
        <row r="2038">
          <cell r="B2038">
            <v>40387</v>
          </cell>
          <cell r="C2038">
            <v>7</v>
          </cell>
        </row>
        <row r="2039">
          <cell r="B2039">
            <v>40388</v>
          </cell>
          <cell r="C2039">
            <v>7</v>
          </cell>
        </row>
        <row r="2040">
          <cell r="B2040">
            <v>40389</v>
          </cell>
          <cell r="C2040">
            <v>7</v>
          </cell>
        </row>
        <row r="2041">
          <cell r="B2041">
            <v>40390</v>
          </cell>
          <cell r="C2041">
            <v>7</v>
          </cell>
        </row>
        <row r="2042">
          <cell r="B2042">
            <v>40391</v>
          </cell>
          <cell r="C2042">
            <v>8</v>
          </cell>
        </row>
        <row r="2043">
          <cell r="B2043">
            <v>40392</v>
          </cell>
          <cell r="C2043">
            <v>8</v>
          </cell>
        </row>
        <row r="2044">
          <cell r="B2044">
            <v>40393</v>
          </cell>
          <cell r="C2044">
            <v>8</v>
          </cell>
        </row>
        <row r="2045">
          <cell r="B2045">
            <v>40394</v>
          </cell>
          <cell r="C2045">
            <v>8</v>
          </cell>
        </row>
        <row r="2046">
          <cell r="B2046">
            <v>40395</v>
          </cell>
          <cell r="C2046">
            <v>8</v>
          </cell>
        </row>
        <row r="2047">
          <cell r="B2047">
            <v>40396</v>
          </cell>
          <cell r="C2047">
            <v>8</v>
          </cell>
        </row>
        <row r="2048">
          <cell r="B2048">
            <v>40397</v>
          </cell>
          <cell r="C2048">
            <v>8</v>
          </cell>
        </row>
        <row r="2049">
          <cell r="B2049">
            <v>40398</v>
          </cell>
          <cell r="C2049">
            <v>8</v>
          </cell>
        </row>
        <row r="2050">
          <cell r="B2050">
            <v>40399</v>
          </cell>
          <cell r="C2050">
            <v>8</v>
          </cell>
        </row>
        <row r="2051">
          <cell r="B2051">
            <v>40400</v>
          </cell>
          <cell r="C2051">
            <v>8</v>
          </cell>
        </row>
        <row r="2052">
          <cell r="B2052">
            <v>40401</v>
          </cell>
          <cell r="C2052">
            <v>8</v>
          </cell>
        </row>
        <row r="2053">
          <cell r="B2053">
            <v>40402</v>
          </cell>
          <cell r="C2053">
            <v>8</v>
          </cell>
        </row>
        <row r="2054">
          <cell r="B2054">
            <v>40403</v>
          </cell>
          <cell r="C2054">
            <v>8</v>
          </cell>
        </row>
        <row r="2055">
          <cell r="B2055">
            <v>40404</v>
          </cell>
          <cell r="C2055">
            <v>8</v>
          </cell>
        </row>
        <row r="2056">
          <cell r="B2056">
            <v>40405</v>
          </cell>
          <cell r="C2056">
            <v>8</v>
          </cell>
        </row>
        <row r="2057">
          <cell r="B2057">
            <v>40406</v>
          </cell>
          <cell r="C2057">
            <v>8</v>
          </cell>
        </row>
        <row r="2058">
          <cell r="B2058">
            <v>40407</v>
          </cell>
          <cell r="C2058">
            <v>8</v>
          </cell>
        </row>
        <row r="2059">
          <cell r="B2059">
            <v>40408</v>
          </cell>
          <cell r="C2059">
            <v>8</v>
          </cell>
        </row>
        <row r="2060">
          <cell r="B2060">
            <v>40409</v>
          </cell>
          <cell r="C2060">
            <v>8</v>
          </cell>
        </row>
        <row r="2061">
          <cell r="B2061">
            <v>40410</v>
          </cell>
          <cell r="C2061">
            <v>8</v>
          </cell>
        </row>
        <row r="2062">
          <cell r="B2062">
            <v>40411</v>
          </cell>
          <cell r="C2062">
            <v>8</v>
          </cell>
        </row>
        <row r="2063">
          <cell r="B2063">
            <v>40412</v>
          </cell>
          <cell r="C2063">
            <v>8</v>
          </cell>
        </row>
        <row r="2064">
          <cell r="B2064">
            <v>40413</v>
          </cell>
          <cell r="C2064">
            <v>8</v>
          </cell>
        </row>
        <row r="2065">
          <cell r="B2065">
            <v>40414</v>
          </cell>
          <cell r="C2065">
            <v>8</v>
          </cell>
        </row>
        <row r="2066">
          <cell r="B2066">
            <v>40415</v>
          </cell>
          <cell r="C2066">
            <v>8</v>
          </cell>
        </row>
        <row r="2067">
          <cell r="B2067">
            <v>40416</v>
          </cell>
          <cell r="C2067">
            <v>8</v>
          </cell>
        </row>
        <row r="2068">
          <cell r="B2068">
            <v>40417</v>
          </cell>
          <cell r="C2068">
            <v>8</v>
          </cell>
        </row>
        <row r="2069">
          <cell r="B2069">
            <v>40418</v>
          </cell>
          <cell r="C2069">
            <v>8</v>
          </cell>
        </row>
        <row r="2070">
          <cell r="B2070">
            <v>40419</v>
          </cell>
          <cell r="C2070">
            <v>8</v>
          </cell>
        </row>
        <row r="2071">
          <cell r="B2071">
            <v>40420</v>
          </cell>
          <cell r="C2071">
            <v>8</v>
          </cell>
        </row>
        <row r="2072">
          <cell r="B2072">
            <v>40421</v>
          </cell>
          <cell r="C2072">
            <v>8</v>
          </cell>
        </row>
        <row r="2073">
          <cell r="B2073">
            <v>40422</v>
          </cell>
          <cell r="C2073">
            <v>9</v>
          </cell>
        </row>
        <row r="2074">
          <cell r="B2074">
            <v>40423</v>
          </cell>
          <cell r="C2074">
            <v>9</v>
          </cell>
        </row>
        <row r="2075">
          <cell r="B2075">
            <v>40424</v>
          </cell>
          <cell r="C2075">
            <v>9</v>
          </cell>
        </row>
        <row r="2076">
          <cell r="B2076">
            <v>40425</v>
          </cell>
          <cell r="C2076">
            <v>9</v>
          </cell>
        </row>
        <row r="2077">
          <cell r="B2077">
            <v>40426</v>
          </cell>
          <cell r="C2077">
            <v>9</v>
          </cell>
        </row>
        <row r="2078">
          <cell r="B2078">
            <v>40427</v>
          </cell>
          <cell r="C2078">
            <v>9</v>
          </cell>
        </row>
        <row r="2079">
          <cell r="B2079">
            <v>40428</v>
          </cell>
          <cell r="C2079">
            <v>9</v>
          </cell>
        </row>
        <row r="2080">
          <cell r="B2080">
            <v>40429</v>
          </cell>
          <cell r="C2080">
            <v>9</v>
          </cell>
        </row>
        <row r="2081">
          <cell r="B2081">
            <v>40430</v>
          </cell>
          <cell r="C2081">
            <v>9</v>
          </cell>
        </row>
        <row r="2082">
          <cell r="B2082">
            <v>40431</v>
          </cell>
          <cell r="C2082">
            <v>9</v>
          </cell>
        </row>
        <row r="2083">
          <cell r="B2083">
            <v>40432</v>
          </cell>
          <cell r="C2083">
            <v>9</v>
          </cell>
        </row>
        <row r="2084">
          <cell r="B2084">
            <v>40433</v>
          </cell>
          <cell r="C2084">
            <v>9</v>
          </cell>
        </row>
        <row r="2085">
          <cell r="B2085">
            <v>40434</v>
          </cell>
          <cell r="C2085">
            <v>9</v>
          </cell>
        </row>
        <row r="2086">
          <cell r="B2086">
            <v>40435</v>
          </cell>
          <cell r="C2086">
            <v>9</v>
          </cell>
        </row>
        <row r="2087">
          <cell r="B2087">
            <v>40436</v>
          </cell>
          <cell r="C2087">
            <v>9</v>
          </cell>
        </row>
        <row r="2088">
          <cell r="B2088">
            <v>40437</v>
          </cell>
          <cell r="C2088">
            <v>9</v>
          </cell>
        </row>
        <row r="2089">
          <cell r="B2089">
            <v>40438</v>
          </cell>
          <cell r="C2089">
            <v>9</v>
          </cell>
        </row>
        <row r="2090">
          <cell r="B2090">
            <v>40439</v>
          </cell>
          <cell r="C2090">
            <v>9</v>
          </cell>
        </row>
        <row r="2091">
          <cell r="B2091">
            <v>40440</v>
          </cell>
          <cell r="C2091">
            <v>9</v>
          </cell>
        </row>
        <row r="2092">
          <cell r="B2092">
            <v>40441</v>
          </cell>
          <cell r="C2092">
            <v>9</v>
          </cell>
        </row>
        <row r="2093">
          <cell r="B2093">
            <v>40442</v>
          </cell>
          <cell r="C2093">
            <v>9</v>
          </cell>
        </row>
        <row r="2094">
          <cell r="B2094">
            <v>40443</v>
          </cell>
          <cell r="C2094">
            <v>9</v>
          </cell>
        </row>
        <row r="2095">
          <cell r="B2095">
            <v>40444</v>
          </cell>
          <cell r="C2095">
            <v>9</v>
          </cell>
        </row>
        <row r="2096">
          <cell r="B2096">
            <v>40445</v>
          </cell>
          <cell r="C2096">
            <v>9</v>
          </cell>
        </row>
        <row r="2097">
          <cell r="B2097">
            <v>40446</v>
          </cell>
          <cell r="C2097">
            <v>9</v>
          </cell>
        </row>
        <row r="2098">
          <cell r="B2098">
            <v>40447</v>
          </cell>
          <cell r="C2098">
            <v>9</v>
          </cell>
        </row>
        <row r="2099">
          <cell r="B2099">
            <v>40448</v>
          </cell>
          <cell r="C2099">
            <v>9</v>
          </cell>
        </row>
        <row r="2100">
          <cell r="B2100">
            <v>40449</v>
          </cell>
          <cell r="C2100">
            <v>9</v>
          </cell>
        </row>
        <row r="2101">
          <cell r="B2101">
            <v>40450</v>
          </cell>
          <cell r="C2101">
            <v>9</v>
          </cell>
        </row>
        <row r="2102">
          <cell r="B2102">
            <v>40451</v>
          </cell>
          <cell r="C2102">
            <v>9</v>
          </cell>
        </row>
        <row r="2103">
          <cell r="B2103">
            <v>40452</v>
          </cell>
          <cell r="C2103">
            <v>10</v>
          </cell>
        </row>
        <row r="2104">
          <cell r="B2104">
            <v>40453</v>
          </cell>
          <cell r="C2104">
            <v>10</v>
          </cell>
        </row>
        <row r="2105">
          <cell r="B2105">
            <v>40454</v>
          </cell>
          <cell r="C2105">
            <v>10</v>
          </cell>
        </row>
        <row r="2106">
          <cell r="B2106">
            <v>40455</v>
          </cell>
          <cell r="C2106">
            <v>10</v>
          </cell>
        </row>
        <row r="2107">
          <cell r="B2107">
            <v>40456</v>
          </cell>
          <cell r="C2107">
            <v>10</v>
          </cell>
        </row>
        <row r="2108">
          <cell r="B2108">
            <v>40457</v>
          </cell>
          <cell r="C2108">
            <v>10</v>
          </cell>
        </row>
        <row r="2109">
          <cell r="B2109">
            <v>40458</v>
          </cell>
          <cell r="C2109">
            <v>10</v>
          </cell>
        </row>
        <row r="2110">
          <cell r="B2110">
            <v>40459</v>
          </cell>
          <cell r="C2110">
            <v>10</v>
          </cell>
        </row>
        <row r="2111">
          <cell r="B2111">
            <v>40460</v>
          </cell>
          <cell r="C2111">
            <v>10</v>
          </cell>
        </row>
        <row r="2112">
          <cell r="B2112">
            <v>40461</v>
          </cell>
          <cell r="C2112">
            <v>10</v>
          </cell>
        </row>
        <row r="2113">
          <cell r="B2113">
            <v>40462</v>
          </cell>
          <cell r="C2113">
            <v>10</v>
          </cell>
        </row>
        <row r="2114">
          <cell r="B2114">
            <v>40463</v>
          </cell>
          <cell r="C2114">
            <v>10</v>
          </cell>
        </row>
        <row r="2115">
          <cell r="B2115">
            <v>40464</v>
          </cell>
          <cell r="C2115">
            <v>10</v>
          </cell>
        </row>
        <row r="2116">
          <cell r="B2116">
            <v>40465</v>
          </cell>
          <cell r="C2116">
            <v>10</v>
          </cell>
        </row>
        <row r="2117">
          <cell r="B2117">
            <v>40466</v>
          </cell>
          <cell r="C2117">
            <v>10</v>
          </cell>
        </row>
        <row r="2118">
          <cell r="B2118">
            <v>40467</v>
          </cell>
          <cell r="C2118">
            <v>10</v>
          </cell>
        </row>
        <row r="2119">
          <cell r="B2119">
            <v>40468</v>
          </cell>
          <cell r="C2119">
            <v>10</v>
          </cell>
        </row>
        <row r="2120">
          <cell r="B2120">
            <v>40469</v>
          </cell>
          <cell r="C2120">
            <v>10</v>
          </cell>
        </row>
        <row r="2121">
          <cell r="B2121">
            <v>40470</v>
          </cell>
          <cell r="C2121">
            <v>10</v>
          </cell>
        </row>
        <row r="2122">
          <cell r="B2122">
            <v>40471</v>
          </cell>
          <cell r="C2122">
            <v>10</v>
          </cell>
        </row>
        <row r="2123">
          <cell r="B2123">
            <v>40472</v>
          </cell>
          <cell r="C2123">
            <v>10</v>
          </cell>
        </row>
        <row r="2124">
          <cell r="B2124">
            <v>40473</v>
          </cell>
          <cell r="C2124">
            <v>10</v>
          </cell>
        </row>
        <row r="2125">
          <cell r="B2125">
            <v>40474</v>
          </cell>
          <cell r="C2125">
            <v>10</v>
          </cell>
        </row>
        <row r="2126">
          <cell r="B2126">
            <v>40475</v>
          </cell>
          <cell r="C2126">
            <v>10</v>
          </cell>
        </row>
        <row r="2127">
          <cell r="B2127">
            <v>40476</v>
          </cell>
          <cell r="C2127">
            <v>10</v>
          </cell>
        </row>
        <row r="2128">
          <cell r="B2128">
            <v>40477</v>
          </cell>
          <cell r="C2128">
            <v>10</v>
          </cell>
        </row>
        <row r="2129">
          <cell r="B2129">
            <v>40478</v>
          </cell>
          <cell r="C2129">
            <v>10</v>
          </cell>
        </row>
        <row r="2130">
          <cell r="B2130">
            <v>40479</v>
          </cell>
          <cell r="C2130">
            <v>10</v>
          </cell>
        </row>
        <row r="2131">
          <cell r="B2131">
            <v>40480</v>
          </cell>
          <cell r="C2131">
            <v>10</v>
          </cell>
        </row>
        <row r="2132">
          <cell r="B2132">
            <v>40481</v>
          </cell>
          <cell r="C2132">
            <v>10</v>
          </cell>
        </row>
        <row r="2133">
          <cell r="B2133">
            <v>40482</v>
          </cell>
          <cell r="C2133">
            <v>10</v>
          </cell>
        </row>
        <row r="2134">
          <cell r="B2134">
            <v>40483</v>
          </cell>
          <cell r="C2134">
            <v>11</v>
          </cell>
        </row>
        <row r="2135">
          <cell r="B2135">
            <v>40484</v>
          </cell>
          <cell r="C2135">
            <v>11</v>
          </cell>
        </row>
        <row r="2136">
          <cell r="B2136">
            <v>40485</v>
          </cell>
          <cell r="C2136">
            <v>11</v>
          </cell>
        </row>
        <row r="2137">
          <cell r="B2137">
            <v>40486</v>
          </cell>
          <cell r="C2137">
            <v>11</v>
          </cell>
        </row>
        <row r="2138">
          <cell r="B2138">
            <v>40487</v>
          </cell>
          <cell r="C2138">
            <v>11</v>
          </cell>
        </row>
        <row r="2139">
          <cell r="B2139">
            <v>40488</v>
          </cell>
          <cell r="C2139">
            <v>11</v>
          </cell>
        </row>
        <row r="2140">
          <cell r="B2140">
            <v>40489</v>
          </cell>
          <cell r="C2140">
            <v>11</v>
          </cell>
        </row>
        <row r="2141">
          <cell r="B2141">
            <v>40490</v>
          </cell>
          <cell r="C2141">
            <v>11</v>
          </cell>
        </row>
        <row r="2142">
          <cell r="B2142">
            <v>40491</v>
          </cell>
          <cell r="C2142">
            <v>11</v>
          </cell>
        </row>
        <row r="2143">
          <cell r="B2143">
            <v>40492</v>
          </cell>
          <cell r="C2143">
            <v>11</v>
          </cell>
        </row>
        <row r="2144">
          <cell r="B2144">
            <v>40493</v>
          </cell>
          <cell r="C2144">
            <v>11</v>
          </cell>
        </row>
        <row r="2145">
          <cell r="B2145">
            <v>40494</v>
          </cell>
          <cell r="C2145">
            <v>11</v>
          </cell>
        </row>
        <row r="2146">
          <cell r="B2146">
            <v>40495</v>
          </cell>
          <cell r="C2146">
            <v>11</v>
          </cell>
        </row>
        <row r="2147">
          <cell r="B2147">
            <v>40496</v>
          </cell>
          <cell r="C2147">
            <v>11</v>
          </cell>
        </row>
        <row r="2148">
          <cell r="B2148">
            <v>40497</v>
          </cell>
          <cell r="C2148">
            <v>11</v>
          </cell>
        </row>
        <row r="2149">
          <cell r="B2149">
            <v>40498</v>
          </cell>
          <cell r="C2149">
            <v>11</v>
          </cell>
        </row>
        <row r="2150">
          <cell r="B2150">
            <v>40499</v>
          </cell>
          <cell r="C2150">
            <v>11</v>
          </cell>
        </row>
        <row r="2151">
          <cell r="B2151">
            <v>40500</v>
          </cell>
          <cell r="C2151">
            <v>11</v>
          </cell>
        </row>
        <row r="2152">
          <cell r="B2152">
            <v>40501</v>
          </cell>
          <cell r="C2152">
            <v>11</v>
          </cell>
        </row>
        <row r="2153">
          <cell r="B2153">
            <v>40502</v>
          </cell>
          <cell r="C2153">
            <v>11</v>
          </cell>
        </row>
        <row r="2154">
          <cell r="B2154">
            <v>40503</v>
          </cell>
          <cell r="C2154">
            <v>11</v>
          </cell>
        </row>
        <row r="2155">
          <cell r="B2155">
            <v>40504</v>
          </cell>
          <cell r="C2155">
            <v>11</v>
          </cell>
        </row>
        <row r="2156">
          <cell r="B2156">
            <v>40505</v>
          </cell>
          <cell r="C2156">
            <v>11</v>
          </cell>
        </row>
        <row r="2157">
          <cell r="B2157">
            <v>40506</v>
          </cell>
          <cell r="C2157">
            <v>11</v>
          </cell>
        </row>
        <row r="2158">
          <cell r="B2158">
            <v>40507</v>
          </cell>
          <cell r="C2158">
            <v>11</v>
          </cell>
        </row>
        <row r="2159">
          <cell r="B2159">
            <v>40508</v>
          </cell>
          <cell r="C2159">
            <v>11</v>
          </cell>
        </row>
        <row r="2160">
          <cell r="B2160">
            <v>40509</v>
          </cell>
          <cell r="C2160">
            <v>11</v>
          </cell>
        </row>
        <row r="2161">
          <cell r="B2161">
            <v>40510</v>
          </cell>
          <cell r="C2161">
            <v>11</v>
          </cell>
        </row>
        <row r="2162">
          <cell r="B2162">
            <v>40511</v>
          </cell>
          <cell r="C2162">
            <v>11</v>
          </cell>
        </row>
        <row r="2163">
          <cell r="B2163">
            <v>40512</v>
          </cell>
          <cell r="C2163">
            <v>11</v>
          </cell>
        </row>
        <row r="2164">
          <cell r="B2164">
            <v>40513</v>
          </cell>
          <cell r="C2164">
            <v>12</v>
          </cell>
        </row>
        <row r="2165">
          <cell r="B2165">
            <v>40514</v>
          </cell>
          <cell r="C2165">
            <v>12</v>
          </cell>
        </row>
        <row r="2166">
          <cell r="B2166">
            <v>40515</v>
          </cell>
          <cell r="C2166">
            <v>12</v>
          </cell>
        </row>
        <row r="2167">
          <cell r="B2167">
            <v>40516</v>
          </cell>
          <cell r="C2167">
            <v>12</v>
          </cell>
        </row>
        <row r="2168">
          <cell r="B2168">
            <v>40517</v>
          </cell>
          <cell r="C2168">
            <v>12</v>
          </cell>
        </row>
        <row r="2169">
          <cell r="B2169">
            <v>40518</v>
          </cell>
          <cell r="C2169">
            <v>12</v>
          </cell>
        </row>
        <row r="2170">
          <cell r="B2170">
            <v>40519</v>
          </cell>
          <cell r="C2170">
            <v>12</v>
          </cell>
        </row>
        <row r="2171">
          <cell r="B2171">
            <v>40520</v>
          </cell>
          <cell r="C2171">
            <v>12</v>
          </cell>
        </row>
        <row r="2172">
          <cell r="B2172">
            <v>40521</v>
          </cell>
          <cell r="C2172">
            <v>12</v>
          </cell>
        </row>
        <row r="2173">
          <cell r="B2173">
            <v>40522</v>
          </cell>
          <cell r="C2173">
            <v>12</v>
          </cell>
        </row>
        <row r="2174">
          <cell r="B2174">
            <v>40523</v>
          </cell>
          <cell r="C2174">
            <v>12</v>
          </cell>
        </row>
        <row r="2175">
          <cell r="B2175">
            <v>40524</v>
          </cell>
          <cell r="C2175">
            <v>12</v>
          </cell>
        </row>
        <row r="2176">
          <cell r="B2176">
            <v>40525</v>
          </cell>
          <cell r="C2176">
            <v>12</v>
          </cell>
        </row>
        <row r="2177">
          <cell r="B2177">
            <v>40526</v>
          </cell>
          <cell r="C2177">
            <v>12</v>
          </cell>
        </row>
        <row r="2178">
          <cell r="B2178">
            <v>40527</v>
          </cell>
          <cell r="C2178">
            <v>12</v>
          </cell>
        </row>
        <row r="2179">
          <cell r="B2179">
            <v>40528</v>
          </cell>
          <cell r="C2179">
            <v>12</v>
          </cell>
        </row>
        <row r="2180">
          <cell r="B2180">
            <v>40529</v>
          </cell>
          <cell r="C2180">
            <v>12</v>
          </cell>
        </row>
        <row r="2181">
          <cell r="B2181">
            <v>40530</v>
          </cell>
          <cell r="C2181">
            <v>12</v>
          </cell>
        </row>
        <row r="2182">
          <cell r="B2182">
            <v>40531</v>
          </cell>
          <cell r="C2182">
            <v>12</v>
          </cell>
        </row>
        <row r="2183">
          <cell r="B2183">
            <v>40532</v>
          </cell>
          <cell r="C2183">
            <v>12</v>
          </cell>
        </row>
        <row r="2184">
          <cell r="B2184">
            <v>40533</v>
          </cell>
          <cell r="C2184">
            <v>12</v>
          </cell>
        </row>
        <row r="2185">
          <cell r="B2185">
            <v>40534</v>
          </cell>
          <cell r="C2185">
            <v>12</v>
          </cell>
        </row>
        <row r="2186">
          <cell r="B2186">
            <v>40535</v>
          </cell>
          <cell r="C2186">
            <v>12</v>
          </cell>
        </row>
        <row r="2187">
          <cell r="B2187">
            <v>40536</v>
          </cell>
          <cell r="C2187">
            <v>12</v>
          </cell>
        </row>
        <row r="2188">
          <cell r="B2188">
            <v>40537</v>
          </cell>
          <cell r="C2188">
            <v>12</v>
          </cell>
        </row>
        <row r="2189">
          <cell r="B2189">
            <v>40538</v>
          </cell>
          <cell r="C2189">
            <v>12</v>
          </cell>
        </row>
        <row r="2190">
          <cell r="B2190">
            <v>40539</v>
          </cell>
          <cell r="C2190">
            <v>12</v>
          </cell>
        </row>
        <row r="2191">
          <cell r="B2191">
            <v>40540</v>
          </cell>
          <cell r="C2191">
            <v>12</v>
          </cell>
        </row>
        <row r="2192">
          <cell r="B2192">
            <v>40541</v>
          </cell>
          <cell r="C2192">
            <v>12</v>
          </cell>
        </row>
        <row r="2193">
          <cell r="B2193">
            <v>40542</v>
          </cell>
          <cell r="C2193">
            <v>12</v>
          </cell>
        </row>
        <row r="2194">
          <cell r="B2194">
            <v>40543</v>
          </cell>
          <cell r="C2194">
            <v>12</v>
          </cell>
        </row>
        <row r="2195">
          <cell r="B2195">
            <v>40544</v>
          </cell>
          <cell r="C2195">
            <v>1</v>
          </cell>
        </row>
        <row r="2196">
          <cell r="B2196">
            <v>40545</v>
          </cell>
          <cell r="C2196">
            <v>1</v>
          </cell>
        </row>
        <row r="2197">
          <cell r="B2197">
            <v>40546</v>
          </cell>
          <cell r="C2197">
            <v>1</v>
          </cell>
        </row>
        <row r="2198">
          <cell r="B2198">
            <v>40547</v>
          </cell>
          <cell r="C2198">
            <v>1</v>
          </cell>
        </row>
        <row r="2199">
          <cell r="B2199">
            <v>40548</v>
          </cell>
          <cell r="C2199">
            <v>1</v>
          </cell>
        </row>
        <row r="2200">
          <cell r="B2200">
            <v>40549</v>
          </cell>
          <cell r="C2200">
            <v>1</v>
          </cell>
        </row>
        <row r="2201">
          <cell r="B2201">
            <v>40550</v>
          </cell>
          <cell r="C2201">
            <v>1</v>
          </cell>
        </row>
        <row r="2202">
          <cell r="B2202">
            <v>40551</v>
          </cell>
          <cell r="C2202">
            <v>1</v>
          </cell>
        </row>
        <row r="2203">
          <cell r="B2203">
            <v>40552</v>
          </cell>
          <cell r="C2203">
            <v>1</v>
          </cell>
        </row>
        <row r="2204">
          <cell r="B2204">
            <v>40553</v>
          </cell>
          <cell r="C2204">
            <v>1</v>
          </cell>
        </row>
        <row r="2205">
          <cell r="B2205">
            <v>40554</v>
          </cell>
          <cell r="C2205">
            <v>1</v>
          </cell>
        </row>
        <row r="2206">
          <cell r="B2206">
            <v>40555</v>
          </cell>
          <cell r="C2206">
            <v>1</v>
          </cell>
        </row>
        <row r="2207">
          <cell r="B2207">
            <v>40556</v>
          </cell>
          <cell r="C2207">
            <v>1</v>
          </cell>
        </row>
        <row r="2208">
          <cell r="B2208">
            <v>40557</v>
          </cell>
          <cell r="C2208">
            <v>1</v>
          </cell>
        </row>
        <row r="2209">
          <cell r="B2209">
            <v>40558</v>
          </cell>
          <cell r="C2209">
            <v>1</v>
          </cell>
        </row>
        <row r="2210">
          <cell r="B2210">
            <v>40559</v>
          </cell>
          <cell r="C2210">
            <v>1</v>
          </cell>
        </row>
        <row r="2211">
          <cell r="B2211">
            <v>40560</v>
          </cell>
          <cell r="C2211">
            <v>1</v>
          </cell>
        </row>
        <row r="2212">
          <cell r="B2212">
            <v>40561</v>
          </cell>
          <cell r="C2212">
            <v>1</v>
          </cell>
        </row>
        <row r="2213">
          <cell r="B2213">
            <v>40562</v>
          </cell>
          <cell r="C2213">
            <v>1</v>
          </cell>
        </row>
        <row r="2214">
          <cell r="B2214">
            <v>40563</v>
          </cell>
          <cell r="C2214">
            <v>1</v>
          </cell>
        </row>
        <row r="2215">
          <cell r="B2215">
            <v>40564</v>
          </cell>
          <cell r="C2215">
            <v>1</v>
          </cell>
        </row>
        <row r="2216">
          <cell r="B2216">
            <v>40565</v>
          </cell>
          <cell r="C2216">
            <v>1</v>
          </cell>
        </row>
        <row r="2217">
          <cell r="B2217">
            <v>40566</v>
          </cell>
          <cell r="C2217">
            <v>1</v>
          </cell>
        </row>
        <row r="2218">
          <cell r="B2218">
            <v>40567</v>
          </cell>
          <cell r="C2218">
            <v>1</v>
          </cell>
        </row>
        <row r="2219">
          <cell r="B2219">
            <v>40568</v>
          </cell>
          <cell r="C2219">
            <v>1</v>
          </cell>
        </row>
        <row r="2220">
          <cell r="B2220">
            <v>40569</v>
          </cell>
          <cell r="C2220">
            <v>1</v>
          </cell>
        </row>
        <row r="2221">
          <cell r="B2221">
            <v>40570</v>
          </cell>
          <cell r="C2221">
            <v>1</v>
          </cell>
        </row>
        <row r="2222">
          <cell r="B2222">
            <v>40571</v>
          </cell>
          <cell r="C2222">
            <v>1</v>
          </cell>
        </row>
        <row r="2223">
          <cell r="B2223">
            <v>40572</v>
          </cell>
          <cell r="C2223">
            <v>1</v>
          </cell>
        </row>
        <row r="2224">
          <cell r="B2224">
            <v>40573</v>
          </cell>
          <cell r="C2224">
            <v>1</v>
          </cell>
        </row>
        <row r="2225">
          <cell r="B2225">
            <v>40574</v>
          </cell>
          <cell r="C2225">
            <v>1</v>
          </cell>
        </row>
        <row r="2226">
          <cell r="B2226">
            <v>40575</v>
          </cell>
          <cell r="C2226">
            <v>2</v>
          </cell>
        </row>
        <row r="2227">
          <cell r="B2227">
            <v>40576</v>
          </cell>
          <cell r="C2227">
            <v>2</v>
          </cell>
        </row>
        <row r="2228">
          <cell r="B2228">
            <v>40577</v>
          </cell>
          <cell r="C2228">
            <v>2</v>
          </cell>
        </row>
        <row r="2229">
          <cell r="B2229">
            <v>40578</v>
          </cell>
          <cell r="C2229">
            <v>2</v>
          </cell>
        </row>
        <row r="2230">
          <cell r="B2230">
            <v>40579</v>
          </cell>
          <cell r="C2230">
            <v>2</v>
          </cell>
        </row>
        <row r="2231">
          <cell r="B2231">
            <v>40580</v>
          </cell>
          <cell r="C2231">
            <v>2</v>
          </cell>
        </row>
        <row r="2232">
          <cell r="B2232">
            <v>40581</v>
          </cell>
          <cell r="C2232">
            <v>2</v>
          </cell>
        </row>
        <row r="2233">
          <cell r="B2233">
            <v>40582</v>
          </cell>
          <cell r="C2233">
            <v>2</v>
          </cell>
        </row>
        <row r="2234">
          <cell r="B2234">
            <v>40583</v>
          </cell>
          <cell r="C2234">
            <v>2</v>
          </cell>
        </row>
        <row r="2235">
          <cell r="B2235">
            <v>40584</v>
          </cell>
          <cell r="C2235">
            <v>2</v>
          </cell>
        </row>
        <row r="2236">
          <cell r="B2236">
            <v>40585</v>
          </cell>
          <cell r="C2236">
            <v>2</v>
          </cell>
        </row>
        <row r="2237">
          <cell r="B2237">
            <v>40586</v>
          </cell>
          <cell r="C2237">
            <v>2</v>
          </cell>
        </row>
        <row r="2238">
          <cell r="B2238">
            <v>40587</v>
          </cell>
          <cell r="C2238">
            <v>2</v>
          </cell>
        </row>
        <row r="2239">
          <cell r="B2239">
            <v>40588</v>
          </cell>
          <cell r="C2239">
            <v>2</v>
          </cell>
        </row>
        <row r="2240">
          <cell r="B2240">
            <v>40589</v>
          </cell>
          <cell r="C2240">
            <v>2</v>
          </cell>
        </row>
        <row r="2241">
          <cell r="B2241">
            <v>40590</v>
          </cell>
          <cell r="C2241">
            <v>2</v>
          </cell>
        </row>
        <row r="2242">
          <cell r="B2242">
            <v>40591</v>
          </cell>
          <cell r="C2242">
            <v>2</v>
          </cell>
        </row>
        <row r="2243">
          <cell r="B2243">
            <v>40592</v>
          </cell>
          <cell r="C2243">
            <v>2</v>
          </cell>
        </row>
        <row r="2244">
          <cell r="B2244">
            <v>40593</v>
          </cell>
          <cell r="C2244">
            <v>2</v>
          </cell>
        </row>
        <row r="2245">
          <cell r="B2245">
            <v>40594</v>
          </cell>
          <cell r="C2245">
            <v>2</v>
          </cell>
        </row>
        <row r="2246">
          <cell r="B2246">
            <v>40595</v>
          </cell>
          <cell r="C2246">
            <v>2</v>
          </cell>
        </row>
        <row r="2247">
          <cell r="B2247">
            <v>40596</v>
          </cell>
          <cell r="C2247">
            <v>2</v>
          </cell>
        </row>
        <row r="2248">
          <cell r="B2248">
            <v>40597</v>
          </cell>
          <cell r="C2248">
            <v>2</v>
          </cell>
        </row>
        <row r="2249">
          <cell r="B2249">
            <v>40598</v>
          </cell>
          <cell r="C2249">
            <v>2</v>
          </cell>
        </row>
        <row r="2250">
          <cell r="B2250">
            <v>40599</v>
          </cell>
          <cell r="C2250">
            <v>2</v>
          </cell>
        </row>
        <row r="2251">
          <cell r="B2251">
            <v>40600</v>
          </cell>
          <cell r="C2251">
            <v>2</v>
          </cell>
        </row>
        <row r="2252">
          <cell r="B2252">
            <v>40601</v>
          </cell>
          <cell r="C2252">
            <v>2</v>
          </cell>
        </row>
        <row r="2253">
          <cell r="B2253">
            <v>40602</v>
          </cell>
          <cell r="C2253">
            <v>2</v>
          </cell>
        </row>
        <row r="2254">
          <cell r="B2254">
            <v>40603</v>
          </cell>
          <cell r="C2254">
            <v>3</v>
          </cell>
        </row>
        <row r="2255">
          <cell r="B2255">
            <v>40604</v>
          </cell>
          <cell r="C2255">
            <v>3</v>
          </cell>
        </row>
        <row r="2256">
          <cell r="B2256">
            <v>40605</v>
          </cell>
          <cell r="C2256">
            <v>3</v>
          </cell>
        </row>
        <row r="2257">
          <cell r="B2257">
            <v>40606</v>
          </cell>
          <cell r="C2257">
            <v>3</v>
          </cell>
        </row>
        <row r="2258">
          <cell r="B2258">
            <v>40607</v>
          </cell>
          <cell r="C2258">
            <v>3</v>
          </cell>
        </row>
        <row r="2259">
          <cell r="B2259">
            <v>40608</v>
          </cell>
          <cell r="C2259">
            <v>3</v>
          </cell>
        </row>
        <row r="2260">
          <cell r="B2260">
            <v>40609</v>
          </cell>
          <cell r="C2260">
            <v>3</v>
          </cell>
        </row>
        <row r="2261">
          <cell r="B2261">
            <v>40610</v>
          </cell>
          <cell r="C2261">
            <v>3</v>
          </cell>
        </row>
        <row r="2262">
          <cell r="B2262">
            <v>40611</v>
          </cell>
          <cell r="C2262">
            <v>3</v>
          </cell>
        </row>
        <row r="2263">
          <cell r="B2263">
            <v>40612</v>
          </cell>
          <cell r="C2263">
            <v>3</v>
          </cell>
        </row>
        <row r="2264">
          <cell r="B2264">
            <v>40613</v>
          </cell>
          <cell r="C2264">
            <v>3</v>
          </cell>
        </row>
        <row r="2265">
          <cell r="B2265">
            <v>40614</v>
          </cell>
          <cell r="C2265">
            <v>3</v>
          </cell>
        </row>
        <row r="2266">
          <cell r="B2266">
            <v>40615</v>
          </cell>
          <cell r="C2266">
            <v>3</v>
          </cell>
        </row>
        <row r="2267">
          <cell r="B2267">
            <v>40616</v>
          </cell>
          <cell r="C2267">
            <v>3</v>
          </cell>
        </row>
        <row r="2268">
          <cell r="B2268">
            <v>40617</v>
          </cell>
          <cell r="C2268">
            <v>3</v>
          </cell>
        </row>
        <row r="2269">
          <cell r="B2269">
            <v>40618</v>
          </cell>
          <cell r="C2269">
            <v>3</v>
          </cell>
        </row>
        <row r="2270">
          <cell r="B2270">
            <v>40619</v>
          </cell>
          <cell r="C2270">
            <v>3</v>
          </cell>
        </row>
        <row r="2271">
          <cell r="B2271">
            <v>40620</v>
          </cell>
          <cell r="C2271">
            <v>3</v>
          </cell>
        </row>
        <row r="2272">
          <cell r="B2272">
            <v>40621</v>
          </cell>
          <cell r="C2272">
            <v>3</v>
          </cell>
        </row>
        <row r="2273">
          <cell r="B2273">
            <v>40622</v>
          </cell>
          <cell r="C2273">
            <v>3</v>
          </cell>
        </row>
        <row r="2274">
          <cell r="B2274">
            <v>40623</v>
          </cell>
          <cell r="C2274">
            <v>3</v>
          </cell>
        </row>
        <row r="2275">
          <cell r="B2275">
            <v>40624</v>
          </cell>
          <cell r="C2275">
            <v>3</v>
          </cell>
        </row>
        <row r="2276">
          <cell r="B2276">
            <v>40625</v>
          </cell>
          <cell r="C2276">
            <v>3</v>
          </cell>
        </row>
        <row r="2277">
          <cell r="B2277">
            <v>40626</v>
          </cell>
          <cell r="C2277">
            <v>3</v>
          </cell>
        </row>
        <row r="2278">
          <cell r="B2278">
            <v>40627</v>
          </cell>
          <cell r="C2278">
            <v>3</v>
          </cell>
        </row>
        <row r="2279">
          <cell r="B2279">
            <v>40628</v>
          </cell>
          <cell r="C2279">
            <v>3</v>
          </cell>
        </row>
        <row r="2280">
          <cell r="B2280">
            <v>40629</v>
          </cell>
          <cell r="C2280">
            <v>3</v>
          </cell>
        </row>
        <row r="2281">
          <cell r="B2281">
            <v>40630</v>
          </cell>
          <cell r="C2281">
            <v>3</v>
          </cell>
        </row>
        <row r="2282">
          <cell r="B2282">
            <v>40631</v>
          </cell>
          <cell r="C2282">
            <v>3</v>
          </cell>
        </row>
        <row r="2283">
          <cell r="B2283">
            <v>40632</v>
          </cell>
          <cell r="C2283">
            <v>3</v>
          </cell>
        </row>
        <row r="2284">
          <cell r="B2284">
            <v>40633</v>
          </cell>
          <cell r="C2284">
            <v>3</v>
          </cell>
        </row>
        <row r="2285">
          <cell r="B2285">
            <v>40634</v>
          </cell>
          <cell r="C2285">
            <v>4</v>
          </cell>
        </row>
        <row r="2286">
          <cell r="B2286">
            <v>40635</v>
          </cell>
          <cell r="C2286">
            <v>4</v>
          </cell>
        </row>
        <row r="2287">
          <cell r="B2287">
            <v>40636</v>
          </cell>
          <cell r="C2287">
            <v>4</v>
          </cell>
        </row>
        <row r="2288">
          <cell r="B2288">
            <v>40637</v>
          </cell>
          <cell r="C2288">
            <v>4</v>
          </cell>
        </row>
        <row r="2289">
          <cell r="B2289">
            <v>40638</v>
          </cell>
          <cell r="C2289">
            <v>4</v>
          </cell>
        </row>
        <row r="2290">
          <cell r="B2290">
            <v>40639</v>
          </cell>
          <cell r="C2290">
            <v>4</v>
          </cell>
        </row>
        <row r="2291">
          <cell r="B2291">
            <v>40640</v>
          </cell>
          <cell r="C2291">
            <v>4</v>
          </cell>
        </row>
        <row r="2292">
          <cell r="B2292">
            <v>40641</v>
          </cell>
          <cell r="C2292">
            <v>4</v>
          </cell>
        </row>
        <row r="2293">
          <cell r="B2293">
            <v>40642</v>
          </cell>
          <cell r="C2293">
            <v>4</v>
          </cell>
        </row>
        <row r="2294">
          <cell r="B2294">
            <v>40643</v>
          </cell>
          <cell r="C2294">
            <v>4</v>
          </cell>
        </row>
        <row r="2295">
          <cell r="B2295">
            <v>40644</v>
          </cell>
          <cell r="C2295">
            <v>4</v>
          </cell>
        </row>
        <row r="2296">
          <cell r="B2296">
            <v>40645</v>
          </cell>
          <cell r="C2296">
            <v>4</v>
          </cell>
        </row>
        <row r="2297">
          <cell r="B2297">
            <v>40646</v>
          </cell>
          <cell r="C2297">
            <v>4</v>
          </cell>
        </row>
        <row r="2298">
          <cell r="B2298">
            <v>40647</v>
          </cell>
          <cell r="C2298">
            <v>4</v>
          </cell>
        </row>
        <row r="2299">
          <cell r="B2299">
            <v>40648</v>
          </cell>
          <cell r="C2299">
            <v>4</v>
          </cell>
        </row>
        <row r="2300">
          <cell r="B2300">
            <v>40649</v>
          </cell>
          <cell r="C2300">
            <v>4</v>
          </cell>
        </row>
        <row r="2301">
          <cell r="B2301">
            <v>40650</v>
          </cell>
          <cell r="C2301">
            <v>4</v>
          </cell>
        </row>
        <row r="2302">
          <cell r="B2302">
            <v>40651</v>
          </cell>
          <cell r="C2302">
            <v>4</v>
          </cell>
        </row>
        <row r="2303">
          <cell r="B2303">
            <v>40652</v>
          </cell>
          <cell r="C2303">
            <v>4</v>
          </cell>
        </row>
        <row r="2304">
          <cell r="B2304">
            <v>40653</v>
          </cell>
          <cell r="C2304">
            <v>4</v>
          </cell>
        </row>
        <row r="2305">
          <cell r="B2305">
            <v>40654</v>
          </cell>
          <cell r="C2305">
            <v>4</v>
          </cell>
        </row>
        <row r="2306">
          <cell r="B2306">
            <v>40655</v>
          </cell>
          <cell r="C2306">
            <v>4</v>
          </cell>
        </row>
        <row r="2307">
          <cell r="B2307">
            <v>40656</v>
          </cell>
          <cell r="C2307">
            <v>4</v>
          </cell>
        </row>
        <row r="2308">
          <cell r="B2308">
            <v>40657</v>
          </cell>
          <cell r="C2308">
            <v>4</v>
          </cell>
        </row>
        <row r="2309">
          <cell r="B2309">
            <v>40658</v>
          </cell>
          <cell r="C2309">
            <v>4</v>
          </cell>
        </row>
        <row r="2310">
          <cell r="B2310">
            <v>40659</v>
          </cell>
          <cell r="C2310">
            <v>4</v>
          </cell>
        </row>
        <row r="2311">
          <cell r="B2311">
            <v>40660</v>
          </cell>
          <cell r="C2311">
            <v>4</v>
          </cell>
        </row>
        <row r="2312">
          <cell r="B2312">
            <v>40661</v>
          </cell>
          <cell r="C2312">
            <v>4</v>
          </cell>
        </row>
        <row r="2313">
          <cell r="B2313">
            <v>40662</v>
          </cell>
          <cell r="C2313">
            <v>4</v>
          </cell>
        </row>
        <row r="2314">
          <cell r="B2314">
            <v>40663</v>
          </cell>
          <cell r="C2314">
            <v>4</v>
          </cell>
        </row>
        <row r="2315">
          <cell r="B2315">
            <v>40664</v>
          </cell>
          <cell r="C2315">
            <v>5</v>
          </cell>
        </row>
        <row r="2316">
          <cell r="B2316">
            <v>40665</v>
          </cell>
          <cell r="C2316">
            <v>5</v>
          </cell>
        </row>
        <row r="2317">
          <cell r="B2317">
            <v>40666</v>
          </cell>
          <cell r="C2317">
            <v>5</v>
          </cell>
        </row>
        <row r="2318">
          <cell r="B2318">
            <v>40667</v>
          </cell>
          <cell r="C2318">
            <v>5</v>
          </cell>
        </row>
        <row r="2319">
          <cell r="B2319">
            <v>40668</v>
          </cell>
          <cell r="C2319">
            <v>5</v>
          </cell>
        </row>
        <row r="2320">
          <cell r="B2320">
            <v>40669</v>
          </cell>
          <cell r="C2320">
            <v>5</v>
          </cell>
        </row>
        <row r="2321">
          <cell r="B2321">
            <v>40670</v>
          </cell>
          <cell r="C2321">
            <v>5</v>
          </cell>
        </row>
        <row r="2322">
          <cell r="B2322">
            <v>40671</v>
          </cell>
          <cell r="C2322">
            <v>5</v>
          </cell>
        </row>
        <row r="2323">
          <cell r="B2323">
            <v>40672</v>
          </cell>
          <cell r="C2323">
            <v>5</v>
          </cell>
        </row>
        <row r="2324">
          <cell r="B2324">
            <v>40673</v>
          </cell>
          <cell r="C2324">
            <v>5</v>
          </cell>
        </row>
        <row r="2325">
          <cell r="B2325">
            <v>40674</v>
          </cell>
          <cell r="C2325">
            <v>5</v>
          </cell>
        </row>
        <row r="2326">
          <cell r="B2326">
            <v>40675</v>
          </cell>
          <cell r="C2326">
            <v>5</v>
          </cell>
        </row>
        <row r="2327">
          <cell r="B2327">
            <v>40676</v>
          </cell>
          <cell r="C2327">
            <v>5</v>
          </cell>
        </row>
        <row r="2328">
          <cell r="B2328">
            <v>40677</v>
          </cell>
          <cell r="C2328">
            <v>5</v>
          </cell>
        </row>
        <row r="2329">
          <cell r="B2329">
            <v>40678</v>
          </cell>
          <cell r="C2329">
            <v>5</v>
          </cell>
        </row>
        <row r="2330">
          <cell r="B2330">
            <v>40679</v>
          </cell>
          <cell r="C2330">
            <v>5</v>
          </cell>
        </row>
        <row r="2331">
          <cell r="B2331">
            <v>40680</v>
          </cell>
          <cell r="C2331">
            <v>5</v>
          </cell>
        </row>
        <row r="2332">
          <cell r="B2332">
            <v>40681</v>
          </cell>
          <cell r="C2332">
            <v>5</v>
          </cell>
        </row>
        <row r="2333">
          <cell r="B2333">
            <v>40682</v>
          </cell>
          <cell r="C2333">
            <v>5</v>
          </cell>
        </row>
        <row r="2334">
          <cell r="B2334">
            <v>40683</v>
          </cell>
          <cell r="C2334">
            <v>5</v>
          </cell>
        </row>
        <row r="2335">
          <cell r="B2335">
            <v>40684</v>
          </cell>
          <cell r="C2335">
            <v>5</v>
          </cell>
        </row>
        <row r="2336">
          <cell r="B2336">
            <v>40685</v>
          </cell>
          <cell r="C2336">
            <v>5</v>
          </cell>
        </row>
        <row r="2337">
          <cell r="B2337">
            <v>40686</v>
          </cell>
          <cell r="C2337">
            <v>5</v>
          </cell>
        </row>
        <row r="2338">
          <cell r="B2338">
            <v>40687</v>
          </cell>
          <cell r="C2338">
            <v>5</v>
          </cell>
        </row>
        <row r="2339">
          <cell r="B2339">
            <v>40688</v>
          </cell>
          <cell r="C2339">
            <v>5</v>
          </cell>
        </row>
        <row r="2340">
          <cell r="B2340">
            <v>40689</v>
          </cell>
          <cell r="C2340">
            <v>5</v>
          </cell>
        </row>
        <row r="2341">
          <cell r="B2341">
            <v>40690</v>
          </cell>
          <cell r="C2341">
            <v>5</v>
          </cell>
        </row>
        <row r="2342">
          <cell r="B2342">
            <v>40691</v>
          </cell>
          <cell r="C2342">
            <v>5</v>
          </cell>
        </row>
        <row r="2343">
          <cell r="B2343">
            <v>40692</v>
          </cell>
          <cell r="C2343">
            <v>5</v>
          </cell>
        </row>
        <row r="2344">
          <cell r="B2344">
            <v>40693</v>
          </cell>
          <cell r="C2344">
            <v>5</v>
          </cell>
        </row>
        <row r="2345">
          <cell r="B2345">
            <v>40694</v>
          </cell>
          <cell r="C2345">
            <v>5</v>
          </cell>
        </row>
        <row r="2346">
          <cell r="B2346">
            <v>40695</v>
          </cell>
          <cell r="C2346">
            <v>6</v>
          </cell>
        </row>
        <row r="2347">
          <cell r="B2347">
            <v>40696</v>
          </cell>
          <cell r="C2347">
            <v>6</v>
          </cell>
        </row>
        <row r="2348">
          <cell r="B2348">
            <v>40697</v>
          </cell>
          <cell r="C2348">
            <v>6</v>
          </cell>
        </row>
        <row r="2349">
          <cell r="B2349">
            <v>40698</v>
          </cell>
          <cell r="C2349">
            <v>6</v>
          </cell>
        </row>
        <row r="2350">
          <cell r="B2350">
            <v>40699</v>
          </cell>
          <cell r="C2350">
            <v>6</v>
          </cell>
        </row>
        <row r="2351">
          <cell r="B2351">
            <v>40700</v>
          </cell>
          <cell r="C2351">
            <v>6</v>
          </cell>
        </row>
        <row r="2352">
          <cell r="B2352">
            <v>40701</v>
          </cell>
          <cell r="C2352">
            <v>6</v>
          </cell>
        </row>
        <row r="2353">
          <cell r="B2353">
            <v>40702</v>
          </cell>
          <cell r="C2353">
            <v>6</v>
          </cell>
        </row>
        <row r="2354">
          <cell r="B2354">
            <v>40703</v>
          </cell>
          <cell r="C2354">
            <v>6</v>
          </cell>
        </row>
        <row r="2355">
          <cell r="B2355">
            <v>40704</v>
          </cell>
          <cell r="C2355">
            <v>6</v>
          </cell>
        </row>
        <row r="2356">
          <cell r="B2356">
            <v>40705</v>
          </cell>
          <cell r="C2356">
            <v>6</v>
          </cell>
        </row>
        <row r="2357">
          <cell r="B2357">
            <v>40706</v>
          </cell>
          <cell r="C2357">
            <v>6</v>
          </cell>
        </row>
        <row r="2358">
          <cell r="B2358">
            <v>40707</v>
          </cell>
          <cell r="C2358">
            <v>6</v>
          </cell>
        </row>
        <row r="2359">
          <cell r="B2359">
            <v>40708</v>
          </cell>
          <cell r="C2359">
            <v>6</v>
          </cell>
        </row>
        <row r="2360">
          <cell r="B2360">
            <v>40709</v>
          </cell>
          <cell r="C2360">
            <v>6</v>
          </cell>
        </row>
        <row r="2361">
          <cell r="B2361">
            <v>40710</v>
          </cell>
          <cell r="C2361">
            <v>6</v>
          </cell>
        </row>
        <row r="2362">
          <cell r="B2362">
            <v>40711</v>
          </cell>
          <cell r="C2362">
            <v>6</v>
          </cell>
        </row>
        <row r="2363">
          <cell r="B2363">
            <v>40712</v>
          </cell>
          <cell r="C2363">
            <v>6</v>
          </cell>
        </row>
        <row r="2364">
          <cell r="B2364">
            <v>40713</v>
          </cell>
          <cell r="C2364">
            <v>6</v>
          </cell>
        </row>
        <row r="2365">
          <cell r="B2365">
            <v>40714</v>
          </cell>
          <cell r="C2365">
            <v>6</v>
          </cell>
        </row>
        <row r="2366">
          <cell r="B2366">
            <v>40715</v>
          </cell>
          <cell r="C2366">
            <v>6</v>
          </cell>
        </row>
        <row r="2367">
          <cell r="B2367">
            <v>40716</v>
          </cell>
          <cell r="C2367">
            <v>6</v>
          </cell>
        </row>
        <row r="2368">
          <cell r="B2368">
            <v>40717</v>
          </cell>
          <cell r="C2368">
            <v>6</v>
          </cell>
        </row>
        <row r="2369">
          <cell r="B2369">
            <v>40718</v>
          </cell>
          <cell r="C2369">
            <v>6</v>
          </cell>
        </row>
        <row r="2370">
          <cell r="B2370">
            <v>40719</v>
          </cell>
          <cell r="C2370">
            <v>6</v>
          </cell>
        </row>
        <row r="2371">
          <cell r="B2371">
            <v>40720</v>
          </cell>
          <cell r="C2371">
            <v>6</v>
          </cell>
        </row>
        <row r="2372">
          <cell r="B2372">
            <v>40721</v>
          </cell>
          <cell r="C2372">
            <v>6</v>
          </cell>
        </row>
        <row r="2373">
          <cell r="B2373">
            <v>40722</v>
          </cell>
          <cell r="C2373">
            <v>6</v>
          </cell>
        </row>
        <row r="2374">
          <cell r="B2374">
            <v>40723</v>
          </cell>
          <cell r="C2374">
            <v>6</v>
          </cell>
        </row>
        <row r="2375">
          <cell r="B2375">
            <v>40724</v>
          </cell>
          <cell r="C2375">
            <v>6</v>
          </cell>
        </row>
        <row r="2376">
          <cell r="B2376">
            <v>40725</v>
          </cell>
          <cell r="C2376">
            <v>7</v>
          </cell>
        </row>
        <row r="2377">
          <cell r="B2377">
            <v>40726</v>
          </cell>
          <cell r="C2377">
            <v>7</v>
          </cell>
        </row>
        <row r="2378">
          <cell r="B2378">
            <v>40727</v>
          </cell>
          <cell r="C2378">
            <v>7</v>
          </cell>
        </row>
        <row r="2379">
          <cell r="B2379">
            <v>40728</v>
          </cell>
          <cell r="C2379">
            <v>7</v>
          </cell>
        </row>
        <row r="2380">
          <cell r="B2380">
            <v>40729</v>
          </cell>
          <cell r="C2380">
            <v>7</v>
          </cell>
        </row>
        <row r="2381">
          <cell r="B2381">
            <v>40730</v>
          </cell>
          <cell r="C2381">
            <v>7</v>
          </cell>
        </row>
        <row r="2382">
          <cell r="B2382">
            <v>40731</v>
          </cell>
          <cell r="C2382">
            <v>7</v>
          </cell>
        </row>
        <row r="2383">
          <cell r="B2383">
            <v>40732</v>
          </cell>
          <cell r="C2383">
            <v>7</v>
          </cell>
        </row>
        <row r="2384">
          <cell r="B2384">
            <v>40733</v>
          </cell>
          <cell r="C2384">
            <v>7</v>
          </cell>
        </row>
        <row r="2385">
          <cell r="B2385">
            <v>40734</v>
          </cell>
          <cell r="C2385">
            <v>7</v>
          </cell>
        </row>
        <row r="2386">
          <cell r="B2386">
            <v>40735</v>
          </cell>
          <cell r="C2386">
            <v>7</v>
          </cell>
        </row>
        <row r="2387">
          <cell r="B2387">
            <v>40736</v>
          </cell>
          <cell r="C2387">
            <v>7</v>
          </cell>
        </row>
        <row r="2388">
          <cell r="B2388">
            <v>40737</v>
          </cell>
          <cell r="C2388">
            <v>7</v>
          </cell>
        </row>
        <row r="2389">
          <cell r="B2389">
            <v>40738</v>
          </cell>
          <cell r="C2389">
            <v>7</v>
          </cell>
        </row>
        <row r="2390">
          <cell r="B2390">
            <v>40739</v>
          </cell>
          <cell r="C2390">
            <v>7</v>
          </cell>
        </row>
        <row r="2391">
          <cell r="B2391">
            <v>40740</v>
          </cell>
          <cell r="C2391">
            <v>7</v>
          </cell>
        </row>
        <row r="2392">
          <cell r="B2392">
            <v>40741</v>
          </cell>
          <cell r="C2392">
            <v>7</v>
          </cell>
        </row>
        <row r="2393">
          <cell r="B2393">
            <v>40742</v>
          </cell>
          <cell r="C2393">
            <v>7</v>
          </cell>
        </row>
        <row r="2394">
          <cell r="B2394">
            <v>40743</v>
          </cell>
          <cell r="C2394">
            <v>7</v>
          </cell>
        </row>
        <row r="2395">
          <cell r="B2395">
            <v>40744</v>
          </cell>
          <cell r="C2395">
            <v>7</v>
          </cell>
        </row>
        <row r="2396">
          <cell r="B2396">
            <v>40745</v>
          </cell>
          <cell r="C2396">
            <v>7</v>
          </cell>
        </row>
        <row r="2397">
          <cell r="B2397">
            <v>40746</v>
          </cell>
          <cell r="C2397">
            <v>7</v>
          </cell>
        </row>
        <row r="2398">
          <cell r="B2398">
            <v>40747</v>
          </cell>
          <cell r="C2398">
            <v>7</v>
          </cell>
        </row>
        <row r="2399">
          <cell r="B2399">
            <v>40748</v>
          </cell>
          <cell r="C2399">
            <v>7</v>
          </cell>
        </row>
        <row r="2400">
          <cell r="B2400">
            <v>40749</v>
          </cell>
          <cell r="C2400">
            <v>7</v>
          </cell>
        </row>
        <row r="2401">
          <cell r="B2401">
            <v>40750</v>
          </cell>
          <cell r="C2401">
            <v>7</v>
          </cell>
        </row>
        <row r="2402">
          <cell r="B2402">
            <v>40751</v>
          </cell>
          <cell r="C2402">
            <v>7</v>
          </cell>
        </row>
        <row r="2403">
          <cell r="B2403">
            <v>40752</v>
          </cell>
          <cell r="C2403">
            <v>7</v>
          </cell>
        </row>
        <row r="2404">
          <cell r="B2404">
            <v>40753</v>
          </cell>
          <cell r="C2404">
            <v>7</v>
          </cell>
        </row>
        <row r="2405">
          <cell r="B2405">
            <v>40754</v>
          </cell>
          <cell r="C2405">
            <v>7</v>
          </cell>
        </row>
        <row r="2406">
          <cell r="B2406">
            <v>40755</v>
          </cell>
          <cell r="C2406">
            <v>7</v>
          </cell>
        </row>
        <row r="2407">
          <cell r="B2407">
            <v>40756</v>
          </cell>
          <cell r="C2407">
            <v>8</v>
          </cell>
        </row>
        <row r="2408">
          <cell r="B2408">
            <v>40757</v>
          </cell>
          <cell r="C2408">
            <v>8</v>
          </cell>
        </row>
        <row r="2409">
          <cell r="B2409">
            <v>40758</v>
          </cell>
          <cell r="C2409">
            <v>8</v>
          </cell>
        </row>
        <row r="2410">
          <cell r="B2410">
            <v>40759</v>
          </cell>
          <cell r="C2410">
            <v>8</v>
          </cell>
        </row>
        <row r="2411">
          <cell r="B2411">
            <v>40760</v>
          </cell>
          <cell r="C2411">
            <v>8</v>
          </cell>
        </row>
        <row r="2412">
          <cell r="B2412">
            <v>40761</v>
          </cell>
          <cell r="C2412">
            <v>8</v>
          </cell>
        </row>
        <row r="2413">
          <cell r="B2413">
            <v>40762</v>
          </cell>
          <cell r="C2413">
            <v>8</v>
          </cell>
        </row>
        <row r="2414">
          <cell r="B2414">
            <v>40763</v>
          </cell>
          <cell r="C2414">
            <v>8</v>
          </cell>
        </row>
        <row r="2415">
          <cell r="B2415">
            <v>40764</v>
          </cell>
          <cell r="C2415">
            <v>8</v>
          </cell>
        </row>
        <row r="2416">
          <cell r="B2416">
            <v>40765</v>
          </cell>
          <cell r="C2416">
            <v>8</v>
          </cell>
        </row>
        <row r="2417">
          <cell r="B2417">
            <v>40766</v>
          </cell>
          <cell r="C2417">
            <v>8</v>
          </cell>
        </row>
        <row r="2418">
          <cell r="B2418">
            <v>40767</v>
          </cell>
          <cell r="C2418">
            <v>8</v>
          </cell>
        </row>
        <row r="2419">
          <cell r="B2419">
            <v>40768</v>
          </cell>
          <cell r="C2419">
            <v>8</v>
          </cell>
        </row>
        <row r="2420">
          <cell r="B2420">
            <v>40769</v>
          </cell>
          <cell r="C2420">
            <v>8</v>
          </cell>
        </row>
        <row r="2421">
          <cell r="B2421">
            <v>40770</v>
          </cell>
          <cell r="C2421">
            <v>8</v>
          </cell>
        </row>
        <row r="2422">
          <cell r="B2422">
            <v>40771</v>
          </cell>
          <cell r="C2422">
            <v>8</v>
          </cell>
        </row>
        <row r="2423">
          <cell r="B2423">
            <v>40772</v>
          </cell>
          <cell r="C2423">
            <v>8</v>
          </cell>
        </row>
        <row r="2424">
          <cell r="B2424">
            <v>40773</v>
          </cell>
          <cell r="C2424">
            <v>8</v>
          </cell>
        </row>
        <row r="2425">
          <cell r="B2425">
            <v>40774</v>
          </cell>
          <cell r="C2425">
            <v>8</v>
          </cell>
        </row>
        <row r="2426">
          <cell r="B2426">
            <v>40775</v>
          </cell>
          <cell r="C2426">
            <v>8</v>
          </cell>
        </row>
        <row r="2427">
          <cell r="B2427">
            <v>40776</v>
          </cell>
          <cell r="C2427">
            <v>8</v>
          </cell>
        </row>
        <row r="2428">
          <cell r="B2428">
            <v>40777</v>
          </cell>
          <cell r="C2428">
            <v>8</v>
          </cell>
        </row>
        <row r="2429">
          <cell r="B2429">
            <v>40778</v>
          </cell>
          <cell r="C2429">
            <v>8</v>
          </cell>
        </row>
        <row r="2430">
          <cell r="B2430">
            <v>40779</v>
          </cell>
          <cell r="C2430">
            <v>8</v>
          </cell>
        </row>
        <row r="2431">
          <cell r="B2431">
            <v>40780</v>
          </cell>
          <cell r="C2431">
            <v>8</v>
          </cell>
        </row>
        <row r="2432">
          <cell r="B2432">
            <v>40781</v>
          </cell>
          <cell r="C2432">
            <v>8</v>
          </cell>
        </row>
        <row r="2433">
          <cell r="B2433">
            <v>40782</v>
          </cell>
          <cell r="C2433">
            <v>8</v>
          </cell>
        </row>
        <row r="2434">
          <cell r="B2434">
            <v>40783</v>
          </cell>
          <cell r="C2434">
            <v>8</v>
          </cell>
        </row>
        <row r="2435">
          <cell r="B2435">
            <v>40784</v>
          </cell>
          <cell r="C2435">
            <v>8</v>
          </cell>
        </row>
        <row r="2436">
          <cell r="B2436">
            <v>40785</v>
          </cell>
          <cell r="C2436">
            <v>8</v>
          </cell>
        </row>
        <row r="2437">
          <cell r="B2437">
            <v>40786</v>
          </cell>
          <cell r="C2437">
            <v>8</v>
          </cell>
        </row>
        <row r="2438">
          <cell r="B2438">
            <v>40787</v>
          </cell>
          <cell r="C2438">
            <v>9</v>
          </cell>
        </row>
        <row r="2439">
          <cell r="B2439">
            <v>40788</v>
          </cell>
          <cell r="C2439">
            <v>9</v>
          </cell>
        </row>
        <row r="2440">
          <cell r="B2440">
            <v>40789</v>
          </cell>
          <cell r="C2440">
            <v>9</v>
          </cell>
        </row>
        <row r="2441">
          <cell r="B2441">
            <v>40790</v>
          </cell>
          <cell r="C2441">
            <v>9</v>
          </cell>
        </row>
        <row r="2442">
          <cell r="B2442">
            <v>40791</v>
          </cell>
          <cell r="C2442">
            <v>9</v>
          </cell>
        </row>
        <row r="2443">
          <cell r="B2443">
            <v>40792</v>
          </cell>
          <cell r="C2443">
            <v>9</v>
          </cell>
        </row>
        <row r="2444">
          <cell r="B2444">
            <v>40793</v>
          </cell>
          <cell r="C2444">
            <v>9</v>
          </cell>
        </row>
        <row r="2445">
          <cell r="B2445">
            <v>40794</v>
          </cell>
          <cell r="C2445">
            <v>9</v>
          </cell>
        </row>
        <row r="2446">
          <cell r="B2446">
            <v>40795</v>
          </cell>
          <cell r="C2446">
            <v>9</v>
          </cell>
        </row>
        <row r="2447">
          <cell r="B2447">
            <v>40796</v>
          </cell>
          <cell r="C2447">
            <v>9</v>
          </cell>
        </row>
        <row r="2448">
          <cell r="B2448">
            <v>40797</v>
          </cell>
          <cell r="C2448">
            <v>9</v>
          </cell>
        </row>
        <row r="2449">
          <cell r="B2449">
            <v>40798</v>
          </cell>
          <cell r="C2449">
            <v>9</v>
          </cell>
        </row>
        <row r="2450">
          <cell r="B2450">
            <v>40799</v>
          </cell>
          <cell r="C2450">
            <v>9</v>
          </cell>
        </row>
        <row r="2451">
          <cell r="B2451">
            <v>40800</v>
          </cell>
          <cell r="C2451">
            <v>9</v>
          </cell>
        </row>
        <row r="2452">
          <cell r="B2452">
            <v>40801</v>
          </cell>
          <cell r="C2452">
            <v>9</v>
          </cell>
        </row>
        <row r="2453">
          <cell r="B2453">
            <v>40802</v>
          </cell>
          <cell r="C2453">
            <v>9</v>
          </cell>
        </row>
        <row r="2454">
          <cell r="B2454">
            <v>40803</v>
          </cell>
          <cell r="C2454">
            <v>9</v>
          </cell>
        </row>
        <row r="2455">
          <cell r="B2455">
            <v>40804</v>
          </cell>
          <cell r="C2455">
            <v>9</v>
          </cell>
        </row>
        <row r="2456">
          <cell r="B2456">
            <v>40805</v>
          </cell>
          <cell r="C2456">
            <v>9</v>
          </cell>
        </row>
        <row r="2457">
          <cell r="B2457">
            <v>40806</v>
          </cell>
          <cell r="C2457">
            <v>9</v>
          </cell>
        </row>
        <row r="2458">
          <cell r="B2458">
            <v>40807</v>
          </cell>
          <cell r="C2458">
            <v>9</v>
          </cell>
        </row>
        <row r="2459">
          <cell r="B2459">
            <v>40808</v>
          </cell>
          <cell r="C2459">
            <v>9</v>
          </cell>
        </row>
        <row r="2460">
          <cell r="B2460">
            <v>40809</v>
          </cell>
          <cell r="C2460">
            <v>9</v>
          </cell>
        </row>
        <row r="2461">
          <cell r="B2461">
            <v>40810</v>
          </cell>
          <cell r="C2461">
            <v>9</v>
          </cell>
        </row>
        <row r="2462">
          <cell r="B2462">
            <v>40811</v>
          </cell>
          <cell r="C2462">
            <v>9</v>
          </cell>
        </row>
        <row r="2463">
          <cell r="B2463">
            <v>40812</v>
          </cell>
          <cell r="C2463">
            <v>9</v>
          </cell>
        </row>
        <row r="2464">
          <cell r="B2464">
            <v>40813</v>
          </cell>
          <cell r="C2464">
            <v>9</v>
          </cell>
        </row>
        <row r="2465">
          <cell r="B2465">
            <v>40814</v>
          </cell>
          <cell r="C2465">
            <v>9</v>
          </cell>
        </row>
        <row r="2466">
          <cell r="B2466">
            <v>40815</v>
          </cell>
          <cell r="C2466">
            <v>9</v>
          </cell>
        </row>
        <row r="2467">
          <cell r="B2467">
            <v>40816</v>
          </cell>
          <cell r="C2467">
            <v>9</v>
          </cell>
        </row>
        <row r="2468">
          <cell r="B2468">
            <v>40817</v>
          </cell>
          <cell r="C2468">
            <v>10</v>
          </cell>
        </row>
        <row r="2469">
          <cell r="B2469">
            <v>40818</v>
          </cell>
          <cell r="C2469">
            <v>10</v>
          </cell>
        </row>
        <row r="2470">
          <cell r="B2470">
            <v>40819</v>
          </cell>
          <cell r="C2470">
            <v>10</v>
          </cell>
        </row>
        <row r="2471">
          <cell r="B2471">
            <v>40820</v>
          </cell>
          <cell r="C2471">
            <v>10</v>
          </cell>
        </row>
        <row r="2472">
          <cell r="B2472">
            <v>40821</v>
          </cell>
          <cell r="C2472">
            <v>10</v>
          </cell>
        </row>
        <row r="2473">
          <cell r="B2473">
            <v>40822</v>
          </cell>
          <cell r="C2473">
            <v>10</v>
          </cell>
        </row>
        <row r="2474">
          <cell r="B2474">
            <v>40823</v>
          </cell>
          <cell r="C2474">
            <v>10</v>
          </cell>
        </row>
        <row r="2475">
          <cell r="B2475">
            <v>40824</v>
          </cell>
          <cell r="C2475">
            <v>10</v>
          </cell>
        </row>
        <row r="2476">
          <cell r="B2476">
            <v>40825</v>
          </cell>
          <cell r="C2476">
            <v>10</v>
          </cell>
        </row>
        <row r="2477">
          <cell r="B2477">
            <v>40826</v>
          </cell>
          <cell r="C2477">
            <v>10</v>
          </cell>
        </row>
        <row r="2478">
          <cell r="B2478">
            <v>40827</v>
          </cell>
          <cell r="C2478">
            <v>10</v>
          </cell>
        </row>
        <row r="2479">
          <cell r="B2479">
            <v>40828</v>
          </cell>
          <cell r="C2479">
            <v>10</v>
          </cell>
        </row>
        <row r="2480">
          <cell r="B2480">
            <v>40829</v>
          </cell>
          <cell r="C2480">
            <v>10</v>
          </cell>
        </row>
        <row r="2481">
          <cell r="B2481">
            <v>40830</v>
          </cell>
          <cell r="C2481">
            <v>10</v>
          </cell>
        </row>
        <row r="2482">
          <cell r="B2482">
            <v>40831</v>
          </cell>
          <cell r="C2482">
            <v>10</v>
          </cell>
        </row>
        <row r="2483">
          <cell r="B2483">
            <v>40832</v>
          </cell>
          <cell r="C2483">
            <v>10</v>
          </cell>
        </row>
        <row r="2484">
          <cell r="B2484">
            <v>40833</v>
          </cell>
          <cell r="C2484">
            <v>10</v>
          </cell>
        </row>
        <row r="2485">
          <cell r="B2485">
            <v>40834</v>
          </cell>
          <cell r="C2485">
            <v>10</v>
          </cell>
        </row>
        <row r="2486">
          <cell r="B2486">
            <v>40835</v>
          </cell>
          <cell r="C2486">
            <v>10</v>
          </cell>
        </row>
        <row r="2487">
          <cell r="B2487">
            <v>40836</v>
          </cell>
          <cell r="C2487">
            <v>10</v>
          </cell>
        </row>
        <row r="2488">
          <cell r="B2488">
            <v>40837</v>
          </cell>
          <cell r="C2488">
            <v>10</v>
          </cell>
        </row>
        <row r="2489">
          <cell r="B2489">
            <v>40838</v>
          </cell>
          <cell r="C2489">
            <v>10</v>
          </cell>
        </row>
        <row r="2490">
          <cell r="B2490">
            <v>40839</v>
          </cell>
          <cell r="C2490">
            <v>10</v>
          </cell>
        </row>
        <row r="2491">
          <cell r="B2491">
            <v>40840</v>
          </cell>
          <cell r="C2491">
            <v>10</v>
          </cell>
        </row>
        <row r="2492">
          <cell r="B2492">
            <v>40841</v>
          </cell>
          <cell r="C2492">
            <v>10</v>
          </cell>
        </row>
        <row r="2493">
          <cell r="B2493">
            <v>40842</v>
          </cell>
          <cell r="C2493">
            <v>10</v>
          </cell>
        </row>
        <row r="2494">
          <cell r="B2494">
            <v>40843</v>
          </cell>
          <cell r="C2494">
            <v>10</v>
          </cell>
        </row>
        <row r="2495">
          <cell r="B2495">
            <v>40844</v>
          </cell>
          <cell r="C2495">
            <v>10</v>
          </cell>
        </row>
        <row r="2496">
          <cell r="B2496">
            <v>40845</v>
          </cell>
          <cell r="C2496">
            <v>10</v>
          </cell>
        </row>
        <row r="2497">
          <cell r="B2497">
            <v>40846</v>
          </cell>
          <cell r="C2497">
            <v>10</v>
          </cell>
        </row>
        <row r="2498">
          <cell r="B2498">
            <v>40847</v>
          </cell>
          <cell r="C2498">
            <v>10</v>
          </cell>
        </row>
        <row r="2499">
          <cell r="B2499">
            <v>40848</v>
          </cell>
          <cell r="C2499">
            <v>11</v>
          </cell>
        </row>
        <row r="2500">
          <cell r="B2500">
            <v>40849</v>
          </cell>
          <cell r="C2500">
            <v>11</v>
          </cell>
        </row>
        <row r="2501">
          <cell r="B2501">
            <v>40850</v>
          </cell>
          <cell r="C2501">
            <v>11</v>
          </cell>
        </row>
        <row r="2502">
          <cell r="B2502">
            <v>40851</v>
          </cell>
          <cell r="C2502">
            <v>11</v>
          </cell>
        </row>
        <row r="2503">
          <cell r="B2503">
            <v>40852</v>
          </cell>
          <cell r="C2503">
            <v>11</v>
          </cell>
        </row>
        <row r="2504">
          <cell r="B2504">
            <v>40853</v>
          </cell>
          <cell r="C2504">
            <v>11</v>
          </cell>
        </row>
        <row r="2505">
          <cell r="B2505">
            <v>40854</v>
          </cell>
          <cell r="C2505">
            <v>11</v>
          </cell>
        </row>
        <row r="2506">
          <cell r="B2506">
            <v>40855</v>
          </cell>
          <cell r="C2506">
            <v>11</v>
          </cell>
        </row>
        <row r="2507">
          <cell r="B2507">
            <v>40856</v>
          </cell>
          <cell r="C2507">
            <v>11</v>
          </cell>
        </row>
        <row r="2508">
          <cell r="B2508">
            <v>40857</v>
          </cell>
          <cell r="C2508">
            <v>11</v>
          </cell>
        </row>
        <row r="2509">
          <cell r="B2509">
            <v>40858</v>
          </cell>
          <cell r="C2509">
            <v>11</v>
          </cell>
        </row>
        <row r="2510">
          <cell r="B2510">
            <v>40859</v>
          </cell>
          <cell r="C2510">
            <v>11</v>
          </cell>
        </row>
        <row r="2511">
          <cell r="B2511">
            <v>40860</v>
          </cell>
          <cell r="C2511">
            <v>11</v>
          </cell>
        </row>
        <row r="2512">
          <cell r="B2512">
            <v>40861</v>
          </cell>
          <cell r="C2512">
            <v>11</v>
          </cell>
        </row>
        <row r="2513">
          <cell r="B2513">
            <v>40862</v>
          </cell>
          <cell r="C2513">
            <v>11</v>
          </cell>
        </row>
        <row r="2514">
          <cell r="B2514">
            <v>40863</v>
          </cell>
          <cell r="C2514">
            <v>11</v>
          </cell>
        </row>
        <row r="2515">
          <cell r="B2515">
            <v>40864</v>
          </cell>
          <cell r="C2515">
            <v>11</v>
          </cell>
        </row>
        <row r="2516">
          <cell r="B2516">
            <v>40865</v>
          </cell>
          <cell r="C2516">
            <v>11</v>
          </cell>
        </row>
        <row r="2517">
          <cell r="B2517">
            <v>40866</v>
          </cell>
          <cell r="C2517">
            <v>11</v>
          </cell>
        </row>
        <row r="2518">
          <cell r="B2518">
            <v>40867</v>
          </cell>
          <cell r="C2518">
            <v>11</v>
          </cell>
        </row>
        <row r="2519">
          <cell r="B2519">
            <v>40868</v>
          </cell>
          <cell r="C2519">
            <v>11</v>
          </cell>
        </row>
        <row r="2520">
          <cell r="B2520">
            <v>40869</v>
          </cell>
          <cell r="C2520">
            <v>11</v>
          </cell>
        </row>
        <row r="2521">
          <cell r="B2521">
            <v>40870</v>
          </cell>
          <cell r="C2521">
            <v>11</v>
          </cell>
        </row>
        <row r="2522">
          <cell r="B2522">
            <v>40871</v>
          </cell>
          <cell r="C2522">
            <v>11</v>
          </cell>
        </row>
        <row r="2523">
          <cell r="B2523">
            <v>40872</v>
          </cell>
          <cell r="C2523">
            <v>11</v>
          </cell>
        </row>
        <row r="2524">
          <cell r="B2524">
            <v>40873</v>
          </cell>
          <cell r="C2524">
            <v>11</v>
          </cell>
        </row>
        <row r="2525">
          <cell r="B2525">
            <v>40874</v>
          </cell>
          <cell r="C2525">
            <v>11</v>
          </cell>
        </row>
        <row r="2526">
          <cell r="B2526">
            <v>40875</v>
          </cell>
          <cell r="C2526">
            <v>11</v>
          </cell>
        </row>
        <row r="2527">
          <cell r="B2527">
            <v>40876</v>
          </cell>
          <cell r="C2527">
            <v>11</v>
          </cell>
        </row>
        <row r="2528">
          <cell r="B2528">
            <v>40877</v>
          </cell>
          <cell r="C2528">
            <v>11</v>
          </cell>
        </row>
        <row r="2529">
          <cell r="B2529">
            <v>40878</v>
          </cell>
          <cell r="C2529">
            <v>12</v>
          </cell>
        </row>
        <row r="2530">
          <cell r="B2530">
            <v>40879</v>
          </cell>
          <cell r="C2530">
            <v>12</v>
          </cell>
        </row>
        <row r="2531">
          <cell r="B2531">
            <v>40880</v>
          </cell>
          <cell r="C2531">
            <v>12</v>
          </cell>
        </row>
        <row r="2532">
          <cell r="B2532">
            <v>40881</v>
          </cell>
          <cell r="C2532">
            <v>12</v>
          </cell>
        </row>
        <row r="2533">
          <cell r="B2533">
            <v>40882</v>
          </cell>
          <cell r="C2533">
            <v>12</v>
          </cell>
        </row>
        <row r="2534">
          <cell r="B2534">
            <v>40883</v>
          </cell>
          <cell r="C2534">
            <v>12</v>
          </cell>
        </row>
        <row r="2535">
          <cell r="B2535">
            <v>40884</v>
          </cell>
          <cell r="C2535">
            <v>12</v>
          </cell>
        </row>
        <row r="2536">
          <cell r="B2536">
            <v>40885</v>
          </cell>
          <cell r="C2536">
            <v>12</v>
          </cell>
        </row>
        <row r="2537">
          <cell r="B2537">
            <v>40886</v>
          </cell>
          <cell r="C2537">
            <v>12</v>
          </cell>
        </row>
        <row r="2538">
          <cell r="B2538">
            <v>40887</v>
          </cell>
          <cell r="C2538">
            <v>12</v>
          </cell>
        </row>
        <row r="2539">
          <cell r="B2539">
            <v>40888</v>
          </cell>
          <cell r="C2539">
            <v>12</v>
          </cell>
        </row>
        <row r="2540">
          <cell r="B2540">
            <v>40889</v>
          </cell>
          <cell r="C2540">
            <v>12</v>
          </cell>
        </row>
        <row r="2541">
          <cell r="B2541">
            <v>40890</v>
          </cell>
          <cell r="C2541">
            <v>12</v>
          </cell>
        </row>
        <row r="2542">
          <cell r="B2542">
            <v>40891</v>
          </cell>
          <cell r="C2542">
            <v>12</v>
          </cell>
        </row>
        <row r="2543">
          <cell r="B2543">
            <v>40892</v>
          </cell>
          <cell r="C2543">
            <v>12</v>
          </cell>
        </row>
        <row r="2544">
          <cell r="B2544">
            <v>40893</v>
          </cell>
          <cell r="C2544">
            <v>12</v>
          </cell>
        </row>
        <row r="2545">
          <cell r="B2545">
            <v>40894</v>
          </cell>
          <cell r="C2545">
            <v>12</v>
          </cell>
        </row>
        <row r="2546">
          <cell r="B2546">
            <v>40895</v>
          </cell>
          <cell r="C2546">
            <v>12</v>
          </cell>
        </row>
        <row r="2547">
          <cell r="B2547">
            <v>40896</v>
          </cell>
          <cell r="C2547">
            <v>12</v>
          </cell>
        </row>
        <row r="2548">
          <cell r="B2548">
            <v>40897</v>
          </cell>
          <cell r="C2548">
            <v>12</v>
          </cell>
        </row>
        <row r="2549">
          <cell r="B2549">
            <v>40898</v>
          </cell>
          <cell r="C2549">
            <v>12</v>
          </cell>
        </row>
        <row r="2550">
          <cell r="B2550">
            <v>40899</v>
          </cell>
          <cell r="C2550">
            <v>12</v>
          </cell>
        </row>
        <row r="2551">
          <cell r="B2551">
            <v>40900</v>
          </cell>
          <cell r="C2551">
            <v>12</v>
          </cell>
        </row>
        <row r="2552">
          <cell r="B2552">
            <v>40901</v>
          </cell>
          <cell r="C2552">
            <v>12</v>
          </cell>
        </row>
        <row r="2553">
          <cell r="B2553">
            <v>40902</v>
          </cell>
          <cell r="C2553">
            <v>12</v>
          </cell>
        </row>
        <row r="2554">
          <cell r="B2554">
            <v>40903</v>
          </cell>
          <cell r="C2554">
            <v>12</v>
          </cell>
        </row>
        <row r="2555">
          <cell r="B2555">
            <v>40904</v>
          </cell>
          <cell r="C2555">
            <v>12</v>
          </cell>
        </row>
        <row r="2556">
          <cell r="B2556">
            <v>40905</v>
          </cell>
          <cell r="C2556">
            <v>12</v>
          </cell>
        </row>
        <row r="2557">
          <cell r="B2557">
            <v>40906</v>
          </cell>
          <cell r="C2557">
            <v>12</v>
          </cell>
        </row>
        <row r="2558">
          <cell r="B2558">
            <v>40907</v>
          </cell>
          <cell r="C2558">
            <v>12</v>
          </cell>
        </row>
        <row r="2559">
          <cell r="B2559">
            <v>40908</v>
          </cell>
          <cell r="C2559">
            <v>12</v>
          </cell>
        </row>
        <row r="2560">
          <cell r="B2560">
            <v>40909</v>
          </cell>
          <cell r="C2560">
            <v>1</v>
          </cell>
        </row>
        <row r="2561">
          <cell r="B2561">
            <v>40910</v>
          </cell>
          <cell r="C2561">
            <v>1</v>
          </cell>
        </row>
        <row r="2562">
          <cell r="B2562">
            <v>40911</v>
          </cell>
          <cell r="C2562">
            <v>1</v>
          </cell>
        </row>
        <row r="2563">
          <cell r="B2563">
            <v>40912</v>
          </cell>
          <cell r="C2563">
            <v>1</v>
          </cell>
        </row>
        <row r="2564">
          <cell r="B2564">
            <v>40913</v>
          </cell>
          <cell r="C2564">
            <v>1</v>
          </cell>
        </row>
        <row r="2565">
          <cell r="B2565">
            <v>40914</v>
          </cell>
          <cell r="C2565">
            <v>1</v>
          </cell>
        </row>
        <row r="2566">
          <cell r="B2566">
            <v>40915</v>
          </cell>
          <cell r="C2566">
            <v>1</v>
          </cell>
        </row>
        <row r="2567">
          <cell r="B2567">
            <v>40916</v>
          </cell>
          <cell r="C2567">
            <v>1</v>
          </cell>
        </row>
        <row r="2568">
          <cell r="B2568">
            <v>40917</v>
          </cell>
          <cell r="C2568">
            <v>1</v>
          </cell>
        </row>
        <row r="2569">
          <cell r="B2569">
            <v>40918</v>
          </cell>
          <cell r="C2569">
            <v>1</v>
          </cell>
        </row>
        <row r="2570">
          <cell r="B2570">
            <v>40919</v>
          </cell>
          <cell r="C2570">
            <v>1</v>
          </cell>
        </row>
        <row r="2571">
          <cell r="B2571">
            <v>40920</v>
          </cell>
          <cell r="C2571">
            <v>1</v>
          </cell>
        </row>
        <row r="2572">
          <cell r="B2572">
            <v>40921</v>
          </cell>
          <cell r="C2572">
            <v>1</v>
          </cell>
        </row>
        <row r="2573">
          <cell r="B2573">
            <v>40922</v>
          </cell>
          <cell r="C2573">
            <v>1</v>
          </cell>
        </row>
        <row r="2574">
          <cell r="B2574">
            <v>40923</v>
          </cell>
          <cell r="C2574">
            <v>1</v>
          </cell>
        </row>
        <row r="2575">
          <cell r="B2575">
            <v>40924</v>
          </cell>
          <cell r="C2575">
            <v>1</v>
          </cell>
        </row>
        <row r="2576">
          <cell r="B2576">
            <v>40925</v>
          </cell>
          <cell r="C2576">
            <v>1</v>
          </cell>
        </row>
        <row r="2577">
          <cell r="B2577">
            <v>40926</v>
          </cell>
          <cell r="C2577">
            <v>1</v>
          </cell>
        </row>
        <row r="2578">
          <cell r="B2578">
            <v>40927</v>
          </cell>
          <cell r="C2578">
            <v>1</v>
          </cell>
        </row>
        <row r="2579">
          <cell r="B2579">
            <v>40928</v>
          </cell>
          <cell r="C2579">
            <v>1</v>
          </cell>
        </row>
        <row r="2580">
          <cell r="B2580">
            <v>40929</v>
          </cell>
          <cell r="C2580">
            <v>1</v>
          </cell>
        </row>
        <row r="2581">
          <cell r="B2581">
            <v>40930</v>
          </cell>
          <cell r="C2581">
            <v>1</v>
          </cell>
        </row>
        <row r="2582">
          <cell r="B2582">
            <v>40931</v>
          </cell>
          <cell r="C2582">
            <v>1</v>
          </cell>
        </row>
        <row r="2583">
          <cell r="B2583">
            <v>40932</v>
          </cell>
          <cell r="C2583">
            <v>1</v>
          </cell>
        </row>
        <row r="2584">
          <cell r="B2584">
            <v>40933</v>
          </cell>
          <cell r="C2584">
            <v>1</v>
          </cell>
        </row>
        <row r="2585">
          <cell r="B2585">
            <v>40934</v>
          </cell>
          <cell r="C2585">
            <v>1</v>
          </cell>
        </row>
        <row r="2586">
          <cell r="B2586">
            <v>40935</v>
          </cell>
          <cell r="C2586">
            <v>1</v>
          </cell>
        </row>
        <row r="2587">
          <cell r="B2587">
            <v>40936</v>
          </cell>
          <cell r="C2587">
            <v>1</v>
          </cell>
        </row>
        <row r="2588">
          <cell r="B2588">
            <v>40937</v>
          </cell>
          <cell r="C2588">
            <v>1</v>
          </cell>
        </row>
        <row r="2589">
          <cell r="B2589">
            <v>40938</v>
          </cell>
          <cell r="C2589">
            <v>1</v>
          </cell>
        </row>
        <row r="2590">
          <cell r="B2590">
            <v>40939</v>
          </cell>
          <cell r="C2590">
            <v>1</v>
          </cell>
        </row>
        <row r="2591">
          <cell r="B2591">
            <v>40940</v>
          </cell>
          <cell r="C2591">
            <v>2</v>
          </cell>
        </row>
        <row r="2592">
          <cell r="B2592">
            <v>40941</v>
          </cell>
          <cell r="C2592">
            <v>2</v>
          </cell>
        </row>
        <row r="2593">
          <cell r="B2593">
            <v>40942</v>
          </cell>
          <cell r="C2593">
            <v>2</v>
          </cell>
        </row>
        <row r="2594">
          <cell r="B2594">
            <v>40943</v>
          </cell>
          <cell r="C2594">
            <v>2</v>
          </cell>
        </row>
        <row r="2595">
          <cell r="B2595">
            <v>40944</v>
          </cell>
          <cell r="C2595">
            <v>2</v>
          </cell>
        </row>
        <row r="2596">
          <cell r="B2596">
            <v>40945</v>
          </cell>
          <cell r="C2596">
            <v>2</v>
          </cell>
        </row>
        <row r="2597">
          <cell r="B2597">
            <v>40946</v>
          </cell>
          <cell r="C2597">
            <v>2</v>
          </cell>
        </row>
        <row r="2598">
          <cell r="B2598">
            <v>40947</v>
          </cell>
          <cell r="C2598">
            <v>2</v>
          </cell>
        </row>
        <row r="2599">
          <cell r="B2599">
            <v>40948</v>
          </cell>
          <cell r="C2599">
            <v>2</v>
          </cell>
        </row>
        <row r="2600">
          <cell r="B2600">
            <v>40949</v>
          </cell>
          <cell r="C2600">
            <v>2</v>
          </cell>
        </row>
        <row r="2601">
          <cell r="B2601">
            <v>40950</v>
          </cell>
          <cell r="C2601">
            <v>2</v>
          </cell>
        </row>
        <row r="2602">
          <cell r="B2602">
            <v>40951</v>
          </cell>
          <cell r="C2602">
            <v>2</v>
          </cell>
        </row>
        <row r="2603">
          <cell r="B2603">
            <v>40952</v>
          </cell>
          <cell r="C2603">
            <v>2</v>
          </cell>
        </row>
        <row r="2604">
          <cell r="B2604">
            <v>40953</v>
          </cell>
          <cell r="C2604">
            <v>2</v>
          </cell>
        </row>
        <row r="2605">
          <cell r="B2605">
            <v>40954</v>
          </cell>
          <cell r="C2605">
            <v>2</v>
          </cell>
        </row>
        <row r="2606">
          <cell r="B2606">
            <v>40955</v>
          </cell>
          <cell r="C2606">
            <v>2</v>
          </cell>
        </row>
        <row r="2607">
          <cell r="B2607">
            <v>40956</v>
          </cell>
          <cell r="C2607">
            <v>2</v>
          </cell>
        </row>
        <row r="2608">
          <cell r="B2608">
            <v>40957</v>
          </cell>
          <cell r="C2608">
            <v>2</v>
          </cell>
        </row>
        <row r="2609">
          <cell r="B2609">
            <v>40958</v>
          </cell>
          <cell r="C2609">
            <v>2</v>
          </cell>
        </row>
        <row r="2610">
          <cell r="B2610">
            <v>40959</v>
          </cell>
          <cell r="C2610">
            <v>2</v>
          </cell>
        </row>
        <row r="2611">
          <cell r="B2611">
            <v>40960</v>
          </cell>
          <cell r="C2611">
            <v>2</v>
          </cell>
        </row>
        <row r="2612">
          <cell r="B2612">
            <v>40961</v>
          </cell>
          <cell r="C2612">
            <v>2</v>
          </cell>
        </row>
        <row r="2613">
          <cell r="B2613">
            <v>40962</v>
          </cell>
          <cell r="C2613">
            <v>2</v>
          </cell>
        </row>
        <row r="2614">
          <cell r="B2614">
            <v>40963</v>
          </cell>
          <cell r="C2614">
            <v>2</v>
          </cell>
        </row>
        <row r="2615">
          <cell r="B2615">
            <v>40964</v>
          </cell>
          <cell r="C2615">
            <v>2</v>
          </cell>
        </row>
        <row r="2616">
          <cell r="B2616">
            <v>40965</v>
          </cell>
          <cell r="C2616">
            <v>2</v>
          </cell>
        </row>
        <row r="2617">
          <cell r="B2617">
            <v>40966</v>
          </cell>
          <cell r="C2617">
            <v>2</v>
          </cell>
        </row>
        <row r="2618">
          <cell r="B2618">
            <v>40967</v>
          </cell>
          <cell r="C2618">
            <v>2</v>
          </cell>
        </row>
        <row r="2619">
          <cell r="B2619">
            <v>40968</v>
          </cell>
          <cell r="C2619">
            <v>2</v>
          </cell>
        </row>
        <row r="2620">
          <cell r="B2620">
            <v>40969</v>
          </cell>
          <cell r="C2620">
            <v>3</v>
          </cell>
        </row>
        <row r="2621">
          <cell r="B2621">
            <v>40970</v>
          </cell>
          <cell r="C2621">
            <v>3</v>
          </cell>
        </row>
        <row r="2622">
          <cell r="B2622">
            <v>40971</v>
          </cell>
          <cell r="C2622">
            <v>3</v>
          </cell>
        </row>
        <row r="2623">
          <cell r="B2623">
            <v>40972</v>
          </cell>
          <cell r="C2623">
            <v>3</v>
          </cell>
        </row>
        <row r="2624">
          <cell r="B2624">
            <v>40973</v>
          </cell>
          <cell r="C2624">
            <v>3</v>
          </cell>
        </row>
        <row r="2625">
          <cell r="B2625">
            <v>40974</v>
          </cell>
          <cell r="C2625">
            <v>3</v>
          </cell>
        </row>
        <row r="2626">
          <cell r="B2626">
            <v>40975</v>
          </cell>
          <cell r="C2626">
            <v>3</v>
          </cell>
        </row>
        <row r="2627">
          <cell r="B2627">
            <v>40976</v>
          </cell>
          <cell r="C2627">
            <v>3</v>
          </cell>
        </row>
        <row r="2628">
          <cell r="B2628">
            <v>40977</v>
          </cell>
          <cell r="C2628">
            <v>3</v>
          </cell>
        </row>
        <row r="2629">
          <cell r="B2629">
            <v>40978</v>
          </cell>
          <cell r="C2629">
            <v>3</v>
          </cell>
        </row>
        <row r="2630">
          <cell r="B2630">
            <v>40979</v>
          </cell>
          <cell r="C2630">
            <v>3</v>
          </cell>
        </row>
        <row r="2631">
          <cell r="B2631">
            <v>40980</v>
          </cell>
          <cell r="C2631">
            <v>3</v>
          </cell>
        </row>
        <row r="2632">
          <cell r="B2632">
            <v>40981</v>
          </cell>
          <cell r="C2632">
            <v>3</v>
          </cell>
        </row>
        <row r="2633">
          <cell r="B2633">
            <v>40982</v>
          </cell>
          <cell r="C2633">
            <v>3</v>
          </cell>
        </row>
        <row r="2634">
          <cell r="B2634">
            <v>40983</v>
          </cell>
          <cell r="C2634">
            <v>3</v>
          </cell>
        </row>
        <row r="2635">
          <cell r="B2635">
            <v>40984</v>
          </cell>
          <cell r="C2635">
            <v>3</v>
          </cell>
        </row>
        <row r="2636">
          <cell r="B2636">
            <v>40985</v>
          </cell>
          <cell r="C2636">
            <v>3</v>
          </cell>
        </row>
        <row r="2637">
          <cell r="B2637">
            <v>40986</v>
          </cell>
          <cell r="C2637">
            <v>3</v>
          </cell>
        </row>
        <row r="2638">
          <cell r="B2638">
            <v>40987</v>
          </cell>
          <cell r="C2638">
            <v>3</v>
          </cell>
        </row>
        <row r="2639">
          <cell r="B2639">
            <v>40988</v>
          </cell>
          <cell r="C2639">
            <v>3</v>
          </cell>
        </row>
        <row r="2640">
          <cell r="B2640">
            <v>40989</v>
          </cell>
          <cell r="C2640">
            <v>3</v>
          </cell>
        </row>
        <row r="2641">
          <cell r="B2641">
            <v>40990</v>
          </cell>
          <cell r="C2641">
            <v>3</v>
          </cell>
        </row>
        <row r="2642">
          <cell r="B2642">
            <v>40991</v>
          </cell>
          <cell r="C2642">
            <v>3</v>
          </cell>
        </row>
        <row r="2643">
          <cell r="B2643">
            <v>40992</v>
          </cell>
          <cell r="C2643">
            <v>3</v>
          </cell>
        </row>
        <row r="2644">
          <cell r="B2644">
            <v>40993</v>
          </cell>
          <cell r="C2644">
            <v>3</v>
          </cell>
        </row>
        <row r="2645">
          <cell r="B2645">
            <v>40994</v>
          </cell>
          <cell r="C2645">
            <v>3</v>
          </cell>
        </row>
        <row r="2646">
          <cell r="B2646">
            <v>40995</v>
          </cell>
          <cell r="C2646">
            <v>3</v>
          </cell>
        </row>
        <row r="2647">
          <cell r="B2647">
            <v>40996</v>
          </cell>
          <cell r="C2647">
            <v>3</v>
          </cell>
        </row>
        <row r="2648">
          <cell r="B2648">
            <v>40997</v>
          </cell>
          <cell r="C2648">
            <v>3</v>
          </cell>
        </row>
        <row r="2649">
          <cell r="B2649">
            <v>40998</v>
          </cell>
          <cell r="C2649">
            <v>3</v>
          </cell>
        </row>
        <row r="2650">
          <cell r="B2650">
            <v>40999</v>
          </cell>
          <cell r="C2650">
            <v>3</v>
          </cell>
        </row>
        <row r="2651">
          <cell r="B2651">
            <v>41000</v>
          </cell>
          <cell r="C2651">
            <v>4</v>
          </cell>
        </row>
        <row r="2652">
          <cell r="B2652">
            <v>41001</v>
          </cell>
          <cell r="C2652">
            <v>4</v>
          </cell>
        </row>
        <row r="2653">
          <cell r="B2653">
            <v>41002</v>
          </cell>
          <cell r="C2653">
            <v>4</v>
          </cell>
        </row>
        <row r="2654">
          <cell r="B2654">
            <v>41003</v>
          </cell>
          <cell r="C2654">
            <v>4</v>
          </cell>
        </row>
        <row r="2655">
          <cell r="B2655">
            <v>41004</v>
          </cell>
          <cell r="C2655">
            <v>4</v>
          </cell>
        </row>
        <row r="2656">
          <cell r="B2656">
            <v>41005</v>
          </cell>
          <cell r="C2656">
            <v>4</v>
          </cell>
        </row>
        <row r="2657">
          <cell r="B2657">
            <v>41006</v>
          </cell>
          <cell r="C2657">
            <v>4</v>
          </cell>
        </row>
        <row r="2658">
          <cell r="B2658">
            <v>41007</v>
          </cell>
          <cell r="C2658">
            <v>4</v>
          </cell>
        </row>
        <row r="2659">
          <cell r="B2659">
            <v>41008</v>
          </cell>
          <cell r="C2659">
            <v>4</v>
          </cell>
        </row>
        <row r="2660">
          <cell r="B2660">
            <v>41009</v>
          </cell>
          <cell r="C2660">
            <v>4</v>
          </cell>
        </row>
        <row r="2661">
          <cell r="B2661">
            <v>41010</v>
          </cell>
          <cell r="C2661">
            <v>4</v>
          </cell>
        </row>
        <row r="2662">
          <cell r="B2662">
            <v>41011</v>
          </cell>
          <cell r="C2662">
            <v>4</v>
          </cell>
        </row>
        <row r="2663">
          <cell r="B2663">
            <v>41012</v>
          </cell>
          <cell r="C2663">
            <v>4</v>
          </cell>
        </row>
        <row r="2664">
          <cell r="B2664">
            <v>41013</v>
          </cell>
          <cell r="C2664">
            <v>4</v>
          </cell>
        </row>
        <row r="2665">
          <cell r="B2665">
            <v>41014</v>
          </cell>
          <cell r="C2665">
            <v>4</v>
          </cell>
        </row>
        <row r="2666">
          <cell r="B2666">
            <v>41015</v>
          </cell>
          <cell r="C2666">
            <v>4</v>
          </cell>
        </row>
        <row r="2667">
          <cell r="B2667">
            <v>41016</v>
          </cell>
          <cell r="C2667">
            <v>4</v>
          </cell>
        </row>
        <row r="2668">
          <cell r="B2668">
            <v>41017</v>
          </cell>
          <cell r="C2668">
            <v>4</v>
          </cell>
        </row>
        <row r="2669">
          <cell r="B2669">
            <v>41018</v>
          </cell>
          <cell r="C2669">
            <v>4</v>
          </cell>
        </row>
        <row r="2670">
          <cell r="B2670">
            <v>41019</v>
          </cell>
          <cell r="C2670">
            <v>4</v>
          </cell>
        </row>
        <row r="2671">
          <cell r="B2671">
            <v>41020</v>
          </cell>
          <cell r="C2671">
            <v>4</v>
          </cell>
        </row>
        <row r="2672">
          <cell r="B2672">
            <v>41021</v>
          </cell>
          <cell r="C2672">
            <v>4</v>
          </cell>
        </row>
        <row r="2673">
          <cell r="B2673">
            <v>41022</v>
          </cell>
          <cell r="C2673">
            <v>4</v>
          </cell>
        </row>
        <row r="2674">
          <cell r="B2674">
            <v>41023</v>
          </cell>
          <cell r="C2674">
            <v>4</v>
          </cell>
        </row>
        <row r="2675">
          <cell r="B2675">
            <v>41024</v>
          </cell>
          <cell r="C2675">
            <v>4</v>
          </cell>
        </row>
        <row r="2676">
          <cell r="B2676">
            <v>41025</v>
          </cell>
          <cell r="C2676">
            <v>4</v>
          </cell>
        </row>
        <row r="2677">
          <cell r="B2677">
            <v>41026</v>
          </cell>
          <cell r="C2677">
            <v>4</v>
          </cell>
        </row>
        <row r="2678">
          <cell r="B2678">
            <v>41027</v>
          </cell>
          <cell r="C2678">
            <v>4</v>
          </cell>
        </row>
        <row r="2679">
          <cell r="B2679">
            <v>41028</v>
          </cell>
          <cell r="C2679">
            <v>4</v>
          </cell>
        </row>
        <row r="2680">
          <cell r="B2680">
            <v>41029</v>
          </cell>
          <cell r="C2680">
            <v>4</v>
          </cell>
        </row>
        <row r="2681">
          <cell r="B2681">
            <v>41030</v>
          </cell>
          <cell r="C2681">
            <v>5</v>
          </cell>
        </row>
        <row r="2682">
          <cell r="B2682">
            <v>41031</v>
          </cell>
          <cell r="C2682">
            <v>5</v>
          </cell>
        </row>
        <row r="2683">
          <cell r="B2683">
            <v>41032</v>
          </cell>
          <cell r="C2683">
            <v>5</v>
          </cell>
        </row>
        <row r="2684">
          <cell r="B2684">
            <v>41033</v>
          </cell>
          <cell r="C2684">
            <v>5</v>
          </cell>
        </row>
        <row r="2685">
          <cell r="B2685">
            <v>41034</v>
          </cell>
          <cell r="C2685">
            <v>5</v>
          </cell>
        </row>
        <row r="2686">
          <cell r="B2686">
            <v>41035</v>
          </cell>
          <cell r="C2686">
            <v>5</v>
          </cell>
        </row>
        <row r="2687">
          <cell r="B2687">
            <v>41036</v>
          </cell>
          <cell r="C2687">
            <v>5</v>
          </cell>
        </row>
        <row r="2688">
          <cell r="B2688">
            <v>41037</v>
          </cell>
          <cell r="C2688">
            <v>5</v>
          </cell>
        </row>
        <row r="2689">
          <cell r="B2689">
            <v>41038</v>
          </cell>
          <cell r="C2689">
            <v>5</v>
          </cell>
        </row>
        <row r="2690">
          <cell r="B2690">
            <v>41039</v>
          </cell>
          <cell r="C2690">
            <v>5</v>
          </cell>
        </row>
        <row r="2691">
          <cell r="B2691">
            <v>41040</v>
          </cell>
          <cell r="C2691">
            <v>5</v>
          </cell>
        </row>
        <row r="2692">
          <cell r="B2692">
            <v>41041</v>
          </cell>
          <cell r="C2692">
            <v>5</v>
          </cell>
        </row>
        <row r="2693">
          <cell r="B2693">
            <v>41042</v>
          </cell>
          <cell r="C2693">
            <v>5</v>
          </cell>
        </row>
        <row r="2694">
          <cell r="B2694">
            <v>41043</v>
          </cell>
          <cell r="C2694">
            <v>5</v>
          </cell>
        </row>
        <row r="2695">
          <cell r="B2695">
            <v>41044</v>
          </cell>
          <cell r="C2695">
            <v>5</v>
          </cell>
        </row>
        <row r="2696">
          <cell r="B2696">
            <v>41045</v>
          </cell>
          <cell r="C2696">
            <v>5</v>
          </cell>
        </row>
        <row r="2697">
          <cell r="B2697">
            <v>41046</v>
          </cell>
          <cell r="C2697">
            <v>5</v>
          </cell>
        </row>
        <row r="2698">
          <cell r="B2698">
            <v>41047</v>
          </cell>
          <cell r="C2698">
            <v>5</v>
          </cell>
        </row>
        <row r="2699">
          <cell r="B2699">
            <v>41048</v>
          </cell>
          <cell r="C2699">
            <v>5</v>
          </cell>
        </row>
        <row r="2700">
          <cell r="B2700">
            <v>41049</v>
          </cell>
          <cell r="C2700">
            <v>5</v>
          </cell>
        </row>
        <row r="2701">
          <cell r="B2701">
            <v>41050</v>
          </cell>
          <cell r="C2701">
            <v>5</v>
          </cell>
        </row>
        <row r="2702">
          <cell r="B2702">
            <v>41051</v>
          </cell>
          <cell r="C2702">
            <v>5</v>
          </cell>
        </row>
        <row r="2703">
          <cell r="B2703">
            <v>41052</v>
          </cell>
          <cell r="C2703">
            <v>5</v>
          </cell>
        </row>
        <row r="2704">
          <cell r="B2704">
            <v>41053</v>
          </cell>
          <cell r="C2704">
            <v>5</v>
          </cell>
        </row>
        <row r="2705">
          <cell r="B2705">
            <v>41054</v>
          </cell>
          <cell r="C2705">
            <v>5</v>
          </cell>
        </row>
        <row r="2706">
          <cell r="B2706">
            <v>41055</v>
          </cell>
          <cell r="C2706">
            <v>5</v>
          </cell>
        </row>
        <row r="2707">
          <cell r="B2707">
            <v>41056</v>
          </cell>
          <cell r="C2707">
            <v>5</v>
          </cell>
        </row>
        <row r="2708">
          <cell r="B2708">
            <v>41057</v>
          </cell>
          <cell r="C2708">
            <v>5</v>
          </cell>
        </row>
        <row r="2709">
          <cell r="B2709">
            <v>41058</v>
          </cell>
          <cell r="C2709">
            <v>5</v>
          </cell>
        </row>
        <row r="2710">
          <cell r="B2710">
            <v>41059</v>
          </cell>
          <cell r="C2710">
            <v>5</v>
          </cell>
        </row>
        <row r="2711">
          <cell r="B2711">
            <v>41060</v>
          </cell>
          <cell r="C2711">
            <v>5</v>
          </cell>
        </row>
        <row r="2712">
          <cell r="B2712">
            <v>41061</v>
          </cell>
          <cell r="C2712">
            <v>6</v>
          </cell>
        </row>
        <row r="2713">
          <cell r="B2713">
            <v>41062</v>
          </cell>
          <cell r="C2713">
            <v>6</v>
          </cell>
        </row>
        <row r="2714">
          <cell r="B2714">
            <v>41063</v>
          </cell>
          <cell r="C2714">
            <v>6</v>
          </cell>
        </row>
        <row r="2715">
          <cell r="B2715">
            <v>41064</v>
          </cell>
          <cell r="C2715">
            <v>6</v>
          </cell>
        </row>
        <row r="2716">
          <cell r="B2716">
            <v>41065</v>
          </cell>
          <cell r="C2716">
            <v>6</v>
          </cell>
        </row>
        <row r="2717">
          <cell r="B2717">
            <v>41066</v>
          </cell>
          <cell r="C2717">
            <v>6</v>
          </cell>
        </row>
        <row r="2718">
          <cell r="B2718">
            <v>41067</v>
          </cell>
          <cell r="C2718">
            <v>6</v>
          </cell>
        </row>
        <row r="2719">
          <cell r="B2719">
            <v>41068</v>
          </cell>
          <cell r="C2719">
            <v>6</v>
          </cell>
        </row>
        <row r="2720">
          <cell r="B2720">
            <v>41069</v>
          </cell>
          <cell r="C2720">
            <v>6</v>
          </cell>
        </row>
        <row r="2721">
          <cell r="B2721">
            <v>41070</v>
          </cell>
          <cell r="C2721">
            <v>6</v>
          </cell>
        </row>
        <row r="2722">
          <cell r="B2722">
            <v>41071</v>
          </cell>
          <cell r="C2722">
            <v>6</v>
          </cell>
        </row>
        <row r="2723">
          <cell r="B2723">
            <v>41072</v>
          </cell>
          <cell r="C2723">
            <v>6</v>
          </cell>
        </row>
        <row r="2724">
          <cell r="B2724">
            <v>41073</v>
          </cell>
          <cell r="C2724">
            <v>6</v>
          </cell>
        </row>
        <row r="2725">
          <cell r="B2725">
            <v>41074</v>
          </cell>
          <cell r="C2725">
            <v>6</v>
          </cell>
        </row>
        <row r="2726">
          <cell r="B2726">
            <v>41075</v>
          </cell>
          <cell r="C2726">
            <v>6</v>
          </cell>
        </row>
        <row r="2727">
          <cell r="B2727">
            <v>41076</v>
          </cell>
          <cell r="C2727">
            <v>6</v>
          </cell>
        </row>
        <row r="2728">
          <cell r="B2728">
            <v>41077</v>
          </cell>
          <cell r="C2728">
            <v>6</v>
          </cell>
        </row>
        <row r="2729">
          <cell r="B2729">
            <v>41078</v>
          </cell>
          <cell r="C2729">
            <v>6</v>
          </cell>
        </row>
        <row r="2730">
          <cell r="B2730">
            <v>41079</v>
          </cell>
          <cell r="C2730">
            <v>6</v>
          </cell>
        </row>
        <row r="2731">
          <cell r="B2731">
            <v>41080</v>
          </cell>
          <cell r="C2731">
            <v>6</v>
          </cell>
        </row>
        <row r="2732">
          <cell r="B2732">
            <v>41081</v>
          </cell>
          <cell r="C2732">
            <v>6</v>
          </cell>
        </row>
        <row r="2733">
          <cell r="B2733">
            <v>41082</v>
          </cell>
          <cell r="C2733">
            <v>6</v>
          </cell>
        </row>
        <row r="2734">
          <cell r="B2734">
            <v>41083</v>
          </cell>
          <cell r="C2734">
            <v>6</v>
          </cell>
        </row>
        <row r="2735">
          <cell r="B2735">
            <v>41084</v>
          </cell>
          <cell r="C2735">
            <v>6</v>
          </cell>
        </row>
        <row r="2736">
          <cell r="B2736">
            <v>41085</v>
          </cell>
          <cell r="C2736">
            <v>6</v>
          </cell>
        </row>
        <row r="2737">
          <cell r="B2737">
            <v>41086</v>
          </cell>
          <cell r="C2737">
            <v>6</v>
          </cell>
        </row>
        <row r="2738">
          <cell r="B2738">
            <v>41087</v>
          </cell>
          <cell r="C2738">
            <v>6</v>
          </cell>
        </row>
        <row r="2739">
          <cell r="B2739">
            <v>41088</v>
          </cell>
          <cell r="C2739">
            <v>6</v>
          </cell>
        </row>
        <row r="2740">
          <cell r="B2740">
            <v>41089</v>
          </cell>
          <cell r="C2740">
            <v>6</v>
          </cell>
        </row>
        <row r="2741">
          <cell r="B2741">
            <v>41090</v>
          </cell>
          <cell r="C2741">
            <v>6</v>
          </cell>
        </row>
        <row r="2742">
          <cell r="B2742">
            <v>41091</v>
          </cell>
          <cell r="C2742">
            <v>7</v>
          </cell>
        </row>
        <row r="2743">
          <cell r="B2743">
            <v>41092</v>
          </cell>
          <cell r="C2743">
            <v>7</v>
          </cell>
        </row>
        <row r="2744">
          <cell r="B2744">
            <v>41093</v>
          </cell>
          <cell r="C2744">
            <v>7</v>
          </cell>
        </row>
        <row r="2745">
          <cell r="B2745">
            <v>41094</v>
          </cell>
          <cell r="C2745">
            <v>7</v>
          </cell>
        </row>
        <row r="2746">
          <cell r="B2746">
            <v>41095</v>
          </cell>
          <cell r="C2746">
            <v>7</v>
          </cell>
        </row>
        <row r="2747">
          <cell r="B2747">
            <v>41096</v>
          </cell>
          <cell r="C2747">
            <v>7</v>
          </cell>
        </row>
        <row r="2748">
          <cell r="B2748">
            <v>41097</v>
          </cell>
          <cell r="C2748">
            <v>7</v>
          </cell>
        </row>
        <row r="2749">
          <cell r="B2749">
            <v>41098</v>
          </cell>
          <cell r="C2749">
            <v>7</v>
          </cell>
        </row>
        <row r="2750">
          <cell r="B2750">
            <v>41099</v>
          </cell>
          <cell r="C2750">
            <v>7</v>
          </cell>
        </row>
        <row r="2751">
          <cell r="B2751">
            <v>41100</v>
          </cell>
          <cell r="C2751">
            <v>7</v>
          </cell>
        </row>
        <row r="2752">
          <cell r="B2752">
            <v>41101</v>
          </cell>
          <cell r="C2752">
            <v>7</v>
          </cell>
        </row>
        <row r="2753">
          <cell r="B2753">
            <v>41102</v>
          </cell>
          <cell r="C2753">
            <v>7</v>
          </cell>
        </row>
        <row r="2754">
          <cell r="B2754">
            <v>41103</v>
          </cell>
          <cell r="C2754">
            <v>7</v>
          </cell>
        </row>
        <row r="2755">
          <cell r="B2755">
            <v>41104</v>
          </cell>
          <cell r="C2755">
            <v>7</v>
          </cell>
        </row>
        <row r="2756">
          <cell r="B2756">
            <v>41105</v>
          </cell>
          <cell r="C2756">
            <v>7</v>
          </cell>
        </row>
        <row r="2757">
          <cell r="B2757">
            <v>41106</v>
          </cell>
          <cell r="C2757">
            <v>7</v>
          </cell>
        </row>
        <row r="2758">
          <cell r="B2758">
            <v>41107</v>
          </cell>
          <cell r="C2758">
            <v>7</v>
          </cell>
        </row>
        <row r="2759">
          <cell r="B2759">
            <v>41108</v>
          </cell>
          <cell r="C2759">
            <v>7</v>
          </cell>
        </row>
        <row r="2760">
          <cell r="B2760">
            <v>41109</v>
          </cell>
          <cell r="C2760">
            <v>7</v>
          </cell>
        </row>
        <row r="2761">
          <cell r="B2761">
            <v>41110</v>
          </cell>
          <cell r="C2761">
            <v>7</v>
          </cell>
        </row>
        <row r="2762">
          <cell r="B2762">
            <v>41111</v>
          </cell>
          <cell r="C2762">
            <v>7</v>
          </cell>
        </row>
        <row r="2763">
          <cell r="B2763">
            <v>41112</v>
          </cell>
          <cell r="C2763">
            <v>7</v>
          </cell>
        </row>
        <row r="2764">
          <cell r="B2764">
            <v>41113</v>
          </cell>
          <cell r="C2764">
            <v>7</v>
          </cell>
        </row>
        <row r="2765">
          <cell r="B2765">
            <v>41114</v>
          </cell>
          <cell r="C2765">
            <v>7</v>
          </cell>
        </row>
        <row r="2766">
          <cell r="B2766">
            <v>41115</v>
          </cell>
          <cell r="C2766">
            <v>7</v>
          </cell>
        </row>
        <row r="2767">
          <cell r="B2767">
            <v>41116</v>
          </cell>
          <cell r="C2767">
            <v>7</v>
          </cell>
        </row>
        <row r="2768">
          <cell r="B2768">
            <v>41117</v>
          </cell>
          <cell r="C2768">
            <v>7</v>
          </cell>
        </row>
        <row r="2769">
          <cell r="B2769">
            <v>41118</v>
          </cell>
          <cell r="C2769">
            <v>7</v>
          </cell>
        </row>
        <row r="2770">
          <cell r="B2770">
            <v>41119</v>
          </cell>
          <cell r="C2770">
            <v>7</v>
          </cell>
        </row>
        <row r="2771">
          <cell r="B2771">
            <v>41120</v>
          </cell>
          <cell r="C2771">
            <v>7</v>
          </cell>
        </row>
        <row r="2772">
          <cell r="B2772">
            <v>41121</v>
          </cell>
          <cell r="C2772">
            <v>7</v>
          </cell>
        </row>
        <row r="2773">
          <cell r="B2773">
            <v>41122</v>
          </cell>
          <cell r="C2773">
            <v>8</v>
          </cell>
        </row>
        <row r="2774">
          <cell r="B2774">
            <v>41123</v>
          </cell>
          <cell r="C2774">
            <v>8</v>
          </cell>
        </row>
        <row r="2775">
          <cell r="B2775">
            <v>41124</v>
          </cell>
          <cell r="C2775">
            <v>8</v>
          </cell>
        </row>
        <row r="2776">
          <cell r="B2776">
            <v>41125</v>
          </cell>
          <cell r="C2776">
            <v>8</v>
          </cell>
        </row>
        <row r="2777">
          <cell r="B2777">
            <v>41126</v>
          </cell>
          <cell r="C2777">
            <v>8</v>
          </cell>
        </row>
        <row r="2778">
          <cell r="B2778">
            <v>41127</v>
          </cell>
          <cell r="C2778">
            <v>8</v>
          </cell>
        </row>
        <row r="2779">
          <cell r="B2779">
            <v>41128</v>
          </cell>
          <cell r="C2779">
            <v>8</v>
          </cell>
        </row>
        <row r="2780">
          <cell r="B2780">
            <v>41129</v>
          </cell>
          <cell r="C2780">
            <v>8</v>
          </cell>
        </row>
        <row r="2781">
          <cell r="B2781">
            <v>41130</v>
          </cell>
          <cell r="C2781">
            <v>8</v>
          </cell>
        </row>
        <row r="2782">
          <cell r="B2782">
            <v>41131</v>
          </cell>
          <cell r="C2782">
            <v>8</v>
          </cell>
        </row>
        <row r="2783">
          <cell r="B2783">
            <v>41132</v>
          </cell>
          <cell r="C2783">
            <v>8</v>
          </cell>
        </row>
        <row r="2784">
          <cell r="B2784">
            <v>41133</v>
          </cell>
          <cell r="C2784">
            <v>8</v>
          </cell>
        </row>
        <row r="2785">
          <cell r="B2785">
            <v>41134</v>
          </cell>
          <cell r="C2785">
            <v>8</v>
          </cell>
        </row>
        <row r="2786">
          <cell r="B2786">
            <v>41135</v>
          </cell>
          <cell r="C2786">
            <v>8</v>
          </cell>
        </row>
        <row r="2787">
          <cell r="B2787">
            <v>41136</v>
          </cell>
          <cell r="C2787">
            <v>8</v>
          </cell>
        </row>
        <row r="2788">
          <cell r="B2788">
            <v>41137</v>
          </cell>
          <cell r="C2788">
            <v>8</v>
          </cell>
        </row>
        <row r="2789">
          <cell r="B2789">
            <v>41138</v>
          </cell>
          <cell r="C2789">
            <v>8</v>
          </cell>
        </row>
        <row r="2790">
          <cell r="B2790">
            <v>41139</v>
          </cell>
          <cell r="C2790">
            <v>8</v>
          </cell>
        </row>
        <row r="2791">
          <cell r="B2791">
            <v>41140</v>
          </cell>
          <cell r="C2791">
            <v>8</v>
          </cell>
        </row>
        <row r="2792">
          <cell r="B2792">
            <v>41141</v>
          </cell>
          <cell r="C2792">
            <v>8</v>
          </cell>
        </row>
        <row r="2793">
          <cell r="B2793">
            <v>41142</v>
          </cell>
          <cell r="C2793">
            <v>8</v>
          </cell>
        </row>
        <row r="2794">
          <cell r="B2794">
            <v>41143</v>
          </cell>
          <cell r="C2794">
            <v>8</v>
          </cell>
        </row>
        <row r="2795">
          <cell r="B2795">
            <v>41144</v>
          </cell>
          <cell r="C2795">
            <v>8</v>
          </cell>
        </row>
        <row r="2796">
          <cell r="B2796">
            <v>41145</v>
          </cell>
          <cell r="C2796">
            <v>8</v>
          </cell>
        </row>
        <row r="2797">
          <cell r="B2797">
            <v>41146</v>
          </cell>
          <cell r="C2797">
            <v>8</v>
          </cell>
        </row>
        <row r="2798">
          <cell r="B2798">
            <v>41147</v>
          </cell>
          <cell r="C2798">
            <v>8</v>
          </cell>
        </row>
        <row r="2799">
          <cell r="B2799">
            <v>41148</v>
          </cell>
          <cell r="C2799">
            <v>8</v>
          </cell>
        </row>
        <row r="2800">
          <cell r="B2800">
            <v>41149</v>
          </cell>
          <cell r="C2800">
            <v>8</v>
          </cell>
        </row>
        <row r="2801">
          <cell r="B2801">
            <v>41150</v>
          </cell>
          <cell r="C2801">
            <v>8</v>
          </cell>
        </row>
        <row r="2802">
          <cell r="B2802">
            <v>41151</v>
          </cell>
          <cell r="C2802">
            <v>8</v>
          </cell>
        </row>
        <row r="2803">
          <cell r="B2803">
            <v>41152</v>
          </cell>
          <cell r="C2803">
            <v>8</v>
          </cell>
        </row>
        <row r="2804">
          <cell r="B2804">
            <v>41153</v>
          </cell>
          <cell r="C2804">
            <v>9</v>
          </cell>
        </row>
        <row r="2805">
          <cell r="B2805">
            <v>41154</v>
          </cell>
          <cell r="C2805">
            <v>9</v>
          </cell>
        </row>
        <row r="2806">
          <cell r="B2806">
            <v>41155</v>
          </cell>
          <cell r="C2806">
            <v>9</v>
          </cell>
        </row>
        <row r="2807">
          <cell r="B2807">
            <v>41156</v>
          </cell>
          <cell r="C2807">
            <v>9</v>
          </cell>
        </row>
        <row r="2808">
          <cell r="B2808">
            <v>41157</v>
          </cell>
          <cell r="C2808">
            <v>9</v>
          </cell>
        </row>
        <row r="2809">
          <cell r="B2809">
            <v>41158</v>
          </cell>
          <cell r="C2809">
            <v>9</v>
          </cell>
        </row>
        <row r="2810">
          <cell r="B2810">
            <v>41159</v>
          </cell>
          <cell r="C2810">
            <v>9</v>
          </cell>
        </row>
        <row r="2811">
          <cell r="B2811">
            <v>41160</v>
          </cell>
          <cell r="C2811">
            <v>9</v>
          </cell>
        </row>
        <row r="2812">
          <cell r="B2812">
            <v>41161</v>
          </cell>
          <cell r="C2812">
            <v>9</v>
          </cell>
        </row>
        <row r="2813">
          <cell r="B2813">
            <v>41162</v>
          </cell>
          <cell r="C2813">
            <v>9</v>
          </cell>
        </row>
        <row r="2814">
          <cell r="B2814">
            <v>41163</v>
          </cell>
          <cell r="C2814">
            <v>9</v>
          </cell>
        </row>
        <row r="2815">
          <cell r="B2815">
            <v>41164</v>
          </cell>
          <cell r="C2815">
            <v>9</v>
          </cell>
        </row>
        <row r="2816">
          <cell r="B2816">
            <v>41165</v>
          </cell>
          <cell r="C2816">
            <v>9</v>
          </cell>
        </row>
        <row r="2817">
          <cell r="B2817">
            <v>41166</v>
          </cell>
          <cell r="C2817">
            <v>9</v>
          </cell>
        </row>
        <row r="2818">
          <cell r="B2818">
            <v>41167</v>
          </cell>
          <cell r="C2818">
            <v>9</v>
          </cell>
        </row>
        <row r="2819">
          <cell r="B2819">
            <v>41168</v>
          </cell>
          <cell r="C2819">
            <v>9</v>
          </cell>
        </row>
        <row r="2820">
          <cell r="B2820">
            <v>41169</v>
          </cell>
          <cell r="C2820">
            <v>9</v>
          </cell>
        </row>
        <row r="2821">
          <cell r="B2821">
            <v>41170</v>
          </cell>
          <cell r="C2821">
            <v>9</v>
          </cell>
        </row>
        <row r="2822">
          <cell r="B2822">
            <v>41171</v>
          </cell>
          <cell r="C2822">
            <v>9</v>
          </cell>
        </row>
        <row r="2823">
          <cell r="B2823">
            <v>41172</v>
          </cell>
          <cell r="C2823">
            <v>9</v>
          </cell>
        </row>
        <row r="2824">
          <cell r="B2824">
            <v>41173</v>
          </cell>
          <cell r="C2824">
            <v>9</v>
          </cell>
        </row>
        <row r="2825">
          <cell r="B2825">
            <v>41174</v>
          </cell>
          <cell r="C2825">
            <v>9</v>
          </cell>
        </row>
        <row r="2826">
          <cell r="B2826">
            <v>41175</v>
          </cell>
          <cell r="C2826">
            <v>9</v>
          </cell>
        </row>
        <row r="2827">
          <cell r="B2827">
            <v>41176</v>
          </cell>
          <cell r="C2827">
            <v>9</v>
          </cell>
        </row>
        <row r="2828">
          <cell r="B2828">
            <v>41177</v>
          </cell>
          <cell r="C2828">
            <v>9</v>
          </cell>
        </row>
        <row r="2829">
          <cell r="B2829">
            <v>41178</v>
          </cell>
          <cell r="C2829">
            <v>9</v>
          </cell>
        </row>
        <row r="2830">
          <cell r="B2830">
            <v>41179</v>
          </cell>
          <cell r="C2830">
            <v>9</v>
          </cell>
        </row>
        <row r="2831">
          <cell r="B2831">
            <v>41180</v>
          </cell>
          <cell r="C2831">
            <v>9</v>
          </cell>
        </row>
        <row r="2832">
          <cell r="B2832">
            <v>41181</v>
          </cell>
          <cell r="C2832">
            <v>9</v>
          </cell>
        </row>
        <row r="2833">
          <cell r="B2833">
            <v>41182</v>
          </cell>
          <cell r="C2833">
            <v>9</v>
          </cell>
        </row>
        <row r="2834">
          <cell r="B2834">
            <v>41183</v>
          </cell>
          <cell r="C2834">
            <v>10</v>
          </cell>
        </row>
        <row r="2835">
          <cell r="B2835">
            <v>41184</v>
          </cell>
          <cell r="C2835">
            <v>10</v>
          </cell>
        </row>
        <row r="2836">
          <cell r="B2836">
            <v>41185</v>
          </cell>
          <cell r="C2836">
            <v>10</v>
          </cell>
        </row>
        <row r="2837">
          <cell r="B2837">
            <v>41186</v>
          </cell>
          <cell r="C2837">
            <v>10</v>
          </cell>
        </row>
        <row r="2838">
          <cell r="B2838">
            <v>41187</v>
          </cell>
          <cell r="C2838">
            <v>10</v>
          </cell>
        </row>
        <row r="2839">
          <cell r="B2839">
            <v>41188</v>
          </cell>
          <cell r="C2839">
            <v>10</v>
          </cell>
        </row>
        <row r="2840">
          <cell r="B2840">
            <v>41189</v>
          </cell>
          <cell r="C2840">
            <v>10</v>
          </cell>
        </row>
        <row r="2841">
          <cell r="B2841">
            <v>41190</v>
          </cell>
          <cell r="C2841">
            <v>10</v>
          </cell>
        </row>
        <row r="2842">
          <cell r="B2842">
            <v>41191</v>
          </cell>
          <cell r="C2842">
            <v>10</v>
          </cell>
        </row>
        <row r="2843">
          <cell r="B2843">
            <v>41192</v>
          </cell>
          <cell r="C2843">
            <v>10</v>
          </cell>
        </row>
        <row r="2844">
          <cell r="B2844">
            <v>41193</v>
          </cell>
          <cell r="C2844">
            <v>10</v>
          </cell>
        </row>
        <row r="2845">
          <cell r="B2845">
            <v>41194</v>
          </cell>
          <cell r="C2845">
            <v>10</v>
          </cell>
        </row>
        <row r="2846">
          <cell r="B2846">
            <v>41195</v>
          </cell>
          <cell r="C2846">
            <v>10</v>
          </cell>
        </row>
        <row r="2847">
          <cell r="B2847">
            <v>41196</v>
          </cell>
          <cell r="C2847">
            <v>10</v>
          </cell>
        </row>
        <row r="2848">
          <cell r="B2848">
            <v>41197</v>
          </cell>
          <cell r="C2848">
            <v>10</v>
          </cell>
        </row>
        <row r="2849">
          <cell r="B2849">
            <v>41198</v>
          </cell>
          <cell r="C2849">
            <v>10</v>
          </cell>
        </row>
        <row r="2850">
          <cell r="B2850">
            <v>41199</v>
          </cell>
          <cell r="C2850">
            <v>10</v>
          </cell>
        </row>
        <row r="2851">
          <cell r="B2851">
            <v>41200</v>
          </cell>
          <cell r="C2851">
            <v>10</v>
          </cell>
        </row>
        <row r="2852">
          <cell r="B2852">
            <v>41201</v>
          </cell>
          <cell r="C2852">
            <v>10</v>
          </cell>
        </row>
        <row r="2853">
          <cell r="B2853">
            <v>41202</v>
          </cell>
          <cell r="C2853">
            <v>10</v>
          </cell>
        </row>
        <row r="2854">
          <cell r="B2854">
            <v>41203</v>
          </cell>
          <cell r="C2854">
            <v>10</v>
          </cell>
        </row>
        <row r="2855">
          <cell r="B2855">
            <v>41204</v>
          </cell>
          <cell r="C2855">
            <v>10</v>
          </cell>
        </row>
        <row r="2856">
          <cell r="B2856">
            <v>41205</v>
          </cell>
          <cell r="C2856">
            <v>10</v>
          </cell>
        </row>
        <row r="2857">
          <cell r="B2857">
            <v>41206</v>
          </cell>
          <cell r="C2857">
            <v>10</v>
          </cell>
        </row>
        <row r="2858">
          <cell r="B2858">
            <v>41207</v>
          </cell>
          <cell r="C2858">
            <v>10</v>
          </cell>
        </row>
        <row r="2859">
          <cell r="B2859">
            <v>41208</v>
          </cell>
          <cell r="C2859">
            <v>10</v>
          </cell>
        </row>
        <row r="2860">
          <cell r="B2860">
            <v>41209</v>
          </cell>
          <cell r="C2860">
            <v>10</v>
          </cell>
        </row>
        <row r="2861">
          <cell r="B2861">
            <v>41210</v>
          </cell>
          <cell r="C2861">
            <v>10</v>
          </cell>
        </row>
        <row r="2862">
          <cell r="B2862">
            <v>41211</v>
          </cell>
          <cell r="C2862">
            <v>10</v>
          </cell>
        </row>
        <row r="2863">
          <cell r="B2863">
            <v>41212</v>
          </cell>
          <cell r="C2863">
            <v>10</v>
          </cell>
        </row>
        <row r="2864">
          <cell r="B2864">
            <v>41213</v>
          </cell>
          <cell r="C2864">
            <v>10</v>
          </cell>
        </row>
        <row r="2865">
          <cell r="B2865">
            <v>41214</v>
          </cell>
          <cell r="C2865">
            <v>11</v>
          </cell>
        </row>
        <row r="2866">
          <cell r="B2866">
            <v>41215</v>
          </cell>
          <cell r="C2866">
            <v>11</v>
          </cell>
        </row>
        <row r="2867">
          <cell r="B2867">
            <v>41216</v>
          </cell>
          <cell r="C2867">
            <v>11</v>
          </cell>
        </row>
        <row r="2868">
          <cell r="B2868">
            <v>41217</v>
          </cell>
          <cell r="C2868">
            <v>11</v>
          </cell>
        </row>
        <row r="2869">
          <cell r="B2869">
            <v>41218</v>
          </cell>
          <cell r="C2869">
            <v>11</v>
          </cell>
        </row>
        <row r="2870">
          <cell r="B2870">
            <v>41219</v>
          </cell>
          <cell r="C2870">
            <v>11</v>
          </cell>
        </row>
        <row r="2871">
          <cell r="B2871">
            <v>41220</v>
          </cell>
          <cell r="C2871">
            <v>11</v>
          </cell>
        </row>
        <row r="2872">
          <cell r="B2872">
            <v>41221</v>
          </cell>
          <cell r="C2872">
            <v>11</v>
          </cell>
        </row>
        <row r="2873">
          <cell r="B2873">
            <v>41222</v>
          </cell>
          <cell r="C2873">
            <v>11</v>
          </cell>
        </row>
        <row r="2874">
          <cell r="B2874">
            <v>41223</v>
          </cell>
          <cell r="C2874">
            <v>11</v>
          </cell>
        </row>
        <row r="2875">
          <cell r="B2875">
            <v>41224</v>
          </cell>
          <cell r="C2875">
            <v>11</v>
          </cell>
        </row>
        <row r="2876">
          <cell r="B2876">
            <v>41225</v>
          </cell>
          <cell r="C2876">
            <v>11</v>
          </cell>
        </row>
        <row r="2877">
          <cell r="B2877">
            <v>41226</v>
          </cell>
          <cell r="C2877">
            <v>11</v>
          </cell>
        </row>
        <row r="2878">
          <cell r="B2878">
            <v>41227</v>
          </cell>
          <cell r="C2878">
            <v>11</v>
          </cell>
        </row>
        <row r="2879">
          <cell r="B2879">
            <v>41228</v>
          </cell>
          <cell r="C2879">
            <v>11</v>
          </cell>
        </row>
        <row r="2880">
          <cell r="B2880">
            <v>41229</v>
          </cell>
          <cell r="C2880">
            <v>11</v>
          </cell>
        </row>
        <row r="2881">
          <cell r="B2881">
            <v>41230</v>
          </cell>
          <cell r="C2881">
            <v>11</v>
          </cell>
        </row>
        <row r="2882">
          <cell r="B2882">
            <v>41231</v>
          </cell>
          <cell r="C2882">
            <v>11</v>
          </cell>
        </row>
        <row r="2883">
          <cell r="B2883">
            <v>41232</v>
          </cell>
          <cell r="C2883">
            <v>11</v>
          </cell>
        </row>
        <row r="2884">
          <cell r="B2884">
            <v>41233</v>
          </cell>
          <cell r="C2884">
            <v>11</v>
          </cell>
        </row>
        <row r="2885">
          <cell r="B2885">
            <v>41234</v>
          </cell>
          <cell r="C2885">
            <v>11</v>
          </cell>
        </row>
        <row r="2886">
          <cell r="B2886">
            <v>41235</v>
          </cell>
          <cell r="C2886">
            <v>11</v>
          </cell>
        </row>
        <row r="2887">
          <cell r="B2887">
            <v>41236</v>
          </cell>
          <cell r="C2887">
            <v>11</v>
          </cell>
        </row>
        <row r="2888">
          <cell r="B2888">
            <v>41237</v>
          </cell>
          <cell r="C2888">
            <v>11</v>
          </cell>
        </row>
        <row r="2889">
          <cell r="B2889">
            <v>41238</v>
          </cell>
          <cell r="C2889">
            <v>11</v>
          </cell>
        </row>
        <row r="2890">
          <cell r="B2890">
            <v>41239</v>
          </cell>
          <cell r="C2890">
            <v>11</v>
          </cell>
        </row>
        <row r="2891">
          <cell r="B2891">
            <v>41240</v>
          </cell>
          <cell r="C2891">
            <v>11</v>
          </cell>
        </row>
        <row r="2892">
          <cell r="B2892">
            <v>41241</v>
          </cell>
          <cell r="C2892">
            <v>11</v>
          </cell>
        </row>
        <row r="2893">
          <cell r="B2893">
            <v>41242</v>
          </cell>
          <cell r="C2893">
            <v>11</v>
          </cell>
        </row>
        <row r="2894">
          <cell r="B2894">
            <v>41243</v>
          </cell>
          <cell r="C2894">
            <v>11</v>
          </cell>
        </row>
        <row r="2895">
          <cell r="B2895">
            <v>41244</v>
          </cell>
          <cell r="C2895">
            <v>12</v>
          </cell>
        </row>
        <row r="2896">
          <cell r="B2896">
            <v>41245</v>
          </cell>
          <cell r="C2896">
            <v>12</v>
          </cell>
        </row>
        <row r="2897">
          <cell r="B2897">
            <v>41246</v>
          </cell>
          <cell r="C2897">
            <v>12</v>
          </cell>
        </row>
        <row r="2898">
          <cell r="B2898">
            <v>41247</v>
          </cell>
          <cell r="C2898">
            <v>12</v>
          </cell>
        </row>
        <row r="2899">
          <cell r="B2899">
            <v>41248</v>
          </cell>
          <cell r="C2899">
            <v>12</v>
          </cell>
        </row>
        <row r="2900">
          <cell r="B2900">
            <v>41249</v>
          </cell>
          <cell r="C2900">
            <v>12</v>
          </cell>
        </row>
        <row r="2901">
          <cell r="B2901">
            <v>41250</v>
          </cell>
          <cell r="C2901">
            <v>12</v>
          </cell>
        </row>
        <row r="2902">
          <cell r="B2902">
            <v>41251</v>
          </cell>
          <cell r="C2902">
            <v>12</v>
          </cell>
        </row>
        <row r="2903">
          <cell r="B2903">
            <v>41252</v>
          </cell>
          <cell r="C2903">
            <v>12</v>
          </cell>
        </row>
        <row r="2904">
          <cell r="B2904">
            <v>41253</v>
          </cell>
          <cell r="C2904">
            <v>12</v>
          </cell>
        </row>
        <row r="2905">
          <cell r="B2905">
            <v>41254</v>
          </cell>
          <cell r="C2905">
            <v>12</v>
          </cell>
        </row>
        <row r="2906">
          <cell r="B2906">
            <v>41255</v>
          </cell>
          <cell r="C2906">
            <v>12</v>
          </cell>
        </row>
        <row r="2907">
          <cell r="B2907">
            <v>41256</v>
          </cell>
          <cell r="C2907">
            <v>12</v>
          </cell>
        </row>
        <row r="2908">
          <cell r="B2908">
            <v>41257</v>
          </cell>
          <cell r="C2908">
            <v>12</v>
          </cell>
        </row>
        <row r="2909">
          <cell r="B2909">
            <v>41258</v>
          </cell>
          <cell r="C2909">
            <v>12</v>
          </cell>
        </row>
        <row r="2910">
          <cell r="B2910">
            <v>41259</v>
          </cell>
          <cell r="C2910">
            <v>12</v>
          </cell>
        </row>
        <row r="2911">
          <cell r="B2911">
            <v>41260</v>
          </cell>
          <cell r="C2911">
            <v>12</v>
          </cell>
        </row>
        <row r="2912">
          <cell r="B2912">
            <v>41261</v>
          </cell>
          <cell r="C2912">
            <v>12</v>
          </cell>
        </row>
        <row r="2913">
          <cell r="B2913">
            <v>41262</v>
          </cell>
          <cell r="C2913">
            <v>12</v>
          </cell>
        </row>
        <row r="2914">
          <cell r="B2914">
            <v>41263</v>
          </cell>
          <cell r="C2914">
            <v>12</v>
          </cell>
        </row>
        <row r="2915">
          <cell r="B2915">
            <v>41264</v>
          </cell>
          <cell r="C2915">
            <v>12</v>
          </cell>
        </row>
        <row r="2916">
          <cell r="B2916">
            <v>41265</v>
          </cell>
          <cell r="C2916">
            <v>12</v>
          </cell>
        </row>
        <row r="2917">
          <cell r="B2917">
            <v>41266</v>
          </cell>
          <cell r="C2917">
            <v>12</v>
          </cell>
        </row>
        <row r="2918">
          <cell r="B2918">
            <v>41267</v>
          </cell>
          <cell r="C2918">
            <v>12</v>
          </cell>
        </row>
        <row r="2919">
          <cell r="B2919">
            <v>41268</v>
          </cell>
          <cell r="C2919">
            <v>12</v>
          </cell>
        </row>
        <row r="2920">
          <cell r="B2920">
            <v>41269</v>
          </cell>
          <cell r="C2920">
            <v>12</v>
          </cell>
        </row>
        <row r="2921">
          <cell r="B2921">
            <v>41270</v>
          </cell>
          <cell r="C2921">
            <v>12</v>
          </cell>
        </row>
        <row r="2922">
          <cell r="B2922">
            <v>41271</v>
          </cell>
          <cell r="C2922">
            <v>12</v>
          </cell>
        </row>
        <row r="2923">
          <cell r="B2923">
            <v>41272</v>
          </cell>
          <cell r="C2923">
            <v>12</v>
          </cell>
        </row>
        <row r="2924">
          <cell r="B2924">
            <v>41273</v>
          </cell>
          <cell r="C2924">
            <v>12</v>
          </cell>
        </row>
        <row r="2925">
          <cell r="B2925">
            <v>41274</v>
          </cell>
          <cell r="C2925">
            <v>12</v>
          </cell>
        </row>
        <row r="2926">
          <cell r="B2926">
            <v>41275</v>
          </cell>
          <cell r="C2926">
            <v>1</v>
          </cell>
        </row>
        <row r="2927">
          <cell r="B2927">
            <v>41276</v>
          </cell>
          <cell r="C2927">
            <v>1</v>
          </cell>
        </row>
        <row r="2928">
          <cell r="B2928">
            <v>41277</v>
          </cell>
          <cell r="C2928">
            <v>1</v>
          </cell>
        </row>
        <row r="2929">
          <cell r="B2929">
            <v>41278</v>
          </cell>
          <cell r="C2929">
            <v>1</v>
          </cell>
        </row>
        <row r="2930">
          <cell r="B2930">
            <v>41279</v>
          </cell>
          <cell r="C2930">
            <v>1</v>
          </cell>
        </row>
        <row r="2931">
          <cell r="B2931">
            <v>41280</v>
          </cell>
          <cell r="C2931">
            <v>1</v>
          </cell>
        </row>
        <row r="2932">
          <cell r="B2932">
            <v>41281</v>
          </cell>
          <cell r="C2932">
            <v>1</v>
          </cell>
        </row>
        <row r="2933">
          <cell r="B2933">
            <v>41282</v>
          </cell>
          <cell r="C2933">
            <v>1</v>
          </cell>
        </row>
        <row r="2934">
          <cell r="B2934">
            <v>41283</v>
          </cell>
          <cell r="C2934">
            <v>1</v>
          </cell>
        </row>
        <row r="2935">
          <cell r="B2935">
            <v>41284</v>
          </cell>
          <cell r="C2935">
            <v>1</v>
          </cell>
        </row>
        <row r="2936">
          <cell r="B2936">
            <v>41285</v>
          </cell>
          <cell r="C2936">
            <v>1</v>
          </cell>
        </row>
        <row r="2937">
          <cell r="B2937">
            <v>41286</v>
          </cell>
          <cell r="C2937">
            <v>1</v>
          </cell>
        </row>
        <row r="2938">
          <cell r="B2938">
            <v>41287</v>
          </cell>
          <cell r="C2938">
            <v>1</v>
          </cell>
        </row>
        <row r="2939">
          <cell r="B2939">
            <v>41288</v>
          </cell>
          <cell r="C2939">
            <v>1</v>
          </cell>
        </row>
        <row r="2940">
          <cell r="B2940">
            <v>41289</v>
          </cell>
          <cell r="C2940">
            <v>1</v>
          </cell>
        </row>
        <row r="2941">
          <cell r="B2941">
            <v>41290</v>
          </cell>
          <cell r="C2941">
            <v>1</v>
          </cell>
        </row>
        <row r="2942">
          <cell r="B2942">
            <v>41291</v>
          </cell>
          <cell r="C2942">
            <v>1</v>
          </cell>
        </row>
        <row r="2943">
          <cell r="B2943">
            <v>41292</v>
          </cell>
          <cell r="C2943">
            <v>1</v>
          </cell>
        </row>
        <row r="2944">
          <cell r="B2944">
            <v>41293</v>
          </cell>
          <cell r="C2944">
            <v>1</v>
          </cell>
        </row>
        <row r="2945">
          <cell r="B2945">
            <v>41294</v>
          </cell>
          <cell r="C2945">
            <v>1</v>
          </cell>
        </row>
        <row r="2946">
          <cell r="B2946">
            <v>41295</v>
          </cell>
          <cell r="C2946">
            <v>1</v>
          </cell>
        </row>
        <row r="2947">
          <cell r="B2947">
            <v>41296</v>
          </cell>
          <cell r="C2947">
            <v>1</v>
          </cell>
        </row>
        <row r="2948">
          <cell r="B2948">
            <v>41297</v>
          </cell>
          <cell r="C2948">
            <v>1</v>
          </cell>
        </row>
        <row r="2949">
          <cell r="B2949">
            <v>41298</v>
          </cell>
          <cell r="C2949">
            <v>1</v>
          </cell>
        </row>
        <row r="2950">
          <cell r="B2950">
            <v>41299</v>
          </cell>
          <cell r="C2950">
            <v>1</v>
          </cell>
        </row>
        <row r="2951">
          <cell r="B2951">
            <v>41300</v>
          </cell>
          <cell r="C2951">
            <v>1</v>
          </cell>
        </row>
        <row r="2952">
          <cell r="B2952">
            <v>41301</v>
          </cell>
          <cell r="C2952">
            <v>1</v>
          </cell>
        </row>
        <row r="2953">
          <cell r="B2953">
            <v>41302</v>
          </cell>
          <cell r="C2953">
            <v>1</v>
          </cell>
        </row>
        <row r="2954">
          <cell r="B2954">
            <v>41303</v>
          </cell>
          <cell r="C2954">
            <v>1</v>
          </cell>
        </row>
        <row r="2955">
          <cell r="B2955">
            <v>41304</v>
          </cell>
          <cell r="C2955">
            <v>1</v>
          </cell>
        </row>
        <row r="2956">
          <cell r="B2956">
            <v>41305</v>
          </cell>
          <cell r="C2956">
            <v>1</v>
          </cell>
        </row>
        <row r="2957">
          <cell r="B2957">
            <v>41306</v>
          </cell>
          <cell r="C2957">
            <v>2</v>
          </cell>
        </row>
        <row r="2958">
          <cell r="B2958">
            <v>41307</v>
          </cell>
          <cell r="C2958">
            <v>2</v>
          </cell>
        </row>
        <row r="2959">
          <cell r="B2959">
            <v>41308</v>
          </cell>
          <cell r="C2959">
            <v>2</v>
          </cell>
        </row>
        <row r="2960">
          <cell r="B2960">
            <v>41309</v>
          </cell>
          <cell r="C2960">
            <v>2</v>
          </cell>
        </row>
        <row r="2961">
          <cell r="B2961">
            <v>41310</v>
          </cell>
          <cell r="C2961">
            <v>2</v>
          </cell>
        </row>
        <row r="2962">
          <cell r="B2962">
            <v>41311</v>
          </cell>
          <cell r="C2962">
            <v>2</v>
          </cell>
        </row>
        <row r="2963">
          <cell r="B2963">
            <v>41312</v>
          </cell>
          <cell r="C2963">
            <v>2</v>
          </cell>
        </row>
        <row r="2964">
          <cell r="B2964">
            <v>41313</v>
          </cell>
          <cell r="C2964">
            <v>2</v>
          </cell>
        </row>
        <row r="2965">
          <cell r="B2965">
            <v>41314</v>
          </cell>
          <cell r="C2965">
            <v>2</v>
          </cell>
        </row>
        <row r="2966">
          <cell r="B2966">
            <v>41315</v>
          </cell>
          <cell r="C2966">
            <v>2</v>
          </cell>
        </row>
        <row r="2967">
          <cell r="B2967">
            <v>41316</v>
          </cell>
          <cell r="C2967">
            <v>2</v>
          </cell>
        </row>
        <row r="2968">
          <cell r="B2968">
            <v>41317</v>
          </cell>
          <cell r="C2968">
            <v>2</v>
          </cell>
        </row>
        <row r="2969">
          <cell r="B2969">
            <v>41318</v>
          </cell>
          <cell r="C2969">
            <v>2</v>
          </cell>
        </row>
        <row r="2970">
          <cell r="B2970">
            <v>41319</v>
          </cell>
          <cell r="C2970">
            <v>2</v>
          </cell>
        </row>
        <row r="2971">
          <cell r="B2971">
            <v>41320</v>
          </cell>
          <cell r="C2971">
            <v>2</v>
          </cell>
        </row>
        <row r="2972">
          <cell r="B2972">
            <v>41321</v>
          </cell>
          <cell r="C2972">
            <v>2</v>
          </cell>
        </row>
        <row r="2973">
          <cell r="B2973">
            <v>41322</v>
          </cell>
          <cell r="C2973">
            <v>2</v>
          </cell>
        </row>
        <row r="2974">
          <cell r="B2974">
            <v>41323</v>
          </cell>
          <cell r="C2974">
            <v>2</v>
          </cell>
        </row>
        <row r="2975">
          <cell r="B2975">
            <v>41324</v>
          </cell>
          <cell r="C2975">
            <v>2</v>
          </cell>
        </row>
        <row r="2976">
          <cell r="B2976">
            <v>41325</v>
          </cell>
          <cell r="C2976">
            <v>2</v>
          </cell>
        </row>
        <row r="2977">
          <cell r="B2977">
            <v>41326</v>
          </cell>
          <cell r="C2977">
            <v>2</v>
          </cell>
        </row>
        <row r="2978">
          <cell r="B2978">
            <v>41327</v>
          </cell>
          <cell r="C2978">
            <v>2</v>
          </cell>
        </row>
        <row r="2979">
          <cell r="B2979">
            <v>41328</v>
          </cell>
          <cell r="C2979">
            <v>2</v>
          </cell>
        </row>
        <row r="2980">
          <cell r="B2980">
            <v>41329</v>
          </cell>
          <cell r="C2980">
            <v>2</v>
          </cell>
        </row>
        <row r="2981">
          <cell r="B2981">
            <v>41330</v>
          </cell>
          <cell r="C2981">
            <v>2</v>
          </cell>
        </row>
        <row r="2982">
          <cell r="B2982">
            <v>41331</v>
          </cell>
          <cell r="C2982">
            <v>2</v>
          </cell>
        </row>
        <row r="2983">
          <cell r="B2983">
            <v>41332</v>
          </cell>
          <cell r="C2983">
            <v>2</v>
          </cell>
        </row>
        <row r="2984">
          <cell r="B2984">
            <v>41333</v>
          </cell>
          <cell r="C2984">
            <v>2</v>
          </cell>
        </row>
        <row r="2985">
          <cell r="B2985">
            <v>41334</v>
          </cell>
          <cell r="C2985">
            <v>3</v>
          </cell>
        </row>
        <row r="2986">
          <cell r="B2986">
            <v>41335</v>
          </cell>
          <cell r="C2986">
            <v>3</v>
          </cell>
        </row>
        <row r="2987">
          <cell r="B2987">
            <v>41336</v>
          </cell>
          <cell r="C2987">
            <v>3</v>
          </cell>
        </row>
        <row r="2988">
          <cell r="B2988">
            <v>41337</v>
          </cell>
          <cell r="C2988">
            <v>3</v>
          </cell>
        </row>
        <row r="2989">
          <cell r="B2989">
            <v>41338</v>
          </cell>
          <cell r="C2989">
            <v>3</v>
          </cell>
        </row>
        <row r="2990">
          <cell r="B2990">
            <v>41339</v>
          </cell>
          <cell r="C2990">
            <v>3</v>
          </cell>
        </row>
        <row r="2991">
          <cell r="B2991">
            <v>41340</v>
          </cell>
          <cell r="C2991">
            <v>3</v>
          </cell>
        </row>
        <row r="2992">
          <cell r="B2992">
            <v>41341</v>
          </cell>
          <cell r="C2992">
            <v>3</v>
          </cell>
        </row>
        <row r="2993">
          <cell r="B2993">
            <v>41342</v>
          </cell>
          <cell r="C2993">
            <v>3</v>
          </cell>
        </row>
        <row r="2994">
          <cell r="B2994">
            <v>41343</v>
          </cell>
          <cell r="C2994">
            <v>3</v>
          </cell>
        </row>
        <row r="2995">
          <cell r="B2995">
            <v>41344</v>
          </cell>
          <cell r="C2995">
            <v>3</v>
          </cell>
        </row>
        <row r="2996">
          <cell r="B2996">
            <v>41345</v>
          </cell>
          <cell r="C2996">
            <v>3</v>
          </cell>
        </row>
        <row r="2997">
          <cell r="B2997">
            <v>41346</v>
          </cell>
          <cell r="C2997">
            <v>3</v>
          </cell>
        </row>
        <row r="2998">
          <cell r="B2998">
            <v>41347</v>
          </cell>
          <cell r="C2998">
            <v>3</v>
          </cell>
        </row>
        <row r="2999">
          <cell r="B2999">
            <v>41348</v>
          </cell>
          <cell r="C2999">
            <v>3</v>
          </cell>
        </row>
        <row r="3000">
          <cell r="B3000">
            <v>41349</v>
          </cell>
          <cell r="C3000">
            <v>3</v>
          </cell>
        </row>
        <row r="3001">
          <cell r="B3001">
            <v>41350</v>
          </cell>
          <cell r="C3001">
            <v>3</v>
          </cell>
        </row>
        <row r="3002">
          <cell r="B3002">
            <v>41351</v>
          </cell>
          <cell r="C3002">
            <v>3</v>
          </cell>
        </row>
        <row r="3003">
          <cell r="B3003">
            <v>41352</v>
          </cell>
          <cell r="C3003">
            <v>3</v>
          </cell>
        </row>
        <row r="3004">
          <cell r="B3004">
            <v>41353</v>
          </cell>
          <cell r="C3004">
            <v>3</v>
          </cell>
        </row>
        <row r="3005">
          <cell r="B3005">
            <v>41354</v>
          </cell>
          <cell r="C3005">
            <v>3</v>
          </cell>
        </row>
        <row r="3006">
          <cell r="B3006">
            <v>41355</v>
          </cell>
          <cell r="C3006">
            <v>3</v>
          </cell>
        </row>
        <row r="3007">
          <cell r="B3007">
            <v>41356</v>
          </cell>
          <cell r="C3007">
            <v>3</v>
          </cell>
        </row>
        <row r="3008">
          <cell r="B3008">
            <v>41357</v>
          </cell>
          <cell r="C3008">
            <v>3</v>
          </cell>
        </row>
        <row r="3009">
          <cell r="B3009">
            <v>41358</v>
          </cell>
          <cell r="C3009">
            <v>3</v>
          </cell>
        </row>
        <row r="3010">
          <cell r="B3010">
            <v>41359</v>
          </cell>
          <cell r="C3010">
            <v>3</v>
          </cell>
        </row>
        <row r="3011">
          <cell r="B3011">
            <v>41360</v>
          </cell>
          <cell r="C3011">
            <v>3</v>
          </cell>
        </row>
        <row r="3012">
          <cell r="B3012">
            <v>41361</v>
          </cell>
          <cell r="C3012">
            <v>3</v>
          </cell>
        </row>
        <row r="3013">
          <cell r="B3013">
            <v>41362</v>
          </cell>
          <cell r="C3013">
            <v>3</v>
          </cell>
        </row>
        <row r="3014">
          <cell r="B3014">
            <v>41363</v>
          </cell>
          <cell r="C3014">
            <v>3</v>
          </cell>
        </row>
        <row r="3015">
          <cell r="B3015">
            <v>41364</v>
          </cell>
          <cell r="C3015">
            <v>3</v>
          </cell>
        </row>
        <row r="3016">
          <cell r="B3016">
            <v>41365</v>
          </cell>
          <cell r="C3016">
            <v>4</v>
          </cell>
        </row>
        <row r="3017">
          <cell r="B3017">
            <v>41366</v>
          </cell>
          <cell r="C3017">
            <v>4</v>
          </cell>
        </row>
        <row r="3018">
          <cell r="B3018">
            <v>41367</v>
          </cell>
          <cell r="C3018">
            <v>4</v>
          </cell>
        </row>
        <row r="3019">
          <cell r="B3019">
            <v>41368</v>
          </cell>
          <cell r="C3019">
            <v>4</v>
          </cell>
        </row>
        <row r="3020">
          <cell r="B3020">
            <v>41369</v>
          </cell>
          <cell r="C3020">
            <v>4</v>
          </cell>
        </row>
        <row r="3021">
          <cell r="B3021">
            <v>41370</v>
          </cell>
          <cell r="C3021">
            <v>4</v>
          </cell>
        </row>
        <row r="3022">
          <cell r="B3022">
            <v>41371</v>
          </cell>
          <cell r="C3022">
            <v>4</v>
          </cell>
        </row>
        <row r="3023">
          <cell r="B3023">
            <v>41372</v>
          </cell>
          <cell r="C3023">
            <v>4</v>
          </cell>
        </row>
        <row r="3024">
          <cell r="B3024">
            <v>41373</v>
          </cell>
          <cell r="C3024">
            <v>4</v>
          </cell>
        </row>
        <row r="3025">
          <cell r="B3025">
            <v>41374</v>
          </cell>
          <cell r="C3025">
            <v>4</v>
          </cell>
        </row>
        <row r="3026">
          <cell r="B3026">
            <v>41375</v>
          </cell>
          <cell r="C3026">
            <v>4</v>
          </cell>
        </row>
        <row r="3027">
          <cell r="B3027">
            <v>41376</v>
          </cell>
          <cell r="C3027">
            <v>4</v>
          </cell>
        </row>
        <row r="3028">
          <cell r="B3028">
            <v>41377</v>
          </cell>
          <cell r="C3028">
            <v>4</v>
          </cell>
        </row>
        <row r="3029">
          <cell r="B3029">
            <v>41378</v>
          </cell>
          <cell r="C3029">
            <v>4</v>
          </cell>
        </row>
        <row r="3030">
          <cell r="B3030">
            <v>41379</v>
          </cell>
          <cell r="C3030">
            <v>4</v>
          </cell>
        </row>
        <row r="3031">
          <cell r="B3031">
            <v>41380</v>
          </cell>
          <cell r="C3031">
            <v>4</v>
          </cell>
        </row>
        <row r="3032">
          <cell r="B3032">
            <v>41381</v>
          </cell>
          <cell r="C3032">
            <v>4</v>
          </cell>
        </row>
        <row r="3033">
          <cell r="B3033">
            <v>41382</v>
          </cell>
          <cell r="C3033">
            <v>4</v>
          </cell>
        </row>
        <row r="3034">
          <cell r="B3034">
            <v>41383</v>
          </cell>
          <cell r="C3034">
            <v>4</v>
          </cell>
        </row>
        <row r="3035">
          <cell r="B3035">
            <v>41384</v>
          </cell>
          <cell r="C3035">
            <v>4</v>
          </cell>
        </row>
        <row r="3036">
          <cell r="B3036">
            <v>41385</v>
          </cell>
          <cell r="C3036">
            <v>4</v>
          </cell>
        </row>
        <row r="3037">
          <cell r="B3037">
            <v>41386</v>
          </cell>
          <cell r="C3037">
            <v>4</v>
          </cell>
        </row>
        <row r="3038">
          <cell r="B3038">
            <v>41387</v>
          </cell>
          <cell r="C3038">
            <v>4</v>
          </cell>
        </row>
        <row r="3039">
          <cell r="B3039">
            <v>41388</v>
          </cell>
          <cell r="C3039">
            <v>4</v>
          </cell>
        </row>
        <row r="3040">
          <cell r="B3040">
            <v>41389</v>
          </cell>
          <cell r="C3040">
            <v>4</v>
          </cell>
        </row>
        <row r="3041">
          <cell r="B3041">
            <v>41390</v>
          </cell>
          <cell r="C3041">
            <v>4</v>
          </cell>
        </row>
        <row r="3042">
          <cell r="B3042">
            <v>41391</v>
          </cell>
          <cell r="C3042">
            <v>4</v>
          </cell>
        </row>
        <row r="3043">
          <cell r="B3043">
            <v>41392</v>
          </cell>
          <cell r="C3043">
            <v>4</v>
          </cell>
        </row>
        <row r="3044">
          <cell r="B3044">
            <v>41393</v>
          </cell>
          <cell r="C3044">
            <v>4</v>
          </cell>
        </row>
        <row r="3045">
          <cell r="B3045">
            <v>41394</v>
          </cell>
          <cell r="C3045">
            <v>4</v>
          </cell>
        </row>
        <row r="3046">
          <cell r="B3046">
            <v>41395</v>
          </cell>
          <cell r="C3046">
            <v>5</v>
          </cell>
        </row>
        <row r="3047">
          <cell r="B3047">
            <v>41396</v>
          </cell>
          <cell r="C3047">
            <v>5</v>
          </cell>
        </row>
        <row r="3048">
          <cell r="B3048">
            <v>41397</v>
          </cell>
          <cell r="C3048">
            <v>5</v>
          </cell>
        </row>
        <row r="3049">
          <cell r="B3049">
            <v>41398</v>
          </cell>
          <cell r="C3049">
            <v>5</v>
          </cell>
        </row>
        <row r="3050">
          <cell r="B3050">
            <v>41399</v>
          </cell>
          <cell r="C3050">
            <v>5</v>
          </cell>
        </row>
        <row r="3051">
          <cell r="B3051">
            <v>41400</v>
          </cell>
          <cell r="C3051">
            <v>5</v>
          </cell>
        </row>
        <row r="3052">
          <cell r="B3052">
            <v>41401</v>
          </cell>
          <cell r="C3052">
            <v>5</v>
          </cell>
        </row>
        <row r="3053">
          <cell r="B3053">
            <v>41402</v>
          </cell>
          <cell r="C3053">
            <v>5</v>
          </cell>
        </row>
        <row r="3054">
          <cell r="B3054">
            <v>41403</v>
          </cell>
          <cell r="C3054">
            <v>5</v>
          </cell>
        </row>
        <row r="3055">
          <cell r="B3055">
            <v>41404</v>
          </cell>
          <cell r="C3055">
            <v>5</v>
          </cell>
        </row>
        <row r="3056">
          <cell r="B3056">
            <v>41405</v>
          </cell>
          <cell r="C3056">
            <v>5</v>
          </cell>
        </row>
        <row r="3057">
          <cell r="B3057">
            <v>41406</v>
          </cell>
          <cell r="C3057">
            <v>5</v>
          </cell>
        </row>
        <row r="3058">
          <cell r="B3058">
            <v>41407</v>
          </cell>
          <cell r="C3058">
            <v>5</v>
          </cell>
        </row>
        <row r="3059">
          <cell r="B3059">
            <v>41408</v>
          </cell>
          <cell r="C3059">
            <v>5</v>
          </cell>
        </row>
        <row r="3060">
          <cell r="B3060">
            <v>41409</v>
          </cell>
          <cell r="C3060">
            <v>5</v>
          </cell>
        </row>
        <row r="3061">
          <cell r="B3061">
            <v>41410</v>
          </cell>
          <cell r="C3061">
            <v>5</v>
          </cell>
        </row>
        <row r="3062">
          <cell r="B3062">
            <v>41411</v>
          </cell>
          <cell r="C3062">
            <v>5</v>
          </cell>
        </row>
        <row r="3063">
          <cell r="B3063">
            <v>41412</v>
          </cell>
          <cell r="C3063">
            <v>5</v>
          </cell>
        </row>
        <row r="3064">
          <cell r="B3064">
            <v>41413</v>
          </cell>
          <cell r="C3064">
            <v>5</v>
          </cell>
        </row>
        <row r="3065">
          <cell r="B3065">
            <v>41414</v>
          </cell>
          <cell r="C3065">
            <v>5</v>
          </cell>
        </row>
        <row r="3066">
          <cell r="B3066">
            <v>41415</v>
          </cell>
          <cell r="C3066">
            <v>5</v>
          </cell>
        </row>
        <row r="3067">
          <cell r="B3067">
            <v>41416</v>
          </cell>
          <cell r="C3067">
            <v>5</v>
          </cell>
        </row>
        <row r="3068">
          <cell r="B3068">
            <v>41417</v>
          </cell>
          <cell r="C3068">
            <v>5</v>
          </cell>
        </row>
        <row r="3069">
          <cell r="B3069">
            <v>41418</v>
          </cell>
          <cell r="C3069">
            <v>5</v>
          </cell>
        </row>
        <row r="3070">
          <cell r="B3070">
            <v>41419</v>
          </cell>
          <cell r="C3070">
            <v>5</v>
          </cell>
        </row>
        <row r="3071">
          <cell r="B3071">
            <v>41420</v>
          </cell>
          <cell r="C3071">
            <v>5</v>
          </cell>
        </row>
        <row r="3072">
          <cell r="B3072">
            <v>41421</v>
          </cell>
          <cell r="C3072">
            <v>5</v>
          </cell>
        </row>
        <row r="3073">
          <cell r="B3073">
            <v>41422</v>
          </cell>
          <cell r="C3073">
            <v>5</v>
          </cell>
        </row>
        <row r="3074">
          <cell r="B3074">
            <v>41423</v>
          </cell>
          <cell r="C3074">
            <v>5</v>
          </cell>
        </row>
        <row r="3075">
          <cell r="B3075">
            <v>41424</v>
          </cell>
          <cell r="C3075">
            <v>5</v>
          </cell>
        </row>
        <row r="3076">
          <cell r="B3076">
            <v>41425</v>
          </cell>
          <cell r="C3076">
            <v>5</v>
          </cell>
        </row>
        <row r="3077">
          <cell r="B3077">
            <v>41426</v>
          </cell>
          <cell r="C3077">
            <v>6</v>
          </cell>
        </row>
        <row r="3078">
          <cell r="B3078">
            <v>41427</v>
          </cell>
          <cell r="C3078">
            <v>6</v>
          </cell>
        </row>
        <row r="3079">
          <cell r="B3079">
            <v>41428</v>
          </cell>
          <cell r="C3079">
            <v>6</v>
          </cell>
        </row>
        <row r="3080">
          <cell r="B3080">
            <v>41429</v>
          </cell>
          <cell r="C3080">
            <v>6</v>
          </cell>
        </row>
        <row r="3081">
          <cell r="B3081">
            <v>41430</v>
          </cell>
          <cell r="C3081">
            <v>6</v>
          </cell>
        </row>
        <row r="3082">
          <cell r="B3082">
            <v>41431</v>
          </cell>
          <cell r="C3082">
            <v>6</v>
          </cell>
        </row>
        <row r="3083">
          <cell r="B3083">
            <v>41432</v>
          </cell>
          <cell r="C3083">
            <v>6</v>
          </cell>
        </row>
        <row r="3084">
          <cell r="B3084">
            <v>41433</v>
          </cell>
          <cell r="C3084">
            <v>6</v>
          </cell>
        </row>
        <row r="3085">
          <cell r="B3085">
            <v>41434</v>
          </cell>
          <cell r="C3085">
            <v>6</v>
          </cell>
        </row>
        <row r="3086">
          <cell r="B3086">
            <v>41435</v>
          </cell>
          <cell r="C3086">
            <v>6</v>
          </cell>
        </row>
        <row r="3087">
          <cell r="B3087">
            <v>41436</v>
          </cell>
          <cell r="C3087">
            <v>6</v>
          </cell>
        </row>
        <row r="3088">
          <cell r="B3088">
            <v>41437</v>
          </cell>
          <cell r="C3088">
            <v>6</v>
          </cell>
        </row>
        <row r="3089">
          <cell r="B3089">
            <v>41438</v>
          </cell>
          <cell r="C3089">
            <v>6</v>
          </cell>
        </row>
        <row r="3090">
          <cell r="B3090">
            <v>41439</v>
          </cell>
          <cell r="C3090">
            <v>6</v>
          </cell>
        </row>
        <row r="3091">
          <cell r="B3091">
            <v>41440</v>
          </cell>
          <cell r="C3091">
            <v>6</v>
          </cell>
        </row>
        <row r="3092">
          <cell r="B3092">
            <v>41441</v>
          </cell>
          <cell r="C3092">
            <v>6</v>
          </cell>
        </row>
        <row r="3093">
          <cell r="B3093">
            <v>41442</v>
          </cell>
          <cell r="C3093">
            <v>6</v>
          </cell>
        </row>
        <row r="3094">
          <cell r="B3094">
            <v>41443</v>
          </cell>
          <cell r="C3094">
            <v>6</v>
          </cell>
        </row>
        <row r="3095">
          <cell r="B3095">
            <v>41444</v>
          </cell>
          <cell r="C3095">
            <v>6</v>
          </cell>
        </row>
        <row r="3096">
          <cell r="B3096">
            <v>41445</v>
          </cell>
          <cell r="C3096">
            <v>6</v>
          </cell>
        </row>
        <row r="3097">
          <cell r="B3097">
            <v>41446</v>
          </cell>
          <cell r="C3097">
            <v>6</v>
          </cell>
        </row>
        <row r="3098">
          <cell r="B3098">
            <v>41447</v>
          </cell>
          <cell r="C3098">
            <v>6</v>
          </cell>
        </row>
        <row r="3099">
          <cell r="B3099">
            <v>41448</v>
          </cell>
          <cell r="C3099">
            <v>6</v>
          </cell>
        </row>
        <row r="3100">
          <cell r="B3100">
            <v>41449</v>
          </cell>
          <cell r="C3100">
            <v>6</v>
          </cell>
        </row>
        <row r="3101">
          <cell r="B3101">
            <v>41450</v>
          </cell>
          <cell r="C3101">
            <v>6</v>
          </cell>
        </row>
        <row r="3102">
          <cell r="B3102">
            <v>41451</v>
          </cell>
          <cell r="C3102">
            <v>6</v>
          </cell>
        </row>
        <row r="3103">
          <cell r="B3103">
            <v>41452</v>
          </cell>
          <cell r="C3103">
            <v>6</v>
          </cell>
        </row>
        <row r="3104">
          <cell r="B3104">
            <v>41453</v>
          </cell>
          <cell r="C3104">
            <v>6</v>
          </cell>
        </row>
        <row r="3105">
          <cell r="B3105">
            <v>41454</v>
          </cell>
          <cell r="C3105">
            <v>6</v>
          </cell>
        </row>
        <row r="3106">
          <cell r="B3106">
            <v>41455</v>
          </cell>
          <cell r="C3106">
            <v>6</v>
          </cell>
        </row>
        <row r="3107">
          <cell r="B3107">
            <v>41456</v>
          </cell>
          <cell r="C3107">
            <v>7</v>
          </cell>
        </row>
        <row r="3108">
          <cell r="B3108">
            <v>41457</v>
          </cell>
          <cell r="C3108">
            <v>7</v>
          </cell>
        </row>
        <row r="3109">
          <cell r="B3109">
            <v>41458</v>
          </cell>
          <cell r="C3109">
            <v>7</v>
          </cell>
        </row>
        <row r="3110">
          <cell r="B3110">
            <v>41459</v>
          </cell>
          <cell r="C3110">
            <v>7</v>
          </cell>
        </row>
        <row r="3111">
          <cell r="B3111">
            <v>41460</v>
          </cell>
          <cell r="C3111">
            <v>7</v>
          </cell>
        </row>
        <row r="3112">
          <cell r="B3112">
            <v>41461</v>
          </cell>
          <cell r="C3112">
            <v>7</v>
          </cell>
        </row>
        <row r="3113">
          <cell r="B3113">
            <v>41462</v>
          </cell>
          <cell r="C3113">
            <v>7</v>
          </cell>
        </row>
        <row r="3114">
          <cell r="B3114">
            <v>41463</v>
          </cell>
          <cell r="C3114">
            <v>7</v>
          </cell>
        </row>
        <row r="3115">
          <cell r="B3115">
            <v>41464</v>
          </cell>
          <cell r="C3115">
            <v>7</v>
          </cell>
        </row>
        <row r="3116">
          <cell r="B3116">
            <v>41465</v>
          </cell>
          <cell r="C3116">
            <v>7</v>
          </cell>
        </row>
        <row r="3117">
          <cell r="B3117">
            <v>41466</v>
          </cell>
          <cell r="C3117">
            <v>7</v>
          </cell>
        </row>
        <row r="3118">
          <cell r="B3118">
            <v>41467</v>
          </cell>
          <cell r="C3118">
            <v>7</v>
          </cell>
        </row>
        <row r="3119">
          <cell r="B3119">
            <v>41468</v>
          </cell>
          <cell r="C3119">
            <v>7</v>
          </cell>
        </row>
        <row r="3120">
          <cell r="B3120">
            <v>41469</v>
          </cell>
          <cell r="C3120">
            <v>7</v>
          </cell>
        </row>
        <row r="3121">
          <cell r="B3121">
            <v>41470</v>
          </cell>
          <cell r="C3121">
            <v>7</v>
          </cell>
        </row>
        <row r="3122">
          <cell r="B3122">
            <v>41471</v>
          </cell>
          <cell r="C3122">
            <v>7</v>
          </cell>
        </row>
        <row r="3123">
          <cell r="B3123">
            <v>41472</v>
          </cell>
          <cell r="C3123">
            <v>7</v>
          </cell>
        </row>
        <row r="3124">
          <cell r="B3124">
            <v>41473</v>
          </cell>
          <cell r="C3124">
            <v>7</v>
          </cell>
        </row>
        <row r="3125">
          <cell r="B3125">
            <v>41474</v>
          </cell>
          <cell r="C3125">
            <v>7</v>
          </cell>
        </row>
        <row r="3126">
          <cell r="B3126">
            <v>41475</v>
          </cell>
          <cell r="C3126">
            <v>7</v>
          </cell>
        </row>
        <row r="3127">
          <cell r="B3127">
            <v>41476</v>
          </cell>
          <cell r="C3127">
            <v>7</v>
          </cell>
        </row>
        <row r="3128">
          <cell r="B3128">
            <v>41477</v>
          </cell>
          <cell r="C3128">
            <v>7</v>
          </cell>
        </row>
        <row r="3129">
          <cell r="B3129">
            <v>41478</v>
          </cell>
          <cell r="C3129">
            <v>7</v>
          </cell>
        </row>
        <row r="3130">
          <cell r="B3130">
            <v>41479</v>
          </cell>
          <cell r="C3130">
            <v>7</v>
          </cell>
        </row>
        <row r="3131">
          <cell r="B3131">
            <v>41480</v>
          </cell>
          <cell r="C3131">
            <v>7</v>
          </cell>
        </row>
        <row r="3132">
          <cell r="B3132">
            <v>41481</v>
          </cell>
          <cell r="C3132">
            <v>7</v>
          </cell>
        </row>
        <row r="3133">
          <cell r="B3133">
            <v>41482</v>
          </cell>
          <cell r="C3133">
            <v>7</v>
          </cell>
        </row>
        <row r="3134">
          <cell r="B3134">
            <v>41483</v>
          </cell>
          <cell r="C3134">
            <v>7</v>
          </cell>
        </row>
        <row r="3135">
          <cell r="B3135">
            <v>41484</v>
          </cell>
          <cell r="C3135">
            <v>7</v>
          </cell>
        </row>
        <row r="3136">
          <cell r="B3136">
            <v>41485</v>
          </cell>
          <cell r="C3136">
            <v>7</v>
          </cell>
        </row>
        <row r="3137">
          <cell r="B3137">
            <v>41486</v>
          </cell>
          <cell r="C3137">
            <v>7</v>
          </cell>
        </row>
        <row r="3138">
          <cell r="B3138">
            <v>41487</v>
          </cell>
          <cell r="C3138">
            <v>8</v>
          </cell>
        </row>
        <row r="3139">
          <cell r="B3139">
            <v>41488</v>
          </cell>
          <cell r="C3139">
            <v>8</v>
          </cell>
        </row>
        <row r="3140">
          <cell r="B3140">
            <v>41489</v>
          </cell>
          <cell r="C3140">
            <v>8</v>
          </cell>
        </row>
        <row r="3141">
          <cell r="B3141">
            <v>41490</v>
          </cell>
          <cell r="C3141">
            <v>8</v>
          </cell>
        </row>
        <row r="3142">
          <cell r="B3142">
            <v>41491</v>
          </cell>
          <cell r="C3142">
            <v>8</v>
          </cell>
        </row>
        <row r="3143">
          <cell r="B3143">
            <v>41492</v>
          </cell>
          <cell r="C3143">
            <v>8</v>
          </cell>
        </row>
        <row r="3144">
          <cell r="B3144">
            <v>41493</v>
          </cell>
          <cell r="C3144">
            <v>8</v>
          </cell>
        </row>
        <row r="3145">
          <cell r="B3145">
            <v>41494</v>
          </cell>
          <cell r="C3145">
            <v>8</v>
          </cell>
        </row>
        <row r="3146">
          <cell r="B3146">
            <v>41495</v>
          </cell>
          <cell r="C3146">
            <v>8</v>
          </cell>
        </row>
        <row r="3147">
          <cell r="B3147">
            <v>41496</v>
          </cell>
          <cell r="C3147">
            <v>8</v>
          </cell>
        </row>
        <row r="3148">
          <cell r="B3148">
            <v>41497</v>
          </cell>
          <cell r="C3148">
            <v>8</v>
          </cell>
        </row>
        <row r="3149">
          <cell r="B3149">
            <v>41498</v>
          </cell>
          <cell r="C3149">
            <v>8</v>
          </cell>
        </row>
        <row r="3150">
          <cell r="B3150">
            <v>41499</v>
          </cell>
          <cell r="C3150">
            <v>8</v>
          </cell>
        </row>
        <row r="3151">
          <cell r="B3151">
            <v>41500</v>
          </cell>
          <cell r="C3151">
            <v>8</v>
          </cell>
        </row>
        <row r="3152">
          <cell r="B3152">
            <v>41501</v>
          </cell>
          <cell r="C3152">
            <v>8</v>
          </cell>
        </row>
        <row r="3153">
          <cell r="B3153">
            <v>41502</v>
          </cell>
          <cell r="C3153">
            <v>8</v>
          </cell>
        </row>
        <row r="3154">
          <cell r="B3154">
            <v>41503</v>
          </cell>
          <cell r="C3154">
            <v>8</v>
          </cell>
        </row>
        <row r="3155">
          <cell r="B3155">
            <v>41504</v>
          </cell>
          <cell r="C3155">
            <v>8</v>
          </cell>
        </row>
        <row r="3156">
          <cell r="B3156">
            <v>41505</v>
          </cell>
          <cell r="C3156">
            <v>8</v>
          </cell>
        </row>
        <row r="3157">
          <cell r="B3157">
            <v>41506</v>
          </cell>
          <cell r="C3157">
            <v>8</v>
          </cell>
        </row>
        <row r="3158">
          <cell r="B3158">
            <v>41507</v>
          </cell>
          <cell r="C3158">
            <v>8</v>
          </cell>
        </row>
        <row r="3159">
          <cell r="B3159">
            <v>41508</v>
          </cell>
          <cell r="C3159">
            <v>8</v>
          </cell>
        </row>
        <row r="3160">
          <cell r="B3160">
            <v>41509</v>
          </cell>
          <cell r="C3160">
            <v>8</v>
          </cell>
        </row>
        <row r="3161">
          <cell r="B3161">
            <v>41510</v>
          </cell>
          <cell r="C3161">
            <v>8</v>
          </cell>
        </row>
        <row r="3162">
          <cell r="B3162">
            <v>41511</v>
          </cell>
          <cell r="C3162">
            <v>8</v>
          </cell>
        </row>
        <row r="3163">
          <cell r="B3163">
            <v>41512</v>
          </cell>
          <cell r="C3163">
            <v>8</v>
          </cell>
        </row>
        <row r="3164">
          <cell r="B3164">
            <v>41513</v>
          </cell>
          <cell r="C3164">
            <v>8</v>
          </cell>
        </row>
        <row r="3165">
          <cell r="B3165">
            <v>41514</v>
          </cell>
          <cell r="C3165">
            <v>8</v>
          </cell>
        </row>
        <row r="3166">
          <cell r="B3166">
            <v>41515</v>
          </cell>
          <cell r="C3166">
            <v>8</v>
          </cell>
        </row>
        <row r="3167">
          <cell r="B3167">
            <v>41516</v>
          </cell>
          <cell r="C3167">
            <v>8</v>
          </cell>
        </row>
        <row r="3168">
          <cell r="B3168">
            <v>41517</v>
          </cell>
          <cell r="C3168">
            <v>8</v>
          </cell>
        </row>
        <row r="3169">
          <cell r="B3169">
            <v>41518</v>
          </cell>
          <cell r="C3169">
            <v>9</v>
          </cell>
        </row>
        <row r="3170">
          <cell r="B3170">
            <v>41519</v>
          </cell>
          <cell r="C3170">
            <v>9</v>
          </cell>
        </row>
        <row r="3171">
          <cell r="B3171">
            <v>41520</v>
          </cell>
          <cell r="C3171">
            <v>9</v>
          </cell>
        </row>
        <row r="3172">
          <cell r="B3172">
            <v>41521</v>
          </cell>
          <cell r="C3172">
            <v>9</v>
          </cell>
        </row>
        <row r="3173">
          <cell r="B3173">
            <v>41522</v>
          </cell>
          <cell r="C3173">
            <v>9</v>
          </cell>
        </row>
        <row r="3174">
          <cell r="B3174">
            <v>41523</v>
          </cell>
          <cell r="C3174">
            <v>9</v>
          </cell>
        </row>
        <row r="3175">
          <cell r="B3175">
            <v>41524</v>
          </cell>
          <cell r="C3175">
            <v>9</v>
          </cell>
        </row>
        <row r="3176">
          <cell r="B3176">
            <v>41525</v>
          </cell>
          <cell r="C3176">
            <v>9</v>
          </cell>
        </row>
        <row r="3177">
          <cell r="B3177">
            <v>41526</v>
          </cell>
          <cell r="C3177">
            <v>9</v>
          </cell>
        </row>
        <row r="3178">
          <cell r="B3178">
            <v>41527</v>
          </cell>
          <cell r="C3178">
            <v>9</v>
          </cell>
        </row>
        <row r="3179">
          <cell r="B3179">
            <v>41528</v>
          </cell>
          <cell r="C3179">
            <v>9</v>
          </cell>
        </row>
        <row r="3180">
          <cell r="B3180">
            <v>41529</v>
          </cell>
          <cell r="C3180">
            <v>9</v>
          </cell>
        </row>
        <row r="3181">
          <cell r="B3181">
            <v>41530</v>
          </cell>
          <cell r="C3181">
            <v>9</v>
          </cell>
        </row>
        <row r="3182">
          <cell r="B3182">
            <v>41531</v>
          </cell>
          <cell r="C3182">
            <v>9</v>
          </cell>
        </row>
        <row r="3183">
          <cell r="B3183">
            <v>41532</v>
          </cell>
          <cell r="C3183">
            <v>9</v>
          </cell>
        </row>
        <row r="3184">
          <cell r="B3184">
            <v>41533</v>
          </cell>
          <cell r="C3184">
            <v>9</v>
          </cell>
        </row>
        <row r="3185">
          <cell r="B3185">
            <v>41534</v>
          </cell>
          <cell r="C3185">
            <v>9</v>
          </cell>
        </row>
        <row r="3186">
          <cell r="B3186">
            <v>41535</v>
          </cell>
          <cell r="C3186">
            <v>9</v>
          </cell>
        </row>
        <row r="3187">
          <cell r="B3187">
            <v>41536</v>
          </cell>
          <cell r="C3187">
            <v>9</v>
          </cell>
        </row>
        <row r="3188">
          <cell r="B3188">
            <v>41537</v>
          </cell>
          <cell r="C3188">
            <v>9</v>
          </cell>
        </row>
        <row r="3189">
          <cell r="B3189">
            <v>41538</v>
          </cell>
          <cell r="C3189">
            <v>9</v>
          </cell>
        </row>
        <row r="3190">
          <cell r="B3190">
            <v>41539</v>
          </cell>
          <cell r="C3190">
            <v>9</v>
          </cell>
        </row>
        <row r="3191">
          <cell r="B3191">
            <v>41540</v>
          </cell>
          <cell r="C3191">
            <v>9</v>
          </cell>
        </row>
        <row r="3192">
          <cell r="B3192">
            <v>41541</v>
          </cell>
          <cell r="C3192">
            <v>9</v>
          </cell>
        </row>
        <row r="3193">
          <cell r="B3193">
            <v>41542</v>
          </cell>
          <cell r="C3193">
            <v>9</v>
          </cell>
        </row>
        <row r="3194">
          <cell r="B3194">
            <v>41543</v>
          </cell>
          <cell r="C3194">
            <v>9</v>
          </cell>
        </row>
        <row r="3195">
          <cell r="B3195">
            <v>41544</v>
          </cell>
          <cell r="C3195">
            <v>9</v>
          </cell>
        </row>
        <row r="3196">
          <cell r="B3196">
            <v>41545</v>
          </cell>
          <cell r="C3196">
            <v>9</v>
          </cell>
        </row>
        <row r="3197">
          <cell r="B3197">
            <v>41546</v>
          </cell>
          <cell r="C3197">
            <v>9</v>
          </cell>
        </row>
        <row r="3198">
          <cell r="B3198">
            <v>41547</v>
          </cell>
          <cell r="C3198">
            <v>9</v>
          </cell>
        </row>
        <row r="3199">
          <cell r="B3199">
            <v>41548</v>
          </cell>
          <cell r="C3199">
            <v>10</v>
          </cell>
        </row>
        <row r="3200">
          <cell r="B3200">
            <v>41549</v>
          </cell>
          <cell r="C3200">
            <v>10</v>
          </cell>
        </row>
        <row r="3201">
          <cell r="B3201">
            <v>41550</v>
          </cell>
          <cell r="C3201">
            <v>10</v>
          </cell>
        </row>
        <row r="3202">
          <cell r="B3202">
            <v>41551</v>
          </cell>
          <cell r="C3202">
            <v>10</v>
          </cell>
        </row>
        <row r="3203">
          <cell r="B3203">
            <v>41552</v>
          </cell>
          <cell r="C3203">
            <v>10</v>
          </cell>
        </row>
        <row r="3204">
          <cell r="B3204">
            <v>41553</v>
          </cell>
          <cell r="C3204">
            <v>10</v>
          </cell>
        </row>
        <row r="3205">
          <cell r="B3205">
            <v>41554</v>
          </cell>
          <cell r="C3205">
            <v>10</v>
          </cell>
        </row>
        <row r="3206">
          <cell r="B3206">
            <v>41555</v>
          </cell>
          <cell r="C3206">
            <v>10</v>
          </cell>
        </row>
        <row r="3207">
          <cell r="B3207">
            <v>41556</v>
          </cell>
          <cell r="C3207">
            <v>10</v>
          </cell>
        </row>
        <row r="3208">
          <cell r="B3208">
            <v>41557</v>
          </cell>
          <cell r="C3208">
            <v>10</v>
          </cell>
        </row>
        <row r="3209">
          <cell r="B3209">
            <v>41558</v>
          </cell>
          <cell r="C3209">
            <v>10</v>
          </cell>
        </row>
        <row r="3210">
          <cell r="B3210">
            <v>41559</v>
          </cell>
          <cell r="C3210">
            <v>10</v>
          </cell>
        </row>
        <row r="3211">
          <cell r="B3211">
            <v>41560</v>
          </cell>
          <cell r="C3211">
            <v>10</v>
          </cell>
        </row>
        <row r="3212">
          <cell r="B3212">
            <v>41561</v>
          </cell>
          <cell r="C3212">
            <v>10</v>
          </cell>
        </row>
        <row r="3213">
          <cell r="B3213">
            <v>41562</v>
          </cell>
          <cell r="C3213">
            <v>10</v>
          </cell>
        </row>
        <row r="3214">
          <cell r="B3214">
            <v>41563</v>
          </cell>
          <cell r="C3214">
            <v>10</v>
          </cell>
        </row>
        <row r="3215">
          <cell r="B3215">
            <v>41564</v>
          </cell>
          <cell r="C3215">
            <v>10</v>
          </cell>
        </row>
        <row r="3216">
          <cell r="B3216">
            <v>41565</v>
          </cell>
          <cell r="C3216">
            <v>10</v>
          </cell>
        </row>
        <row r="3217">
          <cell r="B3217">
            <v>41566</v>
          </cell>
          <cell r="C3217">
            <v>10</v>
          </cell>
        </row>
        <row r="3218">
          <cell r="B3218">
            <v>41567</v>
          </cell>
          <cell r="C3218">
            <v>10</v>
          </cell>
        </row>
        <row r="3219">
          <cell r="B3219">
            <v>41568</v>
          </cell>
          <cell r="C3219">
            <v>10</v>
          </cell>
        </row>
        <row r="3220">
          <cell r="B3220">
            <v>41569</v>
          </cell>
          <cell r="C3220">
            <v>10</v>
          </cell>
        </row>
        <row r="3221">
          <cell r="B3221">
            <v>41570</v>
          </cell>
          <cell r="C3221">
            <v>10</v>
          </cell>
        </row>
        <row r="3222">
          <cell r="B3222">
            <v>41571</v>
          </cell>
          <cell r="C3222">
            <v>10</v>
          </cell>
        </row>
        <row r="3223">
          <cell r="B3223">
            <v>41572</v>
          </cell>
          <cell r="C3223">
            <v>10</v>
          </cell>
        </row>
        <row r="3224">
          <cell r="B3224">
            <v>41573</v>
          </cell>
          <cell r="C3224">
            <v>10</v>
          </cell>
        </row>
        <row r="3225">
          <cell r="B3225">
            <v>41574</v>
          </cell>
          <cell r="C3225">
            <v>10</v>
          </cell>
        </row>
        <row r="3226">
          <cell r="B3226">
            <v>41575</v>
          </cell>
          <cell r="C3226">
            <v>10</v>
          </cell>
        </row>
        <row r="3227">
          <cell r="B3227">
            <v>41576</v>
          </cell>
          <cell r="C3227">
            <v>10</v>
          </cell>
        </row>
        <row r="3228">
          <cell r="B3228">
            <v>41577</v>
          </cell>
          <cell r="C3228">
            <v>10</v>
          </cell>
        </row>
        <row r="3229">
          <cell r="B3229">
            <v>41578</v>
          </cell>
          <cell r="C3229">
            <v>10</v>
          </cell>
        </row>
        <row r="3230">
          <cell r="B3230">
            <v>41579</v>
          </cell>
          <cell r="C3230">
            <v>11</v>
          </cell>
        </row>
        <row r="3231">
          <cell r="B3231">
            <v>41580</v>
          </cell>
          <cell r="C3231">
            <v>11</v>
          </cell>
        </row>
        <row r="3232">
          <cell r="B3232">
            <v>41581</v>
          </cell>
          <cell r="C3232">
            <v>11</v>
          </cell>
        </row>
        <row r="3233">
          <cell r="B3233">
            <v>41582</v>
          </cell>
          <cell r="C3233">
            <v>11</v>
          </cell>
        </row>
        <row r="3234">
          <cell r="B3234">
            <v>41583</v>
          </cell>
          <cell r="C3234">
            <v>11</v>
          </cell>
        </row>
        <row r="3235">
          <cell r="B3235">
            <v>41584</v>
          </cell>
          <cell r="C3235">
            <v>11</v>
          </cell>
        </row>
        <row r="3236">
          <cell r="B3236">
            <v>41585</v>
          </cell>
          <cell r="C3236">
            <v>11</v>
          </cell>
        </row>
        <row r="3237">
          <cell r="B3237">
            <v>41586</v>
          </cell>
          <cell r="C3237">
            <v>11</v>
          </cell>
        </row>
        <row r="3238">
          <cell r="B3238">
            <v>41587</v>
          </cell>
          <cell r="C3238">
            <v>11</v>
          </cell>
        </row>
        <row r="3239">
          <cell r="B3239">
            <v>41588</v>
          </cell>
          <cell r="C3239">
            <v>11</v>
          </cell>
        </row>
        <row r="3240">
          <cell r="B3240">
            <v>41589</v>
          </cell>
          <cell r="C3240">
            <v>11</v>
          </cell>
        </row>
        <row r="3241">
          <cell r="B3241">
            <v>41590</v>
          </cell>
          <cell r="C3241">
            <v>11</v>
          </cell>
        </row>
        <row r="3242">
          <cell r="B3242">
            <v>41591</v>
          </cell>
          <cell r="C3242">
            <v>11</v>
          </cell>
        </row>
        <row r="3243">
          <cell r="B3243">
            <v>41592</v>
          </cell>
          <cell r="C3243">
            <v>11</v>
          </cell>
        </row>
        <row r="3244">
          <cell r="B3244">
            <v>41593</v>
          </cell>
          <cell r="C3244">
            <v>11</v>
          </cell>
        </row>
        <row r="3245">
          <cell r="B3245">
            <v>41594</v>
          </cell>
          <cell r="C3245">
            <v>11</v>
          </cell>
        </row>
        <row r="3246">
          <cell r="B3246">
            <v>41595</v>
          </cell>
          <cell r="C3246">
            <v>11</v>
          </cell>
        </row>
        <row r="3247">
          <cell r="B3247">
            <v>41596</v>
          </cell>
          <cell r="C3247">
            <v>11</v>
          </cell>
        </row>
        <row r="3248">
          <cell r="B3248">
            <v>41597</v>
          </cell>
          <cell r="C3248">
            <v>11</v>
          </cell>
        </row>
        <row r="3249">
          <cell r="B3249">
            <v>41598</v>
          </cell>
          <cell r="C3249">
            <v>11</v>
          </cell>
        </row>
        <row r="3250">
          <cell r="B3250">
            <v>41599</v>
          </cell>
          <cell r="C3250">
            <v>11</v>
          </cell>
        </row>
        <row r="3251">
          <cell r="B3251">
            <v>41600</v>
          </cell>
          <cell r="C3251">
            <v>11</v>
          </cell>
        </row>
        <row r="3252">
          <cell r="B3252">
            <v>41601</v>
          </cell>
          <cell r="C3252">
            <v>11</v>
          </cell>
        </row>
        <row r="3253">
          <cell r="B3253">
            <v>41602</v>
          </cell>
          <cell r="C3253">
            <v>11</v>
          </cell>
        </row>
        <row r="3254">
          <cell r="B3254">
            <v>41603</v>
          </cell>
          <cell r="C3254">
            <v>11</v>
          </cell>
        </row>
        <row r="3255">
          <cell r="B3255">
            <v>41604</v>
          </cell>
          <cell r="C3255">
            <v>11</v>
          </cell>
        </row>
        <row r="3256">
          <cell r="B3256">
            <v>41605</v>
          </cell>
          <cell r="C3256">
            <v>11</v>
          </cell>
        </row>
        <row r="3257">
          <cell r="B3257">
            <v>41606</v>
          </cell>
          <cell r="C3257">
            <v>11</v>
          </cell>
        </row>
        <row r="3258">
          <cell r="B3258">
            <v>41607</v>
          </cell>
          <cell r="C3258">
            <v>11</v>
          </cell>
        </row>
        <row r="3259">
          <cell r="B3259">
            <v>41608</v>
          </cell>
          <cell r="C3259">
            <v>11</v>
          </cell>
        </row>
        <row r="3260">
          <cell r="B3260">
            <v>41609</v>
          </cell>
          <cell r="C3260">
            <v>12</v>
          </cell>
        </row>
        <row r="3261">
          <cell r="B3261">
            <v>41610</v>
          </cell>
          <cell r="C3261">
            <v>12</v>
          </cell>
        </row>
        <row r="3262">
          <cell r="B3262">
            <v>41611</v>
          </cell>
          <cell r="C3262">
            <v>12</v>
          </cell>
        </row>
        <row r="3263">
          <cell r="B3263">
            <v>41612</v>
          </cell>
          <cell r="C3263">
            <v>12</v>
          </cell>
        </row>
        <row r="3264">
          <cell r="B3264">
            <v>41613</v>
          </cell>
          <cell r="C3264">
            <v>12</v>
          </cell>
        </row>
        <row r="3265">
          <cell r="B3265">
            <v>41614</v>
          </cell>
          <cell r="C3265">
            <v>12</v>
          </cell>
        </row>
        <row r="3266">
          <cell r="B3266">
            <v>41615</v>
          </cell>
          <cell r="C3266">
            <v>12</v>
          </cell>
        </row>
        <row r="3267">
          <cell r="B3267">
            <v>41616</v>
          </cell>
          <cell r="C3267">
            <v>12</v>
          </cell>
        </row>
        <row r="3268">
          <cell r="B3268">
            <v>41617</v>
          </cell>
          <cell r="C3268">
            <v>12</v>
          </cell>
        </row>
        <row r="3269">
          <cell r="B3269">
            <v>41618</v>
          </cell>
          <cell r="C3269">
            <v>12</v>
          </cell>
        </row>
        <row r="3270">
          <cell r="B3270">
            <v>41619</v>
          </cell>
          <cell r="C3270">
            <v>12</v>
          </cell>
        </row>
        <row r="3271">
          <cell r="B3271">
            <v>41620</v>
          </cell>
          <cell r="C3271">
            <v>12</v>
          </cell>
        </row>
        <row r="3272">
          <cell r="B3272">
            <v>41621</v>
          </cell>
          <cell r="C3272">
            <v>12</v>
          </cell>
        </row>
        <row r="3273">
          <cell r="B3273">
            <v>41622</v>
          </cell>
          <cell r="C3273">
            <v>12</v>
          </cell>
        </row>
        <row r="3274">
          <cell r="B3274">
            <v>41623</v>
          </cell>
          <cell r="C3274">
            <v>12</v>
          </cell>
        </row>
        <row r="3275">
          <cell r="B3275">
            <v>41624</v>
          </cell>
          <cell r="C3275">
            <v>12</v>
          </cell>
        </row>
        <row r="3276">
          <cell r="B3276">
            <v>41625</v>
          </cell>
          <cell r="C3276">
            <v>12</v>
          </cell>
        </row>
        <row r="3277">
          <cell r="B3277">
            <v>41626</v>
          </cell>
          <cell r="C3277">
            <v>12</v>
          </cell>
        </row>
        <row r="3278">
          <cell r="B3278">
            <v>41627</v>
          </cell>
          <cell r="C3278">
            <v>12</v>
          </cell>
        </row>
        <row r="3279">
          <cell r="B3279">
            <v>41628</v>
          </cell>
          <cell r="C3279">
            <v>12</v>
          </cell>
        </row>
        <row r="3280">
          <cell r="B3280">
            <v>41629</v>
          </cell>
          <cell r="C3280">
            <v>12</v>
          </cell>
        </row>
        <row r="3281">
          <cell r="B3281">
            <v>41630</v>
          </cell>
          <cell r="C3281">
            <v>12</v>
          </cell>
        </row>
        <row r="3282">
          <cell r="B3282">
            <v>41631</v>
          </cell>
          <cell r="C3282">
            <v>12</v>
          </cell>
        </row>
        <row r="3283">
          <cell r="B3283">
            <v>41632</v>
          </cell>
          <cell r="C3283">
            <v>12</v>
          </cell>
        </row>
        <row r="3284">
          <cell r="B3284">
            <v>41633</v>
          </cell>
          <cell r="C3284">
            <v>12</v>
          </cell>
        </row>
        <row r="3285">
          <cell r="B3285">
            <v>41634</v>
          </cell>
          <cell r="C3285">
            <v>12</v>
          </cell>
        </row>
        <row r="3286">
          <cell r="B3286">
            <v>41635</v>
          </cell>
          <cell r="C3286">
            <v>12</v>
          </cell>
        </row>
        <row r="3287">
          <cell r="B3287">
            <v>41636</v>
          </cell>
          <cell r="C3287">
            <v>12</v>
          </cell>
        </row>
        <row r="3288">
          <cell r="B3288">
            <v>41637</v>
          </cell>
          <cell r="C3288">
            <v>12</v>
          </cell>
        </row>
        <row r="3289">
          <cell r="B3289">
            <v>41638</v>
          </cell>
          <cell r="C3289">
            <v>12</v>
          </cell>
        </row>
        <row r="3290">
          <cell r="B3290">
            <v>41639</v>
          </cell>
          <cell r="C3290">
            <v>12</v>
          </cell>
        </row>
        <row r="3291">
          <cell r="B3291">
            <v>41640</v>
          </cell>
          <cell r="C3291">
            <v>1</v>
          </cell>
        </row>
        <row r="3292">
          <cell r="B3292">
            <v>41641</v>
          </cell>
          <cell r="C3292">
            <v>1</v>
          </cell>
        </row>
        <row r="3293">
          <cell r="B3293">
            <v>41642</v>
          </cell>
          <cell r="C3293">
            <v>1</v>
          </cell>
        </row>
        <row r="3294">
          <cell r="B3294">
            <v>41643</v>
          </cell>
          <cell r="C3294">
            <v>1</v>
          </cell>
        </row>
        <row r="3295">
          <cell r="B3295">
            <v>41644</v>
          </cell>
          <cell r="C3295">
            <v>1</v>
          </cell>
        </row>
        <row r="3296">
          <cell r="B3296">
            <v>41645</v>
          </cell>
          <cell r="C3296">
            <v>1</v>
          </cell>
        </row>
        <row r="3297">
          <cell r="B3297">
            <v>41646</v>
          </cell>
          <cell r="C3297">
            <v>1</v>
          </cell>
        </row>
        <row r="3298">
          <cell r="B3298">
            <v>41647</v>
          </cell>
          <cell r="C3298">
            <v>1</v>
          </cell>
        </row>
        <row r="3299">
          <cell r="B3299">
            <v>41648</v>
          </cell>
          <cell r="C3299">
            <v>1</v>
          </cell>
        </row>
        <row r="3300">
          <cell r="B3300">
            <v>41649</v>
          </cell>
          <cell r="C3300">
            <v>1</v>
          </cell>
        </row>
        <row r="3301">
          <cell r="B3301">
            <v>41650</v>
          </cell>
          <cell r="C3301">
            <v>1</v>
          </cell>
        </row>
        <row r="3302">
          <cell r="B3302">
            <v>41651</v>
          </cell>
          <cell r="C3302">
            <v>1</v>
          </cell>
        </row>
        <row r="3303">
          <cell r="B3303">
            <v>41652</v>
          </cell>
          <cell r="C3303">
            <v>1</v>
          </cell>
        </row>
        <row r="3304">
          <cell r="B3304">
            <v>41653</v>
          </cell>
          <cell r="C3304">
            <v>1</v>
          </cell>
        </row>
        <row r="3305">
          <cell r="B3305">
            <v>41654</v>
          </cell>
          <cell r="C3305">
            <v>1</v>
          </cell>
        </row>
        <row r="3306">
          <cell r="B3306">
            <v>41655</v>
          </cell>
          <cell r="C3306">
            <v>1</v>
          </cell>
        </row>
        <row r="3307">
          <cell r="B3307">
            <v>41656</v>
          </cell>
          <cell r="C3307">
            <v>1</v>
          </cell>
        </row>
        <row r="3308">
          <cell r="B3308">
            <v>41657</v>
          </cell>
          <cell r="C3308">
            <v>1</v>
          </cell>
        </row>
        <row r="3309">
          <cell r="B3309">
            <v>41658</v>
          </cell>
          <cell r="C3309">
            <v>1</v>
          </cell>
        </row>
        <row r="3310">
          <cell r="B3310">
            <v>41659</v>
          </cell>
          <cell r="C3310">
            <v>1</v>
          </cell>
        </row>
        <row r="3311">
          <cell r="B3311">
            <v>41660</v>
          </cell>
          <cell r="C3311">
            <v>1</v>
          </cell>
        </row>
        <row r="3312">
          <cell r="B3312">
            <v>41661</v>
          </cell>
          <cell r="C3312">
            <v>1</v>
          </cell>
        </row>
        <row r="3313">
          <cell r="B3313">
            <v>41662</v>
          </cell>
          <cell r="C3313">
            <v>1</v>
          </cell>
        </row>
        <row r="3314">
          <cell r="B3314">
            <v>41663</v>
          </cell>
          <cell r="C3314">
            <v>1</v>
          </cell>
        </row>
        <row r="3315">
          <cell r="B3315">
            <v>41664</v>
          </cell>
          <cell r="C3315">
            <v>1</v>
          </cell>
        </row>
        <row r="3316">
          <cell r="B3316">
            <v>41665</v>
          </cell>
          <cell r="C3316">
            <v>1</v>
          </cell>
        </row>
        <row r="3317">
          <cell r="B3317">
            <v>41666</v>
          </cell>
          <cell r="C3317">
            <v>1</v>
          </cell>
        </row>
        <row r="3318">
          <cell r="B3318">
            <v>41667</v>
          </cell>
          <cell r="C3318">
            <v>1</v>
          </cell>
        </row>
        <row r="3319">
          <cell r="B3319">
            <v>41668</v>
          </cell>
          <cell r="C3319">
            <v>1</v>
          </cell>
        </row>
        <row r="3320">
          <cell r="B3320">
            <v>41669</v>
          </cell>
          <cell r="C3320">
            <v>1</v>
          </cell>
        </row>
        <row r="3321">
          <cell r="B3321">
            <v>41670</v>
          </cell>
          <cell r="C3321">
            <v>1</v>
          </cell>
        </row>
        <row r="3322">
          <cell r="B3322">
            <v>41671</v>
          </cell>
          <cell r="C3322">
            <v>2</v>
          </cell>
        </row>
        <row r="3323">
          <cell r="B3323">
            <v>41672</v>
          </cell>
          <cell r="C3323">
            <v>2</v>
          </cell>
        </row>
        <row r="3324">
          <cell r="B3324">
            <v>41673</v>
          </cell>
          <cell r="C3324">
            <v>2</v>
          </cell>
        </row>
        <row r="3325">
          <cell r="B3325">
            <v>41674</v>
          </cell>
          <cell r="C3325">
            <v>2</v>
          </cell>
        </row>
        <row r="3326">
          <cell r="B3326">
            <v>41675</v>
          </cell>
          <cell r="C3326">
            <v>2</v>
          </cell>
        </row>
        <row r="3327">
          <cell r="B3327">
            <v>41676</v>
          </cell>
          <cell r="C3327">
            <v>2</v>
          </cell>
        </row>
        <row r="3328">
          <cell r="B3328">
            <v>41677</v>
          </cell>
          <cell r="C3328">
            <v>2</v>
          </cell>
        </row>
        <row r="3329">
          <cell r="B3329">
            <v>41678</v>
          </cell>
          <cell r="C3329">
            <v>2</v>
          </cell>
        </row>
        <row r="3330">
          <cell r="B3330">
            <v>41679</v>
          </cell>
          <cell r="C3330">
            <v>2</v>
          </cell>
        </row>
        <row r="3331">
          <cell r="B3331">
            <v>41680</v>
          </cell>
          <cell r="C3331">
            <v>2</v>
          </cell>
        </row>
        <row r="3332">
          <cell r="B3332">
            <v>41681</v>
          </cell>
          <cell r="C3332">
            <v>2</v>
          </cell>
        </row>
        <row r="3333">
          <cell r="B3333">
            <v>41682</v>
          </cell>
          <cell r="C3333">
            <v>2</v>
          </cell>
        </row>
        <row r="3334">
          <cell r="B3334">
            <v>41683</v>
          </cell>
          <cell r="C3334">
            <v>2</v>
          </cell>
        </row>
        <row r="3335">
          <cell r="B3335">
            <v>41684</v>
          </cell>
          <cell r="C3335">
            <v>2</v>
          </cell>
        </row>
        <row r="3336">
          <cell r="B3336">
            <v>41685</v>
          </cell>
          <cell r="C3336">
            <v>2</v>
          </cell>
        </row>
        <row r="3337">
          <cell r="B3337">
            <v>41686</v>
          </cell>
          <cell r="C3337">
            <v>2</v>
          </cell>
        </row>
        <row r="3338">
          <cell r="B3338">
            <v>41687</v>
          </cell>
          <cell r="C3338">
            <v>2</v>
          </cell>
        </row>
        <row r="3339">
          <cell r="B3339">
            <v>41688</v>
          </cell>
          <cell r="C3339">
            <v>2</v>
          </cell>
        </row>
        <row r="3340">
          <cell r="B3340">
            <v>41689</v>
          </cell>
          <cell r="C3340">
            <v>2</v>
          </cell>
        </row>
        <row r="3341">
          <cell r="B3341">
            <v>41690</v>
          </cell>
          <cell r="C3341">
            <v>2</v>
          </cell>
        </row>
        <row r="3342">
          <cell r="B3342">
            <v>41691</v>
          </cell>
          <cell r="C3342">
            <v>2</v>
          </cell>
        </row>
        <row r="3343">
          <cell r="B3343">
            <v>41692</v>
          </cell>
          <cell r="C3343">
            <v>2</v>
          </cell>
        </row>
        <row r="3344">
          <cell r="B3344">
            <v>41693</v>
          </cell>
          <cell r="C3344">
            <v>2</v>
          </cell>
        </row>
        <row r="3345">
          <cell r="B3345">
            <v>41694</v>
          </cell>
          <cell r="C3345">
            <v>2</v>
          </cell>
        </row>
        <row r="3346">
          <cell r="B3346">
            <v>41695</v>
          </cell>
          <cell r="C3346">
            <v>2</v>
          </cell>
        </row>
        <row r="3347">
          <cell r="B3347">
            <v>41696</v>
          </cell>
          <cell r="C3347">
            <v>2</v>
          </cell>
        </row>
        <row r="3348">
          <cell r="B3348">
            <v>41697</v>
          </cell>
          <cell r="C3348">
            <v>2</v>
          </cell>
        </row>
        <row r="3349">
          <cell r="B3349">
            <v>41698</v>
          </cell>
          <cell r="C3349">
            <v>2</v>
          </cell>
        </row>
        <row r="3350">
          <cell r="B3350">
            <v>41699</v>
          </cell>
          <cell r="C3350">
            <v>3</v>
          </cell>
        </row>
        <row r="3351">
          <cell r="B3351">
            <v>41700</v>
          </cell>
          <cell r="C3351">
            <v>3</v>
          </cell>
        </row>
        <row r="3352">
          <cell r="B3352">
            <v>41701</v>
          </cell>
          <cell r="C3352">
            <v>3</v>
          </cell>
        </row>
        <row r="3353">
          <cell r="B3353">
            <v>41702</v>
          </cell>
          <cell r="C3353">
            <v>3</v>
          </cell>
        </row>
        <row r="3354">
          <cell r="B3354">
            <v>41703</v>
          </cell>
          <cell r="C3354">
            <v>3</v>
          </cell>
        </row>
        <row r="3355">
          <cell r="B3355">
            <v>41704</v>
          </cell>
          <cell r="C3355">
            <v>3</v>
          </cell>
        </row>
        <row r="3356">
          <cell r="B3356">
            <v>41705</v>
          </cell>
          <cell r="C3356">
            <v>3</v>
          </cell>
        </row>
        <row r="3357">
          <cell r="B3357">
            <v>41706</v>
          </cell>
          <cell r="C3357">
            <v>3</v>
          </cell>
        </row>
        <row r="3358">
          <cell r="B3358">
            <v>41707</v>
          </cell>
          <cell r="C3358">
            <v>3</v>
          </cell>
        </row>
        <row r="3359">
          <cell r="B3359">
            <v>41708</v>
          </cell>
          <cell r="C3359">
            <v>3</v>
          </cell>
        </row>
        <row r="3360">
          <cell r="B3360">
            <v>41709</v>
          </cell>
          <cell r="C3360">
            <v>3</v>
          </cell>
        </row>
        <row r="3361">
          <cell r="B3361">
            <v>41710</v>
          </cell>
          <cell r="C3361">
            <v>3</v>
          </cell>
        </row>
        <row r="3362">
          <cell r="B3362">
            <v>41711</v>
          </cell>
          <cell r="C3362">
            <v>3</v>
          </cell>
        </row>
        <row r="3363">
          <cell r="B3363">
            <v>41712</v>
          </cell>
          <cell r="C3363">
            <v>3</v>
          </cell>
        </row>
        <row r="3364">
          <cell r="B3364">
            <v>41713</v>
          </cell>
          <cell r="C3364">
            <v>3</v>
          </cell>
        </row>
        <row r="3365">
          <cell r="B3365">
            <v>41714</v>
          </cell>
          <cell r="C3365">
            <v>3</v>
          </cell>
        </row>
        <row r="3366">
          <cell r="B3366">
            <v>41715</v>
          </cell>
          <cell r="C3366">
            <v>3</v>
          </cell>
        </row>
        <row r="3367">
          <cell r="B3367">
            <v>41716</v>
          </cell>
          <cell r="C3367">
            <v>3</v>
          </cell>
        </row>
        <row r="3368">
          <cell r="B3368">
            <v>41717</v>
          </cell>
          <cell r="C3368">
            <v>3</v>
          </cell>
        </row>
        <row r="3369">
          <cell r="B3369">
            <v>41718</v>
          </cell>
          <cell r="C3369">
            <v>3</v>
          </cell>
        </row>
        <row r="3370">
          <cell r="B3370">
            <v>41719</v>
          </cell>
          <cell r="C3370">
            <v>3</v>
          </cell>
        </row>
        <row r="3371">
          <cell r="B3371">
            <v>41720</v>
          </cell>
          <cell r="C3371">
            <v>3</v>
          </cell>
        </row>
        <row r="3372">
          <cell r="B3372">
            <v>41721</v>
          </cell>
          <cell r="C3372">
            <v>3</v>
          </cell>
        </row>
        <row r="3373">
          <cell r="B3373">
            <v>41722</v>
          </cell>
          <cell r="C3373">
            <v>3</v>
          </cell>
        </row>
        <row r="3374">
          <cell r="B3374">
            <v>41723</v>
          </cell>
          <cell r="C3374">
            <v>3</v>
          </cell>
        </row>
        <row r="3375">
          <cell r="B3375">
            <v>41724</v>
          </cell>
          <cell r="C3375">
            <v>3</v>
          </cell>
        </row>
        <row r="3376">
          <cell r="B3376">
            <v>41725</v>
          </cell>
          <cell r="C3376">
            <v>3</v>
          </cell>
        </row>
        <row r="3377">
          <cell r="B3377">
            <v>41726</v>
          </cell>
          <cell r="C3377">
            <v>3</v>
          </cell>
        </row>
        <row r="3378">
          <cell r="B3378">
            <v>41727</v>
          </cell>
          <cell r="C3378">
            <v>3</v>
          </cell>
        </row>
        <row r="3379">
          <cell r="B3379">
            <v>41728</v>
          </cell>
          <cell r="C3379">
            <v>3</v>
          </cell>
        </row>
        <row r="3380">
          <cell r="B3380">
            <v>41729</v>
          </cell>
          <cell r="C3380">
            <v>3</v>
          </cell>
        </row>
        <row r="3381">
          <cell r="B3381">
            <v>41730</v>
          </cell>
          <cell r="C3381">
            <v>4</v>
          </cell>
        </row>
        <row r="3382">
          <cell r="B3382">
            <v>41731</v>
          </cell>
          <cell r="C3382">
            <v>4</v>
          </cell>
        </row>
        <row r="3383">
          <cell r="B3383">
            <v>41732</v>
          </cell>
          <cell r="C3383">
            <v>4</v>
          </cell>
        </row>
        <row r="3384">
          <cell r="B3384">
            <v>41733</v>
          </cell>
          <cell r="C3384">
            <v>4</v>
          </cell>
        </row>
        <row r="3385">
          <cell r="B3385">
            <v>41734</v>
          </cell>
          <cell r="C3385">
            <v>4</v>
          </cell>
        </row>
        <row r="3386">
          <cell r="B3386">
            <v>41735</v>
          </cell>
          <cell r="C3386">
            <v>4</v>
          </cell>
        </row>
        <row r="3387">
          <cell r="B3387">
            <v>41736</v>
          </cell>
          <cell r="C3387">
            <v>4</v>
          </cell>
        </row>
        <row r="3388">
          <cell r="B3388">
            <v>41737</v>
          </cell>
          <cell r="C3388">
            <v>4</v>
          </cell>
        </row>
        <row r="3389">
          <cell r="B3389">
            <v>41738</v>
          </cell>
          <cell r="C3389">
            <v>4</v>
          </cell>
        </row>
        <row r="3390">
          <cell r="B3390">
            <v>41739</v>
          </cell>
          <cell r="C3390">
            <v>4</v>
          </cell>
        </row>
        <row r="3391">
          <cell r="B3391">
            <v>41740</v>
          </cell>
          <cell r="C3391">
            <v>4</v>
          </cell>
        </row>
        <row r="3392">
          <cell r="B3392">
            <v>41741</v>
          </cell>
          <cell r="C3392">
            <v>4</v>
          </cell>
        </row>
        <row r="3393">
          <cell r="B3393">
            <v>41742</v>
          </cell>
          <cell r="C3393">
            <v>4</v>
          </cell>
        </row>
        <row r="3394">
          <cell r="B3394">
            <v>41743</v>
          </cell>
          <cell r="C3394">
            <v>4</v>
          </cell>
        </row>
        <row r="3395">
          <cell r="B3395">
            <v>41744</v>
          </cell>
          <cell r="C3395">
            <v>4</v>
          </cell>
        </row>
        <row r="3396">
          <cell r="B3396">
            <v>41745</v>
          </cell>
          <cell r="C3396">
            <v>4</v>
          </cell>
        </row>
        <row r="3397">
          <cell r="B3397">
            <v>41746</v>
          </cell>
          <cell r="C3397">
            <v>4</v>
          </cell>
        </row>
        <row r="3398">
          <cell r="B3398">
            <v>41747</v>
          </cell>
          <cell r="C3398">
            <v>4</v>
          </cell>
        </row>
        <row r="3399">
          <cell r="B3399">
            <v>41748</v>
          </cell>
          <cell r="C3399">
            <v>4</v>
          </cell>
        </row>
        <row r="3400">
          <cell r="B3400">
            <v>41749</v>
          </cell>
          <cell r="C3400">
            <v>4</v>
          </cell>
        </row>
        <row r="3401">
          <cell r="B3401">
            <v>41750</v>
          </cell>
          <cell r="C3401">
            <v>4</v>
          </cell>
        </row>
        <row r="3402">
          <cell r="B3402">
            <v>41751</v>
          </cell>
          <cell r="C3402">
            <v>4</v>
          </cell>
        </row>
        <row r="3403">
          <cell r="B3403">
            <v>41752</v>
          </cell>
          <cell r="C3403">
            <v>4</v>
          </cell>
        </row>
        <row r="3404">
          <cell r="B3404">
            <v>41753</v>
          </cell>
          <cell r="C3404">
            <v>4</v>
          </cell>
        </row>
        <row r="3405">
          <cell r="B3405">
            <v>41754</v>
          </cell>
          <cell r="C3405">
            <v>4</v>
          </cell>
        </row>
        <row r="3406">
          <cell r="B3406">
            <v>41755</v>
          </cell>
          <cell r="C3406">
            <v>4</v>
          </cell>
        </row>
        <row r="3407">
          <cell r="B3407">
            <v>41756</v>
          </cell>
          <cell r="C3407">
            <v>4</v>
          </cell>
        </row>
        <row r="3408">
          <cell r="B3408">
            <v>41757</v>
          </cell>
          <cell r="C3408">
            <v>4</v>
          </cell>
        </row>
        <row r="3409">
          <cell r="B3409">
            <v>41758</v>
          </cell>
          <cell r="C3409">
            <v>4</v>
          </cell>
        </row>
        <row r="3410">
          <cell r="B3410">
            <v>41759</v>
          </cell>
          <cell r="C3410">
            <v>4</v>
          </cell>
        </row>
        <row r="3411">
          <cell r="B3411">
            <v>41760</v>
          </cell>
          <cell r="C3411">
            <v>5</v>
          </cell>
        </row>
        <row r="3412">
          <cell r="B3412">
            <v>41761</v>
          </cell>
          <cell r="C3412">
            <v>5</v>
          </cell>
        </row>
        <row r="3413">
          <cell r="B3413">
            <v>41762</v>
          </cell>
          <cell r="C3413">
            <v>5</v>
          </cell>
        </row>
        <row r="3414">
          <cell r="B3414">
            <v>41763</v>
          </cell>
          <cell r="C3414">
            <v>5</v>
          </cell>
        </row>
        <row r="3415">
          <cell r="B3415">
            <v>41764</v>
          </cell>
          <cell r="C3415">
            <v>5</v>
          </cell>
        </row>
        <row r="3416">
          <cell r="B3416">
            <v>41765</v>
          </cell>
          <cell r="C3416">
            <v>5</v>
          </cell>
        </row>
        <row r="3417">
          <cell r="B3417">
            <v>41766</v>
          </cell>
          <cell r="C3417">
            <v>5</v>
          </cell>
        </row>
        <row r="3418">
          <cell r="B3418">
            <v>41767</v>
          </cell>
          <cell r="C3418">
            <v>5</v>
          </cell>
        </row>
        <row r="3419">
          <cell r="B3419">
            <v>41768</v>
          </cell>
          <cell r="C3419">
            <v>5</v>
          </cell>
        </row>
        <row r="3420">
          <cell r="B3420">
            <v>41769</v>
          </cell>
          <cell r="C3420">
            <v>5</v>
          </cell>
        </row>
        <row r="3421">
          <cell r="B3421">
            <v>41770</v>
          </cell>
          <cell r="C3421">
            <v>5</v>
          </cell>
        </row>
        <row r="3422">
          <cell r="B3422">
            <v>41771</v>
          </cell>
          <cell r="C3422">
            <v>5</v>
          </cell>
        </row>
        <row r="3423">
          <cell r="B3423">
            <v>41772</v>
          </cell>
          <cell r="C3423">
            <v>5</v>
          </cell>
        </row>
        <row r="3424">
          <cell r="B3424">
            <v>41773</v>
          </cell>
          <cell r="C3424">
            <v>5</v>
          </cell>
        </row>
        <row r="3425">
          <cell r="B3425">
            <v>41774</v>
          </cell>
          <cell r="C3425">
            <v>5</v>
          </cell>
        </row>
        <row r="3426">
          <cell r="B3426">
            <v>41775</v>
          </cell>
          <cell r="C3426">
            <v>5</v>
          </cell>
        </row>
        <row r="3427">
          <cell r="B3427">
            <v>41776</v>
          </cell>
          <cell r="C3427">
            <v>5</v>
          </cell>
        </row>
        <row r="3428">
          <cell r="B3428">
            <v>41777</v>
          </cell>
          <cell r="C3428">
            <v>5</v>
          </cell>
        </row>
        <row r="3429">
          <cell r="B3429">
            <v>41778</v>
          </cell>
          <cell r="C3429">
            <v>5</v>
          </cell>
        </row>
        <row r="3430">
          <cell r="B3430">
            <v>41779</v>
          </cell>
          <cell r="C3430">
            <v>5</v>
          </cell>
        </row>
        <row r="3431">
          <cell r="B3431">
            <v>41780</v>
          </cell>
          <cell r="C3431">
            <v>5</v>
          </cell>
        </row>
        <row r="3432">
          <cell r="B3432">
            <v>41781</v>
          </cell>
          <cell r="C3432">
            <v>5</v>
          </cell>
        </row>
        <row r="3433">
          <cell r="B3433">
            <v>41782</v>
          </cell>
          <cell r="C3433">
            <v>5</v>
          </cell>
        </row>
        <row r="3434">
          <cell r="B3434">
            <v>41783</v>
          </cell>
          <cell r="C3434">
            <v>5</v>
          </cell>
        </row>
        <row r="3435">
          <cell r="B3435">
            <v>41784</v>
          </cell>
          <cell r="C3435">
            <v>5</v>
          </cell>
        </row>
        <row r="3436">
          <cell r="B3436">
            <v>41785</v>
          </cell>
          <cell r="C3436">
            <v>5</v>
          </cell>
        </row>
        <row r="3437">
          <cell r="B3437">
            <v>41786</v>
          </cell>
          <cell r="C3437">
            <v>5</v>
          </cell>
        </row>
        <row r="3438">
          <cell r="B3438">
            <v>41787</v>
          </cell>
          <cell r="C3438">
            <v>5</v>
          </cell>
        </row>
        <row r="3439">
          <cell r="B3439">
            <v>41788</v>
          </cell>
          <cell r="C3439">
            <v>5</v>
          </cell>
        </row>
        <row r="3440">
          <cell r="B3440">
            <v>41789</v>
          </cell>
          <cell r="C3440">
            <v>5</v>
          </cell>
        </row>
        <row r="3441">
          <cell r="B3441">
            <v>41790</v>
          </cell>
          <cell r="C3441">
            <v>5</v>
          </cell>
        </row>
        <row r="3442">
          <cell r="B3442">
            <v>41791</v>
          </cell>
          <cell r="C3442">
            <v>6</v>
          </cell>
        </row>
        <row r="3443">
          <cell r="B3443">
            <v>41792</v>
          </cell>
          <cell r="C3443">
            <v>6</v>
          </cell>
        </row>
        <row r="3444">
          <cell r="B3444">
            <v>41793</v>
          </cell>
          <cell r="C3444">
            <v>6</v>
          </cell>
        </row>
        <row r="3445">
          <cell r="B3445">
            <v>41794</v>
          </cell>
          <cell r="C3445">
            <v>6</v>
          </cell>
        </row>
        <row r="3446">
          <cell r="B3446">
            <v>41795</v>
          </cell>
          <cell r="C3446">
            <v>6</v>
          </cell>
        </row>
        <row r="3447">
          <cell r="B3447">
            <v>41796</v>
          </cell>
          <cell r="C3447">
            <v>6</v>
          </cell>
        </row>
        <row r="3448">
          <cell r="B3448">
            <v>41797</v>
          </cell>
          <cell r="C3448">
            <v>6</v>
          </cell>
        </row>
        <row r="3449">
          <cell r="B3449">
            <v>41798</v>
          </cell>
          <cell r="C3449">
            <v>6</v>
          </cell>
        </row>
        <row r="3450">
          <cell r="B3450">
            <v>41799</v>
          </cell>
          <cell r="C3450">
            <v>6</v>
          </cell>
        </row>
        <row r="3451">
          <cell r="B3451">
            <v>41800</v>
          </cell>
          <cell r="C3451">
            <v>6</v>
          </cell>
        </row>
        <row r="3452">
          <cell r="B3452">
            <v>41801</v>
          </cell>
          <cell r="C3452">
            <v>6</v>
          </cell>
        </row>
        <row r="3453">
          <cell r="B3453">
            <v>41802</v>
          </cell>
          <cell r="C3453">
            <v>6</v>
          </cell>
        </row>
        <row r="3454">
          <cell r="B3454">
            <v>41803</v>
          </cell>
          <cell r="C3454">
            <v>6</v>
          </cell>
        </row>
        <row r="3455">
          <cell r="B3455">
            <v>41804</v>
          </cell>
          <cell r="C3455">
            <v>6</v>
          </cell>
        </row>
        <row r="3456">
          <cell r="B3456">
            <v>41805</v>
          </cell>
          <cell r="C3456">
            <v>6</v>
          </cell>
        </row>
        <row r="3457">
          <cell r="B3457">
            <v>41806</v>
          </cell>
          <cell r="C3457">
            <v>6</v>
          </cell>
        </row>
        <row r="3458">
          <cell r="B3458">
            <v>41807</v>
          </cell>
          <cell r="C3458">
            <v>6</v>
          </cell>
        </row>
        <row r="3459">
          <cell r="B3459">
            <v>41808</v>
          </cell>
          <cell r="C3459">
            <v>6</v>
          </cell>
        </row>
        <row r="3460">
          <cell r="B3460">
            <v>41809</v>
          </cell>
          <cell r="C3460">
            <v>6</v>
          </cell>
        </row>
        <row r="3461">
          <cell r="B3461">
            <v>41810</v>
          </cell>
          <cell r="C3461">
            <v>6</v>
          </cell>
        </row>
        <row r="3462">
          <cell r="B3462">
            <v>41811</v>
          </cell>
          <cell r="C3462">
            <v>6</v>
          </cell>
        </row>
        <row r="3463">
          <cell r="B3463">
            <v>41812</v>
          </cell>
          <cell r="C3463">
            <v>6</v>
          </cell>
        </row>
        <row r="3464">
          <cell r="B3464">
            <v>41813</v>
          </cell>
          <cell r="C3464">
            <v>6</v>
          </cell>
        </row>
        <row r="3465">
          <cell r="B3465">
            <v>41814</v>
          </cell>
          <cell r="C3465">
            <v>6</v>
          </cell>
        </row>
        <row r="3466">
          <cell r="B3466">
            <v>41815</v>
          </cell>
          <cell r="C3466">
            <v>6</v>
          </cell>
        </row>
        <row r="3467">
          <cell r="B3467">
            <v>41816</v>
          </cell>
          <cell r="C3467">
            <v>6</v>
          </cell>
        </row>
        <row r="3468">
          <cell r="B3468">
            <v>41817</v>
          </cell>
          <cell r="C3468">
            <v>6</v>
          </cell>
        </row>
        <row r="3469">
          <cell r="B3469">
            <v>41818</v>
          </cell>
          <cell r="C3469">
            <v>6</v>
          </cell>
        </row>
        <row r="3470">
          <cell r="B3470">
            <v>41819</v>
          </cell>
          <cell r="C3470">
            <v>6</v>
          </cell>
        </row>
        <row r="3471">
          <cell r="B3471">
            <v>41820</v>
          </cell>
          <cell r="C3471">
            <v>6</v>
          </cell>
        </row>
        <row r="3472">
          <cell r="B3472">
            <v>41821</v>
          </cell>
          <cell r="C3472">
            <v>7</v>
          </cell>
        </row>
        <row r="3473">
          <cell r="B3473">
            <v>41822</v>
          </cell>
          <cell r="C3473">
            <v>7</v>
          </cell>
        </row>
        <row r="3474">
          <cell r="B3474">
            <v>41823</v>
          </cell>
          <cell r="C3474">
            <v>7</v>
          </cell>
        </row>
        <row r="3475">
          <cell r="B3475">
            <v>41824</v>
          </cell>
          <cell r="C3475">
            <v>7</v>
          </cell>
        </row>
        <row r="3476">
          <cell r="B3476">
            <v>41825</v>
          </cell>
          <cell r="C3476">
            <v>7</v>
          </cell>
        </row>
        <row r="3477">
          <cell r="B3477">
            <v>41826</v>
          </cell>
          <cell r="C3477">
            <v>7</v>
          </cell>
        </row>
        <row r="3478">
          <cell r="B3478">
            <v>41827</v>
          </cell>
          <cell r="C3478">
            <v>7</v>
          </cell>
        </row>
        <row r="3479">
          <cell r="B3479">
            <v>41828</v>
          </cell>
          <cell r="C3479">
            <v>7</v>
          </cell>
        </row>
        <row r="3480">
          <cell r="B3480">
            <v>41829</v>
          </cell>
          <cell r="C3480">
            <v>7</v>
          </cell>
        </row>
        <row r="3481">
          <cell r="B3481">
            <v>41830</v>
          </cell>
          <cell r="C3481">
            <v>7</v>
          </cell>
        </row>
        <row r="3482">
          <cell r="B3482">
            <v>41831</v>
          </cell>
          <cell r="C3482">
            <v>7</v>
          </cell>
        </row>
        <row r="3483">
          <cell r="B3483">
            <v>41832</v>
          </cell>
          <cell r="C3483">
            <v>7</v>
          </cell>
        </row>
        <row r="3484">
          <cell r="B3484">
            <v>41833</v>
          </cell>
          <cell r="C3484">
            <v>7</v>
          </cell>
        </row>
        <row r="3485">
          <cell r="B3485">
            <v>41834</v>
          </cell>
          <cell r="C3485">
            <v>7</v>
          </cell>
        </row>
        <row r="3486">
          <cell r="B3486">
            <v>41835</v>
          </cell>
          <cell r="C3486">
            <v>7</v>
          </cell>
        </row>
        <row r="3487">
          <cell r="B3487">
            <v>41836</v>
          </cell>
          <cell r="C3487">
            <v>7</v>
          </cell>
        </row>
        <row r="3488">
          <cell r="B3488">
            <v>41837</v>
          </cell>
          <cell r="C3488">
            <v>7</v>
          </cell>
        </row>
        <row r="3489">
          <cell r="B3489">
            <v>41838</v>
          </cell>
          <cell r="C3489">
            <v>7</v>
          </cell>
        </row>
        <row r="3490">
          <cell r="B3490">
            <v>41839</v>
          </cell>
          <cell r="C3490">
            <v>7</v>
          </cell>
        </row>
        <row r="3491">
          <cell r="B3491">
            <v>41840</v>
          </cell>
          <cell r="C3491">
            <v>7</v>
          </cell>
        </row>
        <row r="3492">
          <cell r="B3492">
            <v>41841</v>
          </cell>
          <cell r="C3492">
            <v>7</v>
          </cell>
        </row>
        <row r="3493">
          <cell r="B3493">
            <v>41842</v>
          </cell>
          <cell r="C3493">
            <v>7</v>
          </cell>
        </row>
        <row r="3494">
          <cell r="B3494">
            <v>41843</v>
          </cell>
          <cell r="C3494">
            <v>7</v>
          </cell>
        </row>
        <row r="3495">
          <cell r="B3495">
            <v>41844</v>
          </cell>
          <cell r="C3495">
            <v>7</v>
          </cell>
        </row>
        <row r="3496">
          <cell r="B3496">
            <v>41845</v>
          </cell>
          <cell r="C3496">
            <v>7</v>
          </cell>
        </row>
        <row r="3497">
          <cell r="B3497">
            <v>41846</v>
          </cell>
          <cell r="C3497">
            <v>7</v>
          </cell>
        </row>
        <row r="3498">
          <cell r="B3498">
            <v>41847</v>
          </cell>
          <cell r="C3498">
            <v>7</v>
          </cell>
        </row>
        <row r="3499">
          <cell r="B3499">
            <v>41848</v>
          </cell>
          <cell r="C3499">
            <v>7</v>
          </cell>
        </row>
        <row r="3500">
          <cell r="B3500">
            <v>41849</v>
          </cell>
          <cell r="C3500">
            <v>7</v>
          </cell>
        </row>
        <row r="3501">
          <cell r="B3501">
            <v>41850</v>
          </cell>
          <cell r="C3501">
            <v>7</v>
          </cell>
        </row>
        <row r="3502">
          <cell r="B3502">
            <v>41851</v>
          </cell>
          <cell r="C3502">
            <v>7</v>
          </cell>
        </row>
        <row r="3503">
          <cell r="B3503">
            <v>41852</v>
          </cell>
          <cell r="C3503">
            <v>8</v>
          </cell>
        </row>
        <row r="3504">
          <cell r="B3504">
            <v>41853</v>
          </cell>
          <cell r="C3504">
            <v>8</v>
          </cell>
        </row>
        <row r="3505">
          <cell r="B3505">
            <v>41854</v>
          </cell>
          <cell r="C3505">
            <v>8</v>
          </cell>
        </row>
        <row r="3506">
          <cell r="B3506">
            <v>41855</v>
          </cell>
          <cell r="C3506">
            <v>8</v>
          </cell>
        </row>
        <row r="3507">
          <cell r="B3507">
            <v>41856</v>
          </cell>
          <cell r="C3507">
            <v>8</v>
          </cell>
        </row>
        <row r="3508">
          <cell r="B3508">
            <v>41857</v>
          </cell>
          <cell r="C3508">
            <v>8</v>
          </cell>
        </row>
        <row r="3509">
          <cell r="B3509">
            <v>41858</v>
          </cell>
          <cell r="C3509">
            <v>8</v>
          </cell>
        </row>
        <row r="3510">
          <cell r="B3510">
            <v>41859</v>
          </cell>
          <cell r="C3510">
            <v>8</v>
          </cell>
        </row>
        <row r="3511">
          <cell r="B3511">
            <v>41860</v>
          </cell>
          <cell r="C3511">
            <v>8</v>
          </cell>
        </row>
        <row r="3512">
          <cell r="B3512">
            <v>41861</v>
          </cell>
          <cell r="C3512">
            <v>8</v>
          </cell>
        </row>
        <row r="3513">
          <cell r="B3513">
            <v>41862</v>
          </cell>
          <cell r="C3513">
            <v>8</v>
          </cell>
        </row>
        <row r="3514">
          <cell r="B3514">
            <v>41863</v>
          </cell>
          <cell r="C3514">
            <v>8</v>
          </cell>
        </row>
        <row r="3515">
          <cell r="B3515">
            <v>41864</v>
          </cell>
          <cell r="C3515">
            <v>8</v>
          </cell>
        </row>
        <row r="3516">
          <cell r="B3516">
            <v>41865</v>
          </cell>
          <cell r="C3516">
            <v>8</v>
          </cell>
        </row>
        <row r="3517">
          <cell r="B3517">
            <v>41866</v>
          </cell>
          <cell r="C3517">
            <v>8</v>
          </cell>
        </row>
        <row r="3518">
          <cell r="B3518">
            <v>41867</v>
          </cell>
          <cell r="C3518">
            <v>8</v>
          </cell>
        </row>
        <row r="3519">
          <cell r="B3519">
            <v>41868</v>
          </cell>
          <cell r="C3519">
            <v>8</v>
          </cell>
        </row>
        <row r="3520">
          <cell r="B3520">
            <v>41869</v>
          </cell>
          <cell r="C3520">
            <v>8</v>
          </cell>
        </row>
        <row r="3521">
          <cell r="B3521">
            <v>41870</v>
          </cell>
          <cell r="C3521">
            <v>8</v>
          </cell>
        </row>
        <row r="3522">
          <cell r="B3522">
            <v>41871</v>
          </cell>
          <cell r="C3522">
            <v>8</v>
          </cell>
        </row>
        <row r="3523">
          <cell r="B3523">
            <v>41872</v>
          </cell>
          <cell r="C3523">
            <v>8</v>
          </cell>
        </row>
        <row r="3524">
          <cell r="B3524">
            <v>41873</v>
          </cell>
          <cell r="C3524">
            <v>8</v>
          </cell>
        </row>
        <row r="3525">
          <cell r="B3525">
            <v>41874</v>
          </cell>
          <cell r="C3525">
            <v>8</v>
          </cell>
        </row>
        <row r="3526">
          <cell r="B3526">
            <v>41875</v>
          </cell>
          <cell r="C3526">
            <v>8</v>
          </cell>
        </row>
        <row r="3527">
          <cell r="B3527">
            <v>41876</v>
          </cell>
          <cell r="C3527">
            <v>8</v>
          </cell>
        </row>
        <row r="3528">
          <cell r="B3528">
            <v>41877</v>
          </cell>
          <cell r="C3528">
            <v>8</v>
          </cell>
        </row>
        <row r="3529">
          <cell r="B3529">
            <v>41878</v>
          </cell>
          <cell r="C3529">
            <v>8</v>
          </cell>
        </row>
        <row r="3530">
          <cell r="B3530">
            <v>41879</v>
          </cell>
          <cell r="C3530">
            <v>8</v>
          </cell>
        </row>
        <row r="3531">
          <cell r="B3531">
            <v>41880</v>
          </cell>
          <cell r="C3531">
            <v>8</v>
          </cell>
        </row>
        <row r="3532">
          <cell r="B3532">
            <v>41881</v>
          </cell>
          <cell r="C3532">
            <v>8</v>
          </cell>
        </row>
        <row r="3533">
          <cell r="B3533">
            <v>41882</v>
          </cell>
          <cell r="C3533">
            <v>8</v>
          </cell>
        </row>
        <row r="3534">
          <cell r="B3534">
            <v>41883</v>
          </cell>
          <cell r="C3534">
            <v>9</v>
          </cell>
        </row>
        <row r="3535">
          <cell r="B3535">
            <v>41884</v>
          </cell>
          <cell r="C3535">
            <v>9</v>
          </cell>
        </row>
        <row r="3536">
          <cell r="B3536">
            <v>41885</v>
          </cell>
          <cell r="C3536">
            <v>9</v>
          </cell>
        </row>
        <row r="3537">
          <cell r="B3537">
            <v>41886</v>
          </cell>
          <cell r="C3537">
            <v>9</v>
          </cell>
        </row>
        <row r="3538">
          <cell r="B3538">
            <v>41887</v>
          </cell>
          <cell r="C3538">
            <v>9</v>
          </cell>
        </row>
        <row r="3539">
          <cell r="B3539">
            <v>41888</v>
          </cell>
          <cell r="C3539">
            <v>9</v>
          </cell>
        </row>
        <row r="3540">
          <cell r="B3540">
            <v>41889</v>
          </cell>
          <cell r="C3540">
            <v>9</v>
          </cell>
        </row>
        <row r="3541">
          <cell r="B3541">
            <v>41890</v>
          </cell>
          <cell r="C3541">
            <v>9</v>
          </cell>
        </row>
        <row r="3542">
          <cell r="B3542">
            <v>41891</v>
          </cell>
          <cell r="C3542">
            <v>9</v>
          </cell>
        </row>
        <row r="3543">
          <cell r="B3543">
            <v>41892</v>
          </cell>
          <cell r="C3543">
            <v>9</v>
          </cell>
        </row>
        <row r="3544">
          <cell r="B3544">
            <v>41893</v>
          </cell>
          <cell r="C3544">
            <v>9</v>
          </cell>
        </row>
        <row r="3545">
          <cell r="B3545">
            <v>41894</v>
          </cell>
          <cell r="C3545">
            <v>9</v>
          </cell>
        </row>
        <row r="3546">
          <cell r="B3546">
            <v>41895</v>
          </cell>
          <cell r="C3546">
            <v>9</v>
          </cell>
        </row>
        <row r="3547">
          <cell r="B3547">
            <v>41896</v>
          </cell>
          <cell r="C3547">
            <v>9</v>
          </cell>
        </row>
        <row r="3548">
          <cell r="B3548">
            <v>41897</v>
          </cell>
          <cell r="C3548">
            <v>9</v>
          </cell>
        </row>
        <row r="3549">
          <cell r="B3549">
            <v>41898</v>
          </cell>
          <cell r="C3549">
            <v>9</v>
          </cell>
        </row>
        <row r="3550">
          <cell r="B3550">
            <v>41899</v>
          </cell>
          <cell r="C3550">
            <v>9</v>
          </cell>
        </row>
        <row r="3551">
          <cell r="B3551">
            <v>41900</v>
          </cell>
          <cell r="C3551">
            <v>9</v>
          </cell>
        </row>
        <row r="3552">
          <cell r="B3552">
            <v>41901</v>
          </cell>
          <cell r="C3552">
            <v>9</v>
          </cell>
        </row>
        <row r="3553">
          <cell r="B3553">
            <v>41902</v>
          </cell>
          <cell r="C3553">
            <v>9</v>
          </cell>
        </row>
        <row r="3554">
          <cell r="B3554">
            <v>41903</v>
          </cell>
          <cell r="C3554">
            <v>9</v>
          </cell>
        </row>
        <row r="3555">
          <cell r="B3555">
            <v>41904</v>
          </cell>
          <cell r="C3555">
            <v>9</v>
          </cell>
        </row>
        <row r="3556">
          <cell r="B3556">
            <v>41905</v>
          </cell>
          <cell r="C3556">
            <v>9</v>
          </cell>
        </row>
        <row r="3557">
          <cell r="B3557">
            <v>41906</v>
          </cell>
          <cell r="C3557">
            <v>9</v>
          </cell>
        </row>
        <row r="3558">
          <cell r="B3558">
            <v>41907</v>
          </cell>
          <cell r="C3558">
            <v>9</v>
          </cell>
        </row>
        <row r="3559">
          <cell r="B3559">
            <v>41908</v>
          </cell>
          <cell r="C3559">
            <v>9</v>
          </cell>
        </row>
        <row r="3560">
          <cell r="B3560">
            <v>41909</v>
          </cell>
          <cell r="C3560">
            <v>9</v>
          </cell>
        </row>
        <row r="3561">
          <cell r="B3561">
            <v>41910</v>
          </cell>
          <cell r="C3561">
            <v>9</v>
          </cell>
        </row>
        <row r="3562">
          <cell r="B3562">
            <v>41911</v>
          </cell>
          <cell r="C3562">
            <v>9</v>
          </cell>
        </row>
        <row r="3563">
          <cell r="B3563">
            <v>41912</v>
          </cell>
          <cell r="C3563">
            <v>9</v>
          </cell>
        </row>
        <row r="3564">
          <cell r="B3564">
            <v>41913</v>
          </cell>
          <cell r="C3564">
            <v>10</v>
          </cell>
        </row>
        <row r="3565">
          <cell r="B3565">
            <v>41914</v>
          </cell>
          <cell r="C3565">
            <v>10</v>
          </cell>
        </row>
        <row r="3566">
          <cell r="B3566">
            <v>41915</v>
          </cell>
          <cell r="C3566">
            <v>10</v>
          </cell>
        </row>
        <row r="3567">
          <cell r="B3567">
            <v>41916</v>
          </cell>
          <cell r="C3567">
            <v>10</v>
          </cell>
        </row>
        <row r="3568">
          <cell r="B3568">
            <v>41917</v>
          </cell>
          <cell r="C3568">
            <v>10</v>
          </cell>
        </row>
        <row r="3569">
          <cell r="B3569">
            <v>41918</v>
          </cell>
          <cell r="C3569">
            <v>10</v>
          </cell>
        </row>
        <row r="3570">
          <cell r="B3570">
            <v>41919</v>
          </cell>
          <cell r="C3570">
            <v>10</v>
          </cell>
        </row>
        <row r="3571">
          <cell r="B3571">
            <v>41920</v>
          </cell>
          <cell r="C3571">
            <v>10</v>
          </cell>
        </row>
        <row r="3572">
          <cell r="B3572">
            <v>41921</v>
          </cell>
          <cell r="C3572">
            <v>10</v>
          </cell>
        </row>
        <row r="3573">
          <cell r="B3573">
            <v>41922</v>
          </cell>
          <cell r="C3573">
            <v>10</v>
          </cell>
        </row>
        <row r="3574">
          <cell r="B3574">
            <v>41923</v>
          </cell>
          <cell r="C3574">
            <v>10</v>
          </cell>
        </row>
        <row r="3575">
          <cell r="B3575">
            <v>41924</v>
          </cell>
          <cell r="C3575">
            <v>10</v>
          </cell>
        </row>
        <row r="3576">
          <cell r="B3576">
            <v>41925</v>
          </cell>
          <cell r="C3576">
            <v>10</v>
          </cell>
        </row>
        <row r="3577">
          <cell r="B3577">
            <v>41926</v>
          </cell>
          <cell r="C3577">
            <v>10</v>
          </cell>
        </row>
        <row r="3578">
          <cell r="B3578">
            <v>41927</v>
          </cell>
          <cell r="C3578">
            <v>10</v>
          </cell>
        </row>
        <row r="3579">
          <cell r="B3579">
            <v>41928</v>
          </cell>
          <cell r="C3579">
            <v>10</v>
          </cell>
        </row>
        <row r="3580">
          <cell r="B3580">
            <v>41929</v>
          </cell>
          <cell r="C3580">
            <v>10</v>
          </cell>
        </row>
        <row r="3581">
          <cell r="B3581">
            <v>41930</v>
          </cell>
          <cell r="C3581">
            <v>10</v>
          </cell>
        </row>
        <row r="3582">
          <cell r="B3582">
            <v>41931</v>
          </cell>
          <cell r="C3582">
            <v>10</v>
          </cell>
        </row>
        <row r="3583">
          <cell r="B3583">
            <v>41932</v>
          </cell>
          <cell r="C3583">
            <v>10</v>
          </cell>
        </row>
        <row r="3584">
          <cell r="B3584">
            <v>41933</v>
          </cell>
          <cell r="C3584">
            <v>10</v>
          </cell>
        </row>
        <row r="3585">
          <cell r="B3585">
            <v>41934</v>
          </cell>
          <cell r="C3585">
            <v>10</v>
          </cell>
        </row>
        <row r="3586">
          <cell r="B3586">
            <v>41935</v>
          </cell>
          <cell r="C3586">
            <v>10</v>
          </cell>
        </row>
        <row r="3587">
          <cell r="B3587">
            <v>41936</v>
          </cell>
          <cell r="C3587">
            <v>10</v>
          </cell>
        </row>
        <row r="3588">
          <cell r="B3588">
            <v>41937</v>
          </cell>
          <cell r="C3588">
            <v>10</v>
          </cell>
        </row>
        <row r="3589">
          <cell r="B3589">
            <v>41938</v>
          </cell>
          <cell r="C3589">
            <v>10</v>
          </cell>
        </row>
        <row r="3590">
          <cell r="B3590">
            <v>41939</v>
          </cell>
          <cell r="C3590">
            <v>10</v>
          </cell>
        </row>
        <row r="3591">
          <cell r="B3591">
            <v>41940</v>
          </cell>
          <cell r="C3591">
            <v>10</v>
          </cell>
        </row>
        <row r="3592">
          <cell r="B3592">
            <v>41941</v>
          </cell>
          <cell r="C3592">
            <v>10</v>
          </cell>
        </row>
        <row r="3593">
          <cell r="B3593">
            <v>41942</v>
          </cell>
          <cell r="C3593">
            <v>10</v>
          </cell>
        </row>
        <row r="3594">
          <cell r="B3594">
            <v>41943</v>
          </cell>
          <cell r="C3594">
            <v>10</v>
          </cell>
        </row>
        <row r="3595">
          <cell r="B3595">
            <v>41944</v>
          </cell>
          <cell r="C3595">
            <v>11</v>
          </cell>
        </row>
        <row r="3596">
          <cell r="B3596">
            <v>41945</v>
          </cell>
          <cell r="C3596">
            <v>11</v>
          </cell>
        </row>
        <row r="3597">
          <cell r="B3597">
            <v>41946</v>
          </cell>
          <cell r="C3597">
            <v>11</v>
          </cell>
        </row>
        <row r="3598">
          <cell r="B3598">
            <v>41947</v>
          </cell>
          <cell r="C3598">
            <v>11</v>
          </cell>
        </row>
        <row r="3599">
          <cell r="B3599">
            <v>41948</v>
          </cell>
          <cell r="C3599">
            <v>11</v>
          </cell>
        </row>
        <row r="3600">
          <cell r="B3600">
            <v>41949</v>
          </cell>
          <cell r="C3600">
            <v>11</v>
          </cell>
        </row>
        <row r="3601">
          <cell r="B3601">
            <v>41950</v>
          </cell>
          <cell r="C3601">
            <v>11</v>
          </cell>
        </row>
        <row r="3602">
          <cell r="B3602">
            <v>41951</v>
          </cell>
          <cell r="C3602">
            <v>11</v>
          </cell>
        </row>
        <row r="3603">
          <cell r="B3603">
            <v>41952</v>
          </cell>
          <cell r="C3603">
            <v>11</v>
          </cell>
        </row>
        <row r="3604">
          <cell r="B3604">
            <v>41953</v>
          </cell>
          <cell r="C3604">
            <v>11</v>
          </cell>
        </row>
        <row r="3605">
          <cell r="B3605">
            <v>41954</v>
          </cell>
          <cell r="C3605">
            <v>11</v>
          </cell>
        </row>
        <row r="3606">
          <cell r="B3606">
            <v>41955</v>
          </cell>
          <cell r="C3606">
            <v>11</v>
          </cell>
        </row>
        <row r="3607">
          <cell r="B3607">
            <v>41956</v>
          </cell>
          <cell r="C3607">
            <v>11</v>
          </cell>
        </row>
        <row r="3608">
          <cell r="B3608">
            <v>41957</v>
          </cell>
          <cell r="C3608">
            <v>11</v>
          </cell>
        </row>
        <row r="3609">
          <cell r="B3609">
            <v>41958</v>
          </cell>
          <cell r="C3609">
            <v>11</v>
          </cell>
        </row>
        <row r="3610">
          <cell r="B3610">
            <v>41959</v>
          </cell>
          <cell r="C3610">
            <v>11</v>
          </cell>
        </row>
        <row r="3611">
          <cell r="B3611">
            <v>41960</v>
          </cell>
          <cell r="C3611">
            <v>11</v>
          </cell>
        </row>
        <row r="3612">
          <cell r="B3612">
            <v>41961</v>
          </cell>
          <cell r="C3612">
            <v>11</v>
          </cell>
        </row>
        <row r="3613">
          <cell r="B3613">
            <v>41962</v>
          </cell>
          <cell r="C3613">
            <v>11</v>
          </cell>
        </row>
        <row r="3614">
          <cell r="B3614">
            <v>41963</v>
          </cell>
          <cell r="C3614">
            <v>11</v>
          </cell>
        </row>
        <row r="3615">
          <cell r="B3615">
            <v>41964</v>
          </cell>
          <cell r="C3615">
            <v>11</v>
          </cell>
        </row>
        <row r="3616">
          <cell r="B3616">
            <v>41965</v>
          </cell>
          <cell r="C3616">
            <v>11</v>
          </cell>
        </row>
        <row r="3617">
          <cell r="B3617">
            <v>41966</v>
          </cell>
          <cell r="C3617">
            <v>11</v>
          </cell>
        </row>
        <row r="3618">
          <cell r="B3618">
            <v>41967</v>
          </cell>
          <cell r="C3618">
            <v>11</v>
          </cell>
        </row>
        <row r="3619">
          <cell r="B3619">
            <v>41968</v>
          </cell>
          <cell r="C3619">
            <v>11</v>
          </cell>
        </row>
        <row r="3620">
          <cell r="B3620">
            <v>41969</v>
          </cell>
          <cell r="C3620">
            <v>11</v>
          </cell>
        </row>
        <row r="3621">
          <cell r="B3621">
            <v>41970</v>
          </cell>
          <cell r="C3621">
            <v>11</v>
          </cell>
        </row>
        <row r="3622">
          <cell r="B3622">
            <v>41971</v>
          </cell>
          <cell r="C3622">
            <v>11</v>
          </cell>
        </row>
        <row r="3623">
          <cell r="B3623">
            <v>41972</v>
          </cell>
          <cell r="C3623">
            <v>11</v>
          </cell>
        </row>
        <row r="3624">
          <cell r="B3624">
            <v>41973</v>
          </cell>
          <cell r="C3624">
            <v>11</v>
          </cell>
        </row>
        <row r="3625">
          <cell r="B3625">
            <v>41974</v>
          </cell>
          <cell r="C3625">
            <v>12</v>
          </cell>
        </row>
        <row r="3626">
          <cell r="B3626">
            <v>41975</v>
          </cell>
          <cell r="C3626">
            <v>12</v>
          </cell>
        </row>
        <row r="3627">
          <cell r="B3627">
            <v>41976</v>
          </cell>
          <cell r="C3627">
            <v>12</v>
          </cell>
        </row>
        <row r="3628">
          <cell r="B3628">
            <v>41977</v>
          </cell>
          <cell r="C3628">
            <v>12</v>
          </cell>
        </row>
        <row r="3629">
          <cell r="B3629">
            <v>41978</v>
          </cell>
          <cell r="C3629">
            <v>12</v>
          </cell>
        </row>
        <row r="3630">
          <cell r="B3630">
            <v>41979</v>
          </cell>
          <cell r="C3630">
            <v>12</v>
          </cell>
        </row>
        <row r="3631">
          <cell r="B3631">
            <v>41980</v>
          </cell>
          <cell r="C3631">
            <v>12</v>
          </cell>
        </row>
        <row r="3632">
          <cell r="B3632">
            <v>41981</v>
          </cell>
          <cell r="C3632">
            <v>12</v>
          </cell>
        </row>
        <row r="3633">
          <cell r="B3633">
            <v>41982</v>
          </cell>
          <cell r="C3633">
            <v>12</v>
          </cell>
        </row>
        <row r="3634">
          <cell r="B3634">
            <v>41983</v>
          </cell>
          <cell r="C3634">
            <v>12</v>
          </cell>
        </row>
        <row r="3635">
          <cell r="B3635">
            <v>41984</v>
          </cell>
          <cell r="C3635">
            <v>12</v>
          </cell>
        </row>
        <row r="3636">
          <cell r="B3636">
            <v>41985</v>
          </cell>
          <cell r="C3636">
            <v>12</v>
          </cell>
        </row>
        <row r="3637">
          <cell r="B3637">
            <v>41986</v>
          </cell>
          <cell r="C3637">
            <v>12</v>
          </cell>
        </row>
        <row r="3638">
          <cell r="B3638">
            <v>41987</v>
          </cell>
          <cell r="C3638">
            <v>12</v>
          </cell>
        </row>
        <row r="3639">
          <cell r="B3639">
            <v>41988</v>
          </cell>
          <cell r="C3639">
            <v>12</v>
          </cell>
        </row>
        <row r="3640">
          <cell r="B3640">
            <v>41989</v>
          </cell>
          <cell r="C3640">
            <v>12</v>
          </cell>
        </row>
        <row r="3641">
          <cell r="B3641">
            <v>41990</v>
          </cell>
          <cell r="C3641">
            <v>12</v>
          </cell>
        </row>
        <row r="3642">
          <cell r="B3642">
            <v>41991</v>
          </cell>
          <cell r="C3642">
            <v>12</v>
          </cell>
        </row>
        <row r="3643">
          <cell r="B3643">
            <v>41992</v>
          </cell>
          <cell r="C3643">
            <v>12</v>
          </cell>
        </row>
        <row r="3644">
          <cell r="B3644">
            <v>41993</v>
          </cell>
          <cell r="C3644">
            <v>12</v>
          </cell>
        </row>
        <row r="3645">
          <cell r="B3645">
            <v>41994</v>
          </cell>
          <cell r="C3645">
            <v>12</v>
          </cell>
        </row>
        <row r="3646">
          <cell r="B3646">
            <v>41995</v>
          </cell>
          <cell r="C3646">
            <v>12</v>
          </cell>
        </row>
        <row r="3647">
          <cell r="B3647">
            <v>41996</v>
          </cell>
          <cell r="C3647">
            <v>12</v>
          </cell>
        </row>
        <row r="3648">
          <cell r="B3648">
            <v>41997</v>
          </cell>
          <cell r="C3648">
            <v>12</v>
          </cell>
        </row>
        <row r="3649">
          <cell r="B3649">
            <v>41998</v>
          </cell>
          <cell r="C3649">
            <v>12</v>
          </cell>
        </row>
        <row r="3650">
          <cell r="B3650">
            <v>41999</v>
          </cell>
          <cell r="C3650">
            <v>12</v>
          </cell>
        </row>
        <row r="3651">
          <cell r="B3651">
            <v>42000</v>
          </cell>
          <cell r="C3651">
            <v>12</v>
          </cell>
        </row>
        <row r="3652">
          <cell r="B3652">
            <v>42001</v>
          </cell>
          <cell r="C3652">
            <v>12</v>
          </cell>
        </row>
        <row r="3653">
          <cell r="B3653">
            <v>42002</v>
          </cell>
          <cell r="C3653">
            <v>12</v>
          </cell>
        </row>
        <row r="3654">
          <cell r="B3654">
            <v>42003</v>
          </cell>
          <cell r="C3654">
            <v>12</v>
          </cell>
        </row>
        <row r="3655">
          <cell r="B3655">
            <v>42004</v>
          </cell>
          <cell r="C3655">
            <v>12</v>
          </cell>
        </row>
      </sheetData>
      <sheetData sheetId="15" refreshError="1">
        <row r="3">
          <cell r="C3" t="str">
            <v>COD</v>
          </cell>
          <cell r="D3" t="str">
            <v>DIS</v>
          </cell>
          <cell r="E3" t="str">
            <v>DISCIPLINA</v>
          </cell>
        </row>
        <row r="4">
          <cell r="C4" t="str">
            <v>CC</v>
          </cell>
          <cell r="D4" t="str">
            <v>CIV</v>
          </cell>
          <cell r="E4" t="str">
            <v>CIVIL</v>
          </cell>
        </row>
        <row r="5">
          <cell r="C5" t="str">
            <v>CG</v>
          </cell>
          <cell r="D5" t="str">
            <v>CIV</v>
          </cell>
          <cell r="E5" t="str">
            <v>CIVIL</v>
          </cell>
        </row>
        <row r="6">
          <cell r="C6" t="str">
            <v>CH</v>
          </cell>
          <cell r="D6" t="str">
            <v>CIV</v>
          </cell>
          <cell r="E6" t="str">
            <v>CIVIL</v>
          </cell>
        </row>
        <row r="7">
          <cell r="C7" t="str">
            <v>CM</v>
          </cell>
          <cell r="D7" t="str">
            <v>CIV</v>
          </cell>
          <cell r="E7" t="str">
            <v>CIVIL</v>
          </cell>
        </row>
        <row r="8">
          <cell r="C8" t="str">
            <v>CT</v>
          </cell>
          <cell r="D8" t="str">
            <v>CIV</v>
          </cell>
          <cell r="E8" t="str">
            <v>CIVIL</v>
          </cell>
        </row>
        <row r="9">
          <cell r="C9" t="str">
            <v>CV</v>
          </cell>
          <cell r="D9" t="str">
            <v>CIV</v>
          </cell>
          <cell r="E9" t="str">
            <v>CIVIL</v>
          </cell>
        </row>
        <row r="10">
          <cell r="C10" t="str">
            <v>CX</v>
          </cell>
          <cell r="D10" t="str">
            <v>CIV</v>
          </cell>
          <cell r="E10" t="str">
            <v>CIVIL</v>
          </cell>
        </row>
        <row r="11">
          <cell r="C11" t="str">
            <v>CE</v>
          </cell>
          <cell r="D11" t="str">
            <v>MET</v>
          </cell>
          <cell r="E11" t="str">
            <v>ESTRUTURA METÁLICA</v>
          </cell>
        </row>
        <row r="12">
          <cell r="C12" t="str">
            <v>ST</v>
          </cell>
          <cell r="D12" t="str">
            <v>MET</v>
          </cell>
          <cell r="E12" t="str">
            <v>ESTRUTURA METÁLICA</v>
          </cell>
        </row>
        <row r="13">
          <cell r="C13" t="str">
            <v>EC</v>
          </cell>
          <cell r="D13" t="str">
            <v>ELE</v>
          </cell>
          <cell r="E13" t="str">
            <v>ELÉTRICA</v>
          </cell>
        </row>
        <row r="14">
          <cell r="C14" t="str">
            <v>ED</v>
          </cell>
          <cell r="D14" t="str">
            <v>ELE</v>
          </cell>
          <cell r="E14" t="str">
            <v>ELÉTRICA</v>
          </cell>
        </row>
        <row r="15">
          <cell r="C15" t="str">
            <v>EG</v>
          </cell>
          <cell r="D15" t="str">
            <v>ELE</v>
          </cell>
          <cell r="E15" t="str">
            <v>ELÉTRICA</v>
          </cell>
        </row>
        <row r="16">
          <cell r="C16" t="str">
            <v>EI</v>
          </cell>
          <cell r="D16" t="str">
            <v>ELE</v>
          </cell>
          <cell r="E16" t="str">
            <v>ELÉTRICA</v>
          </cell>
        </row>
        <row r="17">
          <cell r="C17" t="str">
            <v>EP</v>
          </cell>
          <cell r="D17" t="str">
            <v>ELE</v>
          </cell>
          <cell r="E17" t="str">
            <v>ELÉTRICA</v>
          </cell>
        </row>
        <row r="18">
          <cell r="C18" t="str">
            <v>ES</v>
          </cell>
          <cell r="D18" t="str">
            <v>ELE</v>
          </cell>
          <cell r="E18" t="str">
            <v>ELÉTRICA</v>
          </cell>
        </row>
        <row r="19">
          <cell r="C19" t="str">
            <v>GE</v>
          </cell>
          <cell r="D19" t="str">
            <v>ELE</v>
          </cell>
          <cell r="E19" t="str">
            <v>ELÉTRICA</v>
          </cell>
        </row>
        <row r="20">
          <cell r="C20" t="str">
            <v>ET</v>
          </cell>
          <cell r="D20" t="str">
            <v>ELE</v>
          </cell>
          <cell r="E20" t="str">
            <v>ELÉTRICA</v>
          </cell>
        </row>
        <row r="21">
          <cell r="C21" t="str">
            <v>EV</v>
          </cell>
          <cell r="D21" t="str">
            <v>ELE</v>
          </cell>
          <cell r="E21" t="str">
            <v>ELÉTRICA</v>
          </cell>
        </row>
        <row r="22">
          <cell r="C22" t="str">
            <v>EX</v>
          </cell>
          <cell r="D22" t="str">
            <v>ELE</v>
          </cell>
          <cell r="E22" t="str">
            <v>ELÉTRICA</v>
          </cell>
        </row>
        <row r="23">
          <cell r="C23" t="str">
            <v>MM</v>
          </cell>
          <cell r="D23" t="str">
            <v>MEC</v>
          </cell>
          <cell r="E23" t="str">
            <v>MECÂNICA</v>
          </cell>
        </row>
        <row r="24">
          <cell r="C24" t="str">
            <v>MP</v>
          </cell>
          <cell r="D24" t="str">
            <v>PRO</v>
          </cell>
          <cell r="E24" t="str">
            <v>PROCESSO</v>
          </cell>
        </row>
        <row r="25">
          <cell r="C25" t="str">
            <v>MS</v>
          </cell>
          <cell r="D25" t="str">
            <v>MEC</v>
          </cell>
          <cell r="E25" t="str">
            <v>MECÂNICA</v>
          </cell>
        </row>
        <row r="26">
          <cell r="C26" t="str">
            <v>MT</v>
          </cell>
          <cell r="D26" t="str">
            <v>TUB</v>
          </cell>
          <cell r="E26" t="str">
            <v>TUBULAÇÃO</v>
          </cell>
        </row>
        <row r="27">
          <cell r="C27" t="str">
            <v>MX</v>
          </cell>
          <cell r="D27" t="str">
            <v>MEC</v>
          </cell>
          <cell r="E27" t="str">
            <v>MECÂNICA</v>
          </cell>
        </row>
        <row r="28">
          <cell r="C28" t="str">
            <v>PC</v>
          </cell>
          <cell r="D28" t="str">
            <v>-</v>
          </cell>
          <cell r="E28" t="str">
            <v>COORDENAÇÃO</v>
          </cell>
        </row>
        <row r="29">
          <cell r="C29" t="str">
            <v>PG</v>
          </cell>
          <cell r="D29" t="str">
            <v>GC</v>
          </cell>
          <cell r="E29" t="str">
            <v>GERENCIAMENTO DE CONTRATO</v>
          </cell>
        </row>
        <row r="30">
          <cell r="C30" t="str">
            <v>GP</v>
          </cell>
          <cell r="D30" t="str">
            <v>-</v>
          </cell>
          <cell r="E30" t="str">
            <v>PLANEJAMENTO ESCRITÓRIOS</v>
          </cell>
        </row>
        <row r="31">
          <cell r="C31" t="str">
            <v>PP</v>
          </cell>
          <cell r="D31" t="str">
            <v>GPC</v>
          </cell>
          <cell r="E31" t="str">
            <v>PLANEJAMENTO</v>
          </cell>
        </row>
        <row r="32">
          <cell r="C32" t="str">
            <v>PS</v>
          </cell>
          <cell r="D32" t="str">
            <v>GSS</v>
          </cell>
          <cell r="E32" t="str">
            <v>SUPRIMENTOS</v>
          </cell>
        </row>
        <row r="33">
          <cell r="C33" t="str">
            <v>TA</v>
          </cell>
          <cell r="D33" t="str">
            <v>TSA</v>
          </cell>
          <cell r="E33" t="str">
            <v>INSTRUMENTAÇÃO</v>
          </cell>
        </row>
        <row r="34">
          <cell r="C34" t="str">
            <v>TC</v>
          </cell>
          <cell r="D34" t="str">
            <v>TSA</v>
          </cell>
          <cell r="E34" t="str">
            <v>INSTRUMENTAÇÃO</v>
          </cell>
        </row>
        <row r="35">
          <cell r="C35" t="str">
            <v>TI</v>
          </cell>
          <cell r="D35" t="str">
            <v>TSA</v>
          </cell>
          <cell r="E35" t="str">
            <v>INSTRUMENTAÇÃO</v>
          </cell>
        </row>
        <row r="36">
          <cell r="C36" t="str">
            <v>TX</v>
          </cell>
          <cell r="D36" t="str">
            <v>TSA</v>
          </cell>
          <cell r="E36" t="str">
            <v>INSTRUMENTAÇÃO</v>
          </cell>
        </row>
        <row r="37">
          <cell r="C37" t="str">
            <v>CA</v>
          </cell>
          <cell r="D37" t="str">
            <v>CIV</v>
          </cell>
          <cell r="E37" t="str">
            <v>CIVIL</v>
          </cell>
        </row>
        <row r="38">
          <cell r="C38" t="str">
            <v>UA</v>
          </cell>
          <cell r="D38" t="str">
            <v>CIV</v>
          </cell>
          <cell r="E38" t="str">
            <v>CIVIL</v>
          </cell>
        </row>
        <row r="39">
          <cell r="C39" t="str">
            <v>UP</v>
          </cell>
          <cell r="D39" t="str">
            <v>CIV</v>
          </cell>
          <cell r="E39" t="str">
            <v>CIVIL</v>
          </cell>
        </row>
        <row r="40">
          <cell r="C40" t="str">
            <v>UU</v>
          </cell>
          <cell r="D40" t="str">
            <v>CIV</v>
          </cell>
          <cell r="E40" t="str">
            <v>CIVIL</v>
          </cell>
        </row>
        <row r="41">
          <cell r="C41" t="str">
            <v>UX</v>
          </cell>
          <cell r="D41" t="str">
            <v>CIV</v>
          </cell>
          <cell r="E41" t="str">
            <v>CIVIL</v>
          </cell>
        </row>
      </sheetData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e de Distribuição de Água"/>
      <sheetName val="Rede Distrib Águ (indice 06-06)"/>
      <sheetName val="Módulo1"/>
      <sheetName val="MEMORIAL"/>
      <sheetName val="Serviços Água"/>
      <sheetName val="Replan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960887.XLS"/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"/>
      <sheetName val="RPA Julho"/>
      <sheetName val="Valor Mediçao"/>
      <sheetName val="Med 1ª"/>
      <sheetName val="Med 2ª"/>
      <sheetName val="Med 3ª"/>
      <sheetName val="Desc. de materiais"/>
      <sheetName val="Materiais Betuminosos"/>
      <sheetName val="Qd05 Preço"/>
      <sheetName val="Qd06"/>
      <sheetName val="LOTE 6"/>
      <sheetName val="DG"/>
      <sheetName val="Dados"/>
      <sheetName val="Acumulado"/>
      <sheetName val="Orçamento"/>
      <sheetName val="QuQuant"/>
      <sheetName val="Orçamentária"/>
      <sheetName val="Plan1"/>
      <sheetName val="Plan2"/>
      <sheetName val="Plan3"/>
      <sheetName val="Principal"/>
      <sheetName val=""/>
      <sheetName val="BR-267_TR01"/>
      <sheetName val="BR-267_TR02"/>
      <sheetName val="BR-267_TR03"/>
      <sheetName val="BR-376"/>
      <sheetName val="BR-463"/>
      <sheetName val="BR-487"/>
      <sheetName val="RELATA VÉIO"/>
      <sheetName val="Mat"/>
      <sheetName val="CONS_CORR"/>
      <sheetName val="Mobra"/>
      <sheetName val="TLMB"/>
      <sheetName val="SERVIÇOS"/>
      <sheetName val="Micro Revest MAN"/>
      <sheetName val="Micro Revest REC 1ªMP"/>
      <sheetName val="REM.MEC MAT.BET.MAN"/>
      <sheetName val="TRANSPORTE REC"/>
      <sheetName val="alteração"/>
      <sheetName val="PGR"/>
      <sheetName val="[OR960887.XLS][OR960887.XLS][OR"/>
      <sheetName val="//localhost/@/DFBSA00535/dyna01"/>
      <sheetName val="SIIG 2010-Jun"/>
      <sheetName val="Tabsal-2.9"/>
      <sheetName val="\\DFBSA00535\dyna01\ClaudioFerr"/>
      <sheetName val="CUSTO LARANJEIRAS"/>
      <sheetName val="8ª MP_BR_459"/>
      <sheetName val="PLANILHA ATUALIZADA"/>
      <sheetName val="__localhost_@_DFBSA00535_dyna01"/>
      <sheetName val="Final"/>
      <sheetName val="Inicio"/>
      <sheetName val="Organiza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SERVIÇOS CUSTO SICRO"/>
      <sheetName val="Equipamentos"/>
      <sheetName val="Materiais"/>
      <sheetName val="Mão de Obra"/>
      <sheetName val="Mapa Localização"/>
      <sheetName val="PATO"/>
      <sheetName val="Valeta"/>
      <sheetName val="Descida"/>
      <sheetName val="Meio-Fio"/>
      <sheetName val="Sarjeta"/>
      <sheetName val="Bueiro"/>
      <sheetName val="Plan.Preç.Unit."/>
      <sheetName val="QUANT E CUSTOS"/>
      <sheetName val="Transportes"/>
      <sheetName val="Referência"/>
      <sheetName val="Cronograma"/>
      <sheetName val="Grafico Dist. Transp"/>
      <sheetName val="Mobilização e Desmob"/>
      <sheetName val="Resumo Inventario"/>
      <sheetName val="Defensa Recompor"/>
      <sheetName val="Pintura Faixa"/>
      <sheetName val="Pintura Setas"/>
      <sheetName val="Tacha"/>
      <sheetName val="Sinalização"/>
      <sheetName val="Lay out canteiro"/>
      <sheetName val="Custo Canteiro"/>
      <sheetName val="Transp com c carroc rodov pav"/>
      <sheetName val="Aquis. CAP-50-70 MBUQ"/>
      <sheetName val="Transp. CAP-50-70 MBUQ"/>
      <sheetName val="Aquis. RR-1C Remendo"/>
      <sheetName val="Transp. RR-1C Remendo"/>
      <sheetName val="Aquis. RR-1C Tapa Buraco"/>
      <sheetName val="Trans. RR-1C Tapa Buraco"/>
      <sheetName val="Aquis. RR-1C Correção"/>
      <sheetName val="Trans. RR-1C Correção"/>
      <sheetName val="E011"/>
      <sheetName val="E016"/>
      <sheetName val="E400"/>
      <sheetName val="E408"/>
      <sheetName val="[OR960887.XLS]//localhost/@/DFB"/>
      <sheetName val="Teor"/>
      <sheetName val="comp1"/>
      <sheetName val="Estimativa"/>
      <sheetName val="P1Q2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entaçao Terraplenagem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entaçao Terraplenagem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 "/>
      <sheetName val="MATERIAL"/>
      <sheetName val="COMPOSIÇÃO"/>
      <sheetName val="Planilha"/>
      <sheetName val="Replan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çosNoPrint"/>
      <sheetName val="ComparaQuantNoPrint"/>
      <sheetName val="TodasTraf-2011-NoPrint"/>
      <sheetName val="TrafPb008"/>
      <sheetName val="PavPb008"/>
      <sheetName val="TrafPb027"/>
      <sheetName val="PavPb027"/>
      <sheetName val="TrafPb033(1)"/>
      <sheetName val="PavPb033(1)"/>
      <sheetName val="TrafPb033(2)"/>
      <sheetName val="PavPb033(2)"/>
      <sheetName val="TrafPb059(1)"/>
      <sheetName val="PavPb059(1)"/>
      <sheetName val="TrafPb059(2)"/>
      <sheetName val="PavPb059(2)"/>
      <sheetName val="TrafPb061"/>
      <sheetName val="PavPb061"/>
      <sheetName val="TrafPb065"/>
      <sheetName val="PavPb065"/>
      <sheetName val="TodasTraf-2000-NoPrint"/>
      <sheetName val="Br101-NoPrint"/>
      <sheetName val="TrafAnual-NoPrint"/>
      <sheetName val="TrafContExpan-NoPrint"/>
      <sheetName val="PavComplNoPrint"/>
      <sheetName val="bm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"/>
      <sheetName val="planilha de quant. e custos a"/>
      <sheetName val="planilha de quant_ e custos a"/>
      <sheetName val="Plan1"/>
      <sheetName val="MEMORIAL"/>
      <sheetName val="Replan"/>
      <sheetName val="EMERGÊNCIA"/>
      <sheetName val="MEDICA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DI"/>
      <sheetName val="equipes tipicas"/>
      <sheetName val="bd custo"/>
      <sheetName val="bd mo"/>
      <sheetName val="bd mat"/>
      <sheetName val="recursos"/>
      <sheetName val="a"/>
      <sheetName val="Etapa Única"/>
    </sheetNames>
    <sheetDataSet>
      <sheetData sheetId="0" refreshError="1"/>
      <sheetData sheetId="1" refreshError="1">
        <row r="85">
          <cell r="E85">
            <v>1</v>
          </cell>
        </row>
        <row r="97">
          <cell r="E97">
            <v>1</v>
          </cell>
        </row>
      </sheetData>
      <sheetData sheetId="2" refreshError="1"/>
      <sheetData sheetId="3" refreshError="1"/>
      <sheetData sheetId="4" refreshError="1"/>
      <sheetData sheetId="5"/>
      <sheetData sheetId="6" refreshError="1">
        <row r="2">
          <cell r="A2">
            <v>1</v>
          </cell>
          <cell r="B2" t="str">
            <v>Andaime c/ pranchões de madeira</v>
          </cell>
          <cell r="C2" t="str">
            <v>M2xMÊS</v>
          </cell>
          <cell r="E2">
            <v>0.55000000000000004</v>
          </cell>
        </row>
        <row r="3">
          <cell r="A3">
            <v>2</v>
          </cell>
          <cell r="B3" t="str">
            <v>Andaime tipo quadro (1,50x1,0x1,0)</v>
          </cell>
          <cell r="C3" t="str">
            <v>M3xMÊS</v>
          </cell>
          <cell r="E3">
            <v>25</v>
          </cell>
        </row>
        <row r="4">
          <cell r="A4">
            <v>3</v>
          </cell>
          <cell r="B4" t="str">
            <v>Andaime tipo tubular</v>
          </cell>
          <cell r="C4" t="str">
            <v>MxMÊS</v>
          </cell>
          <cell r="E4">
            <v>2.5</v>
          </cell>
        </row>
        <row r="5">
          <cell r="A5">
            <v>4</v>
          </cell>
          <cell r="B5" t="str">
            <v>Aparelho Jato</v>
          </cell>
          <cell r="C5" t="str">
            <v>MÊS</v>
          </cell>
          <cell r="D5">
            <v>9.375</v>
          </cell>
          <cell r="E5">
            <v>1500</v>
          </cell>
        </row>
        <row r="6">
          <cell r="A6">
            <v>5</v>
          </cell>
          <cell r="B6" t="str">
            <v>Bancadas (vb p/ aquisição)</v>
          </cell>
          <cell r="C6" t="str">
            <v>MÊS</v>
          </cell>
          <cell r="D6">
            <v>0.9375</v>
          </cell>
          <cell r="E6">
            <v>150</v>
          </cell>
        </row>
        <row r="7">
          <cell r="A7">
            <v>6</v>
          </cell>
          <cell r="B7" t="str">
            <v>Bisaladeira de tubos - cinta</v>
          </cell>
          <cell r="C7" t="str">
            <v>MÊS</v>
          </cell>
          <cell r="D7">
            <v>4.0625</v>
          </cell>
          <cell r="E7">
            <v>650</v>
          </cell>
        </row>
        <row r="8">
          <cell r="A8">
            <v>7</v>
          </cell>
          <cell r="B8" t="str">
            <v>Bomba de Teste Hidro 200 kgf/cm²</v>
          </cell>
          <cell r="C8" t="str">
            <v>MÊS</v>
          </cell>
          <cell r="D8">
            <v>1.5625</v>
          </cell>
          <cell r="E8">
            <v>250</v>
          </cell>
        </row>
        <row r="9">
          <cell r="A9">
            <v>8</v>
          </cell>
          <cell r="B9" t="str">
            <v>Caminhão carroceria</v>
          </cell>
          <cell r="C9" t="str">
            <v>H</v>
          </cell>
          <cell r="D9">
            <v>47</v>
          </cell>
          <cell r="E9">
            <v>47</v>
          </cell>
        </row>
        <row r="10">
          <cell r="A10">
            <v>9</v>
          </cell>
          <cell r="B10" t="str">
            <v>Caminhão munck 12t</v>
          </cell>
          <cell r="C10" t="str">
            <v>H</v>
          </cell>
          <cell r="D10">
            <v>50</v>
          </cell>
          <cell r="E10">
            <v>50</v>
          </cell>
        </row>
        <row r="11">
          <cell r="A11">
            <v>10</v>
          </cell>
          <cell r="B11" t="str">
            <v>Caminhão munck 3 t</v>
          </cell>
          <cell r="C11" t="str">
            <v>H</v>
          </cell>
          <cell r="D11">
            <v>47</v>
          </cell>
          <cell r="E11">
            <v>47</v>
          </cell>
        </row>
        <row r="12">
          <cell r="A12">
            <v>11</v>
          </cell>
          <cell r="B12" t="str">
            <v>Carro tipo plataforma - 800 Kg</v>
          </cell>
          <cell r="C12" t="str">
            <v>MÊS</v>
          </cell>
          <cell r="D12">
            <v>3.125</v>
          </cell>
          <cell r="E12">
            <v>500</v>
          </cell>
        </row>
        <row r="13">
          <cell r="A13">
            <v>12</v>
          </cell>
          <cell r="B13" t="str">
            <v>Cavalo mecânico com carreta 28 t</v>
          </cell>
          <cell r="C13" t="str">
            <v>H</v>
          </cell>
          <cell r="D13">
            <v>60</v>
          </cell>
          <cell r="E13">
            <v>60</v>
          </cell>
        </row>
        <row r="14">
          <cell r="A14">
            <v>13</v>
          </cell>
          <cell r="B14" t="str">
            <v>Cavalo mecânico com prancha 75 t</v>
          </cell>
          <cell r="C14" t="str">
            <v>H</v>
          </cell>
          <cell r="D14">
            <v>75</v>
          </cell>
          <cell r="E14">
            <v>75</v>
          </cell>
        </row>
        <row r="15">
          <cell r="A15">
            <v>14</v>
          </cell>
          <cell r="B15" t="str">
            <v>Compressor elétrico 750 CFM</v>
          </cell>
          <cell r="C15" t="str">
            <v>MÊS</v>
          </cell>
          <cell r="D15">
            <v>25</v>
          </cell>
          <cell r="E15">
            <v>4000</v>
          </cell>
        </row>
        <row r="16">
          <cell r="A16">
            <v>15</v>
          </cell>
          <cell r="B16" t="str">
            <v>Conjunto oxi-acetileno</v>
          </cell>
          <cell r="C16" t="str">
            <v>MÊS</v>
          </cell>
          <cell r="D16">
            <v>1.875</v>
          </cell>
          <cell r="E16">
            <v>300</v>
          </cell>
        </row>
        <row r="17">
          <cell r="A17">
            <v>16</v>
          </cell>
          <cell r="B17" t="str">
            <v>Corta tubos - disco</v>
          </cell>
          <cell r="C17" t="str">
            <v>MÊS</v>
          </cell>
          <cell r="D17">
            <v>0.625</v>
          </cell>
          <cell r="E17">
            <v>100</v>
          </cell>
        </row>
        <row r="18">
          <cell r="A18">
            <v>17</v>
          </cell>
          <cell r="B18" t="str">
            <v>CP-Equipamentos de Montagem</v>
          </cell>
          <cell r="C18" t="str">
            <v>HH</v>
          </cell>
          <cell r="D18">
            <v>3.2</v>
          </cell>
          <cell r="E18">
            <v>3.2</v>
          </cell>
        </row>
        <row r="19">
          <cell r="A19">
            <v>18</v>
          </cell>
          <cell r="B19" t="str">
            <v>Diesel (EQ)</v>
          </cell>
          <cell r="C19" t="str">
            <v>L</v>
          </cell>
          <cell r="E19">
            <v>1.25</v>
          </cell>
        </row>
        <row r="20">
          <cell r="A20">
            <v>19</v>
          </cell>
          <cell r="B20" t="str">
            <v>Dobradeira de tubos - Hidráulica 4" a 6"</v>
          </cell>
          <cell r="C20" t="str">
            <v>MÊS</v>
          </cell>
          <cell r="D20">
            <v>4.6875</v>
          </cell>
          <cell r="E20">
            <v>750</v>
          </cell>
        </row>
        <row r="21">
          <cell r="A21">
            <v>20</v>
          </cell>
          <cell r="B21" t="str">
            <v>Dobradeira de tubos - Hidráulica até 3"</v>
          </cell>
          <cell r="C21" t="str">
            <v>MÊS</v>
          </cell>
          <cell r="D21">
            <v>1.25</v>
          </cell>
          <cell r="E21">
            <v>200</v>
          </cell>
        </row>
        <row r="22">
          <cell r="A22">
            <v>21</v>
          </cell>
          <cell r="B22" t="str">
            <v>Empilhadeira</v>
          </cell>
          <cell r="C22" t="str">
            <v>H</v>
          </cell>
          <cell r="D22">
            <v>47</v>
          </cell>
          <cell r="E22">
            <v>47</v>
          </cell>
        </row>
        <row r="23">
          <cell r="A23">
            <v>22</v>
          </cell>
          <cell r="B23" t="str">
            <v>Esmeril de coluna - duplo</v>
          </cell>
          <cell r="C23" t="str">
            <v>MÊS</v>
          </cell>
          <cell r="D23">
            <v>1.25</v>
          </cell>
          <cell r="E23">
            <v>200</v>
          </cell>
        </row>
        <row r="24">
          <cell r="A24">
            <v>23</v>
          </cell>
          <cell r="B24" t="str">
            <v>Estufa recozimento 200 kg</v>
          </cell>
          <cell r="C24" t="str">
            <v>MÊS</v>
          </cell>
          <cell r="D24">
            <v>2.5</v>
          </cell>
          <cell r="E24">
            <v>400</v>
          </cell>
        </row>
        <row r="25">
          <cell r="A25">
            <v>24</v>
          </cell>
          <cell r="B25" t="str">
            <v>Estufa secagem 50 kg</v>
          </cell>
          <cell r="C25" t="str">
            <v>MÊS</v>
          </cell>
          <cell r="D25">
            <v>0.625</v>
          </cell>
          <cell r="E25">
            <v>100</v>
          </cell>
        </row>
        <row r="26">
          <cell r="A26">
            <v>25</v>
          </cell>
          <cell r="B26" t="str">
            <v>Furadeira base magnética c/ mandril</v>
          </cell>
          <cell r="C26" t="str">
            <v>MÊS</v>
          </cell>
          <cell r="D26">
            <v>3.125</v>
          </cell>
          <cell r="E26">
            <v>500</v>
          </cell>
        </row>
        <row r="27">
          <cell r="A27">
            <v>26</v>
          </cell>
          <cell r="B27" t="str">
            <v>Furadeira de coluna</v>
          </cell>
          <cell r="C27" t="str">
            <v>MÊS</v>
          </cell>
          <cell r="D27">
            <v>1.875</v>
          </cell>
          <cell r="E27">
            <v>300</v>
          </cell>
        </row>
        <row r="28">
          <cell r="A28">
            <v>27</v>
          </cell>
          <cell r="B28" t="str">
            <v>Grupo gerador 60 KVA</v>
          </cell>
          <cell r="C28" t="str">
            <v>MÊS</v>
          </cell>
          <cell r="D28">
            <v>12.5</v>
          </cell>
          <cell r="E28">
            <v>2000</v>
          </cell>
        </row>
        <row r="29">
          <cell r="A29">
            <v>28</v>
          </cell>
          <cell r="B29" t="str">
            <v>Guindaste Telescópico 18 t</v>
          </cell>
          <cell r="C29" t="str">
            <v>H</v>
          </cell>
          <cell r="D29">
            <v>60</v>
          </cell>
          <cell r="E29">
            <v>60</v>
          </cell>
        </row>
        <row r="30">
          <cell r="A30">
            <v>29</v>
          </cell>
          <cell r="B30" t="str">
            <v>Guindaste Telescópico 25 t</v>
          </cell>
          <cell r="C30" t="str">
            <v>H</v>
          </cell>
          <cell r="D30">
            <v>85</v>
          </cell>
          <cell r="E30">
            <v>85</v>
          </cell>
        </row>
        <row r="31">
          <cell r="A31">
            <v>30</v>
          </cell>
          <cell r="B31" t="str">
            <v>Guindaste Telescópico 50 t</v>
          </cell>
          <cell r="C31" t="str">
            <v>H</v>
          </cell>
          <cell r="D31">
            <v>130</v>
          </cell>
          <cell r="E31">
            <v>130</v>
          </cell>
        </row>
        <row r="32">
          <cell r="A32">
            <v>31</v>
          </cell>
          <cell r="B32" t="str">
            <v>Guindaste Telescópico 60 t</v>
          </cell>
          <cell r="C32" t="str">
            <v>H</v>
          </cell>
          <cell r="D32">
            <v>140</v>
          </cell>
          <cell r="E32">
            <v>140</v>
          </cell>
        </row>
        <row r="33">
          <cell r="A33">
            <v>32</v>
          </cell>
          <cell r="B33" t="str">
            <v>Guindaste Telescópico 90 t</v>
          </cell>
          <cell r="C33" t="str">
            <v>H</v>
          </cell>
          <cell r="D33">
            <v>260</v>
          </cell>
          <cell r="E33">
            <v>260</v>
          </cell>
        </row>
        <row r="34">
          <cell r="A34">
            <v>33</v>
          </cell>
          <cell r="B34" t="str">
            <v>Guindaste Treliçado 160 t</v>
          </cell>
          <cell r="C34" t="str">
            <v>H</v>
          </cell>
          <cell r="D34">
            <v>360</v>
          </cell>
          <cell r="E34">
            <v>360</v>
          </cell>
        </row>
        <row r="35">
          <cell r="A35">
            <v>34</v>
          </cell>
          <cell r="B35" t="str">
            <v>Lubrificante / Lavagem (EQ)</v>
          </cell>
          <cell r="C35" t="str">
            <v>L</v>
          </cell>
          <cell r="E35">
            <v>2</v>
          </cell>
        </row>
        <row r="36">
          <cell r="A36">
            <v>35</v>
          </cell>
          <cell r="B36" t="str">
            <v>Macaco hidráulico 10/5 t</v>
          </cell>
          <cell r="C36" t="str">
            <v>MÊS</v>
          </cell>
          <cell r="D36">
            <v>1.25</v>
          </cell>
          <cell r="E36">
            <v>200</v>
          </cell>
        </row>
        <row r="37">
          <cell r="A37">
            <v>36</v>
          </cell>
          <cell r="B37" t="str">
            <v>Macaco hidráulico 200/100 t</v>
          </cell>
          <cell r="C37" t="str">
            <v>MÊS</v>
          </cell>
          <cell r="D37">
            <v>6.25</v>
          </cell>
          <cell r="E37">
            <v>1000</v>
          </cell>
        </row>
        <row r="38">
          <cell r="A38">
            <v>37</v>
          </cell>
          <cell r="B38" t="str">
            <v>Macaco hidráulico 25 t</v>
          </cell>
          <cell r="C38" t="str">
            <v>MÊS</v>
          </cell>
          <cell r="D38">
            <v>1.875</v>
          </cell>
          <cell r="E38">
            <v>300</v>
          </cell>
        </row>
        <row r="39">
          <cell r="A39">
            <v>38</v>
          </cell>
          <cell r="B39" t="str">
            <v>Macaco hidráulico 50 t</v>
          </cell>
          <cell r="C39" t="str">
            <v>MÊS</v>
          </cell>
          <cell r="D39">
            <v>3.125</v>
          </cell>
          <cell r="E39">
            <v>500</v>
          </cell>
        </row>
        <row r="40">
          <cell r="A40">
            <v>39</v>
          </cell>
          <cell r="B40" t="str">
            <v>Máquina de solda</v>
          </cell>
          <cell r="C40" t="str">
            <v>MÊS</v>
          </cell>
          <cell r="D40">
            <v>0.8125</v>
          </cell>
          <cell r="E40">
            <v>130</v>
          </cell>
        </row>
        <row r="41">
          <cell r="A41">
            <v>40</v>
          </cell>
          <cell r="B41" t="str">
            <v>Máquina de solda TIG</v>
          </cell>
          <cell r="C41" t="str">
            <v>MÊS</v>
          </cell>
          <cell r="D41">
            <v>1.875</v>
          </cell>
          <cell r="E41">
            <v>300</v>
          </cell>
        </row>
        <row r="42">
          <cell r="A42">
            <v>41</v>
          </cell>
          <cell r="B42" t="str">
            <v>Nível otico</v>
          </cell>
          <cell r="C42" t="str">
            <v>MÊS</v>
          </cell>
          <cell r="D42">
            <v>0.9375</v>
          </cell>
          <cell r="E42">
            <v>150</v>
          </cell>
        </row>
        <row r="43">
          <cell r="A43">
            <v>42</v>
          </cell>
          <cell r="B43" t="str">
            <v>Painel de distrib/alimentação</v>
          </cell>
          <cell r="C43" t="str">
            <v>MÊS</v>
          </cell>
          <cell r="D43">
            <v>0.625</v>
          </cell>
          <cell r="E43">
            <v>100</v>
          </cell>
        </row>
        <row r="44">
          <cell r="A44">
            <v>43</v>
          </cell>
          <cell r="B44" t="str">
            <v>Relógio comparador</v>
          </cell>
          <cell r="C44" t="str">
            <v>MÊS</v>
          </cell>
          <cell r="D44">
            <v>0.75</v>
          </cell>
          <cell r="E44">
            <v>120</v>
          </cell>
        </row>
        <row r="45">
          <cell r="A45">
            <v>44</v>
          </cell>
          <cell r="B45" t="str">
            <v>Retífica elétrica - Ridgid</v>
          </cell>
          <cell r="C45" t="str">
            <v>MÊS</v>
          </cell>
          <cell r="D45">
            <v>5</v>
          </cell>
          <cell r="E45">
            <v>800</v>
          </cell>
        </row>
        <row r="46">
          <cell r="A46">
            <v>45</v>
          </cell>
          <cell r="B46" t="str">
            <v>Rosqueadeira elétrica Ridgid</v>
          </cell>
          <cell r="C46" t="str">
            <v>H</v>
          </cell>
          <cell r="E46">
            <v>1000</v>
          </cell>
        </row>
        <row r="47">
          <cell r="A47">
            <v>46</v>
          </cell>
          <cell r="B47" t="str">
            <v>Serra elétrica - franho</v>
          </cell>
          <cell r="C47" t="str">
            <v>MÊS</v>
          </cell>
          <cell r="D47">
            <v>0.9375</v>
          </cell>
          <cell r="E47">
            <v>150</v>
          </cell>
        </row>
        <row r="48">
          <cell r="A48">
            <v>47</v>
          </cell>
          <cell r="B48" t="str">
            <v>Serra elétrica - policorte</v>
          </cell>
          <cell r="C48" t="str">
            <v>MÊS</v>
          </cell>
          <cell r="D48">
            <v>0.9375</v>
          </cell>
          <cell r="E48">
            <v>150</v>
          </cell>
        </row>
        <row r="49">
          <cell r="A49">
            <v>48</v>
          </cell>
          <cell r="B49" t="str">
            <v>Talha de corrente 10 t</v>
          </cell>
          <cell r="C49" t="str">
            <v>MÊS</v>
          </cell>
          <cell r="D49">
            <v>3.125</v>
          </cell>
          <cell r="E49">
            <v>500</v>
          </cell>
        </row>
        <row r="50">
          <cell r="A50">
            <v>49</v>
          </cell>
          <cell r="B50" t="str">
            <v>Talha elétrica - 1 t</v>
          </cell>
          <cell r="C50" t="str">
            <v>MÊS</v>
          </cell>
          <cell r="D50">
            <v>7.5</v>
          </cell>
          <cell r="E50">
            <v>1200</v>
          </cell>
        </row>
        <row r="51">
          <cell r="A51">
            <v>50</v>
          </cell>
          <cell r="B51" t="str">
            <v>Talha manual 1 a 5 t</v>
          </cell>
          <cell r="C51" t="str">
            <v>MÊS</v>
          </cell>
          <cell r="D51">
            <v>0.75</v>
          </cell>
          <cell r="E51">
            <v>120</v>
          </cell>
        </row>
        <row r="52">
          <cell r="A52">
            <v>51</v>
          </cell>
          <cell r="B52" t="str">
            <v>Tartaruga 100 t</v>
          </cell>
          <cell r="C52" t="str">
            <v>MÊS</v>
          </cell>
          <cell r="D52">
            <v>2.25</v>
          </cell>
          <cell r="E52">
            <v>360</v>
          </cell>
        </row>
        <row r="53">
          <cell r="A53">
            <v>52</v>
          </cell>
          <cell r="B53" t="str">
            <v>Tartaruga 50 t</v>
          </cell>
          <cell r="C53" t="str">
            <v>MÊS</v>
          </cell>
          <cell r="D53">
            <v>0.9375</v>
          </cell>
          <cell r="E53">
            <v>150</v>
          </cell>
        </row>
        <row r="54">
          <cell r="A54">
            <v>53</v>
          </cell>
          <cell r="B54" t="str">
            <v>Teodolito</v>
          </cell>
          <cell r="C54" t="str">
            <v>MÊS</v>
          </cell>
          <cell r="D54">
            <v>3.75</v>
          </cell>
          <cell r="E54">
            <v>600</v>
          </cell>
        </row>
        <row r="55">
          <cell r="A55">
            <v>54</v>
          </cell>
          <cell r="B55" t="str">
            <v>Tifor 2 t c/ cabo</v>
          </cell>
          <cell r="C55" t="str">
            <v>MÊS</v>
          </cell>
          <cell r="D55">
            <v>1.25</v>
          </cell>
          <cell r="E55">
            <v>200</v>
          </cell>
        </row>
        <row r="56">
          <cell r="A56">
            <v>55</v>
          </cell>
          <cell r="B56" t="str">
            <v>Tifor com freio 3 t c/ cabo</v>
          </cell>
          <cell r="C56" t="str">
            <v>MÊS</v>
          </cell>
          <cell r="D56">
            <v>3.125</v>
          </cell>
          <cell r="E56">
            <v>500</v>
          </cell>
        </row>
        <row r="57">
          <cell r="A57">
            <v>56</v>
          </cell>
          <cell r="B57" t="str">
            <v>Torno Tripê</v>
          </cell>
          <cell r="C57" t="str">
            <v>MÊS</v>
          </cell>
          <cell r="D57">
            <v>6.25</v>
          </cell>
          <cell r="E57">
            <v>1000</v>
          </cell>
        </row>
        <row r="58">
          <cell r="A58">
            <v>57</v>
          </cell>
          <cell r="B58" t="str">
            <v>Torquimetro</v>
          </cell>
          <cell r="C58" t="str">
            <v>MÊS</v>
          </cell>
          <cell r="D58">
            <v>1.5625</v>
          </cell>
          <cell r="E58">
            <v>250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Dados"/>
      <sheetName val="Descrição"/>
      <sheetName val="001-Terraplenagem"/>
      <sheetName val="002-Drenagem"/>
      <sheetName val="003-Pavimentação"/>
      <sheetName val="Largura Binder 2007"/>
      <sheetName val="Rotativa Binder 2007"/>
      <sheetName val="Rotativa Binder 2008"/>
      <sheetName val="38"/>
      <sheetName val="a"/>
      <sheetName val="reforma"/>
      <sheetName val="MEMORIAL"/>
      <sheetName val="RESUMO - MO37588"/>
      <sheetName val="orientaçao terraplenagem"/>
      <sheetName val="MEDICAO"/>
      <sheetName val="anexos"/>
      <sheetName val="bm 8"/>
    </sheetNames>
    <sheetDataSet>
      <sheetData sheetId="0">
        <row r="126">
          <cell r="C126" t="str">
            <v>T</v>
          </cell>
          <cell r="D126">
            <v>7.4399999999999994E-2</v>
          </cell>
        </row>
        <row r="127">
          <cell r="C127" t="str">
            <v>P</v>
          </cell>
          <cell r="D127">
            <v>9.4799999999999995E-2</v>
          </cell>
        </row>
        <row r="128">
          <cell r="C128" t="str">
            <v>D</v>
          </cell>
          <cell r="D128">
            <v>7.8299999999999995E-2</v>
          </cell>
        </row>
        <row r="129">
          <cell r="C129" t="str">
            <v>S</v>
          </cell>
          <cell r="D129">
            <v>6.5299999999999997E-2</v>
          </cell>
        </row>
        <row r="130">
          <cell r="C130" t="str">
            <v>C</v>
          </cell>
          <cell r="D130">
            <v>9.3299999999999994E-2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-Bm 8"/>
      <sheetName val="Bm 8"/>
      <sheetName val="Rede 8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"/>
      <sheetName val="Vol_ Terrap_"/>
      <sheetName val="RESUMO - MO37588"/>
      <sheetName val="Replan"/>
      <sheetName val="Resumo"/>
      <sheetName val="memorial"/>
      <sheetName val="capa -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lanilha"/>
      <sheetName val="composições"/>
      <sheetName val="fornecedores"/>
      <sheetName val="MAT"/>
      <sheetName val="Cronograma"/>
      <sheetName val="Listagem"/>
      <sheetName val="Plan1"/>
      <sheetName val="a.2- resumo"/>
      <sheetName val="16-equip."/>
      <sheetName val="17-m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2.7"/>
      <sheetName val="Plan1"/>
      <sheetName val="Plan2"/>
      <sheetName val="Plan3"/>
      <sheetName val="Plan 2_7"/>
      <sheetName val="reform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MATERIAL"/>
      <sheetName val="COMPOSIÇÃO"/>
      <sheetName val="CAPA -1"/>
      <sheetName val="Replan"/>
      <sheetName val="Planilha de Custo"/>
      <sheetName val="Anexos"/>
      <sheetName val="MEDICAO"/>
      <sheetName val="BASE 5E"/>
      <sheetName val="PLANILHA"/>
      <sheetName val="TOTAL"/>
      <sheetName val="(2,5 X1,5) PRIORIDADE 1 "/>
      <sheetName val="(2,5x1,5) PRIORIDADE 2 "/>
      <sheetName val="(2,5x1,5) PRIORIDADE 3 "/>
      <sheetName val="(1,5x1,5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MATERIAL"/>
      <sheetName val="COMPOSIÇÃO"/>
      <sheetName val="PLANILHA"/>
      <sheetName val="Planilha de Custo"/>
      <sheetName val="ADMI_25.01"/>
      <sheetName val="Replan"/>
      <sheetName val="Resum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LAN_ORCA "/>
      <sheetName val="CRONOGRAMA"/>
      <sheetName val="PLAN_FORN"/>
    </sheetNames>
    <sheetDataSet>
      <sheetData sheetId="0"/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"/>
      <sheetName val="Plan1"/>
      <sheetName val="Resumo"/>
      <sheetName val="BAIXO GUANDU ITAIMBE"/>
      <sheetName val="cff1"/>
      <sheetName val="ITAIMBE ITAGUACU"/>
      <sheetName val="cff2"/>
      <sheetName val="BAIXO GUANDU AIMORES"/>
      <sheetName val="Tudo"/>
      <sheetName val="cff3"/>
      <sheetName val="abc ápia"/>
      <sheetName val="abc órgão"/>
      <sheetName val="consolidada"/>
      <sheetName val="MEMO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Áreas"/>
      <sheetName val="Espec.HB fl. 01"/>
      <sheetName val="Espec.HB fl. 02"/>
      <sheetName val="Espec.HB fl. 03"/>
      <sheetName val="Espec.HB fl. 04"/>
      <sheetName val="QCI"/>
      <sheetName val="FRE "/>
      <sheetName val="Especificação CASAS"/>
      <sheetName val="Espelho-Hab 61 (T+1B)"/>
      <sheetName val="Habitaçao Unit (T+1B)"/>
      <sheetName val="Compo. Anexo I"/>
      <sheetName val="Orç.Hab. Unit (T+1B)"/>
      <sheetName val="Orç.Hab. Total (T+1B)"/>
      <sheetName val="Espelho-Admini (T+1B)"/>
      <sheetName val="Admin Local (T+1B)"/>
      <sheetName val="Espelho-Infra"/>
      <sheetName val="Orç. Infra estrutura"/>
      <sheetName val="Mem Infra Manacá"/>
      <sheetName val="Composição BDI 01"/>
      <sheetName val="Cronog-hab"/>
      <sheetName val="Cronog-infra estrutura"/>
      <sheetName val="Cronog-Global"/>
      <sheetName val="RAE-CASA 01"/>
      <sheetName val="PLS-CASA"/>
      <sheetName val="PLS-INFRA"/>
      <sheetName val="Medição-GLOBAL-PAR"/>
      <sheetName val="RAE-CASA 02"/>
      <sheetName val="RAE-EQ-INFRA"/>
      <sheetName val="RAE-FOTOS"/>
      <sheetName val="memorial"/>
      <sheetName val="refor out. 2001 - bdi=20% aj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48">
          <cell r="AM248" t="str">
            <v xml:space="preserve">RM (Região Metropolitana) de SP, RJ e DF </v>
          </cell>
        </row>
        <row r="249">
          <cell r="AM249" t="str">
            <v>Demais RM, RIDE/DF e municípios com mais de 500 mil habitantes</v>
          </cell>
        </row>
        <row r="250">
          <cell r="AM250" t="str">
            <v>Demais municípios.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P"/>
      <sheetName val="Curva S - Fisico"/>
      <sheetName val="Curva S - Financeira"/>
      <sheetName val="Gauss Civil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MATERIAIS"/>
      <sheetName val="TABELA"/>
      <sheetName val="SERVIÇOS"/>
      <sheetName val="ESPELHO  "/>
      <sheetName val="Módulo1"/>
      <sheetName val="PLANILHA DE QUANT. E CUSTOS A"/>
      <sheetName val="Replan"/>
      <sheetName val="Rede de Distribuição de Água"/>
      <sheetName val="Resum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EAP"/>
      <sheetName val="CURVA GERAL"/>
      <sheetName val="CURVA 40%"/>
      <sheetName val="CURVA 50% "/>
      <sheetName val="CURVA  60%"/>
      <sheetName val="CURVAS -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TABELA RECURSOS"/>
      <sheetName val="CPU BÁSICA"/>
      <sheetName val="CPU BÁSICA 2"/>
      <sheetName val="CPU BÁSICA 1"/>
      <sheetName val="AUX 30 CONCRETO 35 MPa"/>
      <sheetName val="AUX 29 CHAMINÉ PV H = 1,00"/>
      <sheetName val="AUX 28 LASTRO DE SEIXO"/>
      <sheetName val="AUX 27 ESCAVAÇÃO MANUAL"/>
      <sheetName val="AUX 26 CONFECÇÃO SUPORTE "/>
      <sheetName val="AUX 25 CONFECÇÃO PLACA"/>
      <sheetName val="AUX 24 GUIA DE MADEIRA"/>
      <sheetName val="AUX 23 CONF TUBO 60"/>
      <sheetName val="AUX 22 ARGAMASSA 14"/>
      <sheetName val="AUX 21 ARGAMASSA 13"/>
      <sheetName val="AUX 20 AÇO CA 25"/>
      <sheetName val="AUX 19 AÇO CA 50"/>
      <sheetName val="AUX 18 AÇO CA 60"/>
      <sheetName val="AUX 17 CONCRETO CICLÓPICO 12"/>
      <sheetName val="AUX 16 CONCRETO 18 MPa TUBOS"/>
      <sheetName val="AUX 15 CONCRETO 25 MPa"/>
      <sheetName val="AUX 14 CONCRETO 20 MPa"/>
      <sheetName val="AUX 13 CONCRETO 15 MPa"/>
      <sheetName val="AUX 12 CONC 12 MPa"/>
      <sheetName val="AUX 11 CONCRETO 10 MPa"/>
      <sheetName val="AUX 10 FORMA COMP PLASTIIFCA"/>
      <sheetName val="AUX 09 FORMA COMUM"/>
      <sheetName val="AUX 08 USINAGEM CBUQ"/>
      <sheetName val="AUX 07 ESCAV CARGA JAZIDA"/>
      <sheetName val="AUX 06 EXPURGO JAZIDA"/>
      <sheetName val="AUX 05 LIMPEZA JAZIDA"/>
      <sheetName val="AUX 04 ALVENARIA DE TIJOLO"/>
      <sheetName val="AUX 03 FORNEC AÇO CA 60"/>
      <sheetName val="AUX 02 FORNEC AÇO CA 50"/>
      <sheetName val="AUX 01 FORNEC AÇO CA 25"/>
      <sheetName val="8.13 ARBUSTOS"/>
      <sheetName val="8.12 FORN IMPL PLACA SINAL"/>
      <sheetName val="8.11 PINTURA DE FAIXA"/>
      <sheetName val="8.10 FORNEC CAP-20"/>
      <sheetName val="8.9 FORNEC RR-2C"/>
      <sheetName val="8.8 FORNEC CM-30"/>
      <sheetName val="8.7TRANSPORTE MATERIAL JAZIDA"/>
      <sheetName val="8.6 CBUQ CAPA ROLAMENTO"/>
      <sheetName val="8.5 PINTURA LIGAÇÃO"/>
      <sheetName val="8.4 IMPRIMAÇÃO"/>
      <sheetName val="8.3 BASE"/>
      <sheetName val="8.2 SUBASE"/>
      <sheetName val="8.1 REGULARIZAÇÃO"/>
      <sheetName val="7.2 Instal eletrica"/>
      <sheetName val="6.5.4 Poste tubo galv.com lumin"/>
      <sheetName val="6.5.3 GUARDA RODAS"/>
      <sheetName val="6.5.2 GUARDA CORPO"/>
      <sheetName val="6.5.1 LAJE TRANSIÇÃO"/>
      <sheetName val="6.4.2.1 CIMBRAMNETO"/>
      <sheetName val="6.2.3 CONCRETO fck = 25,0 MPa"/>
      <sheetName val="6.1.2 PONTE SERVIÇO"/>
      <sheetName val="6.1.1 ESTACA PRE MOLD 30x30"/>
      <sheetName val="5.14 MANTA GEOTEXTIL (2)"/>
      <sheetName val="5.13 CAMADA DE AREIA"/>
      <sheetName val="5.12 CAMADA DE SEIXO"/>
      <sheetName val="5.11 GUARDA CORPO METALICO"/>
      <sheetName val="5.10 PASSEIO DE TIJOLO CERÂMICO"/>
      <sheetName val="5.9 CAMADA ENCH PASSEIO"/>
      <sheetName val="5.8 BANCO ARGAMASSA ARMADA"/>
      <sheetName val="5.7 GRAMA EM PLACA"/>
      <sheetName val="5.6 TERRA VEGETAL"/>
      <sheetName val="5.5 ESCOR DESCONTIUO VALA"/>
      <sheetName val="5.4 BOCA DE LOBO "/>
      <sheetName val="5.3 CX PASSAGEM TUBO 60"/>
      <sheetName val="5.2 MEIO FIO C SARJETA"/>
      <sheetName val="5.1 TUBULAÇÃO D=0,60 M"/>
      <sheetName val="4.2.6 JUNTA DILAT FUNGENBAND"/>
      <sheetName val="4.2.5 CONCRETO fck = 20,0 MPa"/>
      <sheetName val="4.2.4 AÇO CA 50"/>
      <sheetName val="4.2.3 FORMA"/>
      <sheetName val="4.2.2 LASTRO CONC MAGRO 10 MPa"/>
      <sheetName val="4.2.1 ESCAV MANUAL"/>
      <sheetName val="4.1.7 REATERRO MANUAL DE VALA"/>
      <sheetName val="4.1.6 MANTA GEOTEXTIL"/>
      <sheetName val="4.1.5 ESCAV MEC VALA"/>
      <sheetName val="4.1.4 PLACA PRE MOLDADA (2)"/>
      <sheetName val="4.1.3 PLACA PRE MOLDADA"/>
      <sheetName val="4.1.2 ESTACA PRE MOLDADA 20x20"/>
      <sheetName val="4.1.1 ESTACA PRE MOLDADA 25x25"/>
      <sheetName val="3.8 ESGOTAMENTO COM BOMBA"/>
      <sheetName val="3.7.3 COMPACTAÇÃO 100%"/>
      <sheetName val="3.6 MOMENTO TRANSP MAT 1a "/>
      <sheetName val="3.5 ESCAV MAT 1A CATEGORIA"/>
      <sheetName val="3.4 MOMENTO TRANSPORTE MAT AGUA"/>
      <sheetName val="3.3 ESCAV MAT COM AGUA"/>
      <sheetName val="3.2 EXEC ENSECADEIRA"/>
      <sheetName val="3.1 DESMATAMENTO MANUAL"/>
      <sheetName val="2.5  TRANSPORTE MAT REMOÇÃO"/>
      <sheetName val="2.4 REMOÇÃO DE ENTULHO"/>
      <sheetName val="2.3 DEMOL REM CONC ARMADO"/>
      <sheetName val="2.2 DEM REM ESTRUTURA MADEIRA"/>
      <sheetName val="2.1 REMANEJ FAMÍLIA"/>
      <sheetName val="1.5 Projeto executivo"/>
      <sheetName val="1.4 PLACA SINALIZAÇÃO"/>
      <sheetName val="1.3 LOC TOPOGRÁFICA"/>
      <sheetName val="1.2 Instal canteiro obras"/>
      <sheetName val=" 1.1 Mobilização e desmob "/>
      <sheetName val="Plan1"/>
      <sheetName val="planilha de quant. e custos a"/>
      <sheetName val="planilha de quant_ e custos a"/>
      <sheetName val="Etapa Única"/>
    </sheetNames>
    <sheetDataSet>
      <sheetData sheetId="0"/>
      <sheetData sheetId="1">
        <row r="1">
          <cell r="G1" t="str">
            <v>BDI</v>
          </cell>
        </row>
        <row r="2">
          <cell r="C2" t="str">
            <v>Custo Unitário da Mão-de-obra</v>
          </cell>
          <cell r="G2">
            <v>0.23899999999999999</v>
          </cell>
        </row>
        <row r="3">
          <cell r="A3" t="str">
            <v>Item</v>
          </cell>
          <cell r="B3" t="str">
            <v>Código</v>
          </cell>
          <cell r="C3" t="str">
            <v>Denominação</v>
          </cell>
          <cell r="D3" t="str">
            <v>Valor mensal</v>
          </cell>
          <cell r="E3" t="str">
            <v>Encargos</v>
          </cell>
          <cell r="F3" t="str">
            <v>Custo Unitário</v>
          </cell>
          <cell r="G3" t="str">
            <v>Encargos sociais</v>
          </cell>
        </row>
        <row r="4">
          <cell r="A4">
            <v>1</v>
          </cell>
          <cell r="C4" t="str">
            <v>Salário Minimo</v>
          </cell>
          <cell r="D4">
            <v>300</v>
          </cell>
          <cell r="E4">
            <v>378.9</v>
          </cell>
          <cell r="F4">
            <v>3.0859000000000001</v>
          </cell>
          <cell r="G4">
            <v>1.2629999999999999</v>
          </cell>
        </row>
        <row r="5">
          <cell r="A5">
            <v>2</v>
          </cell>
          <cell r="B5" t="str">
            <v>T301</v>
          </cell>
          <cell r="C5" t="str">
            <v>MOTORISTA VEÍCULO LEVE</v>
          </cell>
          <cell r="D5">
            <v>870</v>
          </cell>
          <cell r="E5">
            <v>1098.81</v>
          </cell>
          <cell r="F5">
            <v>8.9490999999999996</v>
          </cell>
        </row>
        <row r="6">
          <cell r="A6">
            <v>3</v>
          </cell>
          <cell r="B6">
            <v>7302</v>
          </cell>
          <cell r="C6" t="str">
            <v>MOTORISTA DE CAMINHÃO</v>
          </cell>
          <cell r="D6">
            <v>960</v>
          </cell>
          <cell r="E6">
            <v>1212.48</v>
          </cell>
          <cell r="F6">
            <v>9.8749000000000002</v>
          </cell>
          <cell r="G6" t="str">
            <v>GRUPO 1</v>
          </cell>
        </row>
        <row r="7">
          <cell r="A7">
            <v>4</v>
          </cell>
          <cell r="B7" t="str">
            <v>T303</v>
          </cell>
          <cell r="C7" t="str">
            <v>MOTORISTA DE VEÍCULO ESPECIAL</v>
          </cell>
          <cell r="D7">
            <v>1020</v>
          </cell>
          <cell r="E7">
            <v>1288.26</v>
          </cell>
          <cell r="F7">
            <v>10.492100000000001</v>
          </cell>
          <cell r="G7" t="str">
            <v>GRUPO 2</v>
          </cell>
        </row>
        <row r="8">
          <cell r="A8">
            <v>5</v>
          </cell>
          <cell r="B8" t="str">
            <v>T311</v>
          </cell>
          <cell r="C8" t="str">
            <v>OPERADOR DE EQUIPAMENTO LEVE 1</v>
          </cell>
          <cell r="D8">
            <v>720</v>
          </cell>
          <cell r="E8">
            <v>909.36</v>
          </cell>
          <cell r="F8">
            <v>7.4062000000000001</v>
          </cell>
          <cell r="G8" t="str">
            <v>GRUPO 3</v>
          </cell>
        </row>
        <row r="9">
          <cell r="A9">
            <v>6</v>
          </cell>
          <cell r="B9" t="str">
            <v>T312</v>
          </cell>
          <cell r="C9" t="str">
            <v>OPERADOR DE EQUIPAMENTO LEVE 2</v>
          </cell>
          <cell r="D9">
            <v>810</v>
          </cell>
          <cell r="E9">
            <v>1023.03</v>
          </cell>
          <cell r="F9">
            <v>8.3320000000000007</v>
          </cell>
        </row>
        <row r="10">
          <cell r="A10">
            <v>7</v>
          </cell>
          <cell r="B10" t="str">
            <v>T313</v>
          </cell>
          <cell r="C10" t="str">
            <v>OPERADOR DE EQUIP. PESADO</v>
          </cell>
          <cell r="D10">
            <v>1050</v>
          </cell>
          <cell r="E10">
            <v>1326.15</v>
          </cell>
          <cell r="F10">
            <v>10.800700000000001</v>
          </cell>
        </row>
        <row r="11">
          <cell r="A11">
            <v>8</v>
          </cell>
          <cell r="B11" t="str">
            <v>T314</v>
          </cell>
          <cell r="C11" t="str">
            <v>OPERADOR DE EQUIP. ESPECIAL</v>
          </cell>
          <cell r="D11">
            <v>1110</v>
          </cell>
          <cell r="E11">
            <v>1401.93</v>
          </cell>
          <cell r="F11">
            <v>11.417899999999999</v>
          </cell>
        </row>
        <row r="12">
          <cell r="A12">
            <v>9</v>
          </cell>
          <cell r="B12" t="str">
            <v>T401</v>
          </cell>
          <cell r="C12" t="str">
            <v>PRÉ-MARCADOR</v>
          </cell>
          <cell r="D12">
            <v>1110</v>
          </cell>
          <cell r="E12">
            <v>1401.93</v>
          </cell>
          <cell r="F12">
            <v>11.417899999999999</v>
          </cell>
        </row>
        <row r="13">
          <cell r="A13">
            <v>10</v>
          </cell>
          <cell r="C13" t="str">
            <v>ASSISTENTE SOCIAL</v>
          </cell>
          <cell r="D13">
            <v>2100</v>
          </cell>
          <cell r="E13">
            <v>2652.3</v>
          </cell>
          <cell r="F13">
            <v>21.601400000000002</v>
          </cell>
        </row>
        <row r="14">
          <cell r="A14">
            <v>11</v>
          </cell>
          <cell r="B14" t="str">
            <v>T501</v>
          </cell>
          <cell r="C14" t="str">
            <v xml:space="preserve">ENCARREGADO DE TURMA </v>
          </cell>
          <cell r="D14">
            <v>1110</v>
          </cell>
          <cell r="E14">
            <v>1401.93</v>
          </cell>
          <cell r="F14">
            <v>11.417899999999999</v>
          </cell>
        </row>
        <row r="15">
          <cell r="A15">
            <v>12</v>
          </cell>
          <cell r="B15" t="str">
            <v>T511</v>
          </cell>
          <cell r="C15" t="str">
            <v>ENCARREGADO DE PAVIMENTAÇÃO</v>
          </cell>
          <cell r="D15">
            <v>2100</v>
          </cell>
          <cell r="E15">
            <v>2652.3</v>
          </cell>
          <cell r="F15">
            <v>21.601400000000002</v>
          </cell>
        </row>
        <row r="16">
          <cell r="A16">
            <v>13</v>
          </cell>
          <cell r="B16" t="str">
            <v>T512</v>
          </cell>
          <cell r="C16" t="str">
            <v>ENCARREGADO DE BRITAGEM</v>
          </cell>
          <cell r="D16">
            <v>2100</v>
          </cell>
          <cell r="E16">
            <v>2652.3</v>
          </cell>
          <cell r="F16">
            <v>21.601400000000002</v>
          </cell>
        </row>
        <row r="17">
          <cell r="A17">
            <v>14</v>
          </cell>
          <cell r="C17" t="str">
            <v>TOPOGRAFO</v>
          </cell>
          <cell r="D17">
            <v>1230</v>
          </cell>
          <cell r="E17">
            <v>1553.49</v>
          </cell>
          <cell r="F17">
            <v>12.652200000000001</v>
          </cell>
        </row>
        <row r="18">
          <cell r="A18">
            <v>15</v>
          </cell>
          <cell r="B18" t="str">
            <v>T602</v>
          </cell>
          <cell r="C18" t="str">
            <v>MONTADOR</v>
          </cell>
          <cell r="D18">
            <v>780</v>
          </cell>
          <cell r="E18">
            <v>985.14</v>
          </cell>
          <cell r="F18">
            <v>8.0234000000000005</v>
          </cell>
        </row>
        <row r="19">
          <cell r="A19">
            <v>16</v>
          </cell>
          <cell r="B19" t="str">
            <v>T603</v>
          </cell>
          <cell r="C19" t="str">
            <v>CARPINTEIRO</v>
          </cell>
          <cell r="D19">
            <v>780</v>
          </cell>
          <cell r="E19">
            <v>985.14</v>
          </cell>
          <cell r="F19">
            <v>8.0234000000000005</v>
          </cell>
        </row>
        <row r="20">
          <cell r="A20">
            <v>17</v>
          </cell>
          <cell r="B20" t="str">
            <v>T604</v>
          </cell>
          <cell r="C20" t="str">
            <v>PEDREIRO</v>
          </cell>
          <cell r="D20">
            <v>780</v>
          </cell>
          <cell r="E20">
            <v>985.14</v>
          </cell>
          <cell r="F20">
            <v>8.0234000000000005</v>
          </cell>
        </row>
        <row r="21">
          <cell r="A21">
            <v>18</v>
          </cell>
          <cell r="B21" t="str">
            <v>T605</v>
          </cell>
          <cell r="C21" t="str">
            <v>ARMADOR</v>
          </cell>
          <cell r="D21">
            <v>780</v>
          </cell>
          <cell r="E21">
            <v>985.14</v>
          </cell>
          <cell r="F21">
            <v>8.0234000000000005</v>
          </cell>
        </row>
        <row r="22">
          <cell r="A22">
            <v>19</v>
          </cell>
          <cell r="B22" t="str">
            <v>T606</v>
          </cell>
          <cell r="C22" t="str">
            <v>FERREIRO</v>
          </cell>
          <cell r="D22">
            <v>780</v>
          </cell>
          <cell r="E22">
            <v>985.14</v>
          </cell>
          <cell r="F22">
            <v>8.0234000000000005</v>
          </cell>
        </row>
        <row r="23">
          <cell r="A23">
            <v>20</v>
          </cell>
          <cell r="B23" t="str">
            <v>T607</v>
          </cell>
          <cell r="C23" t="str">
            <v>PINTOR</v>
          </cell>
          <cell r="D23">
            <v>780</v>
          </cell>
          <cell r="E23">
            <v>985.14</v>
          </cell>
          <cell r="F23">
            <v>8.0234000000000005</v>
          </cell>
        </row>
        <row r="24">
          <cell r="A24">
            <v>21</v>
          </cell>
          <cell r="B24" t="str">
            <v>T608</v>
          </cell>
          <cell r="C24" t="str">
            <v>SOLDADOR</v>
          </cell>
          <cell r="D24">
            <v>780</v>
          </cell>
          <cell r="E24">
            <v>985.14</v>
          </cell>
          <cell r="F24">
            <v>8.0234000000000005</v>
          </cell>
        </row>
        <row r="25">
          <cell r="A25">
            <v>22</v>
          </cell>
          <cell r="B25" t="str">
            <v>T610</v>
          </cell>
          <cell r="C25" t="str">
            <v>SERRALHEIRO</v>
          </cell>
          <cell r="D25">
            <v>780</v>
          </cell>
          <cell r="E25">
            <v>985.14</v>
          </cell>
          <cell r="F25">
            <v>8.0234000000000005</v>
          </cell>
        </row>
        <row r="26">
          <cell r="A26">
            <v>23</v>
          </cell>
          <cell r="B26" t="str">
            <v>T701</v>
          </cell>
          <cell r="C26" t="str">
            <v>SERVENTE</v>
          </cell>
          <cell r="D26">
            <v>570</v>
          </cell>
          <cell r="E26">
            <v>719.91</v>
          </cell>
          <cell r="F26">
            <v>5.8632</v>
          </cell>
        </row>
        <row r="27">
          <cell r="A27">
            <v>24</v>
          </cell>
          <cell r="B27" t="str">
            <v>T702</v>
          </cell>
          <cell r="C27" t="str">
            <v>AJUDANTE</v>
          </cell>
          <cell r="D27">
            <v>630</v>
          </cell>
          <cell r="E27">
            <v>795.69</v>
          </cell>
          <cell r="F27">
            <v>6.4804000000000004</v>
          </cell>
        </row>
        <row r="28">
          <cell r="A28">
            <v>25</v>
          </cell>
          <cell r="C28" t="str">
            <v>ELETRICISTA</v>
          </cell>
          <cell r="D28">
            <v>780</v>
          </cell>
          <cell r="E28">
            <v>985.14</v>
          </cell>
          <cell r="F28">
            <v>8.0234000000000005</v>
          </cell>
        </row>
        <row r="29">
          <cell r="A29">
            <v>26</v>
          </cell>
          <cell r="C29" t="str">
            <v>ADIC. M.O. - FERRAMENTAS</v>
          </cell>
          <cell r="F29">
            <v>0.15509999999999999</v>
          </cell>
        </row>
        <row r="30">
          <cell r="A30">
            <v>27</v>
          </cell>
          <cell r="C30" t="str">
            <v>ADIC. M.O. - FERRAMENTAS</v>
          </cell>
          <cell r="F30">
            <v>0.2051</v>
          </cell>
        </row>
        <row r="32">
          <cell r="C32" t="str">
            <v>Custo Horário de Equipamentos</v>
          </cell>
        </row>
        <row r="33">
          <cell r="A33" t="str">
            <v>Item</v>
          </cell>
          <cell r="B33" t="str">
            <v>Código</v>
          </cell>
          <cell r="C33" t="str">
            <v>Equipamento</v>
          </cell>
          <cell r="D33" t="str">
            <v>Aquisição</v>
          </cell>
          <cell r="E33" t="str">
            <v>Improdutivo</v>
          </cell>
          <cell r="F33" t="str">
            <v>Operativo</v>
          </cell>
        </row>
        <row r="34">
          <cell r="A34">
            <v>30</v>
          </cell>
          <cell r="B34" t="str">
            <v>E001</v>
          </cell>
          <cell r="C34" t="str">
            <v>TRATOR DE ESTEIRA NH 7D (67 kW)</v>
          </cell>
          <cell r="E34">
            <v>10.800700000000001</v>
          </cell>
          <cell r="F34">
            <v>105.14709999999999</v>
          </cell>
        </row>
        <row r="35">
          <cell r="A35">
            <v>31</v>
          </cell>
          <cell r="B35" t="str">
            <v>E002</v>
          </cell>
          <cell r="C35" t="str">
            <v>TRATOR DE ESTEIRA CAT D6M (106 KW)</v>
          </cell>
          <cell r="E35">
            <v>10.800700000000001</v>
          </cell>
          <cell r="F35">
            <v>183.96770000000001</v>
          </cell>
        </row>
        <row r="36">
          <cell r="A36">
            <v>32</v>
          </cell>
          <cell r="B36" t="str">
            <v>E003</v>
          </cell>
          <cell r="C36" t="str">
            <v>TRATOR DE ESTEIRA CAT D8R (228 kW)</v>
          </cell>
          <cell r="E36">
            <v>10.800700000000001</v>
          </cell>
          <cell r="F36">
            <v>355.20600000000002</v>
          </cell>
        </row>
        <row r="37">
          <cell r="A37">
            <v>33</v>
          </cell>
          <cell r="B37" t="str">
            <v>E006</v>
          </cell>
          <cell r="C37" t="str">
            <v>MOTONIVELADORA CAT 120H (100 kW)</v>
          </cell>
          <cell r="E37">
            <v>11.417899999999999</v>
          </cell>
          <cell r="F37">
            <v>124.56229999999999</v>
          </cell>
        </row>
        <row r="38">
          <cell r="A38">
            <v>34</v>
          </cell>
          <cell r="B38" t="str">
            <v>E007</v>
          </cell>
          <cell r="C38" t="str">
            <v>TRATOR AGRÍCOLA M F-292/4 (77 kW)</v>
          </cell>
          <cell r="E38">
            <v>8.3320000000000007</v>
          </cell>
          <cell r="F38">
            <v>66.749700000000004</v>
          </cell>
        </row>
        <row r="39">
          <cell r="A39">
            <v>35</v>
          </cell>
          <cell r="B39" t="str">
            <v>E009</v>
          </cell>
          <cell r="C39" t="str">
            <v>CARREGAD. PNEUS CAT  924G  1,80 M3 ( 89 kW)</v>
          </cell>
          <cell r="E39">
            <v>10.800700000000001</v>
          </cell>
          <cell r="F39">
            <v>102.96259999999999</v>
          </cell>
        </row>
        <row r="40">
          <cell r="A40">
            <v>36</v>
          </cell>
          <cell r="B40" t="str">
            <v>E010</v>
          </cell>
          <cell r="C40" t="str">
            <v>CARREGAD. PNEUS CAT 950G 2,90 M3 (135 kW)</v>
          </cell>
          <cell r="E40">
            <v>10.800700000000001</v>
          </cell>
          <cell r="F40">
            <v>167.08199999999999</v>
          </cell>
        </row>
        <row r="41">
          <cell r="A41">
            <v>37</v>
          </cell>
          <cell r="B41" t="str">
            <v>E011</v>
          </cell>
          <cell r="C41" t="str">
            <v>RETROESCAVADEIRA MF-86HF (57 kW)</v>
          </cell>
          <cell r="E41">
            <v>10.800700000000001</v>
          </cell>
          <cell r="F41">
            <v>55.758699999999997</v>
          </cell>
        </row>
        <row r="42">
          <cell r="A42">
            <v>38</v>
          </cell>
          <cell r="B42" t="str">
            <v>E013</v>
          </cell>
          <cell r="C42" t="str">
            <v>ROLO COMP PÉ CARNEIRO CA-25-PD  (85 kW)</v>
          </cell>
          <cell r="E42">
            <v>8.3320000000000007</v>
          </cell>
          <cell r="F42">
            <v>112.70350000000001</v>
          </cell>
        </row>
        <row r="43">
          <cell r="A43">
            <v>43</v>
          </cell>
          <cell r="B43" t="str">
            <v>E062</v>
          </cell>
          <cell r="C43" t="str">
            <v>ESCAVADEIRA HIDR. CAT 330CL (182 kW)</v>
          </cell>
          <cell r="E43">
            <v>11.417899999999999</v>
          </cell>
          <cell r="F43">
            <v>257.74020000000002</v>
          </cell>
        </row>
        <row r="44">
          <cell r="A44">
            <v>44</v>
          </cell>
          <cell r="B44" t="str">
            <v>E063</v>
          </cell>
          <cell r="C44" t="str">
            <v>ESCAVADEIRA HIDR. CAT 320CL (102 kW)</v>
          </cell>
          <cell r="E44">
            <v>11.417899999999999</v>
          </cell>
          <cell r="F44">
            <v>157.3682</v>
          </cell>
        </row>
        <row r="45">
          <cell r="A45">
            <v>47</v>
          </cell>
          <cell r="B45" t="str">
            <v>E101</v>
          </cell>
          <cell r="C45" t="str">
            <v>GRADE DE DISCOS GA 24 x 24</v>
          </cell>
          <cell r="E45">
            <v>0</v>
          </cell>
          <cell r="F45">
            <v>2.4575999999999998</v>
          </cell>
        </row>
        <row r="46">
          <cell r="A46">
            <v>48</v>
          </cell>
          <cell r="B46" t="str">
            <v>E102</v>
          </cell>
          <cell r="C46" t="str">
            <v>ROLO COMP TANDEM CC-422C (93 kW)</v>
          </cell>
          <cell r="E46">
            <v>8.3320000000000007</v>
          </cell>
          <cell r="F46">
            <v>132.7011</v>
          </cell>
        </row>
        <row r="47">
          <cell r="A47">
            <v>51</v>
          </cell>
          <cell r="B47" t="str">
            <v>E105</v>
          </cell>
          <cell r="C47" t="str">
            <v>ROLO COMP PNEUS SP 8000  (97 kW)</v>
          </cell>
          <cell r="E47">
            <v>8.3320000000000007</v>
          </cell>
          <cell r="F47">
            <v>111.97880000000001</v>
          </cell>
        </row>
        <row r="48">
          <cell r="A48">
            <v>55</v>
          </cell>
          <cell r="B48" t="str">
            <v>E107</v>
          </cell>
          <cell r="C48" t="str">
            <v>VASSOURA MECÂNICA REBOCÁVEL</v>
          </cell>
          <cell r="E48">
            <v>0</v>
          </cell>
          <cell r="F48">
            <v>4.0309999999999997</v>
          </cell>
        </row>
        <row r="49">
          <cell r="A49">
            <v>56</v>
          </cell>
          <cell r="B49" t="str">
            <v>E110</v>
          </cell>
          <cell r="C49" t="str">
            <v>TANQUE ESTOCAGEM DE ASFALTO 20.000 L</v>
          </cell>
          <cell r="E49">
            <v>0</v>
          </cell>
          <cell r="F49">
            <v>4.1859999999999999</v>
          </cell>
        </row>
        <row r="50">
          <cell r="A50">
            <v>57</v>
          </cell>
          <cell r="B50" t="str">
            <v>E111</v>
          </cell>
          <cell r="C50" t="str">
            <v>EQUIP. DISTR. ASFALTO S/ CAMINHÃO (150 kW)</v>
          </cell>
          <cell r="E50">
            <v>9.8749000000000002</v>
          </cell>
          <cell r="F50">
            <v>98.639300000000006</v>
          </cell>
        </row>
        <row r="51">
          <cell r="A51">
            <v>58</v>
          </cell>
          <cell r="B51" t="str">
            <v>E112</v>
          </cell>
          <cell r="C51" t="str">
            <v>AQUECEDOR DE FLUÍDO TÉRMICO</v>
          </cell>
          <cell r="E51">
            <v>0</v>
          </cell>
          <cell r="F51">
            <v>21.924800000000001</v>
          </cell>
        </row>
        <row r="52">
          <cell r="A52">
            <v>74</v>
          </cell>
          <cell r="B52" t="str">
            <v>E139</v>
          </cell>
          <cell r="C52" t="str">
            <v>ROLO COMP VIBRO LISO CA-25D  (86 kW)</v>
          </cell>
          <cell r="E52">
            <v>8.3320000000000007</v>
          </cell>
          <cell r="F52">
            <v>111.0277</v>
          </cell>
        </row>
        <row r="53">
          <cell r="A53">
            <v>75</v>
          </cell>
          <cell r="B53" t="str">
            <v>E147</v>
          </cell>
          <cell r="C53" t="str">
            <v>USINA ASFÁLTO A QUENTE 90/120 T/H (188 kW)</v>
          </cell>
          <cell r="E53">
            <v>11.417899999999999</v>
          </cell>
          <cell r="F53">
            <v>200.3177</v>
          </cell>
        </row>
        <row r="54">
          <cell r="A54">
            <v>76</v>
          </cell>
          <cell r="B54" t="str">
            <v>E149</v>
          </cell>
          <cell r="C54" t="str">
            <v>VIBRO-ACAB. ASFÁLTO VDA-600BM (74 kW)</v>
          </cell>
          <cell r="E54">
            <v>11.417899999999999</v>
          </cell>
          <cell r="F54">
            <v>134.78290000000001</v>
          </cell>
        </row>
        <row r="55">
          <cell r="A55">
            <v>85</v>
          </cell>
          <cell r="B55" t="str">
            <v>E202</v>
          </cell>
          <cell r="C55" t="str">
            <v>COMPRESSOR DE AR 400 PCM (89 kW)</v>
          </cell>
          <cell r="E55">
            <v>8.3320000000000007</v>
          </cell>
          <cell r="F55">
            <v>63.345700000000001</v>
          </cell>
        </row>
        <row r="56">
          <cell r="A56">
            <v>86</v>
          </cell>
          <cell r="B56" t="str">
            <v>E208</v>
          </cell>
          <cell r="C56" t="str">
            <v>COMPRESSOR DE AR 200 PCM (58 kW)</v>
          </cell>
          <cell r="E56">
            <v>8.3320000000000007</v>
          </cell>
          <cell r="F56">
            <v>47.635599999999997</v>
          </cell>
        </row>
        <row r="57">
          <cell r="A57">
            <v>92</v>
          </cell>
          <cell r="B57" t="str">
            <v>E211</v>
          </cell>
          <cell r="C57" t="str">
            <v>MAQUINA P/ PINTURA (2 kW)</v>
          </cell>
          <cell r="E57">
            <v>0</v>
          </cell>
          <cell r="F57">
            <v>0.9577</v>
          </cell>
        </row>
        <row r="58">
          <cell r="A58">
            <v>93</v>
          </cell>
          <cell r="B58" t="str">
            <v>E210</v>
          </cell>
          <cell r="C58" t="str">
            <v>MARTELETE - ROMPEDOR 33 kg</v>
          </cell>
          <cell r="E58">
            <v>7.4062000000000001</v>
          </cell>
          <cell r="F58">
            <v>9.7596000000000007</v>
          </cell>
        </row>
        <row r="59">
          <cell r="A59">
            <v>94</v>
          </cell>
          <cell r="B59" t="str">
            <v>E302</v>
          </cell>
          <cell r="C59" t="str">
            <v>BETONEIRA - 320 L (4 kW)</v>
          </cell>
          <cell r="E59">
            <v>8.3320000000000007</v>
          </cell>
          <cell r="F59">
            <v>9.9809000000000001</v>
          </cell>
        </row>
        <row r="60">
          <cell r="A60">
            <v>98</v>
          </cell>
          <cell r="B60" t="str">
            <v>E303</v>
          </cell>
          <cell r="C60" t="str">
            <v>BETONEIRA - 750 L (9 kW)</v>
          </cell>
          <cell r="E60">
            <v>8.3320000000000007</v>
          </cell>
          <cell r="F60">
            <v>12.4125</v>
          </cell>
        </row>
        <row r="61">
          <cell r="A61">
            <v>99</v>
          </cell>
          <cell r="B61" t="str">
            <v>E304</v>
          </cell>
          <cell r="C61" t="str">
            <v>TRANSP. MANUAL - CARRINHO DE MÃO 80 L</v>
          </cell>
          <cell r="E61">
            <v>0</v>
          </cell>
          <cell r="F61">
            <v>0.13339999999999999</v>
          </cell>
        </row>
        <row r="62">
          <cell r="A62">
            <v>101</v>
          </cell>
          <cell r="B62" t="str">
            <v>E305</v>
          </cell>
          <cell r="C62" t="str">
            <v>TRANSP. MANUAL - GERICA 180 L</v>
          </cell>
          <cell r="E62">
            <v>0</v>
          </cell>
          <cell r="F62">
            <v>0.23350000000000001</v>
          </cell>
        </row>
        <row r="63">
          <cell r="A63">
            <v>103</v>
          </cell>
          <cell r="B63" t="str">
            <v>E306</v>
          </cell>
          <cell r="C63" t="str">
            <v>VIBRADOR DE CONC. - DE IMERSÃO (2 kW)</v>
          </cell>
          <cell r="E63">
            <v>7.4062000000000001</v>
          </cell>
          <cell r="F63">
            <v>8.8386999999999993</v>
          </cell>
        </row>
        <row r="64">
          <cell r="A64">
            <v>104</v>
          </cell>
          <cell r="B64" t="str">
            <v>E310</v>
          </cell>
          <cell r="C64" t="str">
            <v>FAB.PRÉ-MOLD CONC TUBOS D=0,60 M (2 kW)</v>
          </cell>
          <cell r="E64">
            <v>0</v>
          </cell>
          <cell r="F64">
            <v>7.3996000000000004</v>
          </cell>
        </row>
        <row r="65">
          <cell r="A65">
            <v>105</v>
          </cell>
          <cell r="B65" t="str">
            <v>E311</v>
          </cell>
          <cell r="C65" t="str">
            <v>FAB PRÉ-MOLD CONC TUBOS D=0,80 M (2 kW)</v>
          </cell>
          <cell r="E65">
            <v>0</v>
          </cell>
          <cell r="F65">
            <v>7.1071999999999997</v>
          </cell>
        </row>
        <row r="66">
          <cell r="A66">
            <v>106</v>
          </cell>
          <cell r="B66" t="str">
            <v>E312</v>
          </cell>
          <cell r="C66" t="str">
            <v>FAB PRÉ-MOLD CONC TUBOS D=1,00 M (2 kW)</v>
          </cell>
          <cell r="E66">
            <v>0</v>
          </cell>
          <cell r="F66">
            <v>7.4747000000000003</v>
          </cell>
        </row>
        <row r="67">
          <cell r="A67">
            <v>107</v>
          </cell>
          <cell r="B67" t="str">
            <v>E313</v>
          </cell>
          <cell r="C67" t="str">
            <v>FAB PRÉ-MOLD CONC TUBOS D=1,20 M (2 kW)</v>
          </cell>
          <cell r="E67">
            <v>0</v>
          </cell>
          <cell r="F67">
            <v>7.8887</v>
          </cell>
        </row>
        <row r="68">
          <cell r="A68">
            <v>108</v>
          </cell>
          <cell r="B68" t="str">
            <v>E314</v>
          </cell>
          <cell r="C68" t="str">
            <v>FAB PRÉ-MOLD CONC TUBOS D=1,50 M (2 kW)</v>
          </cell>
          <cell r="E68">
            <v>0</v>
          </cell>
          <cell r="F68">
            <v>7.8056999999999999</v>
          </cell>
        </row>
        <row r="69">
          <cell r="A69">
            <v>129</v>
          </cell>
          <cell r="B69" t="str">
            <v>E400</v>
          </cell>
          <cell r="C69" t="str">
            <v>CAMINHÃO BASCULANTE - 5 m3 - 8,8 t (155 kW)</v>
          </cell>
          <cell r="E69">
            <v>9.8749000000000002</v>
          </cell>
          <cell r="F69">
            <v>86.413799999999995</v>
          </cell>
        </row>
        <row r="70">
          <cell r="A70">
            <v>130</v>
          </cell>
          <cell r="B70" t="str">
            <v>E402</v>
          </cell>
          <cell r="C70" t="str">
            <v>CAMINHÃO CARROCERIA - 15t (170 kW)</v>
          </cell>
          <cell r="E70">
            <v>9.8749000000000002</v>
          </cell>
          <cell r="F70">
            <v>108.3706</v>
          </cell>
        </row>
        <row r="71">
          <cell r="A71">
            <v>131</v>
          </cell>
          <cell r="B71" t="str">
            <v>E403</v>
          </cell>
          <cell r="C71" t="str">
            <v>CAMINHÃO BASCULANTE 6 m3  (150 kW)</v>
          </cell>
          <cell r="E71">
            <v>9.8749000000000002</v>
          </cell>
          <cell r="F71">
            <v>97.9148</v>
          </cell>
        </row>
        <row r="72">
          <cell r="A72">
            <v>135</v>
          </cell>
          <cell r="B72" t="str">
            <v>E407</v>
          </cell>
          <cell r="C72" t="str">
            <v>CAMINHÃO TANQUE 10.000 L (170 kW)</v>
          </cell>
          <cell r="E72">
            <v>9.8749000000000002</v>
          </cell>
          <cell r="F72">
            <v>109.7187</v>
          </cell>
        </row>
        <row r="73">
          <cell r="A73">
            <v>136</v>
          </cell>
          <cell r="B73" t="str">
            <v>E408</v>
          </cell>
          <cell r="C73" t="str">
            <v>CAMINHÃO CARROCERIA - 4t (80 kW)</v>
          </cell>
          <cell r="E73">
            <v>9.8749000000000002</v>
          </cell>
          <cell r="F73">
            <v>54.107700000000001</v>
          </cell>
        </row>
        <row r="74">
          <cell r="A74">
            <v>137</v>
          </cell>
          <cell r="B74" t="str">
            <v>E416</v>
          </cell>
          <cell r="C74" t="str">
            <v>VEÍCULO LEVE - PICK UP (4 X 4) (98 kW)</v>
          </cell>
          <cell r="E74">
            <v>8.9490999999999996</v>
          </cell>
          <cell r="F74">
            <v>45.479300000000002</v>
          </cell>
        </row>
        <row r="75">
          <cell r="A75">
            <v>145</v>
          </cell>
          <cell r="B75" t="str">
            <v>E404</v>
          </cell>
          <cell r="C75" t="str">
            <v>CAMINHÃO BASCULANTE 10 m3 - 15 t (170 kW)</v>
          </cell>
          <cell r="E75">
            <v>9.8749000000000002</v>
          </cell>
          <cell r="F75">
            <v>111.63209999999999</v>
          </cell>
        </row>
        <row r="76">
          <cell r="A76">
            <v>146</v>
          </cell>
          <cell r="B76" t="str">
            <v>E432</v>
          </cell>
          <cell r="C76" t="str">
            <v>CAMINHÃO BASCULANTE 20 t (279 kW)</v>
          </cell>
          <cell r="E76">
            <v>9.8749000000000002</v>
          </cell>
          <cell r="F76">
            <v>166.3605</v>
          </cell>
        </row>
        <row r="77">
          <cell r="A77">
            <v>147</v>
          </cell>
          <cell r="B77" t="str">
            <v>E434</v>
          </cell>
          <cell r="C77" t="str">
            <v>CAMINHÃO CARROC C/ GUINDAUTO (150 kW)</v>
          </cell>
          <cell r="E77">
            <v>9.8749000000000002</v>
          </cell>
          <cell r="F77">
            <v>94.581900000000005</v>
          </cell>
        </row>
        <row r="78">
          <cell r="A78">
            <v>148</v>
          </cell>
        </row>
        <row r="79">
          <cell r="A79">
            <v>150</v>
          </cell>
          <cell r="B79" t="str">
            <v>E501</v>
          </cell>
          <cell r="C79" t="str">
            <v>GRUPO GERADOR 36 / 40 KVA (32 kW)</v>
          </cell>
          <cell r="E79">
            <v>8.3320000000000007</v>
          </cell>
          <cell r="F79">
            <v>33.636000000000003</v>
          </cell>
        </row>
        <row r="80">
          <cell r="A80">
            <v>151</v>
          </cell>
          <cell r="B80" t="str">
            <v>E503</v>
          </cell>
          <cell r="C80" t="str">
            <v>GRUPO GERADOR 164 / 180 KVA (144 kW)</v>
          </cell>
          <cell r="E80">
            <v>8.3320000000000007</v>
          </cell>
          <cell r="F80">
            <v>96.774699999999996</v>
          </cell>
        </row>
        <row r="81">
          <cell r="A81">
            <v>156</v>
          </cell>
          <cell r="B81" t="str">
            <v>E509</v>
          </cell>
          <cell r="C81" t="str">
            <v>GRUPO GERADOR 25,0 / 18,0 KVA (20 kW)</v>
          </cell>
          <cell r="E81">
            <v>8.3320000000000007</v>
          </cell>
          <cell r="F81">
            <v>21.651499999999999</v>
          </cell>
        </row>
        <row r="82">
          <cell r="A82">
            <v>162</v>
          </cell>
          <cell r="B82" t="str">
            <v>E903</v>
          </cell>
          <cell r="C82" t="str">
            <v>BATE-ESTACAS GRAV. 3.500/4.000 KG (160 kW)</v>
          </cell>
          <cell r="E82">
            <v>8.3320000000000007</v>
          </cell>
          <cell r="F82">
            <v>99.670699999999997</v>
          </cell>
        </row>
        <row r="83">
          <cell r="A83">
            <v>163</v>
          </cell>
          <cell r="B83" t="str">
            <v>E904</v>
          </cell>
          <cell r="C83" t="str">
            <v>SERRA CIRCULAR 12" (4 kW)</v>
          </cell>
          <cell r="E83">
            <v>0</v>
          </cell>
          <cell r="F83">
            <v>0.1948</v>
          </cell>
        </row>
        <row r="84">
          <cell r="A84">
            <v>165</v>
          </cell>
          <cell r="B84" t="str">
            <v>E906</v>
          </cell>
          <cell r="C84" t="str">
            <v>SOQUETE VIBRATÓRIO (2 kW)</v>
          </cell>
          <cell r="E84">
            <v>7.4062000000000001</v>
          </cell>
          <cell r="F84">
            <v>13.911199999999999</v>
          </cell>
        </row>
        <row r="85">
          <cell r="A85">
            <v>166</v>
          </cell>
          <cell r="B85" t="str">
            <v>E907</v>
          </cell>
          <cell r="C85" t="str">
            <v>CONJUNTO MOTO-BOMBA (11 kW)</v>
          </cell>
          <cell r="E85">
            <v>0</v>
          </cell>
          <cell r="F85">
            <v>13.8764</v>
          </cell>
        </row>
        <row r="86">
          <cell r="A86">
            <v>167</v>
          </cell>
          <cell r="B86" t="str">
            <v>E908</v>
          </cell>
          <cell r="C86" t="str">
            <v>MÁQUINA PINTURA - DERMAC FAIXAS (44 kW)</v>
          </cell>
          <cell r="E86">
            <v>11.417899999999999</v>
          </cell>
          <cell r="F86">
            <v>65.1999</v>
          </cell>
        </row>
        <row r="87">
          <cell r="A87">
            <v>169</v>
          </cell>
          <cell r="B87" t="str">
            <v>E910</v>
          </cell>
        </row>
        <row r="88">
          <cell r="A88">
            <v>170</v>
          </cell>
          <cell r="B88" t="str">
            <v>E917</v>
          </cell>
          <cell r="C88" t="str">
            <v>MÁQUINA UNIVERSAL CORTE (4 kW)</v>
          </cell>
          <cell r="E88">
            <v>7.4062000000000001</v>
          </cell>
          <cell r="F88">
            <v>11.594900000000001</v>
          </cell>
        </row>
        <row r="89">
          <cell r="A89">
            <v>171</v>
          </cell>
          <cell r="B89" t="str">
            <v>E918</v>
          </cell>
          <cell r="C89" t="str">
            <v>PRENSA EXCÊNTRICA (1 kW)</v>
          </cell>
          <cell r="E89">
            <v>0</v>
          </cell>
          <cell r="F89">
            <v>2.4619</v>
          </cell>
        </row>
        <row r="90">
          <cell r="A90">
            <v>172</v>
          </cell>
          <cell r="B90" t="str">
            <v>E919</v>
          </cell>
          <cell r="C90" t="str">
            <v>GUILHOTINA 8 t (3 kW)</v>
          </cell>
          <cell r="E90">
            <v>0</v>
          </cell>
          <cell r="F90">
            <v>4.2878999999999996</v>
          </cell>
        </row>
        <row r="91">
          <cell r="A91">
            <v>173</v>
          </cell>
          <cell r="B91" t="str">
            <v>E924</v>
          </cell>
          <cell r="C91" t="str">
            <v xml:space="preserve">EQUIP. PARA SOLDA </v>
          </cell>
          <cell r="E91">
            <v>0</v>
          </cell>
          <cell r="F91">
            <v>4.9500000000000002E-2</v>
          </cell>
        </row>
        <row r="93">
          <cell r="C93" t="str">
            <v>Custo Unitário de Materiais</v>
          </cell>
        </row>
        <row r="94">
          <cell r="A94" t="str">
            <v>Item</v>
          </cell>
          <cell r="B94" t="str">
            <v>Código</v>
          </cell>
          <cell r="C94" t="str">
            <v>Material</v>
          </cell>
          <cell r="D94" t="str">
            <v>Und</v>
          </cell>
          <cell r="E94" t="str">
            <v>Preço Unitário</v>
          </cell>
        </row>
        <row r="95">
          <cell r="A95">
            <v>212</v>
          </cell>
          <cell r="B95" t="str">
            <v>AM01</v>
          </cell>
          <cell r="C95" t="str">
            <v>AÇO CA 25 D = 4,2 mm</v>
          </cell>
          <cell r="D95" t="str">
            <v>KG</v>
          </cell>
          <cell r="E95">
            <v>4.4275000000000002</v>
          </cell>
        </row>
        <row r="96">
          <cell r="A96">
            <v>213</v>
          </cell>
          <cell r="B96" t="str">
            <v>AM02</v>
          </cell>
          <cell r="C96" t="str">
            <v>AÇO CA 25 D = 6,3 mm</v>
          </cell>
          <cell r="D96" t="str">
            <v>KG</v>
          </cell>
          <cell r="E96">
            <v>3.9904999999999999</v>
          </cell>
        </row>
        <row r="97">
          <cell r="A97">
            <v>215</v>
          </cell>
          <cell r="B97" t="str">
            <v>AM03</v>
          </cell>
          <cell r="C97" t="str">
            <v>AÇO CA 25 D = 10,0 mm</v>
          </cell>
          <cell r="D97" t="str">
            <v>KG</v>
          </cell>
          <cell r="E97">
            <v>3.3119999999999998</v>
          </cell>
        </row>
        <row r="98">
          <cell r="A98">
            <v>216</v>
          </cell>
          <cell r="B98" t="str">
            <v>AM04</v>
          </cell>
          <cell r="C98" t="str">
            <v>AÇO CA 50 D = 6,3 mm</v>
          </cell>
          <cell r="D98" t="str">
            <v>KG</v>
          </cell>
          <cell r="E98">
            <v>4.1859999999999999</v>
          </cell>
        </row>
        <row r="99">
          <cell r="A99">
            <v>217</v>
          </cell>
          <cell r="B99" t="str">
            <v>AM05</v>
          </cell>
          <cell r="C99" t="str">
            <v>AÇO CA 50 D = 10,0 mm</v>
          </cell>
          <cell r="D99" t="str">
            <v>KG</v>
          </cell>
          <cell r="E99">
            <v>3.4729999999999999</v>
          </cell>
        </row>
        <row r="100">
          <cell r="A100">
            <v>218</v>
          </cell>
          <cell r="B100" t="str">
            <v>AM06</v>
          </cell>
          <cell r="C100" t="str">
            <v>AÇO CA 60 D = 4,2 mm</v>
          </cell>
          <cell r="D100" t="str">
            <v>KG</v>
          </cell>
          <cell r="E100">
            <v>3.9904999999999999</v>
          </cell>
        </row>
        <row r="101">
          <cell r="A101">
            <v>219</v>
          </cell>
          <cell r="B101" t="str">
            <v>AM07</v>
          </cell>
          <cell r="C101" t="str">
            <v>AÇO CA 60 D = 5,0 mm</v>
          </cell>
          <cell r="D101" t="str">
            <v>KG</v>
          </cell>
          <cell r="E101">
            <v>3.8755000000000002</v>
          </cell>
        </row>
        <row r="102">
          <cell r="A102">
            <v>220</v>
          </cell>
          <cell r="B102" t="str">
            <v>AM08</v>
          </cell>
          <cell r="C102" t="str">
            <v>AÇO CA 60 D = 6,0 mm</v>
          </cell>
          <cell r="D102" t="str">
            <v>KG</v>
          </cell>
          <cell r="E102">
            <v>3.8755000000000002</v>
          </cell>
        </row>
        <row r="103">
          <cell r="A103">
            <v>235</v>
          </cell>
          <cell r="C103" t="str">
            <v>Casa padrão PMM</v>
          </cell>
          <cell r="D103" t="str">
            <v>gl</v>
          </cell>
          <cell r="E103">
            <v>8395</v>
          </cell>
        </row>
        <row r="104">
          <cell r="A104">
            <v>236</v>
          </cell>
          <cell r="B104" t="str">
            <v>AM35</v>
          </cell>
          <cell r="C104" t="str">
            <v>SEIXO COMERCIAL</v>
          </cell>
          <cell r="D104" t="str">
            <v>M3</v>
          </cell>
          <cell r="E104">
            <v>97.75</v>
          </cell>
        </row>
        <row r="105">
          <cell r="A105">
            <v>237</v>
          </cell>
          <cell r="B105" t="str">
            <v>M003</v>
          </cell>
          <cell r="C105" t="str">
            <v>ÓLEO COMBUSTÍVEL 1A</v>
          </cell>
          <cell r="D105" t="str">
            <v>L</v>
          </cell>
          <cell r="E105">
            <v>1.3524</v>
          </cell>
        </row>
        <row r="106">
          <cell r="A106">
            <v>238</v>
          </cell>
          <cell r="B106" t="str">
            <v>M101</v>
          </cell>
          <cell r="C106" t="str">
            <v>CIMENTO ASFÁLTICO CAP 20</v>
          </cell>
          <cell r="D106" t="str">
            <v>T</v>
          </cell>
          <cell r="E106">
            <v>2025.7135000000001</v>
          </cell>
        </row>
        <row r="107">
          <cell r="A107">
            <v>239</v>
          </cell>
          <cell r="B107" t="str">
            <v>M103</v>
          </cell>
          <cell r="C107" t="str">
            <v>ASFÁLTO DILUÍDO CM-30</v>
          </cell>
          <cell r="D107" t="str">
            <v>T</v>
          </cell>
          <cell r="E107">
            <v>2715.3915000000002</v>
          </cell>
        </row>
        <row r="108">
          <cell r="A108">
            <v>240</v>
          </cell>
          <cell r="B108" t="str">
            <v>M108</v>
          </cell>
          <cell r="C108" t="str">
            <v>EMULSÃO ASFÁLTICA RR-2C</v>
          </cell>
          <cell r="D108" t="str">
            <v>T</v>
          </cell>
          <cell r="E108">
            <v>1970.2260000000001</v>
          </cell>
        </row>
        <row r="109">
          <cell r="A109">
            <v>241</v>
          </cell>
          <cell r="B109" t="str">
            <v>M202</v>
          </cell>
          <cell r="C109" t="str">
            <v>CIMENTO PORTLAND CP-32</v>
          </cell>
          <cell r="D109" t="str">
            <v>KG</v>
          </cell>
          <cell r="E109">
            <v>0.46</v>
          </cell>
        </row>
        <row r="110">
          <cell r="A110">
            <v>242</v>
          </cell>
          <cell r="B110" t="str">
            <v>M319</v>
          </cell>
          <cell r="C110" t="str">
            <v>ARAME RECOZIDO no. 18</v>
          </cell>
          <cell r="D110" t="str">
            <v>KG</v>
          </cell>
          <cell r="E110">
            <v>5.7039999999999997</v>
          </cell>
        </row>
        <row r="111">
          <cell r="A111">
            <v>243</v>
          </cell>
          <cell r="B111" t="str">
            <v>M320</v>
          </cell>
          <cell r="C111" t="str">
            <v>PREGOS DE FERRO 18x30</v>
          </cell>
          <cell r="D111" t="str">
            <v>KG</v>
          </cell>
          <cell r="E111">
            <v>4.83</v>
          </cell>
        </row>
        <row r="112">
          <cell r="A112">
            <v>255</v>
          </cell>
          <cell r="C112" t="str">
            <v>REDE ELÉTRICA - TUBULAÇOES E CABOS</v>
          </cell>
          <cell r="D112" t="str">
            <v>M</v>
          </cell>
          <cell r="E112">
            <v>97.75</v>
          </cell>
        </row>
        <row r="113">
          <cell r="A113">
            <v>256</v>
          </cell>
          <cell r="C113" t="str">
            <v>POSTE TUBO AÇO GALVANIZADO.H =10,0 m C/ LUMINÁRIA</v>
          </cell>
          <cell r="D113" t="str">
            <v>CJ</v>
          </cell>
          <cell r="E113">
            <v>1801.7708</v>
          </cell>
        </row>
        <row r="114">
          <cell r="A114">
            <v>257</v>
          </cell>
          <cell r="B114" t="str">
            <v>M334</v>
          </cell>
          <cell r="C114" t="str">
            <v>PARAF. ZINCADO C/ FENDA 1 1/2" x 3/16"</v>
          </cell>
          <cell r="D114" t="str">
            <v>UN</v>
          </cell>
          <cell r="E114">
            <v>0.13800000000000001</v>
          </cell>
        </row>
        <row r="115">
          <cell r="A115">
            <v>290</v>
          </cell>
          <cell r="B115" t="str">
            <v>M335</v>
          </cell>
          <cell r="C115" t="str">
            <v>PARAF. ZINCADO FRANCÊS 4" x 5/16"</v>
          </cell>
          <cell r="D115" t="str">
            <v>UN</v>
          </cell>
          <cell r="E115">
            <v>0.59799999999999998</v>
          </cell>
        </row>
        <row r="116">
          <cell r="A116">
            <v>291</v>
          </cell>
          <cell r="B116" t="str">
            <v>M340</v>
          </cell>
          <cell r="C116" t="str">
            <v>TAMPÃO DE FERRO FUNDIDO</v>
          </cell>
          <cell r="D116" t="str">
            <v>UN</v>
          </cell>
          <cell r="E116">
            <v>375.70499999999998</v>
          </cell>
        </row>
        <row r="117">
          <cell r="A117">
            <v>294</v>
          </cell>
          <cell r="B117" t="str">
            <v>M343</v>
          </cell>
          <cell r="C117" t="str">
            <v>DEFENSA METÁLICA SEMI-MALEÁVEL SIMPLES</v>
          </cell>
          <cell r="D117" t="str">
            <v>MOD</v>
          </cell>
          <cell r="E117">
            <v>822.89400000000001</v>
          </cell>
        </row>
        <row r="118">
          <cell r="A118">
            <v>295</v>
          </cell>
          <cell r="C118" t="str">
            <v>CHAPA DE AÇO FINA</v>
          </cell>
          <cell r="D118" t="str">
            <v>M2</v>
          </cell>
          <cell r="E118">
            <v>52.9</v>
          </cell>
        </row>
        <row r="119">
          <cell r="A119">
            <v>300</v>
          </cell>
          <cell r="B119" t="str">
            <v>M398</v>
          </cell>
          <cell r="C119" t="str">
            <v xml:space="preserve">CHAPA DE AÇO </v>
          </cell>
          <cell r="D119" t="str">
            <v>KG</v>
          </cell>
          <cell r="E119">
            <v>4.83</v>
          </cell>
        </row>
        <row r="120">
          <cell r="A120">
            <v>303</v>
          </cell>
          <cell r="B120" t="str">
            <v>M346</v>
          </cell>
          <cell r="C120" t="str">
            <v>CHAPA DE AÇO no. 16 (TRATADA)</v>
          </cell>
          <cell r="D120" t="str">
            <v>M2</v>
          </cell>
          <cell r="E120">
            <v>112.7</v>
          </cell>
        </row>
        <row r="121">
          <cell r="A121">
            <v>304</v>
          </cell>
          <cell r="B121" t="str">
            <v>M401</v>
          </cell>
          <cell r="C121" t="str">
            <v>PONTALETES D=15 cm (TRONCO P/ ESC.)</v>
          </cell>
          <cell r="D121" t="str">
            <v>M</v>
          </cell>
          <cell r="E121">
            <v>1.6214999999999999</v>
          </cell>
        </row>
        <row r="122">
          <cell r="A122">
            <v>305</v>
          </cell>
          <cell r="B122" t="str">
            <v>M402</v>
          </cell>
          <cell r="C122" t="str">
            <v>PONTALETES D=20 cm (TRONCO P/ ESC.)</v>
          </cell>
          <cell r="D122" t="str">
            <v>M</v>
          </cell>
          <cell r="E122">
            <v>1.6214999999999999</v>
          </cell>
        </row>
        <row r="123">
          <cell r="A123">
            <v>306</v>
          </cell>
          <cell r="B123" t="str">
            <v>M409</v>
          </cell>
          <cell r="C123" t="str">
            <v>PRANCHÃO DE 1a 5,0 cm x 30,0 cm</v>
          </cell>
          <cell r="D123" t="str">
            <v>M</v>
          </cell>
          <cell r="E123">
            <v>17.25</v>
          </cell>
        </row>
        <row r="124">
          <cell r="A124">
            <v>308</v>
          </cell>
          <cell r="B124" t="str">
            <v>M410</v>
          </cell>
          <cell r="C124" t="str">
            <v>COMPENSADO RESINADO DE 17 mm</v>
          </cell>
          <cell r="D124" t="str">
            <v>M2</v>
          </cell>
          <cell r="E124">
            <v>17.107399999999998</v>
          </cell>
        </row>
        <row r="125">
          <cell r="A125">
            <v>309</v>
          </cell>
          <cell r="B125" t="str">
            <v>M406</v>
          </cell>
          <cell r="C125" t="str">
            <v>CAIBROS DE 7,5 cm x 7,5 cm</v>
          </cell>
          <cell r="D125" t="str">
            <v>M</v>
          </cell>
          <cell r="E125">
            <v>2.4609999999999999</v>
          </cell>
        </row>
        <row r="126">
          <cell r="A126">
            <v>310</v>
          </cell>
          <cell r="B126" t="str">
            <v>M407</v>
          </cell>
          <cell r="C126" t="str">
            <v>TÁBUA DE 1a 2,5 cm x 15,0 cm</v>
          </cell>
          <cell r="D126" t="str">
            <v>M</v>
          </cell>
          <cell r="E126">
            <v>2.7945000000000002</v>
          </cell>
        </row>
        <row r="127">
          <cell r="A127">
            <v>311</v>
          </cell>
          <cell r="B127" t="str">
            <v>M408</v>
          </cell>
          <cell r="C127" t="str">
            <v>TÁBUA DE 5a 2,5 cm x 30,0 cm</v>
          </cell>
          <cell r="D127" t="str">
            <v>M</v>
          </cell>
          <cell r="E127">
            <v>5.29</v>
          </cell>
        </row>
        <row r="128">
          <cell r="A128">
            <v>312</v>
          </cell>
          <cell r="B128" t="str">
            <v>M411</v>
          </cell>
          <cell r="C128" t="str">
            <v>COMPENSADO PLASTIFICADO DE 17 mm</v>
          </cell>
          <cell r="D128" t="str">
            <v>M2</v>
          </cell>
          <cell r="E128">
            <v>34.422600000000003</v>
          </cell>
        </row>
        <row r="129">
          <cell r="A129">
            <v>313</v>
          </cell>
          <cell r="B129" t="str">
            <v>M412</v>
          </cell>
          <cell r="C129" t="str">
            <v>GASTALHO 10 x 2,0 cm</v>
          </cell>
          <cell r="D129" t="str">
            <v>M</v>
          </cell>
          <cell r="E129">
            <v>1.38</v>
          </cell>
        </row>
        <row r="130">
          <cell r="A130">
            <v>314</v>
          </cell>
          <cell r="B130" t="str">
            <v>M413</v>
          </cell>
          <cell r="C130" t="str">
            <v>GASTALHO 7,5 x 2,5 cm</v>
          </cell>
          <cell r="D130" t="str">
            <v>M</v>
          </cell>
          <cell r="E130">
            <v>1.38</v>
          </cell>
        </row>
        <row r="131">
          <cell r="A131">
            <v>315</v>
          </cell>
          <cell r="B131" t="str">
            <v>M415</v>
          </cell>
          <cell r="C131" t="str">
            <v>TÁBUA 2,5 x 22,5 cm</v>
          </cell>
          <cell r="D131" t="str">
            <v>M</v>
          </cell>
          <cell r="E131">
            <v>4.2089999999999996</v>
          </cell>
        </row>
        <row r="132">
          <cell r="A132">
            <v>316</v>
          </cell>
          <cell r="B132" t="str">
            <v>M414</v>
          </cell>
          <cell r="C132" t="str">
            <v>PRANCHÃO 7,5 x 30,0 cm</v>
          </cell>
          <cell r="D132" t="str">
            <v>M</v>
          </cell>
          <cell r="E132">
            <v>34.5</v>
          </cell>
        </row>
        <row r="133">
          <cell r="A133">
            <v>325</v>
          </cell>
          <cell r="B133" t="str">
            <v>M601</v>
          </cell>
          <cell r="C133" t="str">
            <v>TINTA REFLETIVA ACRÍLICA P/ 2 ANOS</v>
          </cell>
          <cell r="D133" t="str">
            <v>L</v>
          </cell>
          <cell r="E133">
            <v>15.4643</v>
          </cell>
        </row>
        <row r="134">
          <cell r="A134">
            <v>326</v>
          </cell>
          <cell r="B134" t="str">
            <v>M602</v>
          </cell>
          <cell r="C134" t="str">
            <v>ADUBO NPK (4.14.8)</v>
          </cell>
          <cell r="D134" t="str">
            <v>KG</v>
          </cell>
          <cell r="E134">
            <v>0.89700000000000002</v>
          </cell>
        </row>
        <row r="135">
          <cell r="A135">
            <v>327</v>
          </cell>
          <cell r="B135" t="str">
            <v>M603</v>
          </cell>
          <cell r="C135" t="str">
            <v>INSETICIDA</v>
          </cell>
          <cell r="D135" t="str">
            <v>L</v>
          </cell>
          <cell r="E135">
            <v>26.45</v>
          </cell>
        </row>
        <row r="136">
          <cell r="A136">
            <v>328</v>
          </cell>
          <cell r="B136" t="str">
            <v>M604</v>
          </cell>
          <cell r="C136" t="str">
            <v>ADITIVO PLASTIMENT BV-40</v>
          </cell>
          <cell r="D136" t="str">
            <v>KG</v>
          </cell>
          <cell r="E136">
            <v>2.9580000000000002</v>
          </cell>
        </row>
        <row r="137">
          <cell r="A137">
            <v>330</v>
          </cell>
          <cell r="B137" t="str">
            <v>M609</v>
          </cell>
          <cell r="C137" t="str">
            <v>TINTA ESMALTE SINTÉTICO SEMI-FOSCO</v>
          </cell>
          <cell r="D137" t="str">
            <v>L</v>
          </cell>
          <cell r="E137">
            <v>13.409000000000001</v>
          </cell>
        </row>
        <row r="138">
          <cell r="A138">
            <v>331</v>
          </cell>
          <cell r="B138" t="str">
            <v>M611</v>
          </cell>
          <cell r="C138" t="str">
            <v>REDUTOR TIPO 2002 PRIM. QUALIDADE</v>
          </cell>
          <cell r="D138" t="str">
            <v>L</v>
          </cell>
          <cell r="E138">
            <v>8.2225000000000001</v>
          </cell>
        </row>
        <row r="139">
          <cell r="A139">
            <v>332</v>
          </cell>
          <cell r="B139" t="str">
            <v>M615</v>
          </cell>
          <cell r="C139" t="str">
            <v>MICROESFERAS PRE-MIX</v>
          </cell>
          <cell r="D139" t="str">
            <v>KG</v>
          </cell>
          <cell r="E139">
            <v>4.3470000000000004</v>
          </cell>
        </row>
        <row r="140">
          <cell r="A140">
            <v>333</v>
          </cell>
          <cell r="B140" t="str">
            <v>M616</v>
          </cell>
          <cell r="C140" t="str">
            <v>MICROESFERAS DROP-ON</v>
          </cell>
          <cell r="D140" t="str">
            <v>KG</v>
          </cell>
          <cell r="E140">
            <v>4.3470000000000004</v>
          </cell>
        </row>
        <row r="141">
          <cell r="A141">
            <v>344</v>
          </cell>
          <cell r="B141" t="str">
            <v>M621</v>
          </cell>
          <cell r="C141" t="str">
            <v>DESMOLDANTE</v>
          </cell>
          <cell r="D141" t="str">
            <v>KG</v>
          </cell>
          <cell r="E141">
            <v>3.6254</v>
          </cell>
        </row>
        <row r="142">
          <cell r="A142">
            <v>345</v>
          </cell>
          <cell r="B142" t="str">
            <v>M622</v>
          </cell>
          <cell r="C142" t="str">
            <v>Interplast N</v>
          </cell>
          <cell r="D142" t="str">
            <v>kg</v>
          </cell>
          <cell r="E142">
            <v>5.2554999999999996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e do Orçamento"/>
      <sheetName val="A.2- RESUMO"/>
      <sheetName val="1-MOD"/>
      <sheetName val="anexo 3 mod"/>
      <sheetName val="13-MAT-FERR"/>
      <sheetName val="14-MAT.SEG "/>
      <sheetName val="15-DIVERSOS"/>
      <sheetName val="16-EQUIP."/>
      <sheetName val="anexo 7 eq"/>
      <sheetName val="17-MOI"/>
      <sheetName val="anexo 4 moi"/>
      <sheetName val="18-CANTEIRO "/>
      <sheetName val="19-TRANSP.PESSOAL"/>
      <sheetName val="20-MOB-DESMOB "/>
      <sheetName val="21-REFEICAO"/>
      <sheetName val="22-VARIOS"/>
      <sheetName val="23-TERCEIROS"/>
      <sheetName val="A- coef definido Serviços"/>
      <sheetName val="A1-coef definido  Terceiros"/>
      <sheetName val="A1-coef defin. Resumo(Ser+Terc)"/>
      <sheetName val="A.3 - CASH_FLOW (4)"/>
      <sheetName val="CURVA-S"/>
      <sheetName val="anexo 1 cro"/>
      <sheetName val="anexo 1 cro (2)"/>
      <sheetName val="A.3 - CASH_FLOW (2)"/>
      <sheetName val="A.3 - CASH_FLOW"/>
      <sheetName val="A.3 - CASH_FLOW (3)"/>
      <sheetName val="A.3 GRAF-CASH-FLOW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ços Água"/>
      <sheetName val="QCI - 10-01-06"/>
      <sheetName val="Serviços Esgoto"/>
      <sheetName val="Remanejamento de Famílas"/>
      <sheetName val="Sistema Viário e Drenagem"/>
      <sheetName val="UHB"/>
      <sheetName val="Reflorestamento"/>
      <sheetName val="CEI"/>
      <sheetName val="BAIXO GUANDU ITAIMBE"/>
      <sheetName val="MEMORIAL"/>
      <sheetName val="Re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FORM.CONTRA."/>
      <sheetName val="8 - EVOLUÇÃO FINANCEIRA"/>
      <sheetName val="8.1 - CRONOGRAMA"/>
      <sheetName val="8.2 - CURVA"/>
      <sheetName val="10 - RESUMO"/>
      <sheetName val="11 - FINANCEIRA"/>
      <sheetName val="12 - CORPO"/>
      <sheetName val="14.1 - VERIFICAÇÃO MT "/>
      <sheetName val="14.1.1 - CHECKLIST ROTINAS "/>
      <sheetName val="14.2 - VERIFICAÇÃO AMBIENTA "/>
      <sheetName val="13 - CUSTO"/>
      <sheetName val="13 - CUSTO (2)"/>
      <sheetName val="15 - CRONOGRAMA"/>
      <sheetName val="17 - CHECKLIST 1"/>
      <sheetName val="17 - CHECKLIST 2"/>
      <sheetName val="RELAÇÃO DE PESSO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G9">
            <v>73962.790000000008</v>
          </cell>
        </row>
        <row r="17">
          <cell r="G17">
            <v>125871.20000000001</v>
          </cell>
        </row>
        <row r="25">
          <cell r="G25">
            <v>15531.89</v>
          </cell>
        </row>
        <row r="32">
          <cell r="G32">
            <v>3218655.2100000004</v>
          </cell>
        </row>
        <row r="54">
          <cell r="G54">
            <v>657603.01</v>
          </cell>
        </row>
        <row r="203">
          <cell r="G203">
            <v>298789.26</v>
          </cell>
        </row>
        <row r="205">
          <cell r="G205">
            <v>7568525.160000002</v>
          </cell>
        </row>
        <row r="400">
          <cell r="G400">
            <v>23710654.409999989</v>
          </cell>
        </row>
        <row r="432">
          <cell r="G432">
            <v>318116.88</v>
          </cell>
        </row>
        <row r="434">
          <cell r="G434">
            <v>5859123.4400000004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- RELATORIO"/>
      <sheetName val="02 - CRONOGRAMA"/>
      <sheetName val="03 - CURVA"/>
      <sheetName val="04 - FINANCEIRO "/>
      <sheetName val="05 - CORPO"/>
      <sheetName val="06 - RESUMO"/>
      <sheetName val="DMT"/>
      <sheetName val="DMT (2)"/>
      <sheetName val="DIST. TERRAPLAGEM"/>
      <sheetName val="DMT CBUQ"/>
      <sheetName val="memorial"/>
    </sheetNames>
    <sheetDataSet>
      <sheetData sheetId="0" refreshError="1"/>
      <sheetData sheetId="1" refreshError="1"/>
      <sheetData sheetId="2" refreshError="1"/>
      <sheetData sheetId="3" refreshError="1">
        <row r="33">
          <cell r="H33">
            <v>8162882.2800000003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CORPO DO RELATÓRIO"/>
      <sheetName val="3.0 - INFORMAÇÕES CONTRATUAIS"/>
      <sheetName val="5.0 - REL. PESSOAL"/>
      <sheetName val="6.0 - REL. EQUIPAMENTOS"/>
      <sheetName val="7.0 CONTROLE PLUVIOMÉTRICO"/>
      <sheetName val="8.0 - EVOLUÇÃO FINANCEIRA"/>
      <sheetName val="9.1 - CRONOGRAMA"/>
      <sheetName val="9.2 - CURVA"/>
      <sheetName val="10 FOTOGRÁFICO"/>
      <sheetName val="1.1"/>
      <sheetName val="1.2"/>
      <sheetName val="1.3"/>
      <sheetName val="1.4"/>
      <sheetName val="1.5"/>
      <sheetName val="1.6"/>
      <sheetName val="1.9.1"/>
      <sheetName val="1.15.1"/>
      <sheetName val="5.2"/>
      <sheetName val="5.3"/>
      <sheetName val="13.1"/>
      <sheetName val="13.2"/>
      <sheetName val="139.1"/>
      <sheetName val="139.2"/>
      <sheetName val="139.3"/>
      <sheetName val="139.4"/>
      <sheetName val="139.5"/>
      <sheetName val="139.6"/>
      <sheetName val="139.7"/>
      <sheetName val="139.8"/>
      <sheetName val="139.9"/>
      <sheetName val="139.10"/>
      <sheetName val="139.11"/>
      <sheetName val="139.12"/>
      <sheetName val="139.13"/>
      <sheetName val="139.14"/>
      <sheetName val="139.15"/>
      <sheetName val="139.16"/>
      <sheetName val="139.17"/>
      <sheetName val="139.18"/>
      <sheetName val="139.22"/>
      <sheetName val="139.23"/>
      <sheetName val="139.24"/>
      <sheetName val="139.25"/>
      <sheetName val="DISTRIBUIÇÃO DE TERRAPLENAGEM"/>
      <sheetName val="12 - FINANCEIRO "/>
      <sheetName val="RESUMO"/>
      <sheetName val="CHECKLIST"/>
      <sheetName val="DMT ESCÓRIA SUB-BASE"/>
      <sheetName val="DMT"/>
      <sheetName val="DMT CBU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5">
          <cell r="D135">
            <v>43221</v>
          </cell>
          <cell r="E135">
            <v>43272</v>
          </cell>
          <cell r="F135">
            <v>43302</v>
          </cell>
          <cell r="G135">
            <v>43333</v>
          </cell>
          <cell r="H135">
            <v>43364</v>
          </cell>
          <cell r="I135">
            <v>43394</v>
          </cell>
          <cell r="J135">
            <v>43425</v>
          </cell>
          <cell r="K135">
            <v>43455</v>
          </cell>
          <cell r="L135">
            <v>43486</v>
          </cell>
          <cell r="M135">
            <v>43517</v>
          </cell>
          <cell r="N135">
            <v>43545</v>
          </cell>
          <cell r="O135">
            <v>43576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77">
          <cell r="G177">
            <v>18528476.850000001</v>
          </cell>
        </row>
      </sheetData>
      <sheetData sheetId="46"/>
      <sheetData sheetId="47"/>
      <sheetData sheetId="48"/>
      <sheetData sheetId="49"/>
      <sheetData sheetId="5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HISTOGRAMA-M.O"/>
      <sheetName val="Modelo Atual (2)"/>
      <sheetName val="orc_csdareal_eng"/>
      <sheetName val="CNAExRAT"/>
      <sheetName val="HIST MO IND SEMANAS"/>
      <sheetName val="HHdQTD"/>
      <sheetName val="Curva 1 folha"/>
      <sheetName val="Orc_Pad_Edif_Analítico"/>
      <sheetName val="Orc_Compl_Analítico"/>
      <sheetName val="List"/>
      <sheetName val="BD2"/>
      <sheetName val="Compromissado"/>
      <sheetName val="025"/>
      <sheetName val="A_comprometer"/>
      <sheetName val="Realizado"/>
      <sheetName val="Aportes"/>
      <sheetName val="Comprometido_a_Receber"/>
      <sheetName val="Resumo"/>
      <sheetName val="은행"/>
      <sheetName val="VOLUME"/>
      <sheetName val="LISTS"/>
      <sheetName val="Par"/>
      <sheetName val="RG Depots"/>
      <sheetName val="안산기계장치"/>
      <sheetName val="Hoja 1"/>
      <sheetName val="Plants Address"/>
      <sheetName val="AR01"/>
      <sheetName val="Tablas"/>
      <sheetName val="CLASIFICACION DE AI"/>
      <sheetName val="Base da Datos"/>
      <sheetName val="Jun"/>
      <sheetName val="Tables"/>
      <sheetName val="Sheet2"/>
      <sheetName val="Condulete AL - DIVERSOS"/>
      <sheetName val="Painel"/>
      <sheetName val="Informações"/>
      <sheetName val="Qualidade"/>
      <sheetName val="Quantitativo"/>
      <sheetName val="Segurança"/>
      <sheetName val="Cronograma"/>
      <sheetName val="Pilling"/>
      <sheetName val="IEE"/>
      <sheetName val="Curva IEE - C"/>
      <sheetName val="Curva IEE - M"/>
      <sheetName val="Implatanção"/>
      <sheetName val="Inf. Complementares"/>
      <sheetName val="Curva"/>
      <sheetName val="Mapa Chuvas"/>
      <sheetName val="Críticos"/>
      <sheetName val="Rel. Fot."/>
      <sheetName val="Quantitativo Base"/>
      <sheetName val="Cronog Pessoal Civil"/>
      <sheetName val="Cronog Pessoal Montagem"/>
      <sheetName val="Input"/>
      <sheetName val="Area Livre"/>
      <sheetName val="EAP"/>
      <sheetName val="BD"/>
      <sheetName val="Area Deviation"/>
      <sheetName val="Equipment Attributes"/>
      <sheetName val="ProcessSheet"/>
      <sheetName val="Price Summary"/>
      <sheetName val="TAB SALÁRIO"/>
      <sheetName val="BQMPALOC"/>
      <sheetName val="VIZ4"/>
      <sheetName val="VIZ7"/>
      <sheetName val="UZ"/>
      <sheetName val="IMPROD RESUMO"/>
      <sheetName val="HIST_MO_IND_SEMANAS"/>
      <sheetName val="Curva_1_folha"/>
      <sheetName val="HISTOGRAMA-M_O"/>
      <sheetName val="Modelo_Atual_(2)"/>
      <sheetName val="RI"/>
      <sheetName val="Equipment_Attributes"/>
      <sheetName val="Price_Summary"/>
      <sheetName val="IMPROD_RESUMO"/>
      <sheetName val="B"/>
      <sheetName val="Plan1"/>
      <sheetName val="SFM input"/>
      <sheetName val="Look Ups"/>
      <sheetName val="Params"/>
      <sheetName val="Datos"/>
      <sheetName val="DePara"/>
      <sheetName val="BANCO IP"/>
      <sheetName val="Principal"/>
      <sheetName val="APPLICATION 1"/>
      <sheetName val="ESTIMATE 1"/>
      <sheetName val="JOB COST SUMMARY"/>
      <sheetName val="Operational &amp; Dim Data 1"/>
      <sheetName val="SPARE PARTS"/>
      <sheetName val="Design Criteria 1"/>
      <sheetName val="Operational &amp; Dim Data 2"/>
      <sheetName val="Design Criteria 2"/>
      <sheetName val="Operational &amp; Dim Data 3"/>
      <sheetName val="Design Criteria 3"/>
      <sheetName val="Operational &amp; Dim Data 4"/>
      <sheetName val="Design Criteria 4"/>
      <sheetName val="Cost-Misc.Comp."/>
      <sheetName val="Cost-Fab &amp; Assm"/>
      <sheetName val="Shaft&amp;Brgs"/>
      <sheetName val="SCHEDULE"/>
      <sheetName val="DRAG CONV."/>
      <sheetName val="Elec. Costs"/>
      <sheetName val="Cost-TractorComp."/>
      <sheetName val="Cost-Pans"/>
      <sheetName val="Drop Downs"/>
      <sheetName val="Revision LOG"/>
      <sheetName val="APPLICATION_1"/>
      <sheetName val="ESTIMATE_1"/>
      <sheetName val="JOB_COST_SUMMARY"/>
      <sheetName val="Operational_&amp;_Dim_Data_1"/>
      <sheetName val="SPARE_PARTS"/>
      <sheetName val="Design_Criteria_1"/>
      <sheetName val="Operational_&amp;_Dim_Data_2"/>
      <sheetName val="Design_Criteria_2"/>
      <sheetName val="Operational_&amp;_Dim_Data_3"/>
      <sheetName val="Design_Criteria_3"/>
      <sheetName val="Operational_&amp;_Dim_Data_4"/>
      <sheetName val="Design_Criteria_4"/>
      <sheetName val="Cost-Misc_Comp_"/>
      <sheetName val="Cost-Fab_&amp;_Assm"/>
      <sheetName val="DRAG_CONV_"/>
      <sheetName val="Elec__Costs"/>
      <sheetName val="Cost-TractorComp_"/>
      <sheetName val="Drop_Downs"/>
      <sheetName val="Revision_LOG"/>
      <sheetName val="Curva_1_folha1"/>
      <sheetName val="APPLICATION_11"/>
      <sheetName val="ESTIMATE_11"/>
      <sheetName val="JOB_COST_SUMMARY1"/>
      <sheetName val="Operational_&amp;_Dim_Data_11"/>
      <sheetName val="SPARE_PARTS1"/>
      <sheetName val="Design_Criteria_11"/>
      <sheetName val="Operational_&amp;_Dim_Data_21"/>
      <sheetName val="Design_Criteria_21"/>
      <sheetName val="Operational_&amp;_Dim_Data_31"/>
      <sheetName val="Design_Criteria_31"/>
      <sheetName val="Operational_&amp;_Dim_Data_41"/>
      <sheetName val="Design_Criteria_41"/>
      <sheetName val="Cost-Misc_Comp_1"/>
      <sheetName val="Cost-Fab_&amp;_Assm1"/>
      <sheetName val="DRAG_CONV_1"/>
      <sheetName val="Elec__Costs1"/>
      <sheetName val="Cost-TractorComp_1"/>
      <sheetName val="Drop_Downs1"/>
      <sheetName val="Revision_LOG1"/>
      <sheetName val="HIST_MO_IND_SEMANAS1"/>
      <sheetName val="Modelo_Atual_(2)1"/>
      <sheetName val="HISTOGRAMA-M_O1"/>
      <sheetName val="apoio"/>
      <sheetName val="ATIVOS"/>
      <sheetName val="9.2 - CURVA"/>
      <sheetName val="Indexadores"/>
    </sheetNames>
    <sheetDataSet>
      <sheetData sheetId="0" refreshError="1">
        <row r="11">
          <cell r="F11">
            <v>1</v>
          </cell>
        </row>
        <row r="58">
          <cell r="AG58" t="e">
            <v>#DIV/0!</v>
          </cell>
        </row>
        <row r="60">
          <cell r="AE60" t="e">
            <v>#DIV/0!</v>
          </cell>
          <cell r="AF60" t="e">
            <v>#DIV/0!</v>
          </cell>
          <cell r="AG60" t="e">
            <v>#DIV/0!</v>
          </cell>
        </row>
        <row r="62">
          <cell r="AE62" t="e">
            <v>#DIV/0!</v>
          </cell>
          <cell r="AF62" t="e">
            <v>#DIV/0!</v>
          </cell>
          <cell r="AG62" t="e">
            <v>#DIV/0!</v>
          </cell>
        </row>
        <row r="64">
          <cell r="AE64" t="e">
            <v>#DIV/0!</v>
          </cell>
          <cell r="AF64" t="e">
            <v>#DIV/0!</v>
          </cell>
          <cell r="AG64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1">
          <cell r="F11">
            <v>0</v>
          </cell>
        </row>
      </sheetData>
      <sheetData sheetId="36"/>
      <sheetData sheetId="37"/>
      <sheetData sheetId="38">
        <row r="11">
          <cell r="F11">
            <v>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1">
          <cell r="F11">
            <v>0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11">
          <cell r="F11">
            <v>1</v>
          </cell>
        </row>
      </sheetData>
      <sheetData sheetId="86">
        <row r="11">
          <cell r="F11">
            <v>1</v>
          </cell>
        </row>
      </sheetData>
      <sheetData sheetId="87"/>
      <sheetData sheetId="88"/>
      <sheetData sheetId="89">
        <row r="11">
          <cell r="F11">
            <v>1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11">
          <cell r="F11">
            <v>1</v>
          </cell>
        </row>
      </sheetData>
      <sheetData sheetId="102"/>
      <sheetData sheetId="103"/>
      <sheetData sheetId="104">
        <row r="11">
          <cell r="F11">
            <v>1</v>
          </cell>
        </row>
      </sheetData>
      <sheetData sheetId="105">
        <row r="11">
          <cell r="F11">
            <v>1</v>
          </cell>
        </row>
      </sheetData>
      <sheetData sheetId="106"/>
      <sheetData sheetId="107">
        <row r="11">
          <cell r="F11">
            <v>1</v>
          </cell>
        </row>
      </sheetData>
      <sheetData sheetId="108">
        <row r="11">
          <cell r="F11">
            <v>1</v>
          </cell>
        </row>
      </sheetData>
      <sheetData sheetId="109"/>
      <sheetData sheetId="110"/>
      <sheetData sheetId="111">
        <row r="11">
          <cell r="F11">
            <v>1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1">
          <cell r="F11">
            <v>1</v>
          </cell>
        </row>
      </sheetData>
      <sheetData sheetId="122"/>
      <sheetData sheetId="123"/>
      <sheetData sheetId="124">
        <row r="11">
          <cell r="F11">
            <v>1</v>
          </cell>
        </row>
      </sheetData>
      <sheetData sheetId="125">
        <row r="11">
          <cell r="F11">
            <v>1</v>
          </cell>
        </row>
      </sheetData>
      <sheetData sheetId="126"/>
      <sheetData sheetId="127">
        <row r="11">
          <cell r="F11">
            <v>1</v>
          </cell>
        </row>
      </sheetData>
      <sheetData sheetId="128">
        <row r="11">
          <cell r="F11">
            <v>1</v>
          </cell>
        </row>
      </sheetData>
      <sheetData sheetId="129"/>
      <sheetData sheetId="130"/>
      <sheetData sheetId="131">
        <row r="11">
          <cell r="F11">
            <v>1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ETA-Mat"/>
      <sheetName val="INCCTOT"/>
      <sheetName val="baixo guandu itaimbe"/>
      <sheetName val="Plan1"/>
      <sheetName val="LISTAS"/>
      <sheetName val="Jacaraci"/>
      <sheetName val="Demanda-Total"/>
      <sheetName val="V reservação"/>
      <sheetName val="Pre dimensADUTORA"/>
      <sheetName val="Lista"/>
      <sheetName val="Zona A"/>
      <sheetName val="Zona B"/>
      <sheetName val="EEAB1(3+1)3G"/>
      <sheetName val="Insumos"/>
      <sheetName val="MAT"/>
      <sheetName val="bm 8"/>
      <sheetName val="Drenagem"/>
      <sheetName val="viario"/>
      <sheetName val="01-TAC"/>
      <sheetName val="TAC - CORREÇÃO DA PROPOSTA"/>
      <sheetName val="M.C  - QUANTITATIVO "/>
      <sheetName val="PQP"/>
      <sheetName val="SALDOS"/>
      <sheetName val="TAC_ADUT_DN500"/>
      <sheetName val="blocos ancoragem"/>
      <sheetName val="Dados"/>
      <sheetName val="planilha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"/>
      <sheetName val="50"/>
      <sheetName val="40"/>
      <sheetName val="38"/>
      <sheetName val="financ"/>
      <sheetName val="refor out. 2001 - bdi=20% ajust"/>
      <sheetName val="Plan1"/>
      <sheetName val="LISTAS"/>
      <sheetName val="planilha"/>
    </sheetNames>
    <sheetDataSet>
      <sheetData sheetId="0"/>
      <sheetData sheetId="1"/>
      <sheetData sheetId="2"/>
      <sheetData sheetId="3">
        <row r="1">
          <cell r="B1">
            <v>100</v>
          </cell>
        </row>
        <row r="2">
          <cell r="B2">
            <v>37.869999999999997</v>
          </cell>
          <cell r="C2">
            <v>100</v>
          </cell>
        </row>
        <row r="3">
          <cell r="B3">
            <v>17.02</v>
          </cell>
          <cell r="C3">
            <v>66.48</v>
          </cell>
          <cell r="D3">
            <v>100</v>
          </cell>
        </row>
        <row r="4">
          <cell r="B4">
            <v>10.06</v>
          </cell>
          <cell r="C4">
            <v>37.869999999999997</v>
          </cell>
          <cell r="D4">
            <v>80.28</v>
          </cell>
          <cell r="E4">
            <v>100</v>
          </cell>
        </row>
        <row r="5">
          <cell r="B5">
            <v>6.69</v>
          </cell>
          <cell r="C5">
            <v>24.15</v>
          </cell>
          <cell r="D5">
            <v>54.64</v>
          </cell>
          <cell r="E5">
            <v>87.22</v>
          </cell>
          <cell r="F5">
            <v>100</v>
          </cell>
        </row>
        <row r="6">
          <cell r="B6">
            <v>4.7300000000000004</v>
          </cell>
          <cell r="C6">
            <v>17.02</v>
          </cell>
          <cell r="D6">
            <v>37.869999999999997</v>
          </cell>
          <cell r="E6">
            <v>66.48</v>
          </cell>
          <cell r="F6">
            <v>91.03</v>
          </cell>
          <cell r="G6">
            <v>100</v>
          </cell>
        </row>
        <row r="7">
          <cell r="B7">
            <v>3.48</v>
          </cell>
          <cell r="C7">
            <v>12.81</v>
          </cell>
          <cell r="D7">
            <v>27.7</v>
          </cell>
          <cell r="E7">
            <v>49.64</v>
          </cell>
          <cell r="F7">
            <v>74.62</v>
          </cell>
          <cell r="G7">
            <v>93.3</v>
          </cell>
          <cell r="H7">
            <v>100</v>
          </cell>
        </row>
        <row r="8">
          <cell r="B8">
            <v>2.62</v>
          </cell>
          <cell r="C8">
            <v>10.06</v>
          </cell>
          <cell r="D8">
            <v>21.3</v>
          </cell>
          <cell r="E8">
            <v>37.869999999999997</v>
          </cell>
          <cell r="F8">
            <v>59.08</v>
          </cell>
          <cell r="G8">
            <v>80.28</v>
          </cell>
          <cell r="H8">
            <v>94.74</v>
          </cell>
          <cell r="I8">
            <v>100</v>
          </cell>
        </row>
        <row r="9">
          <cell r="B9">
            <v>2.33</v>
          </cell>
          <cell r="C9">
            <v>8.1300000000000008</v>
          </cell>
          <cell r="D9">
            <v>17.02</v>
          </cell>
          <cell r="E9">
            <v>29.8</v>
          </cell>
          <cell r="F9">
            <v>46.92</v>
          </cell>
          <cell r="G9">
            <v>66.48</v>
          </cell>
          <cell r="H9">
            <v>84.3</v>
          </cell>
          <cell r="I9">
            <v>95.7</v>
          </cell>
          <cell r="J9">
            <v>100</v>
          </cell>
        </row>
        <row r="10">
          <cell r="B10">
            <v>2.1</v>
          </cell>
          <cell r="C10">
            <v>6.69</v>
          </cell>
          <cell r="D10">
            <v>14.01</v>
          </cell>
          <cell r="E10">
            <v>24.15</v>
          </cell>
          <cell r="F10">
            <v>37.869999999999997</v>
          </cell>
          <cell r="G10">
            <v>54.64</v>
          </cell>
          <cell r="H10">
            <v>72.23</v>
          </cell>
          <cell r="I10">
            <v>87.22</v>
          </cell>
          <cell r="J10">
            <v>96.37</v>
          </cell>
          <cell r="K10">
            <v>100</v>
          </cell>
        </row>
        <row r="11">
          <cell r="B11">
            <v>1.91</v>
          </cell>
          <cell r="C11">
            <v>5.6</v>
          </cell>
          <cell r="D11">
            <v>11.78</v>
          </cell>
          <cell r="E11">
            <v>20.07</v>
          </cell>
          <cell r="F11">
            <v>31.19</v>
          </cell>
          <cell r="G11">
            <v>45.21</v>
          </cell>
          <cell r="H11">
            <v>61.11</v>
          </cell>
          <cell r="I11">
            <v>76.73</v>
          </cell>
          <cell r="J11">
            <v>89.38</v>
          </cell>
          <cell r="K11">
            <v>96.85</v>
          </cell>
          <cell r="L11">
            <v>100</v>
          </cell>
        </row>
        <row r="12">
          <cell r="B12">
            <v>1.75</v>
          </cell>
          <cell r="C12">
            <v>4.7300000000000004</v>
          </cell>
          <cell r="D12">
            <v>10.06</v>
          </cell>
          <cell r="E12">
            <v>17.02</v>
          </cell>
          <cell r="F12">
            <v>26.19</v>
          </cell>
          <cell r="G12">
            <v>37.869999999999997</v>
          </cell>
          <cell r="H12">
            <v>51.71</v>
          </cell>
          <cell r="I12">
            <v>66.430000000000007</v>
          </cell>
          <cell r="J12">
            <v>80.28</v>
          </cell>
          <cell r="K12">
            <v>91.03</v>
          </cell>
          <cell r="L12">
            <v>97.21</v>
          </cell>
          <cell r="M12">
            <v>100</v>
          </cell>
        </row>
        <row r="13">
          <cell r="B13">
            <v>1.61</v>
          </cell>
          <cell r="C13">
            <v>4.04</v>
          </cell>
          <cell r="D13">
            <v>8.6999999999999993</v>
          </cell>
          <cell r="E13">
            <v>14.67</v>
          </cell>
          <cell r="F13">
            <v>22.37</v>
          </cell>
          <cell r="G13">
            <v>32.17</v>
          </cell>
          <cell r="H13">
            <v>44.05</v>
          </cell>
          <cell r="I13">
            <v>57.37</v>
          </cell>
          <cell r="J13">
            <v>70.92</v>
          </cell>
          <cell r="K13">
            <v>83.1</v>
          </cell>
          <cell r="L13">
            <v>92.3</v>
          </cell>
          <cell r="M13">
            <v>97.43</v>
          </cell>
          <cell r="N13">
            <v>100</v>
          </cell>
        </row>
        <row r="14">
          <cell r="B14">
            <v>1.5</v>
          </cell>
          <cell r="C14">
            <v>3.48</v>
          </cell>
          <cell r="D14">
            <v>7.6</v>
          </cell>
          <cell r="E14">
            <v>12.81</v>
          </cell>
          <cell r="F14">
            <v>19.39</v>
          </cell>
          <cell r="G14">
            <v>27.7</v>
          </cell>
          <cell r="H14">
            <v>37.869999999999997</v>
          </cell>
          <cell r="I14">
            <v>49.64</v>
          </cell>
          <cell r="J14">
            <v>62.26</v>
          </cell>
          <cell r="K14">
            <v>74.62</v>
          </cell>
          <cell r="L14">
            <v>85.37</v>
          </cell>
          <cell r="M14">
            <v>93.3</v>
          </cell>
          <cell r="N14">
            <v>97.61</v>
          </cell>
          <cell r="O14">
            <v>100</v>
          </cell>
        </row>
        <row r="15">
          <cell r="B15">
            <v>1.4</v>
          </cell>
          <cell r="C15">
            <v>3.01</v>
          </cell>
          <cell r="D15">
            <v>6.69</v>
          </cell>
          <cell r="E15">
            <v>11.31</v>
          </cell>
          <cell r="F15">
            <v>17.02</v>
          </cell>
          <cell r="G15">
            <v>24.15</v>
          </cell>
          <cell r="H15">
            <v>32.9</v>
          </cell>
          <cell r="I15">
            <v>43.2</v>
          </cell>
          <cell r="J15">
            <v>54.64</v>
          </cell>
          <cell r="K15">
            <v>66.48</v>
          </cell>
          <cell r="L15">
            <v>77.7</v>
          </cell>
          <cell r="M15">
            <v>87.22</v>
          </cell>
          <cell r="N15">
            <v>94.09</v>
          </cell>
          <cell r="O15">
            <v>97.77</v>
          </cell>
          <cell r="P15">
            <v>100</v>
          </cell>
        </row>
        <row r="16">
          <cell r="B16">
            <v>1.31</v>
          </cell>
          <cell r="C16">
            <v>2.62</v>
          </cell>
          <cell r="D16">
            <v>5.93</v>
          </cell>
          <cell r="E16">
            <v>10.06</v>
          </cell>
          <cell r="F16">
            <v>15.1</v>
          </cell>
          <cell r="G16">
            <v>21.3</v>
          </cell>
          <cell r="H16">
            <v>28.87</v>
          </cell>
          <cell r="I16">
            <v>37.869999999999997</v>
          </cell>
          <cell r="J16">
            <v>48.1</v>
          </cell>
          <cell r="K16">
            <v>59.08</v>
          </cell>
          <cell r="L16">
            <v>70.099999999999994</v>
          </cell>
          <cell r="M16">
            <v>80.28</v>
          </cell>
          <cell r="N16">
            <v>88.73</v>
          </cell>
          <cell r="O16">
            <v>94.74</v>
          </cell>
          <cell r="P16">
            <v>97.91</v>
          </cell>
          <cell r="Q16">
            <v>100</v>
          </cell>
        </row>
        <row r="17">
          <cell r="B17">
            <v>1.23</v>
          </cell>
          <cell r="C17">
            <v>2.4700000000000002</v>
          </cell>
          <cell r="D17">
            <v>5.29</v>
          </cell>
          <cell r="E17">
            <v>9.02</v>
          </cell>
          <cell r="F17">
            <v>13.51</v>
          </cell>
          <cell r="G17">
            <v>18.96</v>
          </cell>
          <cell r="H17">
            <v>25.58</v>
          </cell>
          <cell r="I17">
            <v>33.47</v>
          </cell>
          <cell r="J17">
            <v>42.56</v>
          </cell>
          <cell r="K17">
            <v>52.57</v>
          </cell>
          <cell r="L17">
            <v>63.01</v>
          </cell>
          <cell r="M17">
            <v>73.22</v>
          </cell>
          <cell r="N17">
            <v>82.46</v>
          </cell>
          <cell r="O17">
            <v>89.98</v>
          </cell>
          <cell r="P17">
            <v>95.26</v>
          </cell>
          <cell r="Q17">
            <v>98.03</v>
          </cell>
          <cell r="R17">
            <v>100</v>
          </cell>
        </row>
        <row r="18">
          <cell r="B18">
            <v>1.17</v>
          </cell>
          <cell r="C18">
            <v>2.33</v>
          </cell>
          <cell r="D18">
            <v>4.7300000000000004</v>
          </cell>
          <cell r="E18">
            <v>8.1300000000000008</v>
          </cell>
          <cell r="F18">
            <v>12.17</v>
          </cell>
          <cell r="G18">
            <v>17.02</v>
          </cell>
          <cell r="H18">
            <v>22.86</v>
          </cell>
          <cell r="I18">
            <v>29.8</v>
          </cell>
          <cell r="J18">
            <v>37.869999999999997</v>
          </cell>
          <cell r="K18">
            <v>46.92</v>
          </cell>
          <cell r="L18">
            <v>56.61</v>
          </cell>
          <cell r="M18">
            <v>66.48</v>
          </cell>
          <cell r="N18">
            <v>75.92</v>
          </cell>
          <cell r="O18">
            <v>84.3</v>
          </cell>
          <cell r="P18">
            <v>91.03</v>
          </cell>
          <cell r="Q18">
            <v>95.7</v>
          </cell>
          <cell r="R18">
            <v>98.14</v>
          </cell>
          <cell r="S18">
            <v>100</v>
          </cell>
        </row>
        <row r="19">
          <cell r="B19">
            <v>1.1000000000000001</v>
          </cell>
          <cell r="C19">
            <v>2.21</v>
          </cell>
          <cell r="D19">
            <v>4.26</v>
          </cell>
          <cell r="E19">
            <v>7.36</v>
          </cell>
          <cell r="F19">
            <v>11.04</v>
          </cell>
          <cell r="G19">
            <v>16.39</v>
          </cell>
          <cell r="H19">
            <v>20.58</v>
          </cell>
          <cell r="I19">
            <v>26.74</v>
          </cell>
          <cell r="J19">
            <v>33.92</v>
          </cell>
          <cell r="K19">
            <v>42.05</v>
          </cell>
          <cell r="L19">
            <v>50.94</v>
          </cell>
          <cell r="M19">
            <v>60.26</v>
          </cell>
          <cell r="N19">
            <v>69.53</v>
          </cell>
          <cell r="O19">
            <v>78.25</v>
          </cell>
          <cell r="P19">
            <v>85.87</v>
          </cell>
          <cell r="Q19">
            <v>91.91</v>
          </cell>
          <cell r="R19">
            <v>96.06</v>
          </cell>
          <cell r="S19">
            <v>98.24</v>
          </cell>
          <cell r="T19">
            <v>100</v>
          </cell>
        </row>
        <row r="20">
          <cell r="B20">
            <v>1.05</v>
          </cell>
          <cell r="C20">
            <v>2.1</v>
          </cell>
          <cell r="D20">
            <v>3.84</v>
          </cell>
          <cell r="E20">
            <v>6.69</v>
          </cell>
          <cell r="F20">
            <v>10.06</v>
          </cell>
          <cell r="G20">
            <v>14.01</v>
          </cell>
          <cell r="H20">
            <v>18.66</v>
          </cell>
          <cell r="I20">
            <v>24.15</v>
          </cell>
          <cell r="J20">
            <v>30.56</v>
          </cell>
          <cell r="K20">
            <v>37.869999999999997</v>
          </cell>
          <cell r="L20">
            <v>45.98</v>
          </cell>
          <cell r="M20">
            <v>54.64</v>
          </cell>
          <cell r="N20">
            <v>63.53</v>
          </cell>
          <cell r="O20">
            <v>72.23</v>
          </cell>
          <cell r="P20">
            <v>80.28</v>
          </cell>
          <cell r="Q20">
            <v>87.22</v>
          </cell>
          <cell r="R20">
            <v>92.66</v>
          </cell>
          <cell r="S20">
            <v>96.37</v>
          </cell>
          <cell r="T20">
            <v>98.33</v>
          </cell>
          <cell r="U20">
            <v>100</v>
          </cell>
        </row>
        <row r="21">
          <cell r="B21">
            <v>1</v>
          </cell>
          <cell r="C21">
            <v>2</v>
          </cell>
          <cell r="D21">
            <v>3.48</v>
          </cell>
          <cell r="E21">
            <v>6.11</v>
          </cell>
          <cell r="F21">
            <v>9.2100000000000009</v>
          </cell>
          <cell r="G21">
            <v>12.81</v>
          </cell>
          <cell r="H21">
            <v>17.02</v>
          </cell>
          <cell r="I21">
            <v>21.96</v>
          </cell>
          <cell r="J21">
            <v>27.7</v>
          </cell>
          <cell r="K21">
            <v>34.28</v>
          </cell>
          <cell r="L21">
            <v>41.65</v>
          </cell>
          <cell r="M21">
            <v>49.65</v>
          </cell>
          <cell r="N21">
            <v>58.02</v>
          </cell>
          <cell r="O21">
            <v>66.48</v>
          </cell>
          <cell r="P21">
            <v>74.62</v>
          </cell>
          <cell r="Q21">
            <v>82.05</v>
          </cell>
          <cell r="R21">
            <v>88.38</v>
          </cell>
          <cell r="S21">
            <v>93.3</v>
          </cell>
          <cell r="T21">
            <v>96.63</v>
          </cell>
          <cell r="U21">
            <v>98.41</v>
          </cell>
          <cell r="V21">
            <v>100</v>
          </cell>
        </row>
        <row r="22">
          <cell r="B22">
            <v>0.95</v>
          </cell>
          <cell r="C22">
            <v>1.91</v>
          </cell>
          <cell r="D22">
            <v>3.16</v>
          </cell>
          <cell r="E22">
            <v>5.6</v>
          </cell>
          <cell r="F22">
            <v>8.4700000000000006</v>
          </cell>
          <cell r="G22">
            <v>11.78</v>
          </cell>
          <cell r="H22">
            <v>15.61</v>
          </cell>
          <cell r="I22">
            <v>20.07</v>
          </cell>
          <cell r="J22">
            <v>25.25</v>
          </cell>
          <cell r="K22">
            <v>31.19</v>
          </cell>
          <cell r="L22">
            <v>37.869999999999997</v>
          </cell>
          <cell r="M22">
            <v>45.21</v>
          </cell>
          <cell r="N22">
            <v>53.04</v>
          </cell>
          <cell r="O22">
            <v>61.11</v>
          </cell>
          <cell r="P22">
            <v>69.12</v>
          </cell>
          <cell r="Q22">
            <v>76.73</v>
          </cell>
          <cell r="R22">
            <v>83.6</v>
          </cell>
          <cell r="S22">
            <v>89.38</v>
          </cell>
          <cell r="T22">
            <v>93.85</v>
          </cell>
          <cell r="U22">
            <v>96.85</v>
          </cell>
          <cell r="V22">
            <v>98.48</v>
          </cell>
          <cell r="W22">
            <v>100</v>
          </cell>
        </row>
        <row r="23">
          <cell r="B23">
            <v>0.91</v>
          </cell>
          <cell r="C23">
            <v>1.82</v>
          </cell>
          <cell r="D23">
            <v>2.87</v>
          </cell>
          <cell r="E23">
            <v>5.14</v>
          </cell>
          <cell r="F23">
            <v>7.81</v>
          </cell>
          <cell r="G23">
            <v>10.87</v>
          </cell>
          <cell r="H23">
            <v>14.38</v>
          </cell>
          <cell r="I23">
            <v>18.440000000000001</v>
          </cell>
          <cell r="J23">
            <v>23.14</v>
          </cell>
          <cell r="K23">
            <v>28.51</v>
          </cell>
          <cell r="L23">
            <v>34.590000000000003</v>
          </cell>
          <cell r="M23">
            <v>41.31</v>
          </cell>
          <cell r="N23">
            <v>48.57</v>
          </cell>
          <cell r="O23">
            <v>56.18</v>
          </cell>
          <cell r="P23">
            <v>63.92</v>
          </cell>
          <cell r="Q23">
            <v>71.5</v>
          </cell>
          <cell r="R23">
            <v>78.61</v>
          </cell>
          <cell r="S23">
            <v>84.96</v>
          </cell>
          <cell r="T23">
            <v>90.25</v>
          </cell>
          <cell r="U23">
            <v>94.32</v>
          </cell>
          <cell r="V23">
            <v>97.05</v>
          </cell>
          <cell r="W23">
            <v>98.55</v>
          </cell>
          <cell r="X23">
            <v>100</v>
          </cell>
        </row>
        <row r="24">
          <cell r="B24">
            <v>0.87</v>
          </cell>
          <cell r="C24">
            <v>1.75</v>
          </cell>
          <cell r="D24">
            <v>2.62</v>
          </cell>
          <cell r="E24">
            <v>4.7300000000000004</v>
          </cell>
          <cell r="F24">
            <v>7.22</v>
          </cell>
          <cell r="G24">
            <v>10.06</v>
          </cell>
          <cell r="H24">
            <v>13.3</v>
          </cell>
          <cell r="I24">
            <v>17.02</v>
          </cell>
          <cell r="J24">
            <v>21.3</v>
          </cell>
          <cell r="K24">
            <v>26.19</v>
          </cell>
          <cell r="L24">
            <v>31.72</v>
          </cell>
          <cell r="M24">
            <v>37.869999999999997</v>
          </cell>
          <cell r="N24">
            <v>44.58</v>
          </cell>
          <cell r="O24">
            <v>51.71</v>
          </cell>
          <cell r="P24">
            <v>59.08</v>
          </cell>
          <cell r="Q24">
            <v>66.48</v>
          </cell>
          <cell r="R24">
            <v>73.63</v>
          </cell>
          <cell r="S24">
            <v>80.28</v>
          </cell>
          <cell r="T24">
            <v>86.16</v>
          </cell>
          <cell r="U24">
            <v>91.03</v>
          </cell>
          <cell r="V24">
            <v>94.74</v>
          </cell>
          <cell r="W24">
            <v>97.21</v>
          </cell>
          <cell r="X24">
            <v>98.61</v>
          </cell>
          <cell r="Y24">
            <v>100</v>
          </cell>
        </row>
        <row r="25">
          <cell r="B25">
            <v>0.84</v>
          </cell>
          <cell r="C25">
            <v>1.68</v>
          </cell>
          <cell r="D25">
            <v>2.52</v>
          </cell>
          <cell r="E25">
            <v>4.37</v>
          </cell>
          <cell r="F25">
            <v>6.69</v>
          </cell>
          <cell r="G25">
            <v>9.35</v>
          </cell>
          <cell r="H25">
            <v>12.35</v>
          </cell>
          <cell r="I25">
            <v>15.78</v>
          </cell>
          <cell r="J25">
            <v>19.690000000000001</v>
          </cell>
          <cell r="K25">
            <v>24.15</v>
          </cell>
          <cell r="L25">
            <v>29.21</v>
          </cell>
          <cell r="M25">
            <v>34.85</v>
          </cell>
          <cell r="N25">
            <v>41.03</v>
          </cell>
          <cell r="O25">
            <v>47.67</v>
          </cell>
          <cell r="P25">
            <v>54.64</v>
          </cell>
          <cell r="Q25">
            <v>61.75</v>
          </cell>
          <cell r="R25">
            <v>68.8</v>
          </cell>
          <cell r="S25">
            <v>75.56</v>
          </cell>
          <cell r="T25">
            <v>81.77</v>
          </cell>
          <cell r="U25">
            <v>87.22</v>
          </cell>
          <cell r="V25">
            <v>91.7</v>
          </cell>
          <cell r="W25">
            <v>95.1</v>
          </cell>
          <cell r="X25">
            <v>97.33</v>
          </cell>
          <cell r="Y25">
            <v>98.66</v>
          </cell>
          <cell r="Z25">
            <v>100</v>
          </cell>
        </row>
        <row r="26">
          <cell r="B26">
            <v>0.81</v>
          </cell>
          <cell r="C26">
            <v>1.61</v>
          </cell>
          <cell r="D26">
            <v>2.42</v>
          </cell>
          <cell r="E26">
            <v>4.04</v>
          </cell>
          <cell r="F26">
            <v>6.22</v>
          </cell>
          <cell r="G26">
            <v>8.6999999999999993</v>
          </cell>
          <cell r="H26">
            <v>11.5</v>
          </cell>
          <cell r="I26">
            <v>14.67</v>
          </cell>
          <cell r="J26">
            <v>18.28</v>
          </cell>
          <cell r="K26">
            <v>22.37</v>
          </cell>
          <cell r="L26">
            <v>27</v>
          </cell>
          <cell r="M26">
            <v>32.17</v>
          </cell>
          <cell r="N26">
            <v>37.869999999999997</v>
          </cell>
          <cell r="O26">
            <v>44.05</v>
          </cell>
          <cell r="P26">
            <v>50.59</v>
          </cell>
          <cell r="Q26">
            <v>57.37</v>
          </cell>
          <cell r="R26">
            <v>64.209999999999994</v>
          </cell>
          <cell r="S26">
            <v>70.92</v>
          </cell>
          <cell r="T26">
            <v>77.290000000000006</v>
          </cell>
          <cell r="U26">
            <v>83.1</v>
          </cell>
          <cell r="V26">
            <v>88.16</v>
          </cell>
          <cell r="W26">
            <v>92.3</v>
          </cell>
          <cell r="X26">
            <v>95.42</v>
          </cell>
          <cell r="Y26">
            <v>97.43</v>
          </cell>
          <cell r="Z26">
            <v>98.71</v>
          </cell>
          <cell r="AA26">
            <v>100</v>
          </cell>
        </row>
        <row r="27">
          <cell r="B27">
            <v>0.78</v>
          </cell>
          <cell r="C27">
            <v>1.55</v>
          </cell>
          <cell r="D27">
            <v>2.33</v>
          </cell>
          <cell r="E27">
            <v>3.75</v>
          </cell>
          <cell r="F27">
            <v>5.8</v>
          </cell>
          <cell r="G27">
            <v>8.1300000000000008</v>
          </cell>
          <cell r="H27">
            <v>10.75</v>
          </cell>
          <cell r="I27">
            <v>13.69</v>
          </cell>
          <cell r="J27">
            <v>17.02</v>
          </cell>
          <cell r="K27">
            <v>20.79</v>
          </cell>
          <cell r="L27">
            <v>25.05</v>
          </cell>
          <cell r="M27">
            <v>29.8</v>
          </cell>
          <cell r="N27">
            <v>35.06</v>
          </cell>
          <cell r="O27">
            <v>40.79</v>
          </cell>
          <cell r="P27">
            <v>46.92</v>
          </cell>
          <cell r="Q27">
            <v>53.33</v>
          </cell>
          <cell r="R27">
            <v>59.91</v>
          </cell>
          <cell r="S27">
            <v>66.48</v>
          </cell>
          <cell r="T27">
            <v>72.86</v>
          </cell>
          <cell r="U27">
            <v>78.86</v>
          </cell>
          <cell r="V27">
            <v>84.3</v>
          </cell>
          <cell r="W27">
            <v>89</v>
          </cell>
          <cell r="X27">
            <v>92.83</v>
          </cell>
          <cell r="Y27">
            <v>95.7</v>
          </cell>
          <cell r="Z27">
            <v>97.52</v>
          </cell>
          <cell r="AA27">
            <v>98.76</v>
          </cell>
          <cell r="AB27">
            <v>100</v>
          </cell>
        </row>
        <row r="28">
          <cell r="B28">
            <v>0.75</v>
          </cell>
          <cell r="C28">
            <v>1.5</v>
          </cell>
          <cell r="D28">
            <v>2.25</v>
          </cell>
          <cell r="E28">
            <v>3.48</v>
          </cell>
          <cell r="F28">
            <v>5.41</v>
          </cell>
          <cell r="G28">
            <v>7.6</v>
          </cell>
          <cell r="H28">
            <v>10.06</v>
          </cell>
          <cell r="I28">
            <v>12.81</v>
          </cell>
          <cell r="J28">
            <v>15.91</v>
          </cell>
          <cell r="K28">
            <v>19.39</v>
          </cell>
          <cell r="L28">
            <v>23.32</v>
          </cell>
          <cell r="M28">
            <v>27.7</v>
          </cell>
          <cell r="N28">
            <v>32.56</v>
          </cell>
          <cell r="O28">
            <v>37.869999999999997</v>
          </cell>
          <cell r="P28">
            <v>43.59</v>
          </cell>
          <cell r="Q28">
            <v>49.64</v>
          </cell>
          <cell r="R28">
            <v>55.91</v>
          </cell>
          <cell r="S28">
            <v>62.26</v>
          </cell>
          <cell r="T28">
            <v>68.56</v>
          </cell>
          <cell r="U28">
            <v>74.62</v>
          </cell>
          <cell r="V28">
            <v>80.28</v>
          </cell>
          <cell r="W28">
            <v>85.37</v>
          </cell>
          <cell r="X28">
            <v>89.75</v>
          </cell>
          <cell r="Y28">
            <v>93.3</v>
          </cell>
          <cell r="Z28">
            <v>95.95</v>
          </cell>
          <cell r="AA28">
            <v>97.61</v>
          </cell>
          <cell r="AB28">
            <v>98.81</v>
          </cell>
          <cell r="AC28">
            <v>100</v>
          </cell>
        </row>
        <row r="29">
          <cell r="B29">
            <v>0.72</v>
          </cell>
          <cell r="C29">
            <v>1.45</v>
          </cell>
          <cell r="D29">
            <v>2.17</v>
          </cell>
          <cell r="E29">
            <v>3.23</v>
          </cell>
          <cell r="F29">
            <v>5.0599999999999996</v>
          </cell>
          <cell r="G29">
            <v>7.13</v>
          </cell>
          <cell r="H29">
            <v>9.44</v>
          </cell>
          <cell r="I29">
            <v>12.02</v>
          </cell>
          <cell r="J29">
            <v>14.91</v>
          </cell>
          <cell r="K29">
            <v>18.14</v>
          </cell>
          <cell r="L29">
            <v>21.77</v>
          </cell>
          <cell r="M29">
            <v>25.83</v>
          </cell>
          <cell r="N29">
            <v>30.33</v>
          </cell>
          <cell r="O29">
            <v>35.25</v>
          </cell>
          <cell r="P29">
            <v>40.590000000000003</v>
          </cell>
          <cell r="Q29">
            <v>46.27</v>
          </cell>
          <cell r="R29">
            <v>52.21</v>
          </cell>
          <cell r="S29">
            <v>58.31</v>
          </cell>
          <cell r="T29">
            <v>64.45</v>
          </cell>
          <cell r="U29">
            <v>70.47</v>
          </cell>
          <cell r="V29">
            <v>76.23</v>
          </cell>
          <cell r="W29">
            <v>81.569999999999993</v>
          </cell>
          <cell r="X29">
            <v>86.34</v>
          </cell>
          <cell r="Y29">
            <v>90.42</v>
          </cell>
          <cell r="Z29">
            <v>93.72</v>
          </cell>
          <cell r="AA29">
            <v>96.17</v>
          </cell>
          <cell r="AB29">
            <v>97.69</v>
          </cell>
          <cell r="AC29">
            <v>98.85</v>
          </cell>
          <cell r="AD29">
            <v>100</v>
          </cell>
        </row>
        <row r="30">
          <cell r="B30">
            <v>0.7</v>
          </cell>
          <cell r="C30">
            <v>1.4</v>
          </cell>
          <cell r="D30">
            <v>2.1</v>
          </cell>
          <cell r="E30">
            <v>3.01</v>
          </cell>
          <cell r="F30">
            <v>4.7300000000000004</v>
          </cell>
          <cell r="G30">
            <v>6.69</v>
          </cell>
          <cell r="H30">
            <v>8.8800000000000008</v>
          </cell>
          <cell r="I30">
            <v>11.31</v>
          </cell>
          <cell r="J30">
            <v>14.01</v>
          </cell>
          <cell r="K30">
            <v>17.02</v>
          </cell>
          <cell r="L30">
            <v>20.399999999999999</v>
          </cell>
          <cell r="M30">
            <v>24.15</v>
          </cell>
          <cell r="N30">
            <v>28.32</v>
          </cell>
          <cell r="O30">
            <v>32.9</v>
          </cell>
          <cell r="P30">
            <v>37.869999999999997</v>
          </cell>
          <cell r="Q30">
            <v>43.2</v>
          </cell>
          <cell r="R30">
            <v>48.82</v>
          </cell>
          <cell r="S30">
            <v>54.64</v>
          </cell>
          <cell r="T30">
            <v>60.57</v>
          </cell>
          <cell r="U30">
            <v>66.48</v>
          </cell>
          <cell r="V30">
            <v>72.23</v>
          </cell>
          <cell r="W30">
            <v>77.7</v>
          </cell>
          <cell r="X30">
            <v>82.74</v>
          </cell>
          <cell r="Y30">
            <v>87.22</v>
          </cell>
          <cell r="Z30">
            <v>91.03</v>
          </cell>
          <cell r="AA30">
            <v>94.09</v>
          </cell>
          <cell r="AB30">
            <v>96.37</v>
          </cell>
          <cell r="AC30">
            <v>97.77</v>
          </cell>
          <cell r="AD30">
            <v>98.89</v>
          </cell>
          <cell r="AE30">
            <v>100</v>
          </cell>
        </row>
        <row r="31">
          <cell r="B31">
            <v>0.68</v>
          </cell>
          <cell r="C31">
            <v>1.35</v>
          </cell>
          <cell r="D31">
            <v>2.0299999999999998</v>
          </cell>
          <cell r="E31">
            <v>2.81</v>
          </cell>
          <cell r="F31">
            <v>4.4400000000000004</v>
          </cell>
          <cell r="G31">
            <v>6.3</v>
          </cell>
          <cell r="H31">
            <v>8.3699999999999992</v>
          </cell>
          <cell r="I31">
            <v>10.66</v>
          </cell>
          <cell r="J31">
            <v>13.19</v>
          </cell>
          <cell r="K31">
            <v>16.010000000000002</v>
          </cell>
          <cell r="L31">
            <v>19.16</v>
          </cell>
          <cell r="M31">
            <v>22.65</v>
          </cell>
          <cell r="N31">
            <v>26.52</v>
          </cell>
          <cell r="O31">
            <v>30.78</v>
          </cell>
          <cell r="P31">
            <v>35.42</v>
          </cell>
          <cell r="Q31">
            <v>40.409999999999997</v>
          </cell>
          <cell r="R31">
            <v>45.71</v>
          </cell>
          <cell r="S31">
            <v>51.24</v>
          </cell>
          <cell r="T31">
            <v>56.93</v>
          </cell>
          <cell r="U31">
            <v>62.67</v>
          </cell>
          <cell r="V31">
            <v>68.36</v>
          </cell>
          <cell r="W31">
            <v>73.86</v>
          </cell>
          <cell r="X31">
            <v>79.05</v>
          </cell>
          <cell r="Y31">
            <v>83.8</v>
          </cell>
          <cell r="Z31">
            <v>88.01</v>
          </cell>
          <cell r="AA31">
            <v>91.58</v>
          </cell>
          <cell r="AB31">
            <v>94.43</v>
          </cell>
          <cell r="AC31">
            <v>96.55</v>
          </cell>
          <cell r="AD31">
            <v>97.84</v>
          </cell>
          <cell r="AE31">
            <v>98.92</v>
          </cell>
          <cell r="AF31">
            <v>100</v>
          </cell>
        </row>
        <row r="32">
          <cell r="B32">
            <v>0.66</v>
          </cell>
          <cell r="C32">
            <v>1.31</v>
          </cell>
          <cell r="D32">
            <v>1.97</v>
          </cell>
          <cell r="E32">
            <v>2.62</v>
          </cell>
          <cell r="F32">
            <v>4.17</v>
          </cell>
          <cell r="G32">
            <v>5.93</v>
          </cell>
          <cell r="H32">
            <v>7.9</v>
          </cell>
          <cell r="I32">
            <v>10.06</v>
          </cell>
          <cell r="J32">
            <v>12.45</v>
          </cell>
          <cell r="K32">
            <v>15.1</v>
          </cell>
          <cell r="L32">
            <v>18.04</v>
          </cell>
          <cell r="M32">
            <v>21.3</v>
          </cell>
          <cell r="N32">
            <v>24.9</v>
          </cell>
          <cell r="O32">
            <v>28.87</v>
          </cell>
          <cell r="P32">
            <v>33.200000000000003</v>
          </cell>
          <cell r="Q32">
            <v>37.869999999999997</v>
          </cell>
          <cell r="R32">
            <v>42.86</v>
          </cell>
          <cell r="S32">
            <v>48.1</v>
          </cell>
          <cell r="T32">
            <v>53.54</v>
          </cell>
          <cell r="U32">
            <v>59.08</v>
          </cell>
          <cell r="V32">
            <v>64.64</v>
          </cell>
          <cell r="W32">
            <v>70.099999999999994</v>
          </cell>
          <cell r="X32">
            <v>75.349999999999994</v>
          </cell>
          <cell r="Y32">
            <v>80.28</v>
          </cell>
          <cell r="Z32">
            <v>84.77</v>
          </cell>
          <cell r="AA32">
            <v>88.73</v>
          </cell>
          <cell r="AB32">
            <v>92.07</v>
          </cell>
          <cell r="AC32">
            <v>94.74</v>
          </cell>
          <cell r="AD32">
            <v>96.71</v>
          </cell>
          <cell r="AE32">
            <v>97.91</v>
          </cell>
          <cell r="AF32">
            <v>98.96</v>
          </cell>
          <cell r="AG32">
            <v>100</v>
          </cell>
        </row>
        <row r="33">
          <cell r="B33">
            <v>0.64700000000000002</v>
          </cell>
          <cell r="C33">
            <v>1.27</v>
          </cell>
          <cell r="D33">
            <v>1.91</v>
          </cell>
          <cell r="E33">
            <v>2.54</v>
          </cell>
          <cell r="F33">
            <v>3.92</v>
          </cell>
          <cell r="G33">
            <v>5.6</v>
          </cell>
          <cell r="H33">
            <v>7.46</v>
          </cell>
          <cell r="I33">
            <v>9.52</v>
          </cell>
          <cell r="J33">
            <v>11.78</v>
          </cell>
          <cell r="K33">
            <v>14.27</v>
          </cell>
          <cell r="L33">
            <v>17.02</v>
          </cell>
          <cell r="M33">
            <v>20.07</v>
          </cell>
          <cell r="N33">
            <v>23.44</v>
          </cell>
          <cell r="O33">
            <v>27.15</v>
          </cell>
          <cell r="P33">
            <v>32.19</v>
          </cell>
          <cell r="Q33">
            <v>35.57</v>
          </cell>
          <cell r="R33">
            <v>40.25</v>
          </cell>
          <cell r="S33">
            <v>45.21</v>
          </cell>
          <cell r="T33">
            <v>50.39</v>
          </cell>
          <cell r="U33">
            <v>55.71</v>
          </cell>
          <cell r="V33">
            <v>61.11</v>
          </cell>
          <cell r="W33">
            <v>66.48</v>
          </cell>
          <cell r="X33">
            <v>71.72</v>
          </cell>
          <cell r="Y33">
            <v>76.73</v>
          </cell>
          <cell r="Z33">
            <v>81.41</v>
          </cell>
          <cell r="AA33">
            <v>85.66</v>
          </cell>
          <cell r="AB33">
            <v>89.38</v>
          </cell>
          <cell r="AC33">
            <v>92.52</v>
          </cell>
          <cell r="AD33">
            <v>95.01</v>
          </cell>
          <cell r="AE33">
            <v>96.85</v>
          </cell>
          <cell r="AF33">
            <v>97.97</v>
          </cell>
          <cell r="AG33">
            <v>98.99</v>
          </cell>
          <cell r="AH33">
            <v>100</v>
          </cell>
        </row>
        <row r="34">
          <cell r="B34">
            <v>0.62</v>
          </cell>
          <cell r="C34">
            <v>1.23</v>
          </cell>
          <cell r="D34">
            <v>1.85</v>
          </cell>
          <cell r="E34">
            <v>2.4700000000000002</v>
          </cell>
          <cell r="F34">
            <v>3.69</v>
          </cell>
          <cell r="G34">
            <v>5.29</v>
          </cell>
          <cell r="H34">
            <v>7.06</v>
          </cell>
          <cell r="I34">
            <v>9.02</v>
          </cell>
          <cell r="J34">
            <v>11.16</v>
          </cell>
          <cell r="K34">
            <v>13.51</v>
          </cell>
          <cell r="L34">
            <v>16.100000000000001</v>
          </cell>
          <cell r="M34">
            <v>18.96</v>
          </cell>
          <cell r="N34">
            <v>22.11</v>
          </cell>
          <cell r="O34">
            <v>25.58</v>
          </cell>
          <cell r="P34">
            <v>29.36</v>
          </cell>
          <cell r="Q34">
            <v>33.47</v>
          </cell>
          <cell r="R34">
            <v>37.869999999999997</v>
          </cell>
          <cell r="S34">
            <v>42.56</v>
          </cell>
          <cell r="T34">
            <v>47.47</v>
          </cell>
          <cell r="U34">
            <v>52.57</v>
          </cell>
          <cell r="V34">
            <v>57.77</v>
          </cell>
          <cell r="W34">
            <v>63.01</v>
          </cell>
          <cell r="X34">
            <v>68.19</v>
          </cell>
          <cell r="Y34">
            <v>73.22</v>
          </cell>
          <cell r="Z34">
            <v>78.010000000000005</v>
          </cell>
          <cell r="AA34">
            <v>82.46</v>
          </cell>
          <cell r="AB34">
            <v>86.47</v>
          </cell>
          <cell r="AC34">
            <v>89.98</v>
          </cell>
          <cell r="AD34">
            <v>92.92</v>
          </cell>
          <cell r="AE34">
            <v>95.26</v>
          </cell>
          <cell r="AF34">
            <v>96.98</v>
          </cell>
          <cell r="AG34">
            <v>98.03</v>
          </cell>
          <cell r="AH34">
            <v>99.02</v>
          </cell>
          <cell r="AI34">
            <v>100</v>
          </cell>
        </row>
        <row r="35">
          <cell r="B35">
            <v>0.6</v>
          </cell>
          <cell r="C35">
            <v>1.2</v>
          </cell>
          <cell r="D35">
            <v>1.8</v>
          </cell>
          <cell r="E35">
            <v>2.4</v>
          </cell>
          <cell r="F35">
            <v>3.48</v>
          </cell>
          <cell r="G35">
            <v>5</v>
          </cell>
          <cell r="H35">
            <v>6.69</v>
          </cell>
          <cell r="I35">
            <v>8.5500000000000007</v>
          </cell>
          <cell r="J35">
            <v>10.59</v>
          </cell>
          <cell r="K35">
            <v>12.81</v>
          </cell>
          <cell r="L35">
            <v>15.26</v>
          </cell>
          <cell r="M35">
            <v>17.95</v>
          </cell>
          <cell r="N35">
            <v>20.91</v>
          </cell>
          <cell r="O35">
            <v>24.15</v>
          </cell>
          <cell r="P35">
            <v>27.7</v>
          </cell>
          <cell r="Q35">
            <v>31.55</v>
          </cell>
          <cell r="R35">
            <v>35.700000000000003</v>
          </cell>
          <cell r="S35">
            <v>40.119999999999997</v>
          </cell>
          <cell r="T35">
            <v>44.78</v>
          </cell>
          <cell r="U35">
            <v>49.64</v>
          </cell>
          <cell r="V35">
            <v>54.64</v>
          </cell>
          <cell r="W35">
            <v>59.72</v>
          </cell>
          <cell r="X35">
            <v>64.8</v>
          </cell>
          <cell r="Y35">
            <v>69.790000000000006</v>
          </cell>
          <cell r="Z35">
            <v>74.62</v>
          </cell>
          <cell r="AA35">
            <v>79.19</v>
          </cell>
          <cell r="AB35">
            <v>83.41</v>
          </cell>
          <cell r="AC35">
            <v>87.22</v>
          </cell>
          <cell r="AD35">
            <v>90.53</v>
          </cell>
          <cell r="AE35">
            <v>93.3</v>
          </cell>
          <cell r="AF35">
            <v>95.49</v>
          </cell>
          <cell r="AG35">
            <v>97.1</v>
          </cell>
          <cell r="AH35">
            <v>98.09</v>
          </cell>
          <cell r="AI35">
            <v>99.04</v>
          </cell>
          <cell r="AJ35">
            <v>100</v>
          </cell>
        </row>
        <row r="36">
          <cell r="B36">
            <v>0.57999999999999996</v>
          </cell>
          <cell r="C36">
            <v>1.17</v>
          </cell>
          <cell r="D36">
            <v>1.75</v>
          </cell>
          <cell r="E36">
            <v>2.33</v>
          </cell>
          <cell r="F36">
            <v>3.28</v>
          </cell>
          <cell r="G36">
            <v>4.7300000000000004</v>
          </cell>
          <cell r="H36">
            <v>6.35</v>
          </cell>
          <cell r="I36">
            <v>8.1300000000000008</v>
          </cell>
          <cell r="J36">
            <v>10.06</v>
          </cell>
          <cell r="K36">
            <v>12.17</v>
          </cell>
          <cell r="L36">
            <v>14.49</v>
          </cell>
          <cell r="M36">
            <v>17.02</v>
          </cell>
          <cell r="N36">
            <v>19.809999999999999</v>
          </cell>
          <cell r="O36">
            <v>22.86</v>
          </cell>
          <cell r="P36">
            <v>26.19</v>
          </cell>
          <cell r="Q36">
            <v>29.8</v>
          </cell>
          <cell r="R36">
            <v>33.700000000000003</v>
          </cell>
          <cell r="S36">
            <v>37.869999999999997</v>
          </cell>
          <cell r="T36">
            <v>42.29</v>
          </cell>
          <cell r="U36">
            <v>46.92</v>
          </cell>
          <cell r="V36">
            <v>51.71</v>
          </cell>
          <cell r="W36">
            <v>56.61</v>
          </cell>
          <cell r="X36">
            <v>61.56</v>
          </cell>
          <cell r="Y36">
            <v>66.180000000000007</v>
          </cell>
          <cell r="Z36">
            <v>71.08</v>
          </cell>
          <cell r="AA36">
            <v>75.92</v>
          </cell>
          <cell r="AB36">
            <v>80.28</v>
          </cell>
          <cell r="AC36">
            <v>84.3</v>
          </cell>
          <cell r="AD36">
            <v>87.9</v>
          </cell>
          <cell r="AE36">
            <v>91.03</v>
          </cell>
          <cell r="AF36">
            <v>93.64</v>
          </cell>
          <cell r="AG36">
            <v>95.7</v>
          </cell>
          <cell r="AH36">
            <v>97.21</v>
          </cell>
          <cell r="AI36">
            <v>98.14</v>
          </cell>
          <cell r="AJ36">
            <v>99.07</v>
          </cell>
          <cell r="AK36">
            <v>100</v>
          </cell>
        </row>
        <row r="37">
          <cell r="B37">
            <v>0.56999999999999995</v>
          </cell>
          <cell r="C37">
            <v>1.1299999999999999</v>
          </cell>
          <cell r="D37">
            <v>1.7</v>
          </cell>
          <cell r="E37">
            <v>2.27</v>
          </cell>
          <cell r="F37">
            <v>3.1</v>
          </cell>
          <cell r="G37">
            <v>4.49</v>
          </cell>
          <cell r="H37">
            <v>6.03</v>
          </cell>
          <cell r="I37">
            <v>7.73</v>
          </cell>
          <cell r="J37">
            <v>9.57</v>
          </cell>
          <cell r="K37">
            <v>11.58</v>
          </cell>
          <cell r="L37">
            <v>13.78</v>
          </cell>
          <cell r="M37">
            <v>16.18</v>
          </cell>
          <cell r="N37">
            <v>18.8</v>
          </cell>
          <cell r="O37">
            <v>21.67</v>
          </cell>
          <cell r="P37">
            <v>24.8</v>
          </cell>
          <cell r="Q37">
            <v>28.2</v>
          </cell>
          <cell r="R37">
            <v>31.88</v>
          </cell>
          <cell r="S37">
            <v>35.81</v>
          </cell>
          <cell r="T37">
            <v>39.99</v>
          </cell>
          <cell r="U37">
            <v>44.39</v>
          </cell>
          <cell r="V37">
            <v>48.97</v>
          </cell>
          <cell r="W37">
            <v>53.69</v>
          </cell>
          <cell r="X37">
            <v>58.48</v>
          </cell>
          <cell r="Y37">
            <v>63.23</v>
          </cell>
          <cell r="Z37">
            <v>68.05</v>
          </cell>
          <cell r="AA37">
            <v>72.69</v>
          </cell>
          <cell r="AB37">
            <v>77.13</v>
          </cell>
          <cell r="AC37">
            <v>81.290000000000006</v>
          </cell>
          <cell r="AD37">
            <v>85.11</v>
          </cell>
          <cell r="AE37">
            <v>88.53</v>
          </cell>
          <cell r="AF37">
            <v>91.49</v>
          </cell>
          <cell r="AG37">
            <v>93.95</v>
          </cell>
          <cell r="AH37">
            <v>95.89</v>
          </cell>
          <cell r="AI37">
            <v>97.29</v>
          </cell>
          <cell r="AJ37">
            <v>98.19</v>
          </cell>
          <cell r="AK37">
            <v>99.1</v>
          </cell>
          <cell r="AL37">
            <v>100</v>
          </cell>
        </row>
        <row r="38">
          <cell r="B38">
            <v>0.55000000000000004</v>
          </cell>
          <cell r="C38">
            <v>1.1000000000000001</v>
          </cell>
          <cell r="D38">
            <v>1.66</v>
          </cell>
          <cell r="E38">
            <v>2.21</v>
          </cell>
          <cell r="F38">
            <v>2.93</v>
          </cell>
          <cell r="G38">
            <v>4.26</v>
          </cell>
          <cell r="H38">
            <v>5.74</v>
          </cell>
          <cell r="I38">
            <v>7.36</v>
          </cell>
          <cell r="J38">
            <v>9.1199999999999992</v>
          </cell>
          <cell r="K38">
            <v>11.04</v>
          </cell>
          <cell r="L38">
            <v>13.12</v>
          </cell>
          <cell r="M38">
            <v>15.39</v>
          </cell>
          <cell r="N38">
            <v>17.88</v>
          </cell>
          <cell r="O38">
            <v>20.58</v>
          </cell>
          <cell r="P38">
            <v>23.53</v>
          </cell>
          <cell r="Q38">
            <v>26.74</v>
          </cell>
          <cell r="R38">
            <v>30.2</v>
          </cell>
          <cell r="S38">
            <v>33.92</v>
          </cell>
          <cell r="T38">
            <v>37.869999999999997</v>
          </cell>
          <cell r="U38">
            <v>42.05</v>
          </cell>
          <cell r="V38">
            <v>46.42</v>
          </cell>
          <cell r="W38">
            <v>50.94</v>
          </cell>
          <cell r="X38">
            <v>55.57</v>
          </cell>
          <cell r="Y38">
            <v>60.26</v>
          </cell>
          <cell r="Z38">
            <v>64.930000000000007</v>
          </cell>
          <cell r="AA38">
            <v>69.53</v>
          </cell>
          <cell r="AB38">
            <v>74</v>
          </cell>
          <cell r="AC38">
            <v>78.25</v>
          </cell>
          <cell r="AD38">
            <v>82.23</v>
          </cell>
          <cell r="AE38">
            <v>85.87</v>
          </cell>
          <cell r="AF38">
            <v>89.11</v>
          </cell>
          <cell r="AG38">
            <v>91.91</v>
          </cell>
          <cell r="AH38">
            <v>94.23</v>
          </cell>
          <cell r="AI38">
            <v>96.06</v>
          </cell>
          <cell r="AJ38">
            <v>97.36</v>
          </cell>
          <cell r="AK38">
            <v>98.24</v>
          </cell>
          <cell r="AL38">
            <v>99.12</v>
          </cell>
          <cell r="AM38">
            <v>100</v>
          </cell>
        </row>
        <row r="39">
          <cell r="B39">
            <v>0.54</v>
          </cell>
          <cell r="C39">
            <v>1.08</v>
          </cell>
          <cell r="D39">
            <v>1.61</v>
          </cell>
          <cell r="E39">
            <v>2.15</v>
          </cell>
          <cell r="F39">
            <v>2.77</v>
          </cell>
          <cell r="G39">
            <v>4.04</v>
          </cell>
          <cell r="H39">
            <v>5.46</v>
          </cell>
          <cell r="I39">
            <v>7.02</v>
          </cell>
          <cell r="J39">
            <v>8.6999999999999993</v>
          </cell>
          <cell r="K39">
            <v>10.53</v>
          </cell>
          <cell r="L39">
            <v>12.52</v>
          </cell>
          <cell r="M39">
            <v>14.67</v>
          </cell>
          <cell r="N39">
            <v>17.02</v>
          </cell>
          <cell r="O39">
            <v>19.579999999999998</v>
          </cell>
          <cell r="P39">
            <v>22.37</v>
          </cell>
          <cell r="Q39">
            <v>25.39</v>
          </cell>
          <cell r="R39">
            <v>28.66</v>
          </cell>
          <cell r="S39">
            <v>32.17</v>
          </cell>
          <cell r="T39">
            <v>35.92</v>
          </cell>
          <cell r="U39">
            <v>39.880000000000003</v>
          </cell>
          <cell r="V39">
            <v>44.05</v>
          </cell>
          <cell r="W39">
            <v>48.38</v>
          </cell>
          <cell r="X39">
            <v>52.83</v>
          </cell>
          <cell r="Y39">
            <v>57.37</v>
          </cell>
          <cell r="Z39">
            <v>61.94</v>
          </cell>
          <cell r="AA39">
            <v>66.48</v>
          </cell>
          <cell r="AB39">
            <v>70.92</v>
          </cell>
          <cell r="AC39">
            <v>75.22</v>
          </cell>
          <cell r="AD39">
            <v>79.3</v>
          </cell>
          <cell r="AE39">
            <v>83.1</v>
          </cell>
          <cell r="AF39">
            <v>86.57</v>
          </cell>
          <cell r="AG39">
            <v>89.65</v>
          </cell>
          <cell r="AH39">
            <v>92.3</v>
          </cell>
          <cell r="AI39">
            <v>94.49</v>
          </cell>
          <cell r="AJ39">
            <v>96.22</v>
          </cell>
          <cell r="AK39">
            <v>97.43</v>
          </cell>
          <cell r="AL39">
            <v>98.29</v>
          </cell>
          <cell r="AM39">
            <v>99.14</v>
          </cell>
          <cell r="AN39">
            <v>100</v>
          </cell>
        </row>
        <row r="40">
          <cell r="B40">
            <v>0.52</v>
          </cell>
          <cell r="C40">
            <v>1.05</v>
          </cell>
          <cell r="D40">
            <v>1.57</v>
          </cell>
          <cell r="E40">
            <v>2.1</v>
          </cell>
          <cell r="F40">
            <v>2.62</v>
          </cell>
          <cell r="G40">
            <v>3.84</v>
          </cell>
          <cell r="H40">
            <v>5.2</v>
          </cell>
          <cell r="I40">
            <v>6.69</v>
          </cell>
          <cell r="J40">
            <v>8.31</v>
          </cell>
          <cell r="K40">
            <v>10.06</v>
          </cell>
          <cell r="L40">
            <v>11.95</v>
          </cell>
          <cell r="M40">
            <v>14.01</v>
          </cell>
          <cell r="N40">
            <v>16.239999999999998</v>
          </cell>
          <cell r="O40">
            <v>18.66</v>
          </cell>
          <cell r="P40">
            <v>21.3</v>
          </cell>
          <cell r="Q40">
            <v>24.15</v>
          </cell>
          <cell r="R40">
            <v>27.24</v>
          </cell>
          <cell r="S40">
            <v>30.56</v>
          </cell>
          <cell r="T40">
            <v>34.11</v>
          </cell>
          <cell r="U40">
            <v>37.869999999999997</v>
          </cell>
          <cell r="V40">
            <v>41.84</v>
          </cell>
          <cell r="W40">
            <v>45.98</v>
          </cell>
          <cell r="X40">
            <v>50.26</v>
          </cell>
          <cell r="Y40">
            <v>54.64</v>
          </cell>
          <cell r="Z40">
            <v>59.08</v>
          </cell>
          <cell r="AA40">
            <v>63.53</v>
          </cell>
          <cell r="AB40">
            <v>67.930000000000007</v>
          </cell>
          <cell r="AC40">
            <v>72.23</v>
          </cell>
          <cell r="AD40">
            <v>76.37</v>
          </cell>
          <cell r="AE40">
            <v>80.28</v>
          </cell>
          <cell r="AF40">
            <v>83.91</v>
          </cell>
          <cell r="AG40">
            <v>87.22</v>
          </cell>
          <cell r="AH40">
            <v>90.14</v>
          </cell>
          <cell r="AI40">
            <v>92.66</v>
          </cell>
          <cell r="AJ40">
            <v>94.74</v>
          </cell>
          <cell r="AK40">
            <v>96.37</v>
          </cell>
          <cell r="AL40">
            <v>97.49</v>
          </cell>
          <cell r="AM40">
            <v>98.33</v>
          </cell>
          <cell r="AN40">
            <v>99.16</v>
          </cell>
          <cell r="AO40">
            <v>100</v>
          </cell>
        </row>
        <row r="41">
          <cell r="B41">
            <v>0.51</v>
          </cell>
          <cell r="C41">
            <v>1.02</v>
          </cell>
          <cell r="D41">
            <v>1.54</v>
          </cell>
          <cell r="E41">
            <v>2.0499999999999998</v>
          </cell>
          <cell r="F41">
            <v>2.56</v>
          </cell>
          <cell r="G41">
            <v>3.65</v>
          </cell>
          <cell r="H41">
            <v>4.96</v>
          </cell>
          <cell r="I41">
            <v>6.39</v>
          </cell>
          <cell r="J41">
            <v>7.95</v>
          </cell>
          <cell r="K41">
            <v>9.6199999999999992</v>
          </cell>
          <cell r="L41">
            <v>11.43</v>
          </cell>
          <cell r="M41">
            <v>13.39</v>
          </cell>
          <cell r="N41">
            <v>15.51</v>
          </cell>
          <cell r="O41">
            <v>17.809999999999999</v>
          </cell>
          <cell r="P41">
            <v>20.309999999999999</v>
          </cell>
          <cell r="Q41">
            <v>23.01</v>
          </cell>
          <cell r="R41">
            <v>25.93</v>
          </cell>
          <cell r="S41">
            <v>29.08</v>
          </cell>
          <cell r="T41">
            <v>32.44</v>
          </cell>
          <cell r="U41">
            <v>36.01</v>
          </cell>
          <cell r="V41">
            <v>39.78</v>
          </cell>
          <cell r="W41">
            <v>43.74</v>
          </cell>
          <cell r="X41">
            <v>47.84</v>
          </cell>
          <cell r="Y41">
            <v>52.07</v>
          </cell>
          <cell r="Z41">
            <v>56.37</v>
          </cell>
          <cell r="AA41">
            <v>60.71</v>
          </cell>
          <cell r="AB41">
            <v>65.040000000000006</v>
          </cell>
          <cell r="AC41">
            <v>69.31</v>
          </cell>
          <cell r="AD41">
            <v>73.459999999999994</v>
          </cell>
          <cell r="AE41">
            <v>77.44</v>
          </cell>
          <cell r="AF41">
            <v>81.19</v>
          </cell>
          <cell r="AG41">
            <v>84.67</v>
          </cell>
          <cell r="AH41">
            <v>87.82</v>
          </cell>
          <cell r="AI41">
            <v>90.6</v>
          </cell>
          <cell r="AJ41">
            <v>92.6</v>
          </cell>
          <cell r="AK41">
            <v>94.96</v>
          </cell>
          <cell r="AL41">
            <v>96.5</v>
          </cell>
          <cell r="AM41">
            <v>97.55</v>
          </cell>
          <cell r="AN41">
            <v>98.37</v>
          </cell>
          <cell r="AO41">
            <v>99.18</v>
          </cell>
          <cell r="AP41">
            <v>100</v>
          </cell>
        </row>
        <row r="42">
          <cell r="B42">
            <v>0.5</v>
          </cell>
          <cell r="C42">
            <v>1</v>
          </cell>
          <cell r="D42">
            <v>1.5</v>
          </cell>
          <cell r="E42">
            <v>2</v>
          </cell>
          <cell r="F42">
            <v>2.5</v>
          </cell>
          <cell r="G42">
            <v>3.48</v>
          </cell>
          <cell r="H42">
            <v>4.7300000000000004</v>
          </cell>
          <cell r="I42">
            <v>5.1100000000000003</v>
          </cell>
          <cell r="J42">
            <v>7.6</v>
          </cell>
          <cell r="K42">
            <v>9.2100000000000009</v>
          </cell>
          <cell r="L42">
            <v>10.94</v>
          </cell>
          <cell r="M42">
            <v>12.81</v>
          </cell>
          <cell r="N42">
            <v>14.84</v>
          </cell>
          <cell r="O42">
            <v>17.02</v>
          </cell>
          <cell r="P42">
            <v>19.39</v>
          </cell>
          <cell r="Q42">
            <v>21.96</v>
          </cell>
          <cell r="R42">
            <v>24.73</v>
          </cell>
          <cell r="S42">
            <v>27.7</v>
          </cell>
          <cell r="T42">
            <v>30.89</v>
          </cell>
          <cell r="U42">
            <v>34.28</v>
          </cell>
          <cell r="V42">
            <v>37.869999999999997</v>
          </cell>
          <cell r="W42">
            <v>41.65</v>
          </cell>
          <cell r="X42">
            <v>45.58</v>
          </cell>
          <cell r="Y42">
            <v>49.64</v>
          </cell>
          <cell r="Z42">
            <v>53.8</v>
          </cell>
          <cell r="AA42">
            <v>58.02</v>
          </cell>
          <cell r="AB42">
            <v>62.26</v>
          </cell>
          <cell r="AC42">
            <v>66.48</v>
          </cell>
          <cell r="AD42">
            <v>70.61</v>
          </cell>
          <cell r="AE42">
            <v>74.62</v>
          </cell>
          <cell r="AF42">
            <v>78.45</v>
          </cell>
          <cell r="AG42">
            <v>82.05</v>
          </cell>
          <cell r="AH42">
            <v>85.37</v>
          </cell>
          <cell r="AI42">
            <v>88.38</v>
          </cell>
          <cell r="AJ42">
            <v>91.03</v>
          </cell>
          <cell r="AK42">
            <v>93.3</v>
          </cell>
          <cell r="AL42">
            <v>95.16</v>
          </cell>
          <cell r="AM42">
            <v>96.63</v>
          </cell>
          <cell r="AN42">
            <v>97.61</v>
          </cell>
          <cell r="AO42">
            <v>98.41</v>
          </cell>
          <cell r="AP42">
            <v>99.2</v>
          </cell>
          <cell r="AQ42">
            <v>100</v>
          </cell>
        </row>
        <row r="43">
          <cell r="B43">
            <v>0.49</v>
          </cell>
          <cell r="C43">
            <v>0.98</v>
          </cell>
          <cell r="D43">
            <v>1.46</v>
          </cell>
          <cell r="E43">
            <v>1.95</v>
          </cell>
          <cell r="F43">
            <v>2.44</v>
          </cell>
          <cell r="G43">
            <v>3.31</v>
          </cell>
          <cell r="H43">
            <v>4.5199999999999996</v>
          </cell>
          <cell r="I43">
            <v>5.85</v>
          </cell>
          <cell r="J43">
            <v>7.28</v>
          </cell>
          <cell r="K43">
            <v>8.83</v>
          </cell>
          <cell r="L43">
            <v>10.49</v>
          </cell>
          <cell r="M43">
            <v>12.28</v>
          </cell>
          <cell r="N43">
            <v>14.21</v>
          </cell>
          <cell r="O43">
            <v>16.29</v>
          </cell>
          <cell r="P43">
            <v>18.55</v>
          </cell>
          <cell r="Q43">
            <v>20.98</v>
          </cell>
          <cell r="R43">
            <v>23.61</v>
          </cell>
          <cell r="S43">
            <v>26.43</v>
          </cell>
          <cell r="T43">
            <v>29.46</v>
          </cell>
          <cell r="U43">
            <v>32.68</v>
          </cell>
          <cell r="V43">
            <v>36.1</v>
          </cell>
          <cell r="W43">
            <v>39.69</v>
          </cell>
          <cell r="X43">
            <v>43.46</v>
          </cell>
          <cell r="Y43">
            <v>47.36</v>
          </cell>
          <cell r="Z43">
            <v>51.37</v>
          </cell>
          <cell r="AA43">
            <v>55.46</v>
          </cell>
          <cell r="AB43">
            <v>59.6</v>
          </cell>
          <cell r="AC43">
            <v>63.74</v>
          </cell>
          <cell r="AD43">
            <v>67.83</v>
          </cell>
          <cell r="AE43">
            <v>71.84</v>
          </cell>
          <cell r="AF43">
            <v>75.709999999999994</v>
          </cell>
          <cell r="AG43">
            <v>79.39</v>
          </cell>
          <cell r="AH43">
            <v>82.85</v>
          </cell>
          <cell r="AI43">
            <v>86.03</v>
          </cell>
          <cell r="AJ43">
            <v>88.9</v>
          </cell>
          <cell r="AK43">
            <v>91.42</v>
          </cell>
          <cell r="AL43">
            <v>93.58</v>
          </cell>
          <cell r="AM43">
            <v>95.36</v>
          </cell>
          <cell r="AN43">
            <v>96.75</v>
          </cell>
          <cell r="AO43">
            <v>97.67</v>
          </cell>
          <cell r="AP43">
            <v>98.45</v>
          </cell>
          <cell r="AQ43">
            <v>99.22</v>
          </cell>
          <cell r="AR43">
            <v>100</v>
          </cell>
        </row>
        <row r="44">
          <cell r="B44">
            <v>0.48</v>
          </cell>
          <cell r="C44">
            <v>0.95</v>
          </cell>
          <cell r="D44">
            <v>1.43</v>
          </cell>
          <cell r="E44">
            <v>1.91</v>
          </cell>
          <cell r="F44">
            <v>2.38</v>
          </cell>
          <cell r="G44">
            <v>3.16</v>
          </cell>
          <cell r="H44">
            <v>4.32</v>
          </cell>
          <cell r="I44">
            <v>5.6</v>
          </cell>
          <cell r="J44">
            <v>6.98</v>
          </cell>
          <cell r="K44">
            <v>8.4700000000000006</v>
          </cell>
          <cell r="L44">
            <v>10.06</v>
          </cell>
          <cell r="M44">
            <v>11.78</v>
          </cell>
          <cell r="N44">
            <v>13.62</v>
          </cell>
          <cell r="O44">
            <v>15.61</v>
          </cell>
          <cell r="P44">
            <v>17.760000000000002</v>
          </cell>
          <cell r="Q44">
            <v>20.07</v>
          </cell>
          <cell r="R44">
            <v>22.57</v>
          </cell>
          <cell r="S44">
            <v>25.25</v>
          </cell>
          <cell r="T44">
            <v>28.12</v>
          </cell>
          <cell r="U44">
            <v>31.19</v>
          </cell>
          <cell r="V44">
            <v>34.44</v>
          </cell>
          <cell r="W44">
            <v>37.869999999999997</v>
          </cell>
          <cell r="X44">
            <v>41.47</v>
          </cell>
          <cell r="Y44">
            <v>45.21</v>
          </cell>
          <cell r="Z44">
            <v>49.08</v>
          </cell>
          <cell r="AA44">
            <v>53.04</v>
          </cell>
          <cell r="AB44">
            <v>57.06</v>
          </cell>
          <cell r="AC44">
            <v>61.11</v>
          </cell>
          <cell r="AD44">
            <v>65.14</v>
          </cell>
          <cell r="AE44">
            <v>69.12</v>
          </cell>
          <cell r="AF44">
            <v>73</v>
          </cell>
          <cell r="AG44">
            <v>76.73</v>
          </cell>
          <cell r="AH44">
            <v>80.28</v>
          </cell>
          <cell r="AI44">
            <v>83.6</v>
          </cell>
          <cell r="AJ44">
            <v>86.64</v>
          </cell>
          <cell r="AK44">
            <v>89.38</v>
          </cell>
          <cell r="AL44">
            <v>91.79</v>
          </cell>
          <cell r="AM44">
            <v>93.85</v>
          </cell>
          <cell r="AN44">
            <v>95.53</v>
          </cell>
          <cell r="AO44">
            <v>96.85</v>
          </cell>
          <cell r="AP44">
            <v>97.72</v>
          </cell>
          <cell r="AQ44">
            <v>98.43</v>
          </cell>
          <cell r="AR44">
            <v>99.24</v>
          </cell>
          <cell r="AS44">
            <v>100</v>
          </cell>
        </row>
        <row r="45">
          <cell r="B45">
            <v>0.47</v>
          </cell>
          <cell r="C45">
            <v>0.93</v>
          </cell>
          <cell r="D45">
            <v>1.4</v>
          </cell>
          <cell r="E45">
            <v>1.87</v>
          </cell>
          <cell r="F45">
            <v>2.33</v>
          </cell>
          <cell r="G45">
            <v>3.01</v>
          </cell>
          <cell r="H45">
            <v>4.13</v>
          </cell>
          <cell r="I45">
            <v>5.36</v>
          </cell>
          <cell r="J45">
            <v>6.69</v>
          </cell>
          <cell r="K45">
            <v>8.1300000000000008</v>
          </cell>
          <cell r="L45">
            <v>9.66</v>
          </cell>
          <cell r="M45">
            <v>11.31</v>
          </cell>
          <cell r="N45">
            <v>13.07</v>
          </cell>
          <cell r="O45">
            <v>14.98</v>
          </cell>
          <cell r="P45">
            <v>17.02</v>
          </cell>
          <cell r="Q45">
            <v>19.23</v>
          </cell>
          <cell r="R45">
            <v>21.6</v>
          </cell>
          <cell r="S45">
            <v>24.15</v>
          </cell>
          <cell r="T45">
            <v>26.39</v>
          </cell>
          <cell r="U45">
            <v>29.8</v>
          </cell>
          <cell r="V45">
            <v>32.9</v>
          </cell>
          <cell r="W45">
            <v>36.17</v>
          </cell>
          <cell r="X45">
            <v>39.61</v>
          </cell>
          <cell r="Y45">
            <v>43.2</v>
          </cell>
          <cell r="Z45">
            <v>46.92</v>
          </cell>
          <cell r="AA45">
            <v>50.74</v>
          </cell>
          <cell r="AB45">
            <v>54.64</v>
          </cell>
          <cell r="AC45">
            <v>58.59</v>
          </cell>
          <cell r="AD45">
            <v>62.55</v>
          </cell>
          <cell r="AE45">
            <v>66.48</v>
          </cell>
          <cell r="AF45">
            <v>70.34</v>
          </cell>
          <cell r="AG45">
            <v>74.09</v>
          </cell>
          <cell r="AH45">
            <v>77.7</v>
          </cell>
          <cell r="AI45">
            <v>81.11</v>
          </cell>
          <cell r="AJ45">
            <v>84.3</v>
          </cell>
          <cell r="AK45">
            <v>87.022000000000006</v>
          </cell>
          <cell r="AL45">
            <v>89.84</v>
          </cell>
          <cell r="AM45">
            <v>92.14</v>
          </cell>
          <cell r="AN45">
            <v>94.09</v>
          </cell>
          <cell r="AO45">
            <v>95.7</v>
          </cell>
          <cell r="AP45">
            <v>96.95</v>
          </cell>
          <cell r="AQ45">
            <v>97.77</v>
          </cell>
          <cell r="AR45">
            <v>98.51</v>
          </cell>
          <cell r="AS45">
            <v>99.26</v>
          </cell>
          <cell r="AT45">
            <v>100</v>
          </cell>
        </row>
        <row r="46">
          <cell r="B46">
            <v>0.46</v>
          </cell>
          <cell r="C46">
            <v>0.91</v>
          </cell>
          <cell r="D46">
            <v>1.37</v>
          </cell>
          <cell r="E46">
            <v>1.82</v>
          </cell>
          <cell r="F46">
            <v>2.2799999999999998</v>
          </cell>
          <cell r="G46">
            <v>2.87</v>
          </cell>
          <cell r="H46">
            <v>3.95</v>
          </cell>
          <cell r="I46">
            <v>5.14</v>
          </cell>
          <cell r="J46">
            <v>6.43</v>
          </cell>
          <cell r="K46">
            <v>7.81</v>
          </cell>
          <cell r="L46">
            <v>9.2799999999999994</v>
          </cell>
          <cell r="M46">
            <v>10.87</v>
          </cell>
          <cell r="N46">
            <v>12.56</v>
          </cell>
          <cell r="O46">
            <v>14.38</v>
          </cell>
          <cell r="P46">
            <v>16.34</v>
          </cell>
          <cell r="Q46">
            <v>18.440000000000001</v>
          </cell>
          <cell r="R46">
            <v>20.71</v>
          </cell>
          <cell r="S46">
            <v>23.14</v>
          </cell>
          <cell r="T46">
            <v>25.74</v>
          </cell>
          <cell r="U46">
            <v>28.51</v>
          </cell>
          <cell r="V46">
            <v>31.47</v>
          </cell>
          <cell r="W46">
            <v>34.590000000000003</v>
          </cell>
          <cell r="X46">
            <v>37.869999999999997</v>
          </cell>
          <cell r="Y46">
            <v>41.31</v>
          </cell>
          <cell r="Z46">
            <v>44.88</v>
          </cell>
          <cell r="AA46">
            <v>48.57</v>
          </cell>
          <cell r="AB46">
            <v>52.34</v>
          </cell>
          <cell r="AC46">
            <v>56.18</v>
          </cell>
          <cell r="AD46">
            <v>60.05</v>
          </cell>
          <cell r="AE46">
            <v>63.92</v>
          </cell>
          <cell r="AF46">
            <v>67.739999999999995</v>
          </cell>
          <cell r="AG46">
            <v>71.5</v>
          </cell>
          <cell r="AH46">
            <v>75.13</v>
          </cell>
          <cell r="AI46">
            <v>78.61</v>
          </cell>
          <cell r="AJ46">
            <v>81.900000000000006</v>
          </cell>
          <cell r="AK46">
            <v>84.6</v>
          </cell>
          <cell r="AL46">
            <v>87.75</v>
          </cell>
          <cell r="AM46">
            <v>90.26</v>
          </cell>
          <cell r="AN46">
            <v>92.46</v>
          </cell>
          <cell r="AO46">
            <v>94.32</v>
          </cell>
          <cell r="AP46">
            <v>95.85</v>
          </cell>
          <cell r="AQ46">
            <v>97.05</v>
          </cell>
          <cell r="AR46">
            <v>97.82</v>
          </cell>
          <cell r="AS46">
            <v>98.55</v>
          </cell>
          <cell r="AT46">
            <v>99.27</v>
          </cell>
          <cell r="AU46">
            <v>100</v>
          </cell>
        </row>
        <row r="47">
          <cell r="B47">
            <v>0.45</v>
          </cell>
          <cell r="C47">
            <v>0.89</v>
          </cell>
          <cell r="D47">
            <v>1.34</v>
          </cell>
          <cell r="E47">
            <v>1.79</v>
          </cell>
          <cell r="F47">
            <v>2.23</v>
          </cell>
          <cell r="G47">
            <v>2.74</v>
          </cell>
          <cell r="H47">
            <v>3.79</v>
          </cell>
          <cell r="I47">
            <v>4.93</v>
          </cell>
          <cell r="J47">
            <v>6.17</v>
          </cell>
          <cell r="K47">
            <v>7.5</v>
          </cell>
          <cell r="L47">
            <v>8.93</v>
          </cell>
          <cell r="M47">
            <v>10.45</v>
          </cell>
          <cell r="N47">
            <v>12.18</v>
          </cell>
          <cell r="O47">
            <v>13.83</v>
          </cell>
          <cell r="P47">
            <v>15.7</v>
          </cell>
          <cell r="Q47">
            <v>17.71</v>
          </cell>
          <cell r="R47">
            <v>19.87</v>
          </cell>
          <cell r="S47">
            <v>22.18</v>
          </cell>
          <cell r="T47">
            <v>24.66</v>
          </cell>
          <cell r="U47">
            <v>27.31</v>
          </cell>
          <cell r="V47">
            <v>30.12</v>
          </cell>
          <cell r="W47">
            <v>33.11</v>
          </cell>
          <cell r="X47">
            <v>36.25</v>
          </cell>
          <cell r="Y47">
            <v>39.54</v>
          </cell>
          <cell r="Z47">
            <v>42.97</v>
          </cell>
          <cell r="AA47">
            <v>46.52</v>
          </cell>
          <cell r="AB47">
            <v>50.17</v>
          </cell>
          <cell r="AC47">
            <v>53.896000000000001</v>
          </cell>
          <cell r="AD47">
            <v>57.66</v>
          </cell>
          <cell r="AE47">
            <v>61.45</v>
          </cell>
          <cell r="AF47">
            <v>65.23</v>
          </cell>
          <cell r="AG47">
            <v>68.95</v>
          </cell>
          <cell r="AH47">
            <v>72.59</v>
          </cell>
          <cell r="AI47">
            <v>76.11</v>
          </cell>
          <cell r="AJ47">
            <v>79.47</v>
          </cell>
          <cell r="AK47">
            <v>82.64</v>
          </cell>
          <cell r="AL47">
            <v>85.57</v>
          </cell>
          <cell r="AM47">
            <v>88.26</v>
          </cell>
          <cell r="AN47">
            <v>90.66</v>
          </cell>
          <cell r="AO47">
            <v>92.75</v>
          </cell>
          <cell r="AP47">
            <v>94.54</v>
          </cell>
          <cell r="AQ47">
            <v>95.99</v>
          </cell>
          <cell r="AR47">
            <v>97.13</v>
          </cell>
          <cell r="AS47">
            <v>97.87</v>
          </cell>
          <cell r="AT47">
            <v>98.58</v>
          </cell>
          <cell r="AU47">
            <v>99.29</v>
          </cell>
          <cell r="AV47">
            <v>100</v>
          </cell>
        </row>
        <row r="48">
          <cell r="B48">
            <v>0.44</v>
          </cell>
          <cell r="C48">
            <v>0.87</v>
          </cell>
          <cell r="D48">
            <v>1.31</v>
          </cell>
          <cell r="E48">
            <v>1.75</v>
          </cell>
          <cell r="F48">
            <v>2.19</v>
          </cell>
          <cell r="G48">
            <v>2.62</v>
          </cell>
          <cell r="H48">
            <v>3.63</v>
          </cell>
          <cell r="I48">
            <v>4.7300000000000004</v>
          </cell>
          <cell r="J48">
            <v>5.93</v>
          </cell>
          <cell r="K48">
            <v>7.22</v>
          </cell>
          <cell r="L48">
            <v>8.59</v>
          </cell>
          <cell r="M48">
            <v>10.06</v>
          </cell>
          <cell r="N48">
            <v>11.63</v>
          </cell>
          <cell r="O48">
            <v>13.3</v>
          </cell>
          <cell r="P48">
            <v>15.1</v>
          </cell>
          <cell r="Q48">
            <v>17.02</v>
          </cell>
          <cell r="R48">
            <v>19.079999999999998</v>
          </cell>
          <cell r="S48">
            <v>21.3</v>
          </cell>
          <cell r="T48">
            <v>23.66</v>
          </cell>
          <cell r="U48">
            <v>26.19</v>
          </cell>
          <cell r="V48">
            <v>28.87</v>
          </cell>
          <cell r="W48">
            <v>31.72</v>
          </cell>
          <cell r="X48">
            <v>34.72</v>
          </cell>
          <cell r="Y48">
            <v>37.869999999999997</v>
          </cell>
          <cell r="Z48">
            <v>41.16</v>
          </cell>
          <cell r="AA48">
            <v>44.58</v>
          </cell>
          <cell r="AB48">
            <v>48.1</v>
          </cell>
          <cell r="AC48">
            <v>51.71</v>
          </cell>
          <cell r="AD48">
            <v>55.38</v>
          </cell>
          <cell r="AE48">
            <v>59.08</v>
          </cell>
          <cell r="AF48">
            <v>62.79</v>
          </cell>
          <cell r="AG48">
            <v>66.48</v>
          </cell>
          <cell r="AH48">
            <v>70.099999999999994</v>
          </cell>
          <cell r="AI48">
            <v>73.63</v>
          </cell>
          <cell r="AJ48">
            <v>77.040000000000006</v>
          </cell>
          <cell r="AK48">
            <v>80.28</v>
          </cell>
          <cell r="AL48">
            <v>83.33</v>
          </cell>
          <cell r="AM48">
            <v>86.16</v>
          </cell>
          <cell r="AN48">
            <v>88.73</v>
          </cell>
          <cell r="AO48">
            <v>91.03</v>
          </cell>
          <cell r="AP48">
            <v>93.03</v>
          </cell>
          <cell r="AQ48">
            <v>94.74</v>
          </cell>
          <cell r="AR48">
            <v>96.13</v>
          </cell>
          <cell r="AS48">
            <v>97.21</v>
          </cell>
          <cell r="AT48">
            <v>97.91</v>
          </cell>
          <cell r="AU48">
            <v>98.61</v>
          </cell>
          <cell r="AV48">
            <v>99.3</v>
          </cell>
          <cell r="AW48">
            <v>100</v>
          </cell>
        </row>
        <row r="53">
          <cell r="B53">
            <v>0.1</v>
          </cell>
          <cell r="C53">
            <v>0.2</v>
          </cell>
          <cell r="D53">
            <v>0.3</v>
          </cell>
          <cell r="E53">
            <v>0.4</v>
          </cell>
          <cell r="F53">
            <v>0.5</v>
          </cell>
          <cell r="G53">
            <v>0.6</v>
          </cell>
          <cell r="H53">
            <v>0.7</v>
          </cell>
          <cell r="I53">
            <v>0.8</v>
          </cell>
          <cell r="J53">
            <v>1</v>
          </cell>
          <cell r="K53">
            <v>1.2</v>
          </cell>
          <cell r="L53">
            <v>1.4</v>
          </cell>
          <cell r="M53">
            <v>1.7</v>
          </cell>
          <cell r="N53">
            <v>2.1</v>
          </cell>
          <cell r="O53">
            <v>2.6</v>
          </cell>
          <cell r="P53">
            <v>3.6</v>
          </cell>
          <cell r="Q53">
            <v>4.8</v>
          </cell>
          <cell r="R53">
            <v>6.4</v>
          </cell>
          <cell r="S53">
            <v>8.1999999999999993</v>
          </cell>
          <cell r="T53">
            <v>10.199999999999999</v>
          </cell>
          <cell r="U53">
            <v>12.4</v>
          </cell>
          <cell r="V53">
            <v>14.8</v>
          </cell>
          <cell r="W53">
            <v>17.399999999999999</v>
          </cell>
          <cell r="X53">
            <v>20.2</v>
          </cell>
          <cell r="Y53">
            <v>23.2</v>
          </cell>
          <cell r="Z53">
            <v>26.4</v>
          </cell>
          <cell r="AA53">
            <v>30.2</v>
          </cell>
          <cell r="AB53">
            <v>34.200000000000003</v>
          </cell>
          <cell r="AC53">
            <v>38.4</v>
          </cell>
          <cell r="AD53">
            <v>42.9</v>
          </cell>
          <cell r="AE53">
            <v>47.7</v>
          </cell>
          <cell r="AF53">
            <v>52.7</v>
          </cell>
          <cell r="AG53">
            <v>57.7</v>
          </cell>
          <cell r="AH53">
            <v>62.7</v>
          </cell>
          <cell r="AI53">
            <v>67.900000000000006</v>
          </cell>
          <cell r="AJ53">
            <v>72.5</v>
          </cell>
          <cell r="AK53">
            <v>76.5</v>
          </cell>
          <cell r="AL53">
            <v>79.7</v>
          </cell>
          <cell r="AM53">
            <v>82.9</v>
          </cell>
          <cell r="AN53">
            <v>85.7</v>
          </cell>
          <cell r="AO53">
            <v>87.9</v>
          </cell>
          <cell r="AP53">
            <v>90.1</v>
          </cell>
          <cell r="AQ53">
            <v>91.9</v>
          </cell>
          <cell r="AR53">
            <v>93.7</v>
          </cell>
          <cell r="AS53">
            <v>94.7</v>
          </cell>
          <cell r="AT53">
            <v>95.7</v>
          </cell>
          <cell r="AU53">
            <v>96.7</v>
          </cell>
          <cell r="AV53">
            <v>97.6</v>
          </cell>
          <cell r="AW53">
            <v>98.4</v>
          </cell>
          <cell r="AX53">
            <v>99.1</v>
          </cell>
          <cell r="AY53">
            <v>99.6</v>
          </cell>
          <cell r="AZ53">
            <v>99.8</v>
          </cell>
          <cell r="BA53">
            <v>99.9</v>
          </cell>
          <cell r="BB53">
            <v>100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"/>
      <sheetName val="50"/>
      <sheetName val="40"/>
      <sheetName val="38"/>
      <sheetName val="financ"/>
      <sheetName val="refor out. 2001 - bdi=20% ajust"/>
      <sheetName val="Plan1"/>
      <sheetName val="LISTA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 - Nova Revis"/>
      <sheetName val="16-EQUIP."/>
      <sheetName val="17-MOI"/>
      <sheetName val="A.2- RESUM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C1:BS945"/>
  <sheetViews>
    <sheetView showGridLines="0" view="pageBreakPreview" topLeftCell="A317" zoomScale="85" zoomScaleNormal="70" zoomScaleSheetLayoutView="85" workbookViewId="0">
      <selection activeCell="AL339" sqref="AL339:BQ340"/>
    </sheetView>
  </sheetViews>
  <sheetFormatPr defaultColWidth="9.109375" defaultRowHeight="15" customHeight="1"/>
  <cols>
    <col min="1" max="1" width="9.109375" style="1"/>
    <col min="2" max="2" width="3.5546875" style="1" customWidth="1"/>
    <col min="3" max="33" width="3.6640625" style="1" customWidth="1"/>
    <col min="34" max="34" width="3.33203125" style="1" customWidth="1"/>
    <col min="35" max="35" width="9.88671875" style="1" bestFit="1" customWidth="1"/>
    <col min="36" max="36" width="2" style="1" bestFit="1" customWidth="1"/>
    <col min="37" max="37" width="3.6640625" style="1" customWidth="1"/>
    <col min="38" max="38" width="35.44140625" style="1" bestFit="1" customWidth="1"/>
    <col min="39" max="42" width="3.6640625" style="2" customWidth="1"/>
    <col min="43" max="45" width="3.6640625" style="3" customWidth="1"/>
    <col min="46" max="49" width="3.6640625" style="2" customWidth="1"/>
    <col min="50" max="52" width="3.6640625" style="3" customWidth="1"/>
    <col min="53" max="56" width="3.6640625" style="2" customWidth="1"/>
    <col min="57" max="59" width="3.6640625" style="3" customWidth="1"/>
    <col min="60" max="63" width="3.6640625" style="2" customWidth="1"/>
    <col min="64" max="66" width="3.6640625" style="3" customWidth="1"/>
    <col min="67" max="68" width="3.6640625" style="2" customWidth="1"/>
    <col min="69" max="69" width="3.6640625" style="3" customWidth="1"/>
    <col min="70" max="16384" width="9.109375" style="1"/>
  </cols>
  <sheetData>
    <row r="1" spans="3:69" s="140" customFormat="1" ht="24.9" customHeight="1" thickBot="1">
      <c r="C1" s="143" t="s">
        <v>0</v>
      </c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4"/>
      <c r="AA1" s="144"/>
      <c r="AB1" s="1718" t="s">
        <v>1</v>
      </c>
      <c r="AC1" s="1718"/>
      <c r="AD1" s="1718"/>
      <c r="AE1" s="1718"/>
      <c r="AF1" s="1718"/>
      <c r="AG1" s="1718"/>
      <c r="AM1" s="142"/>
      <c r="AN1" s="142"/>
      <c r="AO1" s="142"/>
      <c r="AP1" s="142"/>
      <c r="AQ1" s="141"/>
      <c r="AR1" s="141"/>
      <c r="AS1" s="141"/>
      <c r="AT1" s="142"/>
      <c r="AU1" s="142"/>
      <c r="AV1" s="142"/>
      <c r="AW1" s="142"/>
      <c r="AX1" s="141"/>
      <c r="AY1" s="141"/>
      <c r="AZ1" s="141"/>
      <c r="BA1" s="142"/>
      <c r="BB1" s="142"/>
      <c r="BC1" s="142"/>
      <c r="BD1" s="142"/>
      <c r="BE1" s="141"/>
      <c r="BF1" s="141"/>
      <c r="BG1" s="141"/>
      <c r="BH1" s="142"/>
      <c r="BI1" s="142"/>
      <c r="BJ1" s="142"/>
      <c r="BK1" s="142"/>
      <c r="BL1" s="141"/>
      <c r="BM1" s="141"/>
      <c r="BN1" s="141"/>
      <c r="BO1" s="142"/>
      <c r="BP1" s="142"/>
      <c r="BQ1" s="141"/>
    </row>
    <row r="2" spans="3:69" ht="15" customHeight="1" thickTop="1"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</row>
    <row r="3" spans="3:69" ht="15" customHeight="1">
      <c r="C3" s="1746" t="s">
        <v>2</v>
      </c>
      <c r="D3" s="1747"/>
      <c r="E3" s="1747"/>
      <c r="F3" s="1747"/>
      <c r="G3" s="1747"/>
      <c r="H3" s="1747"/>
      <c r="I3" s="1747"/>
      <c r="J3" s="1747"/>
      <c r="K3" s="1747"/>
      <c r="L3" s="1747"/>
      <c r="M3" s="1747"/>
      <c r="N3" s="1747"/>
      <c r="O3" s="1747"/>
      <c r="P3" s="1747"/>
      <c r="Q3" s="1747"/>
      <c r="R3" s="1747"/>
      <c r="S3" s="1747"/>
      <c r="T3" s="1747"/>
      <c r="U3" s="1747"/>
      <c r="V3" s="1747"/>
      <c r="W3" s="1747"/>
      <c r="X3" s="1747"/>
      <c r="Y3" s="1747"/>
      <c r="Z3" s="1747"/>
      <c r="AA3" s="1747"/>
      <c r="AB3" s="1747"/>
      <c r="AC3" s="1747"/>
      <c r="AD3" s="1747"/>
      <c r="AE3" s="1747"/>
      <c r="AF3" s="1747"/>
      <c r="AG3" s="1748"/>
    </row>
    <row r="4" spans="3:69" ht="15" customHeight="1">
      <c r="C4" s="1749"/>
      <c r="D4" s="1750"/>
      <c r="E4" s="1750"/>
      <c r="F4" s="1750"/>
      <c r="G4" s="1750"/>
      <c r="H4" s="1750"/>
      <c r="I4" s="1750"/>
      <c r="J4" s="1750"/>
      <c r="K4" s="1750"/>
      <c r="L4" s="1750"/>
      <c r="M4" s="1750"/>
      <c r="N4" s="1750"/>
      <c r="O4" s="1750"/>
      <c r="P4" s="1750"/>
      <c r="Q4" s="1750"/>
      <c r="R4" s="1750"/>
      <c r="S4" s="1750"/>
      <c r="T4" s="1750"/>
      <c r="U4" s="1750"/>
      <c r="V4" s="1750"/>
      <c r="W4" s="1750"/>
      <c r="X4" s="1750"/>
      <c r="Y4" s="1750"/>
      <c r="Z4" s="1750"/>
      <c r="AA4" s="1750"/>
      <c r="AB4" s="1750"/>
      <c r="AC4" s="1750"/>
      <c r="AD4" s="1750"/>
      <c r="AE4" s="1750"/>
      <c r="AF4" s="1750"/>
      <c r="AG4" s="1751"/>
    </row>
    <row r="5" spans="3:69" ht="15" hidden="1" customHeight="1">
      <c r="C5" s="1670" t="s">
        <v>3</v>
      </c>
      <c r="D5" s="1671"/>
      <c r="E5" s="1671"/>
      <c r="F5" s="1671"/>
      <c r="G5" s="1671"/>
      <c r="H5" s="1671"/>
      <c r="I5" s="1671"/>
      <c r="J5" s="1671"/>
      <c r="K5" s="1671"/>
      <c r="L5" s="1671"/>
      <c r="M5" s="1671"/>
      <c r="N5" s="1671"/>
      <c r="O5" s="1671"/>
      <c r="P5" s="1671"/>
      <c r="Q5" s="1671"/>
      <c r="R5" s="1671"/>
      <c r="S5" s="1671"/>
      <c r="T5" s="1671"/>
      <c r="U5" s="1671"/>
      <c r="V5" s="1671"/>
      <c r="W5" s="1671"/>
      <c r="X5" s="1671"/>
      <c r="Y5" s="1671"/>
      <c r="Z5" s="1671"/>
      <c r="AA5" s="1671"/>
      <c r="AB5" s="1671"/>
      <c r="AC5" s="1671"/>
      <c r="AD5" s="1671"/>
      <c r="AE5" s="1671"/>
      <c r="AF5" s="1671"/>
      <c r="AG5" s="1672"/>
    </row>
    <row r="6" spans="3:69" ht="15" hidden="1" customHeight="1">
      <c r="C6" s="1673"/>
      <c r="D6" s="1674"/>
      <c r="E6" s="1674"/>
      <c r="F6" s="1674"/>
      <c r="G6" s="1674"/>
      <c r="H6" s="1674"/>
      <c r="I6" s="1674"/>
      <c r="J6" s="1674"/>
      <c r="K6" s="1674"/>
      <c r="L6" s="1674"/>
      <c r="M6" s="1674"/>
      <c r="N6" s="1674"/>
      <c r="O6" s="1674"/>
      <c r="P6" s="1674"/>
      <c r="Q6" s="1674"/>
      <c r="R6" s="1674"/>
      <c r="S6" s="1674"/>
      <c r="T6" s="1674"/>
      <c r="U6" s="1674"/>
      <c r="V6" s="1674"/>
      <c r="W6" s="1674"/>
      <c r="X6" s="1674"/>
      <c r="Y6" s="1674"/>
      <c r="Z6" s="1674"/>
      <c r="AA6" s="1674"/>
      <c r="AB6" s="1674"/>
      <c r="AC6" s="1674"/>
      <c r="AD6" s="1674"/>
      <c r="AE6" s="1674"/>
      <c r="AF6" s="1674"/>
      <c r="AG6" s="1675"/>
    </row>
    <row r="7" spans="3:69" ht="15" hidden="1" customHeight="1">
      <c r="C7" s="1505" t="s">
        <v>4</v>
      </c>
      <c r="D7" s="1506"/>
      <c r="E7" s="1506"/>
      <c r="F7" s="1506"/>
      <c r="G7" s="1506"/>
      <c r="H7" s="1506"/>
      <c r="I7" s="1653"/>
      <c r="J7" s="1691" t="s">
        <v>5</v>
      </c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3"/>
      <c r="V7" s="1676" t="s">
        <v>6</v>
      </c>
      <c r="W7" s="1677"/>
      <c r="X7" s="1677"/>
      <c r="Y7" s="1677"/>
      <c r="Z7" s="1677"/>
      <c r="AA7" s="1677"/>
      <c r="AB7" s="1678"/>
      <c r="AC7" s="1679" t="s">
        <v>7</v>
      </c>
      <c r="AD7" s="1680"/>
      <c r="AE7" s="1680"/>
      <c r="AF7" s="1680"/>
      <c r="AG7" s="1681"/>
    </row>
    <row r="8" spans="3:69" ht="15" hidden="1" customHeight="1">
      <c r="C8" s="1507"/>
      <c r="D8" s="1508"/>
      <c r="E8" s="1508"/>
      <c r="F8" s="1508"/>
      <c r="G8" s="1508"/>
      <c r="H8" s="1508"/>
      <c r="I8" s="1654"/>
      <c r="J8" s="1694"/>
      <c r="K8" s="1695"/>
      <c r="L8" s="1695"/>
      <c r="M8" s="1695"/>
      <c r="N8" s="1695"/>
      <c r="O8" s="1695"/>
      <c r="P8" s="1695"/>
      <c r="Q8" s="1695"/>
      <c r="R8" s="1695"/>
      <c r="S8" s="1695"/>
      <c r="T8" s="1695"/>
      <c r="U8" s="1696"/>
      <c r="V8" s="1676" t="s">
        <v>8</v>
      </c>
      <c r="W8" s="1677"/>
      <c r="X8" s="1677"/>
      <c r="Y8" s="1677"/>
      <c r="Z8" s="1677"/>
      <c r="AA8" s="1677"/>
      <c r="AB8" s="1678"/>
      <c r="AC8" s="1626">
        <v>44232</v>
      </c>
      <c r="AD8" s="1627"/>
      <c r="AE8" s="1627"/>
      <c r="AF8" s="1627"/>
      <c r="AG8" s="1628"/>
    </row>
    <row r="9" spans="3:69" ht="15" hidden="1" customHeight="1">
      <c r="C9" s="1629" t="s">
        <v>9</v>
      </c>
      <c r="D9" s="1630"/>
      <c r="E9" s="1630"/>
      <c r="F9" s="1630"/>
      <c r="G9" s="1630"/>
      <c r="H9" s="1630"/>
      <c r="I9" s="1631"/>
      <c r="J9" s="1723" t="s">
        <v>10</v>
      </c>
      <c r="K9" s="1724"/>
      <c r="L9" s="1724"/>
      <c r="M9" s="1725"/>
      <c r="N9" s="1697" t="s">
        <v>11</v>
      </c>
      <c r="O9" s="1698"/>
      <c r="P9" s="1698"/>
      <c r="Q9" s="1699"/>
      <c r="R9" s="1726" t="s">
        <v>12</v>
      </c>
      <c r="S9" s="1727"/>
      <c r="T9" s="1727"/>
      <c r="U9" s="1728"/>
      <c r="V9" s="1629" t="s">
        <v>13</v>
      </c>
      <c r="W9" s="1630"/>
      <c r="X9" s="1630"/>
      <c r="Y9" s="1630"/>
      <c r="Z9" s="1630"/>
      <c r="AA9" s="1630"/>
      <c r="AB9" s="1631"/>
      <c r="AC9" s="1626">
        <v>44244</v>
      </c>
      <c r="AD9" s="1627"/>
      <c r="AE9" s="1627"/>
      <c r="AF9" s="1627"/>
      <c r="AG9" s="1628"/>
    </row>
    <row r="10" spans="3:69" ht="15" hidden="1" customHeight="1">
      <c r="C10" s="1629" t="s">
        <v>14</v>
      </c>
      <c r="D10" s="1630"/>
      <c r="E10" s="1630"/>
      <c r="F10" s="1630"/>
      <c r="G10" s="1630"/>
      <c r="H10" s="1630"/>
      <c r="I10" s="1631"/>
      <c r="J10" s="1703" t="s">
        <v>15</v>
      </c>
      <c r="K10" s="1704"/>
      <c r="L10" s="1704"/>
      <c r="M10" s="1704"/>
      <c r="N10" s="1704"/>
      <c r="O10" s="1704"/>
      <c r="P10" s="1704"/>
      <c r="Q10" s="1704"/>
      <c r="R10" s="1704"/>
      <c r="S10" s="1704"/>
      <c r="T10" s="1704"/>
      <c r="U10" s="1705"/>
      <c r="V10" s="1268" t="s">
        <v>16</v>
      </c>
      <c r="W10" s="1269"/>
      <c r="X10" s="1269"/>
      <c r="Y10" s="1269"/>
      <c r="Z10" s="1269"/>
      <c r="AA10" s="1269"/>
      <c r="AB10" s="1270"/>
      <c r="AC10" s="1626">
        <v>45453</v>
      </c>
      <c r="AD10" s="1627"/>
      <c r="AE10" s="1627"/>
      <c r="AF10" s="1627"/>
      <c r="AG10" s="1628"/>
    </row>
    <row r="11" spans="3:69" ht="15" hidden="1" customHeight="1">
      <c r="C11" s="1505" t="s">
        <v>17</v>
      </c>
      <c r="D11" s="1506"/>
      <c r="E11" s="1506"/>
      <c r="F11" s="1506"/>
      <c r="G11" s="1506"/>
      <c r="H11" s="1506"/>
      <c r="I11" s="1653"/>
      <c r="J11" s="1691" t="s">
        <v>18</v>
      </c>
      <c r="K11" s="1692"/>
      <c r="L11" s="1692"/>
      <c r="M11" s="1692"/>
      <c r="N11" s="1692"/>
      <c r="O11" s="1692"/>
      <c r="P11" s="1692"/>
      <c r="Q11" s="1692"/>
      <c r="R11" s="1692"/>
      <c r="S11" s="1692"/>
      <c r="T11" s="1692"/>
      <c r="U11" s="1692"/>
      <c r="V11" s="1692"/>
      <c r="W11" s="1692"/>
      <c r="X11" s="1692"/>
      <c r="Y11" s="1692"/>
      <c r="Z11" s="1692"/>
      <c r="AA11" s="1692"/>
      <c r="AB11" s="1692"/>
      <c r="AC11" s="1692"/>
      <c r="AD11" s="1692"/>
      <c r="AE11" s="1692"/>
      <c r="AF11" s="1692"/>
      <c r="AG11" s="1693"/>
    </row>
    <row r="12" spans="3:69" ht="15" hidden="1" customHeight="1">
      <c r="C12" s="1755"/>
      <c r="D12" s="1756"/>
      <c r="E12" s="1756"/>
      <c r="F12" s="1756"/>
      <c r="G12" s="1756"/>
      <c r="H12" s="1756"/>
      <c r="I12" s="1757"/>
      <c r="J12" s="1700"/>
      <c r="K12" s="1701"/>
      <c r="L12" s="1701"/>
      <c r="M12" s="1701"/>
      <c r="N12" s="1701"/>
      <c r="O12" s="1701"/>
      <c r="P12" s="1701"/>
      <c r="Q12" s="1701"/>
      <c r="R12" s="1701"/>
      <c r="S12" s="1701"/>
      <c r="T12" s="1701"/>
      <c r="U12" s="1701"/>
      <c r="V12" s="1701"/>
      <c r="W12" s="1701"/>
      <c r="X12" s="1701"/>
      <c r="Y12" s="1701"/>
      <c r="Z12" s="1701"/>
      <c r="AA12" s="1701"/>
      <c r="AB12" s="1701"/>
      <c r="AC12" s="1701"/>
      <c r="AD12" s="1701"/>
      <c r="AE12" s="1701"/>
      <c r="AF12" s="1701"/>
      <c r="AG12" s="1702"/>
      <c r="AI12" s="48"/>
    </row>
    <row r="13" spans="3:69" ht="15" hidden="1" customHeight="1">
      <c r="C13" s="1755"/>
      <c r="D13" s="1756"/>
      <c r="E13" s="1756"/>
      <c r="F13" s="1756"/>
      <c r="G13" s="1756"/>
      <c r="H13" s="1756"/>
      <c r="I13" s="1757"/>
      <c r="J13" s="1700"/>
      <c r="K13" s="1701"/>
      <c r="L13" s="1701"/>
      <c r="M13" s="1701"/>
      <c r="N13" s="1701"/>
      <c r="O13" s="1701"/>
      <c r="P13" s="1701"/>
      <c r="Q13" s="1701"/>
      <c r="R13" s="1701"/>
      <c r="S13" s="1701"/>
      <c r="T13" s="1701"/>
      <c r="U13" s="1701"/>
      <c r="V13" s="1701"/>
      <c r="W13" s="1701"/>
      <c r="X13" s="1701"/>
      <c r="Y13" s="1701"/>
      <c r="Z13" s="1701"/>
      <c r="AA13" s="1701"/>
      <c r="AB13" s="1701"/>
      <c r="AC13" s="1701"/>
      <c r="AD13" s="1701"/>
      <c r="AE13" s="1701"/>
      <c r="AF13" s="1701"/>
      <c r="AG13" s="1702"/>
    </row>
    <row r="14" spans="3:69" ht="15" hidden="1" customHeight="1">
      <c r="C14" s="1755"/>
      <c r="D14" s="1756"/>
      <c r="E14" s="1756"/>
      <c r="F14" s="1756"/>
      <c r="G14" s="1756"/>
      <c r="H14" s="1756"/>
      <c r="I14" s="1757"/>
      <c r="J14" s="1700"/>
      <c r="K14" s="1701"/>
      <c r="L14" s="1701"/>
      <c r="M14" s="1701"/>
      <c r="N14" s="1701"/>
      <c r="O14" s="1701"/>
      <c r="P14" s="1701"/>
      <c r="Q14" s="1701"/>
      <c r="R14" s="1701"/>
      <c r="S14" s="1701"/>
      <c r="T14" s="1701"/>
      <c r="U14" s="1701"/>
      <c r="V14" s="1701"/>
      <c r="W14" s="1701"/>
      <c r="X14" s="1701"/>
      <c r="Y14" s="1701"/>
      <c r="Z14" s="1701"/>
      <c r="AA14" s="1701"/>
      <c r="AB14" s="1701"/>
      <c r="AC14" s="1701"/>
      <c r="AD14" s="1701"/>
      <c r="AE14" s="1701"/>
      <c r="AF14" s="1701"/>
      <c r="AG14" s="1702"/>
      <c r="AI14" s="48"/>
    </row>
    <row r="15" spans="3:69" ht="15" hidden="1" customHeight="1">
      <c r="C15" s="1755"/>
      <c r="D15" s="1756"/>
      <c r="E15" s="1756"/>
      <c r="F15" s="1756"/>
      <c r="G15" s="1756"/>
      <c r="H15" s="1756"/>
      <c r="I15" s="1757"/>
      <c r="J15" s="1700"/>
      <c r="K15" s="1701"/>
      <c r="L15" s="1701"/>
      <c r="M15" s="1701"/>
      <c r="N15" s="1701"/>
      <c r="O15" s="1701"/>
      <c r="P15" s="1701"/>
      <c r="Q15" s="1701"/>
      <c r="R15" s="1701"/>
      <c r="S15" s="1701"/>
      <c r="T15" s="1701"/>
      <c r="U15" s="1701"/>
      <c r="V15" s="1701"/>
      <c r="W15" s="1701"/>
      <c r="X15" s="1701"/>
      <c r="Y15" s="1701"/>
      <c r="Z15" s="1701"/>
      <c r="AA15" s="1701"/>
      <c r="AB15" s="1701"/>
      <c r="AC15" s="1701"/>
      <c r="AD15" s="1701"/>
      <c r="AE15" s="1701"/>
      <c r="AF15" s="1701"/>
      <c r="AG15" s="1702"/>
    </row>
    <row r="16" spans="3:69" ht="47.25" hidden="1" customHeight="1">
      <c r="C16" s="1507"/>
      <c r="D16" s="1508"/>
      <c r="E16" s="1508"/>
      <c r="F16" s="1508"/>
      <c r="G16" s="1508"/>
      <c r="H16" s="1508"/>
      <c r="I16" s="1654"/>
      <c r="J16" s="1694"/>
      <c r="K16" s="1695"/>
      <c r="L16" s="1695"/>
      <c r="M16" s="1695"/>
      <c r="N16" s="1695"/>
      <c r="O16" s="1695"/>
      <c r="P16" s="1695"/>
      <c r="Q16" s="1695"/>
      <c r="R16" s="1695"/>
      <c r="S16" s="1695"/>
      <c r="T16" s="1695"/>
      <c r="U16" s="1695"/>
      <c r="V16" s="1695"/>
      <c r="W16" s="1695"/>
      <c r="X16" s="1695"/>
      <c r="Y16" s="1695"/>
      <c r="Z16" s="1695"/>
      <c r="AA16" s="1695"/>
      <c r="AB16" s="1695"/>
      <c r="AC16" s="1695"/>
      <c r="AD16" s="1695"/>
      <c r="AE16" s="1695"/>
      <c r="AF16" s="1695"/>
      <c r="AG16" s="1696"/>
    </row>
    <row r="17" spans="3:49" ht="15" hidden="1" customHeight="1">
      <c r="C17" s="1629" t="s">
        <v>19</v>
      </c>
      <c r="D17" s="1630"/>
      <c r="E17" s="1630"/>
      <c r="F17" s="1630"/>
      <c r="G17" s="1630"/>
      <c r="H17" s="1630"/>
      <c r="I17" s="1631"/>
      <c r="J17" s="1709" t="s">
        <v>20</v>
      </c>
      <c r="K17" s="1710"/>
      <c r="L17" s="1710"/>
      <c r="M17" s="1711"/>
      <c r="N17" s="1712">
        <v>16106812.27</v>
      </c>
      <c r="O17" s="1713"/>
      <c r="P17" s="1713"/>
      <c r="Q17" s="1713"/>
      <c r="R17" s="1713"/>
      <c r="S17" s="1713"/>
      <c r="T17" s="1713"/>
      <c r="U17" s="1714"/>
      <c r="V17" s="1629" t="s">
        <v>21</v>
      </c>
      <c r="W17" s="1630"/>
      <c r="X17" s="1630"/>
      <c r="Y17" s="1630"/>
      <c r="Z17" s="1630"/>
      <c r="AA17" s="1630"/>
      <c r="AB17" s="1631"/>
      <c r="AC17" s="1626">
        <v>44231</v>
      </c>
      <c r="AD17" s="1627"/>
      <c r="AE17" s="1627"/>
      <c r="AF17" s="1627"/>
      <c r="AG17" s="1628"/>
    </row>
    <row r="18" spans="3:49" ht="15" hidden="1" customHeight="1">
      <c r="C18" s="1629" t="s">
        <v>22</v>
      </c>
      <c r="D18" s="1630"/>
      <c r="E18" s="1630"/>
      <c r="F18" s="1630"/>
      <c r="G18" s="1630"/>
      <c r="H18" s="1630"/>
      <c r="I18" s="1631"/>
      <c r="J18" s="1703" t="s">
        <v>23</v>
      </c>
      <c r="K18" s="1704"/>
      <c r="L18" s="1704"/>
      <c r="M18" s="1704"/>
      <c r="N18" s="1704"/>
      <c r="O18" s="1704"/>
      <c r="P18" s="1704"/>
      <c r="Q18" s="1704"/>
      <c r="R18" s="1704"/>
      <c r="S18" s="1704"/>
      <c r="T18" s="1704"/>
      <c r="U18" s="1705"/>
      <c r="V18" s="1706" t="s">
        <v>24</v>
      </c>
      <c r="W18" s="1707"/>
      <c r="X18" s="1707"/>
      <c r="Y18" s="1707"/>
      <c r="Z18" s="1707"/>
      <c r="AA18" s="1707"/>
      <c r="AB18" s="1708"/>
      <c r="AC18" s="1679" t="s">
        <v>25</v>
      </c>
      <c r="AD18" s="1680"/>
      <c r="AE18" s="1680"/>
      <c r="AF18" s="1680"/>
      <c r="AG18" s="1681"/>
      <c r="AI18" s="48"/>
    </row>
    <row r="19" spans="3:49" ht="15" hidden="1" customHeight="1">
      <c r="C19" s="1629" t="s">
        <v>26</v>
      </c>
      <c r="D19" s="1630"/>
      <c r="E19" s="1630"/>
      <c r="F19" s="1630"/>
      <c r="G19" s="1630"/>
      <c r="H19" s="1630"/>
      <c r="I19" s="1631"/>
      <c r="J19" s="1703" t="s">
        <v>23</v>
      </c>
      <c r="K19" s="1704"/>
      <c r="L19" s="1704"/>
      <c r="M19" s="1704"/>
      <c r="N19" s="1704"/>
      <c r="O19" s="1704"/>
      <c r="P19" s="1704"/>
      <c r="Q19" s="1704"/>
      <c r="R19" s="1704"/>
      <c r="S19" s="1704"/>
      <c r="T19" s="1704"/>
      <c r="U19" s="1705"/>
      <c r="V19" s="1629" t="s">
        <v>24</v>
      </c>
      <c r="W19" s="1630"/>
      <c r="X19" s="1630"/>
      <c r="Y19" s="1630"/>
      <c r="Z19" s="1630"/>
      <c r="AA19" s="1630"/>
      <c r="AB19" s="1631"/>
      <c r="AC19" s="1679" t="s">
        <v>25</v>
      </c>
      <c r="AD19" s="1680"/>
      <c r="AE19" s="1680"/>
      <c r="AF19" s="1680"/>
      <c r="AG19" s="1681"/>
      <c r="AI19" s="48"/>
    </row>
    <row r="20" spans="3:49" ht="15" customHeight="1">
      <c r="C20" s="1670" t="s">
        <v>27</v>
      </c>
      <c r="D20" s="1671"/>
      <c r="E20" s="1671"/>
      <c r="F20" s="1671"/>
      <c r="G20" s="1671"/>
      <c r="H20" s="1671"/>
      <c r="I20" s="1671"/>
      <c r="J20" s="1671"/>
      <c r="K20" s="1671"/>
      <c r="L20" s="1671"/>
      <c r="M20" s="1671"/>
      <c r="N20" s="1671"/>
      <c r="O20" s="1671"/>
      <c r="P20" s="1671"/>
      <c r="Q20" s="1671"/>
      <c r="R20" s="1671"/>
      <c r="S20" s="1671"/>
      <c r="T20" s="1671"/>
      <c r="U20" s="1671"/>
      <c r="V20" s="1671"/>
      <c r="W20" s="1671"/>
      <c r="X20" s="1671"/>
      <c r="Y20" s="1671"/>
      <c r="Z20" s="1671"/>
      <c r="AA20" s="1671"/>
      <c r="AB20" s="1671"/>
      <c r="AC20" s="1671"/>
      <c r="AD20" s="1671"/>
      <c r="AE20" s="1671"/>
      <c r="AF20" s="1671"/>
      <c r="AG20" s="1672"/>
    </row>
    <row r="21" spans="3:49" ht="15" customHeight="1">
      <c r="C21" s="1673"/>
      <c r="D21" s="1674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1674"/>
      <c r="Y21" s="1674"/>
      <c r="Z21" s="1674"/>
      <c r="AA21" s="1674"/>
      <c r="AB21" s="1674"/>
      <c r="AC21" s="1674"/>
      <c r="AD21" s="1674"/>
      <c r="AE21" s="1674"/>
      <c r="AF21" s="1674"/>
      <c r="AG21" s="1675"/>
    </row>
    <row r="22" spans="3:49" ht="15" customHeight="1">
      <c r="C22" s="1505" t="s">
        <v>28</v>
      </c>
      <c r="D22" s="1506"/>
      <c r="E22" s="1506"/>
      <c r="F22" s="1506"/>
      <c r="G22" s="1506"/>
      <c r="H22" s="1506"/>
      <c r="I22" s="1653"/>
      <c r="J22" s="1761" t="s">
        <v>29</v>
      </c>
      <c r="K22" s="1762"/>
      <c r="L22" s="1762"/>
      <c r="M22" s="1762"/>
      <c r="N22" s="1762"/>
      <c r="O22" s="1762"/>
      <c r="P22" s="1762"/>
      <c r="Q22" s="1762"/>
      <c r="R22" s="1762"/>
      <c r="S22" s="1762"/>
      <c r="T22" s="1762"/>
      <c r="U22" s="1763"/>
      <c r="V22" s="1682" t="s">
        <v>6</v>
      </c>
      <c r="W22" s="1683"/>
      <c r="X22" s="1683"/>
      <c r="Y22" s="1683"/>
      <c r="Z22" s="1683"/>
      <c r="AA22" s="1683"/>
      <c r="AB22" s="1684"/>
      <c r="AC22" s="1685" t="s">
        <v>30</v>
      </c>
      <c r="AD22" s="1686"/>
      <c r="AE22" s="1686"/>
      <c r="AF22" s="1686"/>
      <c r="AG22" s="1687"/>
    </row>
    <row r="23" spans="3:49" ht="15" customHeight="1">
      <c r="C23" s="1507"/>
      <c r="D23" s="1508"/>
      <c r="E23" s="1508"/>
      <c r="F23" s="1508"/>
      <c r="G23" s="1508"/>
      <c r="H23" s="1508"/>
      <c r="I23" s="1654"/>
      <c r="J23" s="1764"/>
      <c r="K23" s="1765"/>
      <c r="L23" s="1765"/>
      <c r="M23" s="1765"/>
      <c r="N23" s="1765"/>
      <c r="O23" s="1765"/>
      <c r="P23" s="1765"/>
      <c r="Q23" s="1765"/>
      <c r="R23" s="1765"/>
      <c r="S23" s="1765"/>
      <c r="T23" s="1765"/>
      <c r="U23" s="1766"/>
      <c r="V23" s="1682" t="s">
        <v>31</v>
      </c>
      <c r="W23" s="1683"/>
      <c r="X23" s="1683"/>
      <c r="Y23" s="1683"/>
      <c r="Z23" s="1683"/>
      <c r="AA23" s="1683"/>
      <c r="AB23" s="1684"/>
      <c r="AC23" s="1688">
        <v>44328</v>
      </c>
      <c r="AD23" s="1689"/>
      <c r="AE23" s="1689"/>
      <c r="AF23" s="1689"/>
      <c r="AG23" s="1690"/>
      <c r="AL23" s="1729"/>
      <c r="AM23" s="1730"/>
      <c r="AN23" s="1730"/>
      <c r="AO23" s="1730"/>
      <c r="AP23" s="1730"/>
      <c r="AQ23" s="1730"/>
      <c r="AR23" s="1730"/>
      <c r="AS23" s="1730"/>
      <c r="AT23" s="1730"/>
      <c r="AU23" s="1730"/>
      <c r="AV23" s="1730"/>
      <c r="AW23" s="1731"/>
    </row>
    <row r="24" spans="3:49" ht="15" customHeight="1">
      <c r="C24" s="1629" t="s">
        <v>9</v>
      </c>
      <c r="D24" s="1630"/>
      <c r="E24" s="1630"/>
      <c r="F24" s="1630"/>
      <c r="G24" s="1630"/>
      <c r="H24" s="1630"/>
      <c r="I24" s="1631"/>
      <c r="J24" s="1271" t="s">
        <v>32</v>
      </c>
      <c r="K24" s="1272"/>
      <c r="L24" s="1272"/>
      <c r="M24" s="1272"/>
      <c r="N24" s="1272"/>
      <c r="O24" s="1272"/>
      <c r="P24" s="1272"/>
      <c r="Q24" s="1272"/>
      <c r="R24" s="1272"/>
      <c r="S24" s="1272"/>
      <c r="T24" s="1272"/>
      <c r="U24" s="1273"/>
      <c r="V24" s="1682" t="s">
        <v>33</v>
      </c>
      <c r="W24" s="1683"/>
      <c r="X24" s="1683"/>
      <c r="Y24" s="1683"/>
      <c r="Z24" s="1683"/>
      <c r="AA24" s="1683"/>
      <c r="AB24" s="1684"/>
      <c r="AC24" s="1688">
        <v>44329</v>
      </c>
      <c r="AD24" s="1689"/>
      <c r="AE24" s="1689"/>
      <c r="AF24" s="1689"/>
      <c r="AG24" s="1690"/>
      <c r="AL24" s="1732"/>
      <c r="AM24" s="1733"/>
      <c r="AN24" s="1733"/>
      <c r="AO24" s="1733"/>
      <c r="AP24" s="1733"/>
      <c r="AQ24" s="1733"/>
      <c r="AR24" s="1733"/>
      <c r="AS24" s="1733"/>
      <c r="AT24" s="1733"/>
      <c r="AU24" s="1733"/>
      <c r="AV24" s="1733"/>
      <c r="AW24" s="1734"/>
    </row>
    <row r="25" spans="3:49" ht="15" customHeight="1">
      <c r="C25" s="1505" t="s">
        <v>34</v>
      </c>
      <c r="D25" s="1506"/>
      <c r="E25" s="1506"/>
      <c r="F25" s="1506"/>
      <c r="G25" s="1506"/>
      <c r="H25" s="1506"/>
      <c r="I25" s="1653"/>
      <c r="J25" s="1655" t="s">
        <v>35</v>
      </c>
      <c r="K25" s="1656"/>
      <c r="L25" s="1656"/>
      <c r="M25" s="1656"/>
      <c r="N25" s="1656"/>
      <c r="O25" s="1656"/>
      <c r="P25" s="1656"/>
      <c r="Q25" s="1656"/>
      <c r="R25" s="1656"/>
      <c r="S25" s="1656"/>
      <c r="T25" s="1656"/>
      <c r="U25" s="1657"/>
      <c r="V25" s="1682" t="s">
        <v>13</v>
      </c>
      <c r="W25" s="1683"/>
      <c r="X25" s="1683"/>
      <c r="Y25" s="1683"/>
      <c r="Z25" s="1683"/>
      <c r="AA25" s="1683"/>
      <c r="AB25" s="1684"/>
      <c r="AC25" s="1688">
        <v>44342</v>
      </c>
      <c r="AD25" s="1689"/>
      <c r="AE25" s="1689"/>
      <c r="AF25" s="1689"/>
      <c r="AG25" s="1690"/>
    </row>
    <row r="26" spans="3:49" ht="11.4">
      <c r="C26" s="1507"/>
      <c r="D26" s="1508"/>
      <c r="E26" s="1508"/>
      <c r="F26" s="1508"/>
      <c r="G26" s="1508"/>
      <c r="H26" s="1508"/>
      <c r="I26" s="1654"/>
      <c r="J26" s="1658"/>
      <c r="K26" s="1659"/>
      <c r="L26" s="1659"/>
      <c r="M26" s="1659"/>
      <c r="N26" s="1659"/>
      <c r="O26" s="1659"/>
      <c r="P26" s="1659"/>
      <c r="Q26" s="1659"/>
      <c r="R26" s="1659"/>
      <c r="S26" s="1659"/>
      <c r="T26" s="1659"/>
      <c r="U26" s="1660"/>
      <c r="V26" s="1735" t="s">
        <v>16</v>
      </c>
      <c r="W26" s="1736"/>
      <c r="X26" s="1736"/>
      <c r="Y26" s="1736"/>
      <c r="Z26" s="1736"/>
      <c r="AA26" s="1736"/>
      <c r="AB26" s="1737"/>
      <c r="AC26" s="1767">
        <v>44848</v>
      </c>
      <c r="AD26" s="1768"/>
      <c r="AE26" s="1768"/>
      <c r="AF26" s="1768"/>
      <c r="AG26" s="1769"/>
    </row>
    <row r="27" spans="3:49" ht="11.4">
      <c r="C27" s="1505" t="s">
        <v>36</v>
      </c>
      <c r="D27" s="1506"/>
      <c r="E27" s="1506"/>
      <c r="F27" s="1506"/>
      <c r="G27" s="1506"/>
      <c r="H27" s="1506"/>
      <c r="I27" s="1653"/>
      <c r="J27" s="1729">
        <v>34582061.789999999</v>
      </c>
      <c r="K27" s="1730"/>
      <c r="L27" s="1730"/>
      <c r="M27" s="1730"/>
      <c r="N27" s="1730"/>
      <c r="O27" s="1730"/>
      <c r="P27" s="1730"/>
      <c r="Q27" s="1730"/>
      <c r="R27" s="1730"/>
      <c r="S27" s="1730"/>
      <c r="T27" s="1730"/>
      <c r="U27" s="1731"/>
      <c r="V27" s="1738"/>
      <c r="W27" s="1739"/>
      <c r="X27" s="1739"/>
      <c r="Y27" s="1739"/>
      <c r="Z27" s="1739"/>
      <c r="AA27" s="1739"/>
      <c r="AB27" s="1740"/>
      <c r="AC27" s="1770"/>
      <c r="AD27" s="1771"/>
      <c r="AE27" s="1771"/>
      <c r="AF27" s="1771"/>
      <c r="AG27" s="1772"/>
      <c r="AI27" s="48"/>
    </row>
    <row r="28" spans="3:49" ht="15.6">
      <c r="C28" s="1507"/>
      <c r="D28" s="1508"/>
      <c r="E28" s="1508"/>
      <c r="F28" s="1508"/>
      <c r="G28" s="1508"/>
      <c r="H28" s="1508"/>
      <c r="I28" s="1654"/>
      <c r="J28" s="1732"/>
      <c r="K28" s="1733"/>
      <c r="L28" s="1733"/>
      <c r="M28" s="1733"/>
      <c r="N28" s="1733"/>
      <c r="O28" s="1733"/>
      <c r="P28" s="1733"/>
      <c r="Q28" s="1733"/>
      <c r="R28" s="1733"/>
      <c r="S28" s="1733"/>
      <c r="T28" s="1733"/>
      <c r="U28" s="1734"/>
      <c r="V28" s="1682" t="s">
        <v>11</v>
      </c>
      <c r="W28" s="1683"/>
      <c r="X28" s="1683"/>
      <c r="Y28" s="1683"/>
      <c r="Z28" s="1683"/>
      <c r="AA28" s="1683"/>
      <c r="AB28" s="1684"/>
      <c r="AC28" s="1773" t="s">
        <v>37</v>
      </c>
      <c r="AD28" s="1774"/>
      <c r="AE28" s="1774"/>
      <c r="AF28" s="1774"/>
      <c r="AG28" s="1775"/>
    </row>
    <row r="29" spans="3:49" ht="11.4" customHeight="1">
      <c r="C29" s="1505" t="s">
        <v>17</v>
      </c>
      <c r="D29" s="1506"/>
      <c r="E29" s="1506"/>
      <c r="F29" s="1506"/>
      <c r="G29" s="1506"/>
      <c r="H29" s="1506"/>
      <c r="I29" s="1653"/>
      <c r="J29" s="1661" t="s">
        <v>38</v>
      </c>
      <c r="K29" s="1662"/>
      <c r="L29" s="1662"/>
      <c r="M29" s="1662"/>
      <c r="N29" s="1662"/>
      <c r="O29" s="1662"/>
      <c r="P29" s="1662"/>
      <c r="Q29" s="1662"/>
      <c r="R29" s="1662"/>
      <c r="S29" s="1662"/>
      <c r="T29" s="1662"/>
      <c r="U29" s="1662"/>
      <c r="V29" s="1662"/>
      <c r="W29" s="1662"/>
      <c r="X29" s="1662"/>
      <c r="Y29" s="1662"/>
      <c r="Z29" s="1662"/>
      <c r="AA29" s="1662"/>
      <c r="AB29" s="1662"/>
      <c r="AC29" s="1662"/>
      <c r="AD29" s="1662"/>
      <c r="AE29" s="1662"/>
      <c r="AF29" s="1662"/>
      <c r="AG29" s="1663"/>
      <c r="AI29" s="48"/>
    </row>
    <row r="30" spans="3:49" ht="15" customHeight="1">
      <c r="C30" s="1755"/>
      <c r="D30" s="1756"/>
      <c r="E30" s="1756"/>
      <c r="F30" s="1756"/>
      <c r="G30" s="1756"/>
      <c r="H30" s="1756"/>
      <c r="I30" s="1757"/>
      <c r="J30" s="1664"/>
      <c r="K30" s="1665"/>
      <c r="L30" s="1665"/>
      <c r="M30" s="1665"/>
      <c r="N30" s="1665"/>
      <c r="O30" s="1665"/>
      <c r="P30" s="1665"/>
      <c r="Q30" s="1665"/>
      <c r="R30" s="1665"/>
      <c r="S30" s="1665"/>
      <c r="T30" s="1665"/>
      <c r="U30" s="1665"/>
      <c r="V30" s="1665"/>
      <c r="W30" s="1665"/>
      <c r="X30" s="1665"/>
      <c r="Y30" s="1665"/>
      <c r="Z30" s="1665"/>
      <c r="AA30" s="1665"/>
      <c r="AB30" s="1665"/>
      <c r="AC30" s="1665"/>
      <c r="AD30" s="1665"/>
      <c r="AE30" s="1665"/>
      <c r="AF30" s="1665"/>
      <c r="AG30" s="1666"/>
    </row>
    <row r="31" spans="3:49" ht="15" customHeight="1">
      <c r="C31" s="1507"/>
      <c r="D31" s="1508"/>
      <c r="E31" s="1508"/>
      <c r="F31" s="1508"/>
      <c r="G31" s="1508"/>
      <c r="H31" s="1508"/>
      <c r="I31" s="1654"/>
      <c r="J31" s="1667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8"/>
      <c r="W31" s="1668"/>
      <c r="X31" s="1668"/>
      <c r="Y31" s="1668"/>
      <c r="Z31" s="1668"/>
      <c r="AA31" s="1668"/>
      <c r="AB31" s="1668"/>
      <c r="AC31" s="1668"/>
      <c r="AD31" s="1668"/>
      <c r="AE31" s="1668"/>
      <c r="AF31" s="1668"/>
      <c r="AG31" s="1669"/>
    </row>
    <row r="32" spans="3:49" ht="15" customHeight="1">
      <c r="C32" s="1629" t="s">
        <v>22</v>
      </c>
      <c r="D32" s="1630"/>
      <c r="E32" s="1630"/>
      <c r="F32" s="1630"/>
      <c r="G32" s="1630"/>
      <c r="H32" s="1630"/>
      <c r="I32" s="1631"/>
      <c r="J32" s="1741" t="s">
        <v>39</v>
      </c>
      <c r="K32" s="1742"/>
      <c r="L32" s="1742"/>
      <c r="M32" s="1742"/>
      <c r="N32" s="1742"/>
      <c r="O32" s="1742"/>
      <c r="P32" s="1742"/>
      <c r="Q32" s="1742"/>
      <c r="R32" s="1742"/>
      <c r="S32" s="1742"/>
      <c r="T32" s="1742"/>
      <c r="U32" s="1743"/>
      <c r="V32" s="1795" t="s">
        <v>24</v>
      </c>
      <c r="W32" s="1796"/>
      <c r="X32" s="1796"/>
      <c r="Y32" s="1796"/>
      <c r="Z32" s="1796"/>
      <c r="AA32" s="1796"/>
      <c r="AB32" s="1797"/>
      <c r="AC32" s="1685" t="s">
        <v>40</v>
      </c>
      <c r="AD32" s="1686"/>
      <c r="AE32" s="1686"/>
      <c r="AF32" s="1686"/>
      <c r="AG32" s="1687"/>
      <c r="AI32" s="48"/>
    </row>
    <row r="33" spans="3:38" ht="15" customHeight="1">
      <c r="C33" s="1629" t="s">
        <v>26</v>
      </c>
      <c r="D33" s="1630"/>
      <c r="E33" s="1630"/>
      <c r="F33" s="1630"/>
      <c r="G33" s="1630"/>
      <c r="H33" s="1630"/>
      <c r="I33" s="1631"/>
      <c r="J33" s="1741" t="s">
        <v>41</v>
      </c>
      <c r="K33" s="1742"/>
      <c r="L33" s="1742"/>
      <c r="M33" s="1742"/>
      <c r="N33" s="1742"/>
      <c r="O33" s="1742"/>
      <c r="P33" s="1742"/>
      <c r="Q33" s="1742"/>
      <c r="R33" s="1742"/>
      <c r="S33" s="1742"/>
      <c r="T33" s="1742"/>
      <c r="U33" s="1743"/>
      <c r="V33" s="1758" t="s">
        <v>24</v>
      </c>
      <c r="W33" s="1759"/>
      <c r="X33" s="1759"/>
      <c r="Y33" s="1759"/>
      <c r="Z33" s="1759"/>
      <c r="AA33" s="1759"/>
      <c r="AB33" s="1760"/>
      <c r="AC33" s="1685" t="s">
        <v>40</v>
      </c>
      <c r="AD33" s="1686"/>
      <c r="AE33" s="1686"/>
      <c r="AF33" s="1686"/>
      <c r="AG33" s="1687"/>
      <c r="AI33" s="48"/>
      <c r="AL33" s="48">
        <v>44342</v>
      </c>
    </row>
    <row r="34" spans="3:38" ht="15" customHeight="1">
      <c r="C34" s="1794" t="s">
        <v>42</v>
      </c>
      <c r="D34" s="1794"/>
      <c r="E34" s="1794"/>
      <c r="F34" s="1794"/>
      <c r="G34" s="1794"/>
      <c r="H34" s="1794"/>
      <c r="I34" s="1794"/>
      <c r="J34" s="1794"/>
      <c r="K34" s="1794"/>
      <c r="L34" s="1794"/>
      <c r="M34" s="1794"/>
      <c r="N34" s="1794"/>
      <c r="O34" s="1794"/>
      <c r="P34" s="1794"/>
      <c r="Q34" s="1794"/>
      <c r="R34" s="1794"/>
      <c r="S34" s="1794"/>
      <c r="T34" s="1794"/>
      <c r="U34" s="1794"/>
      <c r="V34" s="1794"/>
      <c r="W34" s="1794"/>
      <c r="X34" s="1794"/>
      <c r="Y34" s="1794"/>
      <c r="Z34" s="1794"/>
      <c r="AA34" s="1794"/>
      <c r="AB34" s="1794"/>
      <c r="AC34" s="1794"/>
      <c r="AD34" s="1794"/>
      <c r="AE34" s="1794"/>
      <c r="AF34" s="1794"/>
      <c r="AG34" s="1794"/>
      <c r="AI34" s="2"/>
      <c r="AL34" s="48">
        <v>44848</v>
      </c>
    </row>
    <row r="35" spans="3:38" ht="15" customHeight="1">
      <c r="C35" s="1794"/>
      <c r="D35" s="1794"/>
      <c r="E35" s="1794"/>
      <c r="F35" s="1794"/>
      <c r="G35" s="1794"/>
      <c r="H35" s="1794"/>
      <c r="I35" s="1794"/>
      <c r="J35" s="1794"/>
      <c r="K35" s="1794"/>
      <c r="L35" s="1794"/>
      <c r="M35" s="1794"/>
      <c r="N35" s="1794"/>
      <c r="O35" s="1794"/>
      <c r="P35" s="1794"/>
      <c r="Q35" s="1794"/>
      <c r="R35" s="1794"/>
      <c r="S35" s="1794"/>
      <c r="T35" s="1794"/>
      <c r="U35" s="1794"/>
      <c r="V35" s="1794"/>
      <c r="W35" s="1794"/>
      <c r="X35" s="1794"/>
      <c r="Y35" s="1794"/>
      <c r="Z35" s="1794"/>
      <c r="AA35" s="1794"/>
      <c r="AB35" s="1794"/>
      <c r="AC35" s="1794"/>
      <c r="AD35" s="1794"/>
      <c r="AE35" s="1794"/>
      <c r="AF35" s="1794"/>
      <c r="AG35" s="1794"/>
      <c r="AL35" s="1">
        <f>AL34-AL33</f>
        <v>506</v>
      </c>
    </row>
    <row r="36" spans="3:38" ht="15" hidden="1" customHeight="1">
      <c r="C36" s="1676" t="s">
        <v>43</v>
      </c>
      <c r="D36" s="1677"/>
      <c r="E36" s="1677"/>
      <c r="F36" s="1677"/>
      <c r="G36" s="1677"/>
      <c r="H36" s="1677"/>
      <c r="I36" s="1677"/>
      <c r="J36" s="1677"/>
      <c r="K36" s="1677"/>
      <c r="L36" s="1677"/>
      <c r="M36" s="1678"/>
      <c r="N36" s="1644"/>
      <c r="O36" s="1645"/>
      <c r="P36" s="1645"/>
      <c r="Q36" s="1645"/>
      <c r="R36" s="1645"/>
      <c r="S36" s="1645"/>
      <c r="T36" s="1645"/>
      <c r="U36" s="1645"/>
      <c r="V36" s="1645"/>
      <c r="W36" s="1645"/>
      <c r="X36" s="1645"/>
      <c r="Y36" s="1645"/>
      <c r="Z36" s="1645"/>
      <c r="AA36" s="1645"/>
      <c r="AB36" s="1645"/>
      <c r="AC36" s="1645"/>
      <c r="AD36" s="1645"/>
      <c r="AE36" s="1645"/>
      <c r="AF36" s="1645"/>
      <c r="AG36" s="1646"/>
    </row>
    <row r="37" spans="3:38" ht="15" hidden="1" customHeight="1">
      <c r="C37" s="1676" t="s">
        <v>44</v>
      </c>
      <c r="D37" s="1677"/>
      <c r="E37" s="1677"/>
      <c r="F37" s="1677"/>
      <c r="G37" s="1677"/>
      <c r="H37" s="1677"/>
      <c r="I37" s="1677"/>
      <c r="J37" s="1677"/>
      <c r="K37" s="1677"/>
      <c r="L37" s="1677"/>
      <c r="M37" s="1678"/>
      <c r="N37" s="1638"/>
      <c r="O37" s="1639"/>
      <c r="P37" s="1639"/>
      <c r="Q37" s="1639"/>
      <c r="R37" s="1639"/>
      <c r="S37" s="1639"/>
      <c r="T37" s="1639"/>
      <c r="U37" s="1639"/>
      <c r="V37" s="1639"/>
      <c r="W37" s="1639"/>
      <c r="X37" s="1639"/>
      <c r="Y37" s="1639"/>
      <c r="Z37" s="1639"/>
      <c r="AA37" s="1639"/>
      <c r="AB37" s="1639"/>
      <c r="AC37" s="1639"/>
      <c r="AD37" s="1639"/>
      <c r="AE37" s="1639"/>
      <c r="AF37" s="1639"/>
      <c r="AG37" s="1640"/>
    </row>
    <row r="38" spans="3:38" ht="15" hidden="1" customHeight="1">
      <c r="C38" s="1676" t="s">
        <v>45</v>
      </c>
      <c r="D38" s="1677"/>
      <c r="E38" s="1677"/>
      <c r="F38" s="1677"/>
      <c r="G38" s="1677"/>
      <c r="H38" s="1677"/>
      <c r="I38" s="1677"/>
      <c r="J38" s="1677"/>
      <c r="K38" s="1677"/>
      <c r="L38" s="1677"/>
      <c r="M38" s="1678"/>
      <c r="N38" s="1638"/>
      <c r="O38" s="1639"/>
      <c r="P38" s="1639"/>
      <c r="Q38" s="1639"/>
      <c r="R38" s="1639"/>
      <c r="S38" s="1639"/>
      <c r="T38" s="1639"/>
      <c r="U38" s="1639"/>
      <c r="V38" s="1639"/>
      <c r="W38" s="1639"/>
      <c r="X38" s="1639"/>
      <c r="Y38" s="1639"/>
      <c r="Z38" s="1639"/>
      <c r="AA38" s="1639"/>
      <c r="AB38" s="1639"/>
      <c r="AC38" s="1639"/>
      <c r="AD38" s="1639"/>
      <c r="AE38" s="1639"/>
      <c r="AF38" s="1639"/>
      <c r="AG38" s="1640"/>
    </row>
    <row r="39" spans="3:38" ht="15" hidden="1" customHeight="1">
      <c r="C39" s="1676" t="s">
        <v>46</v>
      </c>
      <c r="D39" s="1677"/>
      <c r="E39" s="1677"/>
      <c r="F39" s="1677"/>
      <c r="G39" s="1677"/>
      <c r="H39" s="1677"/>
      <c r="I39" s="1677"/>
      <c r="J39" s="1677"/>
      <c r="K39" s="1677"/>
      <c r="L39" s="1677"/>
      <c r="M39" s="1678"/>
      <c r="N39" s="1638"/>
      <c r="O39" s="1639"/>
      <c r="P39" s="1639"/>
      <c r="Q39" s="1639"/>
      <c r="R39" s="1639"/>
      <c r="S39" s="1639"/>
      <c r="T39" s="1639"/>
      <c r="U39" s="1639"/>
      <c r="V39" s="1639"/>
      <c r="W39" s="1639"/>
      <c r="X39" s="1639"/>
      <c r="Y39" s="1639"/>
      <c r="Z39" s="1639"/>
      <c r="AA39" s="1639"/>
      <c r="AB39" s="1639"/>
      <c r="AC39" s="1639"/>
      <c r="AD39" s="1639"/>
      <c r="AE39" s="1639"/>
      <c r="AF39" s="1639"/>
      <c r="AG39" s="1640"/>
    </row>
    <row r="40" spans="3:38" ht="15" hidden="1" customHeight="1">
      <c r="C40" s="1676" t="s">
        <v>47</v>
      </c>
      <c r="D40" s="1677"/>
      <c r="E40" s="1677"/>
      <c r="F40" s="1677"/>
      <c r="G40" s="1677"/>
      <c r="H40" s="1677"/>
      <c r="I40" s="1677"/>
      <c r="J40" s="1677"/>
      <c r="K40" s="1677"/>
      <c r="L40" s="1677"/>
      <c r="M40" s="1678"/>
      <c r="N40" s="1638"/>
      <c r="O40" s="1639"/>
      <c r="P40" s="1639"/>
      <c r="Q40" s="1639"/>
      <c r="R40" s="1639"/>
      <c r="S40" s="1639"/>
      <c r="T40" s="1639"/>
      <c r="U40" s="1639"/>
      <c r="V40" s="1639"/>
      <c r="W40" s="1639"/>
      <c r="X40" s="1639"/>
      <c r="Y40" s="1639"/>
      <c r="Z40" s="1639"/>
      <c r="AA40" s="1639"/>
      <c r="AB40" s="1639"/>
      <c r="AC40" s="1639"/>
      <c r="AD40" s="1639"/>
      <c r="AE40" s="1639"/>
      <c r="AF40" s="1639"/>
      <c r="AG40" s="1640"/>
    </row>
    <row r="41" spans="3:38" ht="15" hidden="1" customHeight="1">
      <c r="C41" s="1676" t="s">
        <v>48</v>
      </c>
      <c r="D41" s="1677"/>
      <c r="E41" s="1677"/>
      <c r="F41" s="1677"/>
      <c r="G41" s="1677"/>
      <c r="H41" s="1677"/>
      <c r="I41" s="1677"/>
      <c r="J41" s="1677"/>
      <c r="K41" s="1677"/>
      <c r="L41" s="1677"/>
      <c r="M41" s="1678"/>
      <c r="N41" s="1638"/>
      <c r="O41" s="1639"/>
      <c r="P41" s="1639"/>
      <c r="Q41" s="1639"/>
      <c r="R41" s="1639"/>
      <c r="S41" s="1639"/>
      <c r="T41" s="1639"/>
      <c r="U41" s="1639"/>
      <c r="V41" s="1639"/>
      <c r="W41" s="1639"/>
      <c r="X41" s="1639"/>
      <c r="Y41" s="1639"/>
      <c r="Z41" s="1639"/>
      <c r="AA41" s="1639"/>
      <c r="AB41" s="1639"/>
      <c r="AC41" s="1639"/>
      <c r="AD41" s="1639"/>
      <c r="AE41" s="1639"/>
      <c r="AF41" s="1639"/>
      <c r="AG41" s="1640"/>
      <c r="AI41" s="48"/>
    </row>
    <row r="42" spans="3:38" ht="15" hidden="1" customHeight="1">
      <c r="C42" s="1676" t="s">
        <v>49</v>
      </c>
      <c r="D42" s="1677"/>
      <c r="E42" s="1677"/>
      <c r="F42" s="1677"/>
      <c r="G42" s="1677"/>
      <c r="H42" s="1677"/>
      <c r="I42" s="1677"/>
      <c r="J42" s="1677"/>
      <c r="K42" s="1677"/>
      <c r="L42" s="1677"/>
      <c r="M42" s="1678"/>
      <c r="N42" s="1638"/>
      <c r="O42" s="1639"/>
      <c r="P42" s="1639"/>
      <c r="Q42" s="1639"/>
      <c r="R42" s="1639"/>
      <c r="S42" s="1639"/>
      <c r="T42" s="1639"/>
      <c r="U42" s="1639"/>
      <c r="V42" s="1639"/>
      <c r="W42" s="1639"/>
      <c r="X42" s="1639"/>
      <c r="Y42" s="1639"/>
      <c r="Z42" s="1639"/>
      <c r="AA42" s="1639"/>
      <c r="AB42" s="1639"/>
      <c r="AC42" s="1639"/>
      <c r="AD42" s="1639"/>
      <c r="AE42" s="1639"/>
      <c r="AF42" s="1639"/>
      <c r="AG42" s="1640"/>
    </row>
    <row r="43" spans="3:38" ht="15" hidden="1" customHeight="1">
      <c r="C43" s="1644" t="s">
        <v>50</v>
      </c>
      <c r="D43" s="1645"/>
      <c r="E43" s="1645"/>
      <c r="F43" s="1645"/>
      <c r="G43" s="1645"/>
      <c r="H43" s="1645"/>
      <c r="I43" s="1645"/>
      <c r="J43" s="1645"/>
      <c r="K43" s="1645"/>
      <c r="L43" s="1645"/>
      <c r="M43" s="1646"/>
      <c r="N43" s="1647" t="s">
        <v>51</v>
      </c>
      <c r="O43" s="1648"/>
      <c r="P43" s="1648"/>
      <c r="Q43" s="1648"/>
      <c r="R43" s="1648"/>
      <c r="S43" s="1648"/>
      <c r="T43" s="1648"/>
      <c r="U43" s="1648"/>
      <c r="V43" s="1648"/>
      <c r="W43" s="1648"/>
      <c r="X43" s="1648"/>
      <c r="Y43" s="1648"/>
      <c r="Z43" s="1648"/>
      <c r="AA43" s="1648"/>
      <c r="AB43" s="1648"/>
      <c r="AC43" s="1648"/>
      <c r="AD43" s="1648"/>
      <c r="AE43" s="1648"/>
      <c r="AF43" s="1648"/>
      <c r="AG43" s="1649"/>
    </row>
    <row r="44" spans="3:38" ht="15" hidden="1" customHeight="1">
      <c r="C44" s="1644" t="s">
        <v>52</v>
      </c>
      <c r="D44" s="1645"/>
      <c r="E44" s="1645"/>
      <c r="F44" s="1645"/>
      <c r="G44" s="1645"/>
      <c r="H44" s="1645"/>
      <c r="I44" s="1645"/>
      <c r="J44" s="1645"/>
      <c r="K44" s="1645"/>
      <c r="L44" s="1645"/>
      <c r="M44" s="1646"/>
      <c r="N44" s="1647" t="s">
        <v>53</v>
      </c>
      <c r="O44" s="1648"/>
      <c r="P44" s="1648"/>
      <c r="Q44" s="1648"/>
      <c r="R44" s="1648"/>
      <c r="S44" s="1648"/>
      <c r="T44" s="1648"/>
      <c r="U44" s="1648"/>
      <c r="V44" s="1648"/>
      <c r="W44" s="1648"/>
      <c r="X44" s="1648"/>
      <c r="Y44" s="1648"/>
      <c r="Z44" s="1648"/>
      <c r="AA44" s="1648"/>
      <c r="AB44" s="1648"/>
      <c r="AC44" s="1648"/>
      <c r="AD44" s="1648"/>
      <c r="AE44" s="1648"/>
      <c r="AF44" s="1648"/>
      <c r="AG44" s="1649"/>
    </row>
    <row r="45" spans="3:38" ht="15" customHeight="1">
      <c r="C45" s="1720" t="s">
        <v>54</v>
      </c>
      <c r="D45" s="1721"/>
      <c r="E45" s="1721"/>
      <c r="F45" s="1721"/>
      <c r="G45" s="1721"/>
      <c r="H45" s="1721"/>
      <c r="I45" s="1721"/>
      <c r="J45" s="1721"/>
      <c r="K45" s="1721"/>
      <c r="L45" s="1721"/>
      <c r="M45" s="1722"/>
      <c r="N45" s="1641">
        <f>'8 - EVOLUÇÃO FINANCEIRA'!G48</f>
        <v>37936192.270000003</v>
      </c>
      <c r="O45" s="1642"/>
      <c r="P45" s="1642"/>
      <c r="Q45" s="1642"/>
      <c r="R45" s="1642"/>
      <c r="S45" s="1642"/>
      <c r="T45" s="1642"/>
      <c r="U45" s="1642"/>
      <c r="V45" s="1642"/>
      <c r="W45" s="1642"/>
      <c r="X45" s="1642"/>
      <c r="Y45" s="1642"/>
      <c r="Z45" s="1642"/>
      <c r="AA45" s="1642"/>
      <c r="AB45" s="1642"/>
      <c r="AC45" s="1642"/>
      <c r="AD45" s="1642"/>
      <c r="AE45" s="1642"/>
      <c r="AF45" s="1642"/>
      <c r="AG45" s="1643"/>
    </row>
    <row r="46" spans="3:38" ht="15" customHeight="1">
      <c r="C46" s="1632" t="s">
        <v>54</v>
      </c>
      <c r="D46" s="1633"/>
      <c r="E46" s="1633"/>
      <c r="F46" s="1633"/>
      <c r="G46" s="1633"/>
      <c r="H46" s="1633"/>
      <c r="I46" s="1633"/>
      <c r="J46" s="1633"/>
      <c r="K46" s="1633"/>
      <c r="L46" s="1633"/>
      <c r="M46" s="1634"/>
      <c r="N46" s="1641">
        <f>'8 - EVOLUÇÃO FINANCEIRA'!I48</f>
        <v>4740835.7199999988</v>
      </c>
      <c r="O46" s="1642"/>
      <c r="P46" s="1642"/>
      <c r="Q46" s="1642"/>
      <c r="R46" s="1642"/>
      <c r="S46" s="1642"/>
      <c r="T46" s="1642"/>
      <c r="U46" s="1642"/>
      <c r="V46" s="1642"/>
      <c r="W46" s="1642"/>
      <c r="X46" s="1642"/>
      <c r="Y46" s="1642"/>
      <c r="Z46" s="1642"/>
      <c r="AA46" s="1642"/>
      <c r="AB46" s="1642"/>
      <c r="AC46" s="1642"/>
      <c r="AD46" s="1642"/>
      <c r="AE46" s="1642"/>
      <c r="AF46" s="1642"/>
      <c r="AG46" s="1643"/>
    </row>
    <row r="47" spans="3:38" ht="15" customHeight="1">
      <c r="C47" s="1635" t="s">
        <v>54</v>
      </c>
      <c r="D47" s="1636"/>
      <c r="E47" s="1636"/>
      <c r="F47" s="1636"/>
      <c r="G47" s="1636"/>
      <c r="H47" s="1636"/>
      <c r="I47" s="1636"/>
      <c r="J47" s="1636"/>
      <c r="K47" s="1636"/>
      <c r="L47" s="1636"/>
      <c r="M47" s="1637"/>
      <c r="N47" s="1651">
        <f>'8 - EVOLUÇÃO FINANCEIRA'!F48</f>
        <v>1127</v>
      </c>
      <c r="O47" s="1652"/>
      <c r="P47" s="1652"/>
      <c r="Q47" s="1652"/>
      <c r="R47" s="1652"/>
      <c r="S47" s="1652"/>
      <c r="T47" s="1652"/>
      <c r="U47" s="1652"/>
      <c r="V47" s="1652"/>
      <c r="W47" s="1652"/>
      <c r="X47" s="1652"/>
      <c r="Y47" s="1652"/>
      <c r="Z47" s="1652"/>
      <c r="AA47" s="1652"/>
      <c r="AB47" s="1652"/>
      <c r="AC47" s="1652"/>
      <c r="AD47" s="1652"/>
      <c r="AE47" s="1652"/>
      <c r="AF47" s="1652"/>
      <c r="AG47" s="1719"/>
    </row>
    <row r="48" spans="3:38" ht="15" customHeight="1">
      <c r="C48" s="1776" t="s">
        <v>54</v>
      </c>
      <c r="D48" s="1777"/>
      <c r="E48" s="1777"/>
      <c r="F48" s="1777"/>
      <c r="G48" s="1777"/>
      <c r="H48" s="1777"/>
      <c r="I48" s="1777"/>
      <c r="J48" s="1777"/>
      <c r="K48" s="1777"/>
      <c r="L48" s="1777"/>
      <c r="M48" s="1778"/>
      <c r="N48" s="1651">
        <f>'8 - EVOLUÇÃO FINANCEIRA'!L48</f>
        <v>208</v>
      </c>
      <c r="O48" s="1652"/>
      <c r="P48" s="1652"/>
      <c r="Q48" s="1652"/>
      <c r="R48" s="1652"/>
      <c r="S48" s="1274"/>
      <c r="T48" s="1274"/>
      <c r="U48" s="1274"/>
      <c r="V48" s="1274"/>
      <c r="W48" s="1274"/>
      <c r="X48" s="1274"/>
      <c r="Y48" s="1274"/>
      <c r="Z48" s="1274"/>
      <c r="AA48" s="1274"/>
      <c r="AB48" s="1274"/>
      <c r="AC48" s="1274"/>
      <c r="AD48" s="1274"/>
      <c r="AE48" s="1274"/>
      <c r="AF48" s="1274"/>
      <c r="AG48" s="1275"/>
    </row>
    <row r="49" spans="3:33" ht="15" customHeight="1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3:33" ht="15" customHeight="1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3:33" ht="15" customHeight="1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3:33" ht="15" customHeight="1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3:33" ht="15" customHeight="1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3:33" ht="15" customHeight="1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3:33" ht="15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3:33" ht="15" customHeight="1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3:33" ht="15" customHeight="1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3:33" ht="15" customHeight="1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3:33" ht="15" customHeight="1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3:33" ht="15" customHeight="1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3:33" ht="15" customHeight="1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3:33" ht="15" customHeight="1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3:33" ht="15" customHeight="1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3:33" ht="15" customHeight="1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3:33" ht="15" customHeight="1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3:33" ht="15" customHeight="1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3:33" ht="15" customHeight="1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3:33" ht="15" customHeight="1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3:33" ht="15" customHeight="1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3:33" ht="15" customHeight="1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3:33" ht="15" customHeight="1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3:33" ht="15" customHeight="1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3:33" ht="15" customHeight="1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3:33" ht="15" customHeight="1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3:33" ht="15" customHeight="1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3:33" ht="15" customHeight="1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3:33" ht="15" customHeight="1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3:33" ht="15" customHeight="1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3:33" ht="15" customHeight="1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3:33" ht="15" customHeight="1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3:38" ht="15" customHeight="1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3:38" ht="15" customHeight="1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3:38" ht="15" customHeight="1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3:38" ht="15" customHeight="1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3:38" ht="15" customHeight="1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3:38" ht="15" customHeight="1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3:38" ht="15" customHeight="1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3:38" ht="15" customHeight="1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3:38" ht="15" customHeight="1" thickBot="1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3:38" ht="20.100000000000001" customHeight="1" thickTop="1">
      <c r="C90" s="1526" t="s">
        <v>55</v>
      </c>
      <c r="D90" s="1526"/>
      <c r="E90" s="1526"/>
      <c r="F90" s="1526"/>
      <c r="G90" s="1526"/>
      <c r="H90" s="1526"/>
      <c r="I90" s="1526"/>
      <c r="J90" s="1526"/>
      <c r="K90" s="1526"/>
      <c r="L90" s="1526"/>
      <c r="M90" s="1526"/>
      <c r="N90" s="1526"/>
      <c r="O90" s="1526"/>
      <c r="P90" s="1526"/>
      <c r="Q90" s="1526"/>
      <c r="R90" s="1526"/>
      <c r="S90" s="1526"/>
      <c r="T90" s="1526"/>
      <c r="U90" s="1526"/>
      <c r="V90" s="1526"/>
      <c r="W90" s="1526"/>
      <c r="X90" s="1526"/>
      <c r="Y90" s="1526"/>
      <c r="Z90" s="1526"/>
      <c r="AA90" s="1526"/>
      <c r="AB90" s="1526"/>
      <c r="AC90" s="1526"/>
      <c r="AD90" s="1650" t="s">
        <v>56</v>
      </c>
      <c r="AE90" s="1650"/>
      <c r="AF90" s="1650"/>
      <c r="AG90" s="1650"/>
    </row>
    <row r="91" spans="3:38" ht="24.9" customHeight="1" thickBot="1">
      <c r="C91" s="143" t="str">
        <f>$C$1</f>
        <v xml:space="preserve">Relatório Técnico Permanente de Engenharia 		                                                                         </v>
      </c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718" t="str">
        <f>$AB$1</f>
        <v>RTPE 524-11</v>
      </c>
      <c r="AB91" s="1718"/>
      <c r="AC91" s="1718"/>
      <c r="AD91" s="1718"/>
      <c r="AE91" s="1718"/>
      <c r="AF91" s="1718"/>
      <c r="AG91" s="1718"/>
      <c r="AH91" s="3"/>
      <c r="AI91" s="3"/>
      <c r="AJ91" s="3"/>
      <c r="AK91" s="3"/>
      <c r="AL91" s="3"/>
    </row>
    <row r="92" spans="3:38" ht="15" customHeight="1" thickTop="1"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3"/>
      <c r="AI92" s="3"/>
      <c r="AJ92" s="3"/>
      <c r="AK92" s="3"/>
      <c r="AL92" s="3"/>
    </row>
    <row r="93" spans="3:38" ht="15" customHeight="1">
      <c r="C93" s="1582" t="s">
        <v>57</v>
      </c>
      <c r="D93" s="1583"/>
      <c r="E93" s="1583"/>
      <c r="F93" s="1583"/>
      <c r="G93" s="1583"/>
      <c r="H93" s="1583"/>
      <c r="I93" s="1583"/>
      <c r="J93" s="1583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83"/>
      <c r="AA93" s="1583"/>
      <c r="AB93" s="1583"/>
      <c r="AC93" s="1583"/>
      <c r="AD93" s="1583"/>
      <c r="AE93" s="1583"/>
      <c r="AF93" s="1583"/>
      <c r="AG93" s="1584"/>
      <c r="AH93" s="3"/>
      <c r="AI93" s="3"/>
      <c r="AJ93" s="3"/>
      <c r="AK93" s="3"/>
      <c r="AL93" s="3"/>
    </row>
    <row r="94" spans="3:38" ht="15" customHeight="1">
      <c r="C94" s="1585"/>
      <c r="D94" s="1586"/>
      <c r="E94" s="1586"/>
      <c r="F94" s="1586"/>
      <c r="G94" s="1586"/>
      <c r="H94" s="1586"/>
      <c r="I94" s="1586"/>
      <c r="J94" s="1586"/>
      <c r="K94" s="1586"/>
      <c r="L94" s="1586"/>
      <c r="M94" s="1586"/>
      <c r="N94" s="1586"/>
      <c r="O94" s="1586"/>
      <c r="P94" s="1586"/>
      <c r="Q94" s="1586"/>
      <c r="R94" s="1586"/>
      <c r="S94" s="1586"/>
      <c r="T94" s="1586"/>
      <c r="U94" s="1586"/>
      <c r="V94" s="1586"/>
      <c r="W94" s="1586"/>
      <c r="X94" s="1586"/>
      <c r="Y94" s="1586"/>
      <c r="Z94" s="1586"/>
      <c r="AA94" s="1586"/>
      <c r="AB94" s="1586"/>
      <c r="AC94" s="1586"/>
      <c r="AD94" s="1586"/>
      <c r="AE94" s="1586"/>
      <c r="AF94" s="1586"/>
      <c r="AG94" s="1587"/>
      <c r="AH94" s="3"/>
      <c r="AI94" s="3"/>
      <c r="AJ94" s="3"/>
      <c r="AK94" s="3"/>
      <c r="AL94" s="3"/>
    </row>
    <row r="95" spans="3:38" ht="15" customHeight="1">
      <c r="C95" s="1409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554"/>
      <c r="AH95" s="3"/>
      <c r="AI95" s="3"/>
      <c r="AJ95" s="3"/>
      <c r="AK95" s="3"/>
      <c r="AL95" s="3"/>
    </row>
    <row r="96" spans="3:38" ht="15" customHeight="1">
      <c r="C96" s="1505" t="s">
        <v>28</v>
      </c>
      <c r="D96" s="1506"/>
      <c r="E96" s="1506"/>
      <c r="F96" s="1506"/>
      <c r="G96" s="1506"/>
      <c r="H96" s="1570" t="str">
        <f>J22</f>
        <v>DP Barros Pavimentação e Construção Ltda</v>
      </c>
      <c r="I96" s="1570"/>
      <c r="J96" s="1570"/>
      <c r="K96" s="1570"/>
      <c r="L96" s="1570"/>
      <c r="M96" s="1570"/>
      <c r="N96" s="1570"/>
      <c r="O96" s="1570"/>
      <c r="P96" s="1570"/>
      <c r="Q96" s="1570"/>
      <c r="R96" s="1570"/>
      <c r="S96" s="1570"/>
      <c r="T96" s="1570"/>
      <c r="U96" s="1571"/>
      <c r="V96" s="1505" t="s">
        <v>58</v>
      </c>
      <c r="W96" s="1506"/>
      <c r="X96" s="1506"/>
      <c r="Y96" s="1506"/>
      <c r="Z96" s="1506"/>
      <c r="AA96" s="1574">
        <v>34</v>
      </c>
      <c r="AB96" s="1574"/>
      <c r="AC96" s="1574"/>
      <c r="AD96" s="1574"/>
      <c r="AE96" s="1574"/>
      <c r="AF96" s="1574"/>
      <c r="AG96" s="1575"/>
      <c r="AH96" s="3"/>
      <c r="AI96" s="3"/>
      <c r="AJ96" s="3"/>
      <c r="AK96" s="3"/>
      <c r="AL96" s="3"/>
    </row>
    <row r="97" spans="3:70" ht="15" customHeight="1">
      <c r="C97" s="1507"/>
      <c r="D97" s="1508"/>
      <c r="E97" s="1508"/>
      <c r="F97" s="1508"/>
      <c r="G97" s="1508"/>
      <c r="H97" s="1572"/>
      <c r="I97" s="1572"/>
      <c r="J97" s="1572"/>
      <c r="K97" s="1572"/>
      <c r="L97" s="1572"/>
      <c r="M97" s="1572"/>
      <c r="N97" s="1572"/>
      <c r="O97" s="1572"/>
      <c r="P97" s="1572"/>
      <c r="Q97" s="1572"/>
      <c r="R97" s="1572"/>
      <c r="S97" s="1572"/>
      <c r="T97" s="1572"/>
      <c r="U97" s="1573"/>
      <c r="V97" s="1507" t="s">
        <v>59</v>
      </c>
      <c r="W97" s="1508"/>
      <c r="X97" s="1508"/>
      <c r="Y97" s="1508"/>
      <c r="Z97" s="1508"/>
      <c r="AA97" s="1576" t="s">
        <v>60</v>
      </c>
      <c r="AB97" s="1576"/>
      <c r="AC97" s="1576"/>
      <c r="AD97" s="1576"/>
      <c r="AE97" s="1576"/>
      <c r="AF97" s="1576"/>
      <c r="AG97" s="1577"/>
      <c r="AH97" s="3"/>
      <c r="AI97" s="3"/>
      <c r="AJ97" s="3"/>
      <c r="AK97" s="3"/>
      <c r="AL97" s="3"/>
    </row>
    <row r="98" spans="3:70" ht="30" customHeight="1">
      <c r="C98" s="1507" t="s">
        <v>61</v>
      </c>
      <c r="D98" s="1508"/>
      <c r="E98" s="1508"/>
      <c r="F98" s="1508"/>
      <c r="G98" s="1508"/>
      <c r="H98" s="1754" t="s">
        <v>62</v>
      </c>
      <c r="I98" s="1578"/>
      <c r="J98" s="1578"/>
      <c r="K98" s="1578"/>
      <c r="L98" s="1578"/>
      <c r="M98" s="1578"/>
      <c r="N98" s="1578"/>
      <c r="O98" s="1578"/>
      <c r="P98" s="1578"/>
      <c r="Q98" s="1578"/>
      <c r="R98" s="1578"/>
      <c r="S98" s="1578"/>
      <c r="T98" s="1578"/>
      <c r="U98" s="1579"/>
      <c r="V98" s="1507" t="s">
        <v>63</v>
      </c>
      <c r="W98" s="1508"/>
      <c r="X98" s="1508"/>
      <c r="Y98" s="1508"/>
      <c r="Z98" s="1508"/>
      <c r="AA98" s="1752" t="str">
        <f>J24</f>
        <v>009/2021</v>
      </c>
      <c r="AB98" s="1752"/>
      <c r="AC98" s="1752"/>
      <c r="AD98" s="1752"/>
      <c r="AE98" s="1752"/>
      <c r="AF98" s="1752"/>
      <c r="AG98" s="1753"/>
      <c r="AH98" s="3"/>
      <c r="AI98" s="3"/>
      <c r="AJ98" s="3"/>
      <c r="AK98" s="3"/>
      <c r="AL98" s="3"/>
    </row>
    <row r="99" spans="3:70" ht="15" customHeight="1">
      <c r="C99" s="1602" t="s">
        <v>64</v>
      </c>
      <c r="D99" s="1602"/>
      <c r="E99" s="1602"/>
      <c r="F99" s="1602"/>
      <c r="G99" s="1602"/>
      <c r="H99" s="1582" t="s">
        <v>65</v>
      </c>
      <c r="I99" s="1583"/>
      <c r="J99" s="1583"/>
      <c r="K99" s="1583"/>
      <c r="L99" s="1583"/>
      <c r="M99" s="1583"/>
      <c r="N99" s="1583"/>
      <c r="O99" s="1583"/>
      <c r="P99" s="1583"/>
      <c r="Q99" s="1583"/>
      <c r="R99" s="1583"/>
      <c r="S99" s="1583"/>
      <c r="T99" s="1584"/>
      <c r="U99" s="1582" t="s">
        <v>66</v>
      </c>
      <c r="V99" s="1583"/>
      <c r="W99" s="1583"/>
      <c r="X99" s="1584"/>
      <c r="Y99" s="1602" t="s">
        <v>67</v>
      </c>
      <c r="Z99" s="1602"/>
      <c r="AA99" s="1602"/>
      <c r="AB99" s="1602"/>
      <c r="AC99" s="1602"/>
      <c r="AD99" s="1602"/>
      <c r="AE99" s="1602"/>
      <c r="AF99" s="1602"/>
      <c r="AG99" s="1602"/>
      <c r="AH99" s="3"/>
      <c r="AI99" s="3"/>
      <c r="AJ99" s="3"/>
      <c r="AK99" s="3"/>
      <c r="AL99" s="3"/>
    </row>
    <row r="100" spans="3:70" ht="15" customHeight="1">
      <c r="C100" s="1602"/>
      <c r="D100" s="1602"/>
      <c r="E100" s="1602"/>
      <c r="F100" s="1602"/>
      <c r="G100" s="1602"/>
      <c r="H100" s="1585"/>
      <c r="I100" s="1586"/>
      <c r="J100" s="1586"/>
      <c r="K100" s="1586"/>
      <c r="L100" s="1586"/>
      <c r="M100" s="1586"/>
      <c r="N100" s="1586"/>
      <c r="O100" s="1586"/>
      <c r="P100" s="1586"/>
      <c r="Q100" s="1586"/>
      <c r="R100" s="1586"/>
      <c r="S100" s="1586"/>
      <c r="T100" s="1587"/>
      <c r="U100" s="1585"/>
      <c r="V100" s="1586"/>
      <c r="W100" s="1586"/>
      <c r="X100" s="1587"/>
      <c r="Y100" s="1624" t="s">
        <v>68</v>
      </c>
      <c r="Z100" s="1624"/>
      <c r="AA100" s="1624"/>
      <c r="AB100" s="1625" t="s">
        <v>69</v>
      </c>
      <c r="AC100" s="1625"/>
      <c r="AD100" s="1625"/>
      <c r="AE100" s="1623"/>
      <c r="AF100" s="1623"/>
      <c r="AG100" s="1623"/>
      <c r="AH100" s="3"/>
      <c r="AI100" s="3"/>
      <c r="AJ100" s="3"/>
      <c r="AK100" s="3"/>
      <c r="AL100" s="3"/>
      <c r="AM100" s="1798"/>
      <c r="AN100" s="1798"/>
      <c r="AO100" s="1798"/>
      <c r="AP100" s="1798"/>
      <c r="AQ100" s="1798"/>
      <c r="AR100" s="1798"/>
      <c r="AS100" s="1798"/>
      <c r="AT100" s="1798"/>
      <c r="AU100" s="1798"/>
      <c r="AV100" s="1798"/>
      <c r="AW100" s="1798"/>
      <c r="AX100" s="1798"/>
      <c r="AY100" s="1798"/>
      <c r="AZ100" s="1798"/>
      <c r="BA100" s="1798"/>
      <c r="BB100" s="1798"/>
      <c r="BC100" s="1798"/>
      <c r="BD100" s="1798"/>
      <c r="BE100" s="1798"/>
      <c r="BF100" s="1798"/>
      <c r="BG100" s="1798"/>
      <c r="BH100" s="1798"/>
      <c r="BI100" s="1798"/>
      <c r="BJ100" s="1798"/>
      <c r="BK100" s="1798"/>
      <c r="BL100" s="1798"/>
      <c r="BM100" s="1798"/>
      <c r="BN100" s="1798"/>
      <c r="BO100" s="1798"/>
      <c r="BP100" s="1798"/>
      <c r="BQ100" s="1"/>
      <c r="BR100" s="1112"/>
    </row>
    <row r="101" spans="3:70" ht="15" customHeight="1">
      <c r="C101" s="1565" t="s">
        <v>70</v>
      </c>
      <c r="D101" s="1565"/>
      <c r="E101" s="1565"/>
      <c r="F101" s="1565"/>
      <c r="G101" s="1565"/>
      <c r="H101" s="1565"/>
      <c r="I101" s="1565"/>
      <c r="J101" s="1565"/>
      <c r="K101" s="1565"/>
      <c r="L101" s="1565"/>
      <c r="M101" s="1565"/>
      <c r="N101" s="1565"/>
      <c r="O101" s="1565"/>
      <c r="P101" s="1565"/>
      <c r="Q101" s="1565"/>
      <c r="R101" s="1565"/>
      <c r="S101" s="1565"/>
      <c r="T101" s="1565"/>
      <c r="U101" s="1565"/>
      <c r="V101" s="1565"/>
      <c r="W101" s="1565"/>
      <c r="X101" s="1565"/>
      <c r="Y101" s="1565"/>
      <c r="Z101" s="1565"/>
      <c r="AA101" s="1565"/>
      <c r="AB101" s="1565"/>
      <c r="AC101" s="1565"/>
      <c r="AD101" s="1565"/>
      <c r="AE101" s="1565"/>
      <c r="AF101" s="1565"/>
      <c r="AG101" s="1565"/>
      <c r="AH101" s="3"/>
      <c r="AI101" s="3"/>
      <c r="AJ101" s="3"/>
      <c r="AK101" s="3"/>
      <c r="AL101" s="6"/>
      <c r="AM101" s="702">
        <v>1</v>
      </c>
      <c r="AN101" s="702">
        <v>2</v>
      </c>
      <c r="AO101" s="702">
        <v>3</v>
      </c>
      <c r="AP101" s="1156">
        <v>4</v>
      </c>
      <c r="AQ101" s="1156">
        <v>5</v>
      </c>
      <c r="AR101" s="702">
        <v>6</v>
      </c>
      <c r="AS101" s="1113">
        <v>7</v>
      </c>
      <c r="AT101" s="702">
        <v>8</v>
      </c>
      <c r="AU101" s="702">
        <v>9</v>
      </c>
      <c r="AV101" s="702">
        <v>10</v>
      </c>
      <c r="AW101" s="47">
        <v>11</v>
      </c>
      <c r="AX101" s="47">
        <v>12</v>
      </c>
      <c r="AY101" s="702">
        <v>13</v>
      </c>
      <c r="AZ101" s="1113">
        <v>14</v>
      </c>
      <c r="BA101" s="702">
        <v>15</v>
      </c>
      <c r="BB101" s="702">
        <v>16</v>
      </c>
      <c r="BC101" s="702">
        <v>17</v>
      </c>
      <c r="BD101" s="47">
        <v>18</v>
      </c>
      <c r="BE101" s="47">
        <v>19</v>
      </c>
      <c r="BF101" s="702">
        <v>20</v>
      </c>
      <c r="BG101" s="1113">
        <v>21</v>
      </c>
      <c r="BH101" s="702">
        <v>22</v>
      </c>
      <c r="BI101" s="702">
        <v>23</v>
      </c>
      <c r="BJ101" s="702">
        <v>24</v>
      </c>
      <c r="BK101" s="47">
        <v>25</v>
      </c>
      <c r="BL101" s="47">
        <v>26</v>
      </c>
      <c r="BM101" s="702">
        <v>27</v>
      </c>
      <c r="BN101" s="702">
        <v>28</v>
      </c>
      <c r="BO101" s="702">
        <v>29</v>
      </c>
      <c r="BP101" s="702">
        <v>30</v>
      </c>
      <c r="BQ101" s="702">
        <v>31</v>
      </c>
      <c r="BR101" s="122" t="s">
        <v>71</v>
      </c>
    </row>
    <row r="102" spans="3:70" ht="15" customHeight="1">
      <c r="C102" s="1468">
        <v>1</v>
      </c>
      <c r="D102" s="1468"/>
      <c r="E102" s="1468"/>
      <c r="F102" s="1468"/>
      <c r="G102" s="1468"/>
      <c r="H102" s="1617" t="str">
        <f>AL122</f>
        <v>Engenheiro</v>
      </c>
      <c r="I102" s="1617"/>
      <c r="J102" s="1617"/>
      <c r="K102" s="1617"/>
      <c r="L102" s="1617"/>
      <c r="M102" s="1617"/>
      <c r="N102" s="1617"/>
      <c r="O102" s="1617"/>
      <c r="P102" s="1617"/>
      <c r="Q102" s="1617"/>
      <c r="R102" s="1617"/>
      <c r="S102" s="1617"/>
      <c r="T102" s="1617"/>
      <c r="U102" s="1483" t="str">
        <f>U103</f>
        <v>Subcontratada</v>
      </c>
      <c r="V102" s="1483"/>
      <c r="W102" s="1483"/>
      <c r="X102" s="1483"/>
      <c r="Y102" s="1607"/>
      <c r="Z102" s="1608"/>
      <c r="AA102" s="1609"/>
      <c r="AB102" s="1621">
        <f>BR122</f>
        <v>2</v>
      </c>
      <c r="AC102" s="1621"/>
      <c r="AD102" s="1621"/>
      <c r="AE102" s="1488"/>
      <c r="AF102" s="1489"/>
      <c r="AG102" s="1490"/>
      <c r="AH102" s="3"/>
      <c r="AI102" s="3"/>
      <c r="AJ102" s="3"/>
      <c r="AK102" s="3"/>
      <c r="AL102" s="11" t="s">
        <v>72</v>
      </c>
      <c r="AM102" s="1114"/>
      <c r="AN102" s="1114"/>
      <c r="AO102" s="1114"/>
      <c r="AP102" s="1114"/>
      <c r="AQ102" s="1114"/>
      <c r="AR102" s="1114"/>
      <c r="AS102" s="1114"/>
      <c r="AT102" s="1114"/>
      <c r="AU102" s="1114"/>
      <c r="AV102" s="1114"/>
      <c r="AW102" s="1114"/>
      <c r="AX102" s="1114"/>
      <c r="AY102" s="1114"/>
      <c r="AZ102" s="1114"/>
      <c r="BA102" s="1114"/>
      <c r="BB102" s="1114"/>
      <c r="BC102" s="1114"/>
      <c r="BD102" s="1114"/>
      <c r="BE102" s="1114"/>
      <c r="BF102" s="1114"/>
      <c r="BG102" s="1114"/>
      <c r="BH102" s="1114"/>
      <c r="BI102" s="1114"/>
      <c r="BJ102" s="1114"/>
      <c r="BK102" s="1114"/>
      <c r="BL102" s="1114"/>
      <c r="BM102" s="1114"/>
      <c r="BN102" s="1114"/>
      <c r="BO102" s="1114"/>
      <c r="BP102" s="1114"/>
      <c r="BQ102" s="1114"/>
      <c r="BR102" s="122" t="e">
        <f t="shared" ref="BR102:BR119" si="0">AVERAGE((AM102:BQ102))</f>
        <v>#DIV/0!</v>
      </c>
    </row>
    <row r="103" spans="3:70" ht="15" customHeight="1">
      <c r="C103" s="1484">
        <v>2</v>
      </c>
      <c r="D103" s="1616"/>
      <c r="E103" s="1616"/>
      <c r="F103" s="1616"/>
      <c r="G103" s="1485"/>
      <c r="H103" s="1618" t="s">
        <v>73</v>
      </c>
      <c r="I103" s="1619"/>
      <c r="J103" s="1619"/>
      <c r="K103" s="1619"/>
      <c r="L103" s="1619"/>
      <c r="M103" s="1619"/>
      <c r="N103" s="1619"/>
      <c r="O103" s="1619"/>
      <c r="P103" s="1619"/>
      <c r="Q103" s="1619"/>
      <c r="R103" s="1619"/>
      <c r="S103" s="1619"/>
      <c r="T103" s="1620"/>
      <c r="U103" s="1483" t="s">
        <v>74</v>
      </c>
      <c r="V103" s="1483"/>
      <c r="W103" s="1483"/>
      <c r="X103" s="1483"/>
      <c r="Y103" s="1607"/>
      <c r="Z103" s="1607"/>
      <c r="AA103" s="1607"/>
      <c r="AB103" s="1785">
        <f>BR110</f>
        <v>3</v>
      </c>
      <c r="AC103" s="1785"/>
      <c r="AD103" s="1785"/>
      <c r="AE103" s="1488"/>
      <c r="AF103" s="1489"/>
      <c r="AG103" s="1490"/>
      <c r="AH103" s="3"/>
      <c r="AI103" s="3"/>
      <c r="AJ103" s="3"/>
      <c r="AK103" s="3"/>
      <c r="AL103" s="11" t="s">
        <v>75</v>
      </c>
      <c r="AM103" s="1114"/>
      <c r="AN103" s="1114"/>
      <c r="AO103" s="1114"/>
      <c r="AP103" s="1114"/>
      <c r="AQ103" s="1114"/>
      <c r="AR103" s="1114"/>
      <c r="AS103" s="1114"/>
      <c r="AT103" s="1114"/>
      <c r="AU103" s="1114"/>
      <c r="AV103" s="1114"/>
      <c r="AW103" s="1114"/>
      <c r="AX103" s="1114"/>
      <c r="AY103" s="1114"/>
      <c r="AZ103" s="1114"/>
      <c r="BA103" s="1114"/>
      <c r="BB103" s="1114"/>
      <c r="BC103" s="1114"/>
      <c r="BD103" s="1114"/>
      <c r="BE103" s="1114"/>
      <c r="BF103" s="1114"/>
      <c r="BG103" s="1114"/>
      <c r="BH103" s="1114"/>
      <c r="BI103" s="1114"/>
      <c r="BJ103" s="1114"/>
      <c r="BK103" s="1114"/>
      <c r="BL103" s="1114"/>
      <c r="BM103" s="1114"/>
      <c r="BN103" s="1114"/>
      <c r="BO103" s="1114"/>
      <c r="BP103" s="1114"/>
      <c r="BQ103" s="702"/>
      <c r="BR103" s="122" t="e">
        <f t="shared" si="0"/>
        <v>#DIV/0!</v>
      </c>
    </row>
    <row r="104" spans="3:70" ht="15" customHeight="1">
      <c r="C104" s="1484">
        <v>3</v>
      </c>
      <c r="D104" s="1616"/>
      <c r="E104" s="1616"/>
      <c r="F104" s="1616"/>
      <c r="G104" s="1485"/>
      <c r="H104" s="1617" t="str">
        <f>AL134</f>
        <v>Auxiliar de Limpeza</v>
      </c>
      <c r="I104" s="1617"/>
      <c r="J104" s="1617"/>
      <c r="K104" s="1617"/>
      <c r="L104" s="1617"/>
      <c r="M104" s="1617"/>
      <c r="N104" s="1617"/>
      <c r="O104" s="1617"/>
      <c r="P104" s="1617"/>
      <c r="Q104" s="1617"/>
      <c r="R104" s="1617"/>
      <c r="S104" s="1617"/>
      <c r="T104" s="1617"/>
      <c r="U104" s="1483" t="s">
        <v>76</v>
      </c>
      <c r="V104" s="1483"/>
      <c r="W104" s="1483"/>
      <c r="X104" s="1483"/>
      <c r="Y104" s="1607"/>
      <c r="Z104" s="1608"/>
      <c r="AA104" s="1609"/>
      <c r="AB104" s="1785">
        <f>BR134</f>
        <v>1</v>
      </c>
      <c r="AC104" s="1786"/>
      <c r="AD104" s="1787"/>
      <c r="AE104" s="1488"/>
      <c r="AF104" s="1489"/>
      <c r="AG104" s="1490"/>
      <c r="AH104" s="3"/>
      <c r="AI104" s="3"/>
      <c r="AJ104" s="3"/>
      <c r="AK104" s="3"/>
      <c r="AL104" s="11" t="s">
        <v>77</v>
      </c>
      <c r="AM104" s="1114"/>
      <c r="AN104" s="1114"/>
      <c r="AO104" s="1114"/>
      <c r="AP104" s="1114"/>
      <c r="AQ104" s="1114"/>
      <c r="AR104" s="1114"/>
      <c r="AS104" s="1114"/>
      <c r="AT104" s="1114"/>
      <c r="AU104" s="1114"/>
      <c r="AV104" s="1114"/>
      <c r="AW104" s="1114"/>
      <c r="AX104" s="1114"/>
      <c r="AY104" s="1114"/>
      <c r="AZ104" s="1114"/>
      <c r="BA104" s="1114"/>
      <c r="BB104" s="1114"/>
      <c r="BC104" s="1114"/>
      <c r="BD104" s="1114"/>
      <c r="BE104" s="1114"/>
      <c r="BF104" s="1114"/>
      <c r="BG104" s="1114"/>
      <c r="BH104" s="1114"/>
      <c r="BI104" s="1114"/>
      <c r="BJ104" s="1114"/>
      <c r="BK104" s="1114"/>
      <c r="BL104" s="1114"/>
      <c r="BM104" s="1114"/>
      <c r="BN104" s="1114"/>
      <c r="BO104" s="1114"/>
      <c r="BP104" s="1114"/>
      <c r="BQ104" s="702"/>
      <c r="BR104" s="122" t="e">
        <f t="shared" si="0"/>
        <v>#DIV/0!</v>
      </c>
    </row>
    <row r="105" spans="3:70" ht="15" customHeight="1">
      <c r="C105" s="1468">
        <v>4</v>
      </c>
      <c r="D105" s="1468"/>
      <c r="E105" s="1468"/>
      <c r="F105" s="1468"/>
      <c r="G105" s="1468"/>
      <c r="H105" s="1617" t="str">
        <f>AL119</f>
        <v>Almoxarife</v>
      </c>
      <c r="I105" s="1617"/>
      <c r="J105" s="1617"/>
      <c r="K105" s="1617"/>
      <c r="L105" s="1617"/>
      <c r="M105" s="1617"/>
      <c r="N105" s="1617"/>
      <c r="O105" s="1617"/>
      <c r="P105" s="1617"/>
      <c r="Q105" s="1617"/>
      <c r="R105" s="1617"/>
      <c r="S105" s="1617"/>
      <c r="T105" s="1617"/>
      <c r="U105" s="1604" t="s">
        <v>76</v>
      </c>
      <c r="V105" s="1605"/>
      <c r="W105" s="1605"/>
      <c r="X105" s="1606"/>
      <c r="Y105" s="1607"/>
      <c r="Z105" s="1608"/>
      <c r="AA105" s="1609"/>
      <c r="AB105" s="1785">
        <f>BR119</f>
        <v>1</v>
      </c>
      <c r="AC105" s="1786"/>
      <c r="AD105" s="1787"/>
      <c r="AE105" s="1488"/>
      <c r="AF105" s="1489"/>
      <c r="AG105" s="1490"/>
      <c r="AH105" s="3"/>
      <c r="AI105" s="3"/>
      <c r="AJ105" s="3"/>
      <c r="AK105" s="3"/>
      <c r="AL105" s="234" t="s">
        <v>78</v>
      </c>
      <c r="AM105" s="1114"/>
      <c r="AN105" s="1114"/>
      <c r="AO105" s="1114"/>
      <c r="AP105" s="1114"/>
      <c r="AQ105" s="1114"/>
      <c r="AR105" s="1114"/>
      <c r="AS105" s="1114"/>
      <c r="AT105" s="1114"/>
      <c r="AU105" s="1114"/>
      <c r="AV105" s="1114"/>
      <c r="AW105" s="1114"/>
      <c r="AX105" s="1114"/>
      <c r="AY105" s="1114"/>
      <c r="AZ105" s="1114"/>
      <c r="BA105" s="1114"/>
      <c r="BB105" s="1114"/>
      <c r="BC105" s="1114"/>
      <c r="BD105" s="1114"/>
      <c r="BE105" s="1114"/>
      <c r="BF105" s="1114"/>
      <c r="BG105" s="1114"/>
      <c r="BH105" s="1114"/>
      <c r="BI105" s="1114"/>
      <c r="BJ105" s="1114"/>
      <c r="BK105" s="1114"/>
      <c r="BL105" s="1114"/>
      <c r="BM105" s="1114"/>
      <c r="BN105" s="1114"/>
      <c r="BO105" s="1114"/>
      <c r="BP105" s="1114"/>
      <c r="BQ105" s="702"/>
      <c r="BR105" s="122" t="e">
        <f t="shared" si="0"/>
        <v>#DIV/0!</v>
      </c>
    </row>
    <row r="106" spans="3:70" ht="15" customHeight="1">
      <c r="C106" s="1468"/>
      <c r="D106" s="1468"/>
      <c r="E106" s="1468"/>
      <c r="F106" s="1468"/>
      <c r="G106" s="1468"/>
      <c r="H106" s="1617"/>
      <c r="I106" s="1617"/>
      <c r="J106" s="1617"/>
      <c r="K106" s="1617"/>
      <c r="L106" s="1617"/>
      <c r="M106" s="1617"/>
      <c r="N106" s="1617"/>
      <c r="O106" s="1617"/>
      <c r="P106" s="1617"/>
      <c r="Q106" s="1617"/>
      <c r="R106" s="1617"/>
      <c r="S106" s="1617"/>
      <c r="T106" s="1617"/>
      <c r="U106" s="1483"/>
      <c r="V106" s="1483"/>
      <c r="W106" s="1483"/>
      <c r="X106" s="1483"/>
      <c r="Y106" s="1607"/>
      <c r="Z106" s="1608"/>
      <c r="AA106" s="1609"/>
      <c r="AB106" s="1621"/>
      <c r="AC106" s="1621"/>
      <c r="AD106" s="1621"/>
      <c r="AE106" s="1488"/>
      <c r="AF106" s="1489"/>
      <c r="AG106" s="1490"/>
      <c r="AH106" s="3"/>
      <c r="AI106" s="708">
        <f>AVERAGE(AB105,AB106)</f>
        <v>1</v>
      </c>
      <c r="AJ106" s="3"/>
      <c r="AK106" s="3"/>
      <c r="AL106" s="11" t="s">
        <v>79</v>
      </c>
      <c r="AM106" s="1114"/>
      <c r="AN106" s="1114"/>
      <c r="AO106" s="1114"/>
      <c r="AP106" s="1114"/>
      <c r="AQ106" s="1114"/>
      <c r="AR106" s="1114"/>
      <c r="AS106" s="1114"/>
      <c r="AT106" s="1114"/>
      <c r="AU106" s="1114"/>
      <c r="AV106" s="1114"/>
      <c r="AW106" s="1114"/>
      <c r="AX106" s="1114"/>
      <c r="AY106" s="1114"/>
      <c r="AZ106" s="1114"/>
      <c r="BA106" s="1114"/>
      <c r="BB106" s="1114"/>
      <c r="BC106" s="1114"/>
      <c r="BD106" s="1114"/>
      <c r="BE106" s="1114"/>
      <c r="BF106" s="1114"/>
      <c r="BG106" s="1114"/>
      <c r="BH106" s="1114"/>
      <c r="BI106" s="1114"/>
      <c r="BJ106" s="1114"/>
      <c r="BK106" s="1114"/>
      <c r="BL106" s="1114"/>
      <c r="BM106" s="1114"/>
      <c r="BN106" s="1114"/>
      <c r="BO106" s="1114"/>
      <c r="BP106" s="1114"/>
      <c r="BQ106" s="702"/>
      <c r="BR106" s="122" t="e">
        <f t="shared" si="0"/>
        <v>#DIV/0!</v>
      </c>
    </row>
    <row r="107" spans="3:70" ht="15" customHeight="1">
      <c r="C107" s="1468"/>
      <c r="D107" s="1468"/>
      <c r="E107" s="1468"/>
      <c r="F107" s="1468"/>
      <c r="G107" s="1468"/>
      <c r="H107" s="1617"/>
      <c r="I107" s="1617"/>
      <c r="J107" s="1617"/>
      <c r="K107" s="1617"/>
      <c r="L107" s="1617"/>
      <c r="M107" s="1617"/>
      <c r="N107" s="1617"/>
      <c r="O107" s="1617"/>
      <c r="P107" s="1617"/>
      <c r="Q107" s="1617"/>
      <c r="R107" s="1617"/>
      <c r="S107" s="1617"/>
      <c r="T107" s="1617"/>
      <c r="U107" s="1483"/>
      <c r="V107" s="1483"/>
      <c r="W107" s="1483"/>
      <c r="X107" s="1483"/>
      <c r="Y107" s="1607"/>
      <c r="Z107" s="1608"/>
      <c r="AA107" s="1609"/>
      <c r="AB107" s="1621"/>
      <c r="AC107" s="1621"/>
      <c r="AD107" s="1621"/>
      <c r="AE107" s="1488"/>
      <c r="AF107" s="1489"/>
      <c r="AG107" s="1490"/>
      <c r="AH107" s="3"/>
      <c r="AI107" s="3"/>
      <c r="AJ107" s="3"/>
      <c r="AK107" s="3"/>
      <c r="AL107" s="11" t="s">
        <v>80</v>
      </c>
      <c r="AM107" s="1114"/>
      <c r="AN107" s="1114"/>
      <c r="AO107" s="1114"/>
      <c r="AP107" s="1114"/>
      <c r="AQ107" s="1114"/>
      <c r="AR107" s="1114"/>
      <c r="AS107" s="1114"/>
      <c r="AT107" s="1114"/>
      <c r="AU107" s="1114"/>
      <c r="AV107" s="1114"/>
      <c r="AW107" s="1114"/>
      <c r="AX107" s="1114"/>
      <c r="AY107" s="1114"/>
      <c r="AZ107" s="1114"/>
      <c r="BA107" s="1114"/>
      <c r="BB107" s="1114"/>
      <c r="BC107" s="1114"/>
      <c r="BD107" s="1114"/>
      <c r="BE107" s="1114"/>
      <c r="BF107" s="1114"/>
      <c r="BG107" s="1114"/>
      <c r="BH107" s="1114"/>
      <c r="BI107" s="1114"/>
      <c r="BJ107" s="1114"/>
      <c r="BK107" s="1114"/>
      <c r="BL107" s="1114"/>
      <c r="BM107" s="1114"/>
      <c r="BN107" s="1114"/>
      <c r="BO107" s="1114"/>
      <c r="BP107" s="1114"/>
      <c r="BQ107" s="1114"/>
      <c r="BR107" s="122" t="e">
        <f t="shared" si="0"/>
        <v>#DIV/0!</v>
      </c>
    </row>
    <row r="108" spans="3:70" ht="15" customHeight="1">
      <c r="C108" s="1468"/>
      <c r="D108" s="1468"/>
      <c r="E108" s="1468"/>
      <c r="F108" s="1468"/>
      <c r="G108" s="1468"/>
      <c r="H108" s="1617"/>
      <c r="I108" s="1617"/>
      <c r="J108" s="1617"/>
      <c r="K108" s="1617"/>
      <c r="L108" s="1617"/>
      <c r="M108" s="1617"/>
      <c r="N108" s="1617"/>
      <c r="O108" s="1617"/>
      <c r="P108" s="1617"/>
      <c r="Q108" s="1617"/>
      <c r="R108" s="1617"/>
      <c r="S108" s="1617"/>
      <c r="T108" s="1617"/>
      <c r="U108" s="1483"/>
      <c r="V108" s="1483"/>
      <c r="W108" s="1483"/>
      <c r="X108" s="1483"/>
      <c r="Y108" s="1622"/>
      <c r="Z108" s="1622"/>
      <c r="AA108" s="1622"/>
      <c r="AB108" s="1621"/>
      <c r="AC108" s="1621"/>
      <c r="AD108" s="1621"/>
      <c r="AE108" s="1488"/>
      <c r="AF108" s="1489"/>
      <c r="AG108" s="1490"/>
      <c r="AH108" s="3"/>
      <c r="AI108" s="3"/>
      <c r="AJ108" s="3"/>
      <c r="AK108" s="3"/>
      <c r="AL108" s="11" t="s">
        <v>81</v>
      </c>
      <c r="AM108" s="1114"/>
      <c r="AN108" s="1114"/>
      <c r="AO108" s="1114"/>
      <c r="AP108" s="1114"/>
      <c r="AQ108" s="1114"/>
      <c r="AR108" s="1114"/>
      <c r="AS108" s="1114"/>
      <c r="AT108" s="1114"/>
      <c r="AU108" s="1114"/>
      <c r="AV108" s="1114"/>
      <c r="AW108" s="1114"/>
      <c r="AX108" s="1114"/>
      <c r="AY108" s="1114"/>
      <c r="AZ108" s="1114"/>
      <c r="BA108" s="1114"/>
      <c r="BB108" s="1114"/>
      <c r="BC108" s="1114"/>
      <c r="BD108" s="1114"/>
      <c r="BE108" s="1114"/>
      <c r="BF108" s="1114"/>
      <c r="BG108" s="1114"/>
      <c r="BH108" s="1114"/>
      <c r="BI108" s="1114"/>
      <c r="BJ108" s="1114"/>
      <c r="BK108" s="1114"/>
      <c r="BL108" s="1114"/>
      <c r="BM108" s="1114"/>
      <c r="BN108" s="1114"/>
      <c r="BO108" s="1114"/>
      <c r="BP108" s="1114"/>
      <c r="BQ108" s="1114"/>
      <c r="BR108" s="122" t="e">
        <f t="shared" si="0"/>
        <v>#DIV/0!</v>
      </c>
    </row>
    <row r="109" spans="3:70" ht="15" customHeight="1">
      <c r="C109" s="1468"/>
      <c r="D109" s="1468"/>
      <c r="E109" s="1468"/>
      <c r="F109" s="1468"/>
      <c r="G109" s="1468"/>
      <c r="H109" s="1617"/>
      <c r="I109" s="1617"/>
      <c r="J109" s="1617"/>
      <c r="K109" s="1617"/>
      <c r="L109" s="1617"/>
      <c r="M109" s="1617"/>
      <c r="N109" s="1617"/>
      <c r="O109" s="1617"/>
      <c r="P109" s="1617"/>
      <c r="Q109" s="1617"/>
      <c r="R109" s="1617"/>
      <c r="S109" s="1617"/>
      <c r="T109" s="1617"/>
      <c r="U109" s="1483"/>
      <c r="V109" s="1483"/>
      <c r="W109" s="1483"/>
      <c r="X109" s="1483"/>
      <c r="Y109" s="1622"/>
      <c r="Z109" s="1622"/>
      <c r="AA109" s="1622"/>
      <c r="AB109" s="1621"/>
      <c r="AC109" s="1621"/>
      <c r="AD109" s="1621"/>
      <c r="AE109" s="1488"/>
      <c r="AF109" s="1489"/>
      <c r="AG109" s="1490"/>
      <c r="AH109" s="3"/>
      <c r="AI109" s="3"/>
      <c r="AJ109" s="3"/>
      <c r="AK109" s="3"/>
      <c r="AL109" s="11" t="s">
        <v>82</v>
      </c>
      <c r="AM109" s="1114"/>
      <c r="AN109" s="1114"/>
      <c r="AO109" s="1114"/>
      <c r="AP109" s="1114"/>
      <c r="AQ109" s="1114"/>
      <c r="AR109" s="1114"/>
      <c r="AS109" s="1114"/>
      <c r="AT109" s="1114"/>
      <c r="AU109" s="1114"/>
      <c r="AV109" s="1114"/>
      <c r="AW109" s="1114"/>
      <c r="AX109" s="1114"/>
      <c r="AY109" s="1114"/>
      <c r="AZ109" s="1114"/>
      <c r="BA109" s="1114"/>
      <c r="BB109" s="1114"/>
      <c r="BC109" s="1114"/>
      <c r="BD109" s="1114"/>
      <c r="BE109" s="1114"/>
      <c r="BF109" s="1114"/>
      <c r="BG109" s="1114"/>
      <c r="BH109" s="1114"/>
      <c r="BI109" s="1114"/>
      <c r="BJ109" s="1114"/>
      <c r="BK109" s="1114"/>
      <c r="BL109" s="1114"/>
      <c r="BM109" s="1114"/>
      <c r="BN109" s="1114"/>
      <c r="BO109" s="1114"/>
      <c r="BP109" s="1114"/>
      <c r="BQ109" s="702"/>
      <c r="BR109" s="122" t="e">
        <f t="shared" si="0"/>
        <v>#DIV/0!</v>
      </c>
    </row>
    <row r="110" spans="3:70" ht="15" customHeight="1">
      <c r="C110" s="1468"/>
      <c r="D110" s="1468"/>
      <c r="E110" s="1468"/>
      <c r="F110" s="1468"/>
      <c r="G110" s="1468"/>
      <c r="H110" s="1617"/>
      <c r="I110" s="1617"/>
      <c r="J110" s="1617"/>
      <c r="K110" s="1617"/>
      <c r="L110" s="1617"/>
      <c r="M110" s="1617"/>
      <c r="N110" s="1617"/>
      <c r="O110" s="1617"/>
      <c r="P110" s="1617"/>
      <c r="Q110" s="1617"/>
      <c r="R110" s="1617"/>
      <c r="S110" s="1617"/>
      <c r="T110" s="1617"/>
      <c r="U110" s="1483"/>
      <c r="V110" s="1483"/>
      <c r="W110" s="1483"/>
      <c r="X110" s="1483"/>
      <c r="Y110" s="1622"/>
      <c r="Z110" s="1622"/>
      <c r="AA110" s="1622"/>
      <c r="AB110" s="1621"/>
      <c r="AC110" s="1621"/>
      <c r="AD110" s="1621"/>
      <c r="AE110" s="1600"/>
      <c r="AF110" s="1600"/>
      <c r="AG110" s="1600"/>
      <c r="AH110" s="3"/>
      <c r="AI110" s="3"/>
      <c r="AJ110" s="3"/>
      <c r="AK110" s="3"/>
      <c r="AL110" s="11" t="s">
        <v>73</v>
      </c>
      <c r="AM110" s="1114">
        <v>3</v>
      </c>
      <c r="AN110" s="1114">
        <v>3</v>
      </c>
      <c r="AO110" s="1114">
        <v>3</v>
      </c>
      <c r="AP110" s="1114"/>
      <c r="AQ110" s="1114"/>
      <c r="AR110" s="1114">
        <v>3</v>
      </c>
      <c r="AS110" s="1114">
        <v>3</v>
      </c>
      <c r="AT110" s="1114">
        <v>3</v>
      </c>
      <c r="AU110" s="1114">
        <v>3</v>
      </c>
      <c r="AV110" s="1114">
        <v>3</v>
      </c>
      <c r="AW110" s="1114"/>
      <c r="AX110" s="1114"/>
      <c r="AY110" s="1114">
        <v>3</v>
      </c>
      <c r="AZ110" s="1114">
        <v>3</v>
      </c>
      <c r="BA110" s="1114">
        <v>3</v>
      </c>
      <c r="BB110" s="1114">
        <v>3</v>
      </c>
      <c r="BC110" s="1114">
        <v>3</v>
      </c>
      <c r="BD110" s="1114"/>
      <c r="BE110" s="1114"/>
      <c r="BF110" s="1114">
        <v>3</v>
      </c>
      <c r="BG110" s="1114">
        <v>3</v>
      </c>
      <c r="BH110" s="1114">
        <v>3</v>
      </c>
      <c r="BI110" s="1114">
        <v>3</v>
      </c>
      <c r="BJ110" s="1114">
        <v>3</v>
      </c>
      <c r="BK110" s="1114"/>
      <c r="BL110" s="1114"/>
      <c r="BM110" s="1114">
        <v>3</v>
      </c>
      <c r="BN110" s="1114">
        <v>3</v>
      </c>
      <c r="BO110" s="1114">
        <v>3</v>
      </c>
      <c r="BP110" s="1114">
        <v>3</v>
      </c>
      <c r="BQ110" s="1114">
        <v>3</v>
      </c>
      <c r="BR110" s="122">
        <f t="shared" si="0"/>
        <v>3</v>
      </c>
    </row>
    <row r="111" spans="3:70" ht="15" customHeight="1">
      <c r="C111" s="1468"/>
      <c r="D111" s="1468"/>
      <c r="E111" s="1468"/>
      <c r="F111" s="1468"/>
      <c r="G111" s="1468"/>
      <c r="H111" s="1617"/>
      <c r="I111" s="1617"/>
      <c r="J111" s="1617"/>
      <c r="K111" s="1617"/>
      <c r="L111" s="1617"/>
      <c r="M111" s="1617"/>
      <c r="N111" s="1617"/>
      <c r="O111" s="1617"/>
      <c r="P111" s="1617"/>
      <c r="Q111" s="1617"/>
      <c r="R111" s="1617"/>
      <c r="S111" s="1617"/>
      <c r="T111" s="1617"/>
      <c r="U111" s="1483"/>
      <c r="V111" s="1483"/>
      <c r="W111" s="1483"/>
      <c r="X111" s="1483"/>
      <c r="Y111" s="1622"/>
      <c r="Z111" s="1622"/>
      <c r="AA111" s="1622"/>
      <c r="AB111" s="1621"/>
      <c r="AC111" s="1621"/>
      <c r="AD111" s="1621"/>
      <c r="AE111" s="1600"/>
      <c r="AF111" s="1600"/>
      <c r="AG111" s="1600"/>
      <c r="AH111" s="3"/>
      <c r="AI111" s="3"/>
      <c r="AJ111" s="3"/>
      <c r="AK111" s="3"/>
      <c r="AL111" s="11" t="s">
        <v>83</v>
      </c>
      <c r="AM111" s="1114"/>
      <c r="AN111" s="1114"/>
      <c r="AO111" s="1114"/>
      <c r="AP111" s="1114"/>
      <c r="AQ111" s="1114"/>
      <c r="AR111" s="1114"/>
      <c r="AS111" s="1114"/>
      <c r="AT111" s="1114"/>
      <c r="AU111" s="1114"/>
      <c r="AV111" s="1114"/>
      <c r="AW111" s="1114"/>
      <c r="AX111" s="1114"/>
      <c r="AY111" s="1114"/>
      <c r="AZ111" s="1114"/>
      <c r="BA111" s="1114"/>
      <c r="BB111" s="1114"/>
      <c r="BC111" s="1114"/>
      <c r="BD111" s="1114"/>
      <c r="BE111" s="1114"/>
      <c r="BF111" s="1114"/>
      <c r="BG111" s="1114"/>
      <c r="BH111" s="1114"/>
      <c r="BI111" s="1114"/>
      <c r="BJ111" s="1114"/>
      <c r="BK111" s="1114"/>
      <c r="BL111" s="1114"/>
      <c r="BM111" s="1114"/>
      <c r="BN111" s="1114"/>
      <c r="BO111" s="1114"/>
      <c r="BP111" s="1114"/>
      <c r="BQ111" s="1114"/>
      <c r="BR111" s="122" t="e">
        <f t="shared" si="0"/>
        <v>#DIV/0!</v>
      </c>
    </row>
    <row r="112" spans="3:70" ht="15" customHeight="1">
      <c r="C112" s="1468"/>
      <c r="D112" s="1468"/>
      <c r="E112" s="1468"/>
      <c r="F112" s="1468"/>
      <c r="G112" s="1468"/>
      <c r="H112" s="1617"/>
      <c r="I112" s="1617"/>
      <c r="J112" s="1617"/>
      <c r="K112" s="1617"/>
      <c r="L112" s="1617"/>
      <c r="M112" s="1617"/>
      <c r="N112" s="1617"/>
      <c r="O112" s="1617"/>
      <c r="P112" s="1617"/>
      <c r="Q112" s="1617"/>
      <c r="R112" s="1617"/>
      <c r="S112" s="1617"/>
      <c r="T112" s="1617"/>
      <c r="U112" s="1483"/>
      <c r="V112" s="1483"/>
      <c r="W112" s="1483"/>
      <c r="X112" s="1483"/>
      <c r="Y112" s="1622"/>
      <c r="Z112" s="1622"/>
      <c r="AA112" s="1622"/>
      <c r="AB112" s="1621"/>
      <c r="AC112" s="1621"/>
      <c r="AD112" s="1621"/>
      <c r="AE112" s="1600"/>
      <c r="AF112" s="1600"/>
      <c r="AG112" s="1600"/>
      <c r="AH112" s="3"/>
      <c r="AI112" s="3"/>
      <c r="AJ112" s="3"/>
      <c r="AK112" s="3"/>
      <c r="AL112" s="11" t="s">
        <v>84</v>
      </c>
      <c r="AM112" s="1114"/>
      <c r="AN112" s="1114"/>
      <c r="AO112" s="1114"/>
      <c r="AP112" s="1114"/>
      <c r="AQ112" s="1114"/>
      <c r="AR112" s="1114"/>
      <c r="AS112" s="1114"/>
      <c r="AT112" s="1114"/>
      <c r="AU112" s="1114"/>
      <c r="AV112" s="1114"/>
      <c r="AW112" s="1114"/>
      <c r="AX112" s="1114"/>
      <c r="AY112" s="1114"/>
      <c r="AZ112" s="1114"/>
      <c r="BA112" s="1114"/>
      <c r="BB112" s="1114"/>
      <c r="BC112" s="1114"/>
      <c r="BD112" s="1114"/>
      <c r="BE112" s="1114"/>
      <c r="BF112" s="1114"/>
      <c r="BG112" s="1114"/>
      <c r="BH112" s="1114"/>
      <c r="BI112" s="1114"/>
      <c r="BJ112" s="1114"/>
      <c r="BK112" s="1114"/>
      <c r="BL112" s="1114"/>
      <c r="BM112" s="1114"/>
      <c r="BN112" s="1114"/>
      <c r="BO112" s="1114"/>
      <c r="BP112" s="1114"/>
      <c r="BQ112" s="702"/>
      <c r="BR112" s="122" t="e">
        <f t="shared" si="0"/>
        <v>#DIV/0!</v>
      </c>
    </row>
    <row r="113" spans="3:70" ht="15" customHeight="1">
      <c r="C113" s="1468"/>
      <c r="D113" s="1468"/>
      <c r="E113" s="1468"/>
      <c r="F113" s="1468"/>
      <c r="G113" s="1468"/>
      <c r="H113" s="1617"/>
      <c r="I113" s="1617"/>
      <c r="J113" s="1617"/>
      <c r="K113" s="1617"/>
      <c r="L113" s="1617"/>
      <c r="M113" s="1617"/>
      <c r="N113" s="1617"/>
      <c r="O113" s="1617"/>
      <c r="P113" s="1617"/>
      <c r="Q113" s="1617"/>
      <c r="R113" s="1617"/>
      <c r="S113" s="1617"/>
      <c r="T113" s="1617"/>
      <c r="U113" s="1483"/>
      <c r="V113" s="1483"/>
      <c r="W113" s="1483"/>
      <c r="X113" s="1483"/>
      <c r="Y113" s="1622"/>
      <c r="Z113" s="1622"/>
      <c r="AA113" s="1622"/>
      <c r="AB113" s="1621"/>
      <c r="AC113" s="1621"/>
      <c r="AD113" s="1621"/>
      <c r="AE113" s="1600"/>
      <c r="AF113" s="1600"/>
      <c r="AG113" s="1600"/>
      <c r="AH113" s="3"/>
      <c r="AI113" s="3"/>
      <c r="AJ113" s="3"/>
      <c r="AK113" s="3"/>
      <c r="AL113" s="11" t="s">
        <v>85</v>
      </c>
      <c r="AM113" s="1114"/>
      <c r="AN113" s="1114"/>
      <c r="AO113" s="1114"/>
      <c r="AP113" s="1114"/>
      <c r="AQ113" s="1114"/>
      <c r="AR113" s="1114"/>
      <c r="AS113" s="1114"/>
      <c r="AT113" s="1114"/>
      <c r="AU113" s="1114"/>
      <c r="AV113" s="1114"/>
      <c r="AW113" s="1114"/>
      <c r="AX113" s="1114"/>
      <c r="AY113" s="1114"/>
      <c r="AZ113" s="1114"/>
      <c r="BA113" s="1114"/>
      <c r="BB113" s="1114"/>
      <c r="BC113" s="1114"/>
      <c r="BD113" s="1114"/>
      <c r="BE113" s="1114"/>
      <c r="BF113" s="1114"/>
      <c r="BG113" s="1114"/>
      <c r="BH113" s="1114"/>
      <c r="BI113" s="1114"/>
      <c r="BJ113" s="1114"/>
      <c r="BK113" s="1114"/>
      <c r="BL113" s="1114"/>
      <c r="BM113" s="1114"/>
      <c r="BN113" s="1114"/>
      <c r="BO113" s="1114"/>
      <c r="BP113" s="1114"/>
      <c r="BQ113" s="702"/>
      <c r="BR113" s="122" t="e">
        <f t="shared" si="0"/>
        <v>#DIV/0!</v>
      </c>
    </row>
    <row r="114" spans="3:70" ht="15" customHeight="1">
      <c r="C114" s="1259"/>
      <c r="D114" s="1260"/>
      <c r="E114" s="1260"/>
      <c r="F114" s="1260"/>
      <c r="G114" s="1261"/>
      <c r="H114" s="1120"/>
      <c r="I114" s="1121"/>
      <c r="J114" s="1121"/>
      <c r="K114" s="1121"/>
      <c r="L114" s="1121"/>
      <c r="M114" s="1121"/>
      <c r="N114" s="1121"/>
      <c r="O114" s="1121"/>
      <c r="P114" s="1121"/>
      <c r="Q114" s="1121"/>
      <c r="R114" s="1121"/>
      <c r="S114" s="1121"/>
      <c r="T114" s="1122"/>
      <c r="U114" s="1262"/>
      <c r="V114" s="1263"/>
      <c r="W114" s="1263"/>
      <c r="X114" s="1264"/>
      <c r="Y114" s="1279"/>
      <c r="Z114" s="1280"/>
      <c r="AA114" s="1281"/>
      <c r="AB114" s="1621"/>
      <c r="AC114" s="1621"/>
      <c r="AD114" s="1621"/>
      <c r="AE114" s="1276"/>
      <c r="AF114" s="1277"/>
      <c r="AG114" s="1278"/>
      <c r="AH114" s="3"/>
      <c r="AI114" s="3"/>
      <c r="AJ114" s="3"/>
      <c r="AK114" s="3"/>
      <c r="AL114" s="11" t="s">
        <v>86</v>
      </c>
      <c r="AM114" s="1114"/>
      <c r="AN114" s="1114"/>
      <c r="AO114" s="1114"/>
      <c r="AP114" s="1114"/>
      <c r="AQ114" s="1114"/>
      <c r="AR114" s="1114"/>
      <c r="AS114" s="1114"/>
      <c r="AT114" s="1114"/>
      <c r="AU114" s="1114"/>
      <c r="AV114" s="1114"/>
      <c r="AW114" s="1114"/>
      <c r="AX114" s="1114"/>
      <c r="AY114" s="1114"/>
      <c r="AZ114" s="1114"/>
      <c r="BA114" s="1114"/>
      <c r="BB114" s="1114"/>
      <c r="BC114" s="1114"/>
      <c r="BD114" s="1114"/>
      <c r="BE114" s="1114"/>
      <c r="BF114" s="1114"/>
      <c r="BG114" s="1114"/>
      <c r="BH114" s="1114"/>
      <c r="BI114" s="1114"/>
      <c r="BJ114" s="1114"/>
      <c r="BK114" s="1114"/>
      <c r="BL114" s="1114"/>
      <c r="BM114" s="1114"/>
      <c r="BN114" s="1114"/>
      <c r="BO114" s="1114"/>
      <c r="BP114" s="1114"/>
      <c r="BQ114" s="702"/>
      <c r="BR114" s="122" t="e">
        <f t="shared" si="0"/>
        <v>#DIV/0!</v>
      </c>
    </row>
    <row r="115" spans="3:70" ht="15" customHeight="1">
      <c r="C115" s="1484"/>
      <c r="D115" s="1616"/>
      <c r="E115" s="1616"/>
      <c r="F115" s="1616"/>
      <c r="G115" s="1485"/>
      <c r="H115" s="1788"/>
      <c r="I115" s="1789"/>
      <c r="J115" s="1789"/>
      <c r="K115" s="1789"/>
      <c r="L115" s="1789"/>
      <c r="M115" s="1789"/>
      <c r="N115" s="1789"/>
      <c r="O115" s="1789"/>
      <c r="P115" s="1789"/>
      <c r="Q115" s="1789"/>
      <c r="R115" s="1789"/>
      <c r="S115" s="1789"/>
      <c r="T115" s="1790"/>
      <c r="U115" s="1604"/>
      <c r="V115" s="1605"/>
      <c r="W115" s="1605"/>
      <c r="X115" s="1606"/>
      <c r="Y115" s="1791"/>
      <c r="Z115" s="1792"/>
      <c r="AA115" s="1793"/>
      <c r="AB115" s="1785"/>
      <c r="AC115" s="1786"/>
      <c r="AD115" s="1787"/>
      <c r="AE115" s="1488"/>
      <c r="AF115" s="1489"/>
      <c r="AG115" s="1490"/>
      <c r="AH115" s="3"/>
      <c r="AI115" s="3"/>
      <c r="AJ115" s="3"/>
      <c r="AK115" s="3"/>
      <c r="AL115" s="11" t="s">
        <v>87</v>
      </c>
      <c r="AM115" s="1114"/>
      <c r="AN115" s="1114"/>
      <c r="AO115" s="1114"/>
      <c r="AP115" s="1114"/>
      <c r="AQ115" s="1114"/>
      <c r="AR115" s="1114"/>
      <c r="AS115" s="1114"/>
      <c r="AT115" s="1114"/>
      <c r="AU115" s="1114"/>
      <c r="AV115" s="1114"/>
      <c r="AW115" s="1114"/>
      <c r="AX115" s="1114"/>
      <c r="AY115" s="1114"/>
      <c r="AZ115" s="1114"/>
      <c r="BA115" s="1114"/>
      <c r="BB115" s="1114"/>
      <c r="BC115" s="1114"/>
      <c r="BD115" s="1114"/>
      <c r="BE115" s="1114"/>
      <c r="BF115" s="1114"/>
      <c r="BG115" s="1114"/>
      <c r="BH115" s="1114"/>
      <c r="BI115" s="1114"/>
      <c r="BJ115" s="1114"/>
      <c r="BK115" s="1114"/>
      <c r="BL115" s="1114"/>
      <c r="BM115" s="1114"/>
      <c r="BN115" s="1114"/>
      <c r="BO115" s="1114"/>
      <c r="BP115" s="1114"/>
      <c r="BQ115" s="1114"/>
      <c r="BR115" s="122" t="e">
        <f t="shared" si="0"/>
        <v>#DIV/0!</v>
      </c>
    </row>
    <row r="116" spans="3:70" ht="15" customHeight="1">
      <c r="C116" s="1468"/>
      <c r="D116" s="1468"/>
      <c r="E116" s="1468"/>
      <c r="F116" s="1468"/>
      <c r="G116" s="1468"/>
      <c r="H116" s="1617"/>
      <c r="I116" s="1617"/>
      <c r="J116" s="1617"/>
      <c r="K116" s="1617"/>
      <c r="L116" s="1617"/>
      <c r="M116" s="1617"/>
      <c r="N116" s="1617"/>
      <c r="O116" s="1617"/>
      <c r="P116" s="1617"/>
      <c r="Q116" s="1617"/>
      <c r="R116" s="1617"/>
      <c r="S116" s="1617"/>
      <c r="T116" s="1617"/>
      <c r="U116" s="1483"/>
      <c r="V116" s="1483"/>
      <c r="W116" s="1483"/>
      <c r="X116" s="1483"/>
      <c r="Y116" s="1622"/>
      <c r="Z116" s="1622"/>
      <c r="AA116" s="1622"/>
      <c r="AB116" s="1621"/>
      <c r="AC116" s="1621"/>
      <c r="AD116" s="1621"/>
      <c r="AE116" s="1600"/>
      <c r="AF116" s="1600"/>
      <c r="AG116" s="1600"/>
      <c r="AH116" s="3"/>
      <c r="AI116" s="3"/>
      <c r="AJ116" s="3"/>
      <c r="AK116" s="3"/>
      <c r="AL116" s="11" t="s">
        <v>88</v>
      </c>
      <c r="AM116" s="1114"/>
      <c r="AN116" s="1114"/>
      <c r="AO116" s="1114"/>
      <c r="AP116" s="1114"/>
      <c r="AQ116" s="1114"/>
      <c r="AR116" s="1114"/>
      <c r="AS116" s="1114"/>
      <c r="AT116" s="1114"/>
      <c r="AU116" s="1114"/>
      <c r="AV116" s="1114"/>
      <c r="AW116" s="1114"/>
      <c r="AX116" s="1114"/>
      <c r="AY116" s="1114"/>
      <c r="AZ116" s="1114"/>
      <c r="BA116" s="1114"/>
      <c r="BB116" s="1114"/>
      <c r="BC116" s="1114"/>
      <c r="BD116" s="1114"/>
      <c r="BE116" s="1114"/>
      <c r="BF116" s="1114"/>
      <c r="BG116" s="1114"/>
      <c r="BH116" s="1114"/>
      <c r="BI116" s="1114"/>
      <c r="BJ116" s="1114"/>
      <c r="BK116" s="1114"/>
      <c r="BL116" s="1114"/>
      <c r="BM116" s="1114"/>
      <c r="BN116" s="1114"/>
      <c r="BO116" s="1114"/>
      <c r="BP116" s="1114"/>
      <c r="BQ116" s="1114"/>
      <c r="BR116" s="122" t="e">
        <f t="shared" si="0"/>
        <v>#DIV/0!</v>
      </c>
    </row>
    <row r="117" spans="3:70" ht="15" customHeight="1">
      <c r="C117" s="1468"/>
      <c r="D117" s="1468"/>
      <c r="E117" s="1468"/>
      <c r="F117" s="1468"/>
      <c r="G117" s="1468"/>
      <c r="H117" s="1603"/>
      <c r="I117" s="1603"/>
      <c r="J117" s="1603"/>
      <c r="K117" s="1603"/>
      <c r="L117" s="1603"/>
      <c r="M117" s="1603"/>
      <c r="N117" s="1603"/>
      <c r="O117" s="1603"/>
      <c r="P117" s="1603"/>
      <c r="Q117" s="1603"/>
      <c r="R117" s="1603"/>
      <c r="S117" s="1603"/>
      <c r="T117" s="1603"/>
      <c r="U117" s="1483"/>
      <c r="V117" s="1483"/>
      <c r="W117" s="1483"/>
      <c r="X117" s="1483"/>
      <c r="Y117" s="1622"/>
      <c r="Z117" s="1622"/>
      <c r="AA117" s="1622"/>
      <c r="AB117" s="1621"/>
      <c r="AC117" s="1621"/>
      <c r="AD117" s="1621"/>
      <c r="AE117" s="1600"/>
      <c r="AF117" s="1600"/>
      <c r="AG117" s="1600"/>
      <c r="AH117" s="3"/>
      <c r="AI117" s="3"/>
      <c r="AJ117" s="3"/>
      <c r="AK117" s="3"/>
      <c r="AL117" s="11" t="s">
        <v>89</v>
      </c>
      <c r="AM117" s="1114"/>
      <c r="AN117" s="1114"/>
      <c r="AO117" s="1114"/>
      <c r="AP117" s="1114"/>
      <c r="AQ117" s="1114"/>
      <c r="AR117" s="1114"/>
      <c r="AS117" s="1114"/>
      <c r="AT117" s="1114"/>
      <c r="AU117" s="1114"/>
      <c r="AV117" s="1114"/>
      <c r="AW117" s="1114"/>
      <c r="AX117" s="1114"/>
      <c r="AY117" s="1114"/>
      <c r="AZ117" s="1114"/>
      <c r="BA117" s="1114"/>
      <c r="BB117" s="1114"/>
      <c r="BC117" s="1114"/>
      <c r="BD117" s="1114"/>
      <c r="BE117" s="1114"/>
      <c r="BF117" s="1114"/>
      <c r="BG117" s="1114"/>
      <c r="BH117" s="1114"/>
      <c r="BI117" s="1114"/>
      <c r="BJ117" s="1114"/>
      <c r="BK117" s="1114"/>
      <c r="BL117" s="1114"/>
      <c r="BM117" s="1114"/>
      <c r="BN117" s="1114"/>
      <c r="BO117" s="1114"/>
      <c r="BP117" s="1114"/>
      <c r="BQ117" s="1114"/>
      <c r="BR117" s="122" t="e">
        <f t="shared" si="0"/>
        <v>#DIV/0!</v>
      </c>
    </row>
    <row r="118" spans="3:70" ht="15" customHeight="1">
      <c r="C118" s="1468"/>
      <c r="D118" s="1468"/>
      <c r="E118" s="1468"/>
      <c r="F118" s="1468"/>
      <c r="G118" s="1468"/>
      <c r="H118" s="1603"/>
      <c r="I118" s="1603"/>
      <c r="J118" s="1603"/>
      <c r="K118" s="1603"/>
      <c r="L118" s="1603"/>
      <c r="M118" s="1603"/>
      <c r="N118" s="1603"/>
      <c r="O118" s="1603"/>
      <c r="P118" s="1603"/>
      <c r="Q118" s="1603"/>
      <c r="R118" s="1603"/>
      <c r="S118" s="1603"/>
      <c r="T118" s="1603"/>
      <c r="U118" s="1483"/>
      <c r="V118" s="1483"/>
      <c r="W118" s="1483"/>
      <c r="X118" s="1483"/>
      <c r="Y118" s="1622"/>
      <c r="Z118" s="1622"/>
      <c r="AA118" s="1622"/>
      <c r="AB118" s="1621"/>
      <c r="AC118" s="1621"/>
      <c r="AD118" s="1621"/>
      <c r="AE118" s="1600"/>
      <c r="AF118" s="1600"/>
      <c r="AG118" s="1600"/>
      <c r="AH118" s="3"/>
      <c r="AI118" s="3"/>
      <c r="AJ118" s="3"/>
      <c r="AK118" s="3"/>
      <c r="AL118" s="11" t="s">
        <v>90</v>
      </c>
      <c r="AM118" s="1114"/>
      <c r="AN118" s="1114"/>
      <c r="AO118" s="1114"/>
      <c r="AP118" s="1114"/>
      <c r="AQ118" s="1114"/>
      <c r="AR118" s="1114"/>
      <c r="AS118" s="1114"/>
      <c r="AT118" s="1114"/>
      <c r="AU118" s="1114"/>
      <c r="AV118" s="1114"/>
      <c r="AW118" s="1114"/>
      <c r="AX118" s="1114"/>
      <c r="AY118" s="1114"/>
      <c r="AZ118" s="1114"/>
      <c r="BA118" s="1114"/>
      <c r="BB118" s="1114"/>
      <c r="BC118" s="1114"/>
      <c r="BD118" s="1114"/>
      <c r="BE118" s="1114"/>
      <c r="BF118" s="1114"/>
      <c r="BG118" s="1114"/>
      <c r="BH118" s="1114"/>
      <c r="BI118" s="1114"/>
      <c r="BJ118" s="1114"/>
      <c r="BK118" s="1114"/>
      <c r="BL118" s="1114"/>
      <c r="BM118" s="1114"/>
      <c r="BN118" s="1114"/>
      <c r="BO118" s="1114"/>
      <c r="BP118" s="1114"/>
      <c r="BQ118" s="1116"/>
      <c r="BR118" s="122" t="e">
        <f t="shared" si="0"/>
        <v>#DIV/0!</v>
      </c>
    </row>
    <row r="119" spans="3:70" ht="15" customHeight="1">
      <c r="C119" s="1468"/>
      <c r="D119" s="1468"/>
      <c r="E119" s="1468"/>
      <c r="F119" s="1468"/>
      <c r="G119" s="1468"/>
      <c r="H119" s="1617"/>
      <c r="I119" s="1617"/>
      <c r="J119" s="1617"/>
      <c r="K119" s="1617"/>
      <c r="L119" s="1617"/>
      <c r="M119" s="1617"/>
      <c r="N119" s="1617"/>
      <c r="O119" s="1617"/>
      <c r="P119" s="1617"/>
      <c r="Q119" s="1617"/>
      <c r="R119" s="1617"/>
      <c r="S119" s="1617"/>
      <c r="T119" s="1617"/>
      <c r="U119" s="1483"/>
      <c r="V119" s="1483"/>
      <c r="W119" s="1483"/>
      <c r="X119" s="1483"/>
      <c r="Y119" s="1622"/>
      <c r="Z119" s="1622"/>
      <c r="AA119" s="1622"/>
      <c r="AB119" s="1621"/>
      <c r="AC119" s="1621"/>
      <c r="AD119" s="1621"/>
      <c r="AE119" s="1600"/>
      <c r="AF119" s="1600"/>
      <c r="AG119" s="1600"/>
      <c r="AH119" s="3"/>
      <c r="AI119" s="3"/>
      <c r="AJ119" s="3"/>
      <c r="AK119" s="3"/>
      <c r="AL119" s="11" t="s">
        <v>91</v>
      </c>
      <c r="AM119" s="1114">
        <v>1</v>
      </c>
      <c r="AN119" s="1114">
        <v>1</v>
      </c>
      <c r="AO119" s="1114">
        <v>1</v>
      </c>
      <c r="AP119" s="1114"/>
      <c r="AQ119" s="1114">
        <v>1</v>
      </c>
      <c r="AR119" s="1114">
        <v>1</v>
      </c>
      <c r="AS119" s="1114">
        <v>1</v>
      </c>
      <c r="AT119" s="1114">
        <v>1</v>
      </c>
      <c r="AU119" s="1114">
        <v>1</v>
      </c>
      <c r="AV119" s="1114">
        <v>1</v>
      </c>
      <c r="AW119" s="1114"/>
      <c r="AX119" s="1114">
        <v>1</v>
      </c>
      <c r="AY119" s="1114">
        <v>1</v>
      </c>
      <c r="AZ119" s="1114">
        <v>1</v>
      </c>
      <c r="BA119" s="1114">
        <v>1</v>
      </c>
      <c r="BB119" s="1114">
        <v>1</v>
      </c>
      <c r="BC119" s="1114">
        <v>1</v>
      </c>
      <c r="BD119" s="1114"/>
      <c r="BE119" s="1114">
        <v>1</v>
      </c>
      <c r="BF119" s="1114">
        <v>1</v>
      </c>
      <c r="BG119" s="1114">
        <v>1</v>
      </c>
      <c r="BH119" s="1114">
        <v>1</v>
      </c>
      <c r="BI119" s="1114">
        <v>1</v>
      </c>
      <c r="BJ119" s="1114">
        <v>1</v>
      </c>
      <c r="BK119" s="1114"/>
      <c r="BL119" s="1114">
        <v>1</v>
      </c>
      <c r="BM119" s="1114">
        <v>1</v>
      </c>
      <c r="BN119" s="1114">
        <v>1</v>
      </c>
      <c r="BO119" s="1114">
        <v>1</v>
      </c>
      <c r="BP119" s="1114">
        <v>1</v>
      </c>
      <c r="BQ119" s="1114"/>
      <c r="BR119" s="122">
        <f t="shared" si="0"/>
        <v>1</v>
      </c>
    </row>
    <row r="120" spans="3:70" ht="15" customHeight="1">
      <c r="C120" s="1410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553"/>
      <c r="AH120" s="3"/>
      <c r="AI120" s="3"/>
      <c r="AJ120" s="3"/>
      <c r="AK120" s="3"/>
      <c r="AL120" s="3"/>
      <c r="AM120" s="1"/>
      <c r="AN120" s="1"/>
      <c r="AQ120" s="1"/>
      <c r="AR120" s="1"/>
      <c r="AS120" s="1"/>
      <c r="AT120" s="1"/>
      <c r="AU120" s="1"/>
      <c r="AX120" s="1"/>
      <c r="AY120" s="1"/>
      <c r="AZ120" s="1"/>
      <c r="BA120" s="1"/>
      <c r="BB120" s="1"/>
      <c r="BE120" s="1"/>
      <c r="BF120" s="1"/>
      <c r="BG120" s="1"/>
      <c r="BH120" s="1"/>
      <c r="BI120" s="1"/>
      <c r="BL120" s="1"/>
      <c r="BM120" s="1"/>
      <c r="BN120" s="1"/>
      <c r="BO120" s="1"/>
      <c r="BP120" s="1"/>
      <c r="BQ120" s="1"/>
      <c r="BR120" s="122"/>
    </row>
    <row r="121" spans="3:70" ht="15" customHeight="1">
      <c r="C121" s="1565" t="s">
        <v>92</v>
      </c>
      <c r="D121" s="1565"/>
      <c r="E121" s="1565"/>
      <c r="F121" s="1565"/>
      <c r="G121" s="1565"/>
      <c r="H121" s="1565"/>
      <c r="I121" s="1565"/>
      <c r="J121" s="1565"/>
      <c r="K121" s="1565"/>
      <c r="L121" s="1565"/>
      <c r="M121" s="1565"/>
      <c r="N121" s="1565"/>
      <c r="O121" s="1565"/>
      <c r="P121" s="1565"/>
      <c r="Q121" s="1565"/>
      <c r="R121" s="1565"/>
      <c r="S121" s="1565"/>
      <c r="T121" s="1565"/>
      <c r="U121" s="1565"/>
      <c r="V121" s="1565"/>
      <c r="W121" s="1565"/>
      <c r="X121" s="1565"/>
      <c r="Y121" s="1565"/>
      <c r="Z121" s="1565"/>
      <c r="AA121" s="1565"/>
      <c r="AB121" s="1565"/>
      <c r="AC121" s="1565"/>
      <c r="AD121" s="1565"/>
      <c r="AE121" s="1565"/>
      <c r="AF121" s="1565"/>
      <c r="AG121" s="1565"/>
      <c r="AH121" s="3"/>
      <c r="AI121" s="3"/>
      <c r="AJ121" s="3"/>
      <c r="AK121" s="3"/>
      <c r="AL121" s="6"/>
      <c r="AM121" s="702">
        <v>1</v>
      </c>
      <c r="AN121" s="702">
        <v>2</v>
      </c>
      <c r="AO121" s="702">
        <v>3</v>
      </c>
      <c r="AP121" s="1156">
        <v>4</v>
      </c>
      <c r="AQ121" s="1156">
        <v>5</v>
      </c>
      <c r="AR121" s="702">
        <v>6</v>
      </c>
      <c r="AS121" s="1113">
        <v>7</v>
      </c>
      <c r="AT121" s="702">
        <v>8</v>
      </c>
      <c r="AU121" s="702">
        <v>9</v>
      </c>
      <c r="AV121" s="702">
        <v>10</v>
      </c>
      <c r="AW121" s="47">
        <v>11</v>
      </c>
      <c r="AX121" s="47">
        <v>12</v>
      </c>
      <c r="AY121" s="702">
        <v>13</v>
      </c>
      <c r="AZ121" s="1113">
        <v>14</v>
      </c>
      <c r="BA121" s="702">
        <v>15</v>
      </c>
      <c r="BB121" s="702">
        <v>16</v>
      </c>
      <c r="BC121" s="702">
        <v>17</v>
      </c>
      <c r="BD121" s="47">
        <v>18</v>
      </c>
      <c r="BE121" s="47">
        <v>19</v>
      </c>
      <c r="BF121" s="702">
        <v>20</v>
      </c>
      <c r="BG121" s="1113">
        <v>21</v>
      </c>
      <c r="BH121" s="702">
        <v>22</v>
      </c>
      <c r="BI121" s="702">
        <v>23</v>
      </c>
      <c r="BJ121" s="702">
        <v>24</v>
      </c>
      <c r="BK121" s="47">
        <v>25</v>
      </c>
      <c r="BL121" s="47">
        <v>26</v>
      </c>
      <c r="BM121" s="702">
        <v>27</v>
      </c>
      <c r="BN121" s="702">
        <v>28</v>
      </c>
      <c r="BO121" s="702">
        <v>29</v>
      </c>
      <c r="BP121" s="702">
        <v>30</v>
      </c>
      <c r="BQ121" s="702"/>
      <c r="BR121" s="122"/>
    </row>
    <row r="122" spans="3:70" ht="15" customHeight="1">
      <c r="C122" s="1484">
        <v>1</v>
      </c>
      <c r="D122" s="1616"/>
      <c r="E122" s="1616"/>
      <c r="F122" s="1616"/>
      <c r="G122" s="1485"/>
      <c r="H122" s="1618" t="str">
        <f>AL131</f>
        <v>Ajudante de Obra</v>
      </c>
      <c r="I122" s="1619"/>
      <c r="J122" s="1619"/>
      <c r="K122" s="1619"/>
      <c r="L122" s="1619"/>
      <c r="M122" s="1619"/>
      <c r="N122" s="1619"/>
      <c r="O122" s="1619"/>
      <c r="P122" s="1619"/>
      <c r="Q122" s="1619"/>
      <c r="R122" s="1619"/>
      <c r="S122" s="1619"/>
      <c r="T122" s="1620"/>
      <c r="U122" s="1604" t="s">
        <v>76</v>
      </c>
      <c r="V122" s="1605"/>
      <c r="W122" s="1605"/>
      <c r="X122" s="1606"/>
      <c r="Y122" s="1117"/>
      <c r="Z122" s="1118"/>
      <c r="AA122" s="1119"/>
      <c r="AB122" s="1715">
        <f>BR131</f>
        <v>2</v>
      </c>
      <c r="AC122" s="1716"/>
      <c r="AD122" s="1717"/>
      <c r="AE122" s="1600"/>
      <c r="AF122" s="1600"/>
      <c r="AG122" s="1600"/>
      <c r="AH122" s="3"/>
      <c r="AI122" s="3"/>
      <c r="AJ122" s="3"/>
      <c r="AK122" s="3"/>
      <c r="AL122" s="11" t="s">
        <v>93</v>
      </c>
      <c r="AM122" s="1114">
        <v>2</v>
      </c>
      <c r="AN122" s="1114">
        <v>2</v>
      </c>
      <c r="AO122" s="1114">
        <v>2</v>
      </c>
      <c r="AP122" s="1114"/>
      <c r="AQ122" s="1114"/>
      <c r="AR122" s="1114">
        <v>2</v>
      </c>
      <c r="AS122" s="1114">
        <v>2</v>
      </c>
      <c r="AT122" s="1114">
        <v>2</v>
      </c>
      <c r="AU122" s="1114">
        <v>2</v>
      </c>
      <c r="AV122" s="1114">
        <v>2</v>
      </c>
      <c r="AW122" s="1114"/>
      <c r="AX122" s="1114"/>
      <c r="AY122" s="1114">
        <v>2</v>
      </c>
      <c r="AZ122" s="1114">
        <v>2</v>
      </c>
      <c r="BA122" s="1114">
        <v>2</v>
      </c>
      <c r="BB122" s="1114">
        <v>2</v>
      </c>
      <c r="BC122" s="1114">
        <v>2</v>
      </c>
      <c r="BD122" s="1114"/>
      <c r="BE122" s="1114"/>
      <c r="BF122" s="1114">
        <v>2</v>
      </c>
      <c r="BG122" s="1114">
        <v>2</v>
      </c>
      <c r="BH122" s="1114">
        <v>2</v>
      </c>
      <c r="BI122" s="1114">
        <v>2</v>
      </c>
      <c r="BJ122" s="1114">
        <v>2</v>
      </c>
      <c r="BK122" s="1114"/>
      <c r="BL122" s="1114"/>
      <c r="BM122" s="1114">
        <v>2</v>
      </c>
      <c r="BN122" s="1114">
        <v>2</v>
      </c>
      <c r="BO122" s="1114">
        <v>2</v>
      </c>
      <c r="BP122" s="1114">
        <v>2</v>
      </c>
      <c r="BQ122" s="1114"/>
      <c r="BR122" s="122">
        <f t="shared" ref="BR122:BR134" si="1">AVERAGE((AM122:BQ122))</f>
        <v>2</v>
      </c>
    </row>
    <row r="123" spans="3:70" ht="15" customHeight="1">
      <c r="C123" s="1484">
        <v>2</v>
      </c>
      <c r="D123" s="1616"/>
      <c r="E123" s="1616"/>
      <c r="F123" s="1616"/>
      <c r="G123" s="1485"/>
      <c r="H123" s="1120" t="str">
        <f>AL123</f>
        <v>Mestre de Obras</v>
      </c>
      <c r="I123" s="1121"/>
      <c r="J123" s="1121"/>
      <c r="K123" s="1121"/>
      <c r="L123" s="1121"/>
      <c r="M123" s="1121"/>
      <c r="N123" s="1121"/>
      <c r="O123" s="1121"/>
      <c r="P123" s="1121"/>
      <c r="Q123" s="1121"/>
      <c r="R123" s="1121"/>
      <c r="S123" s="1121"/>
      <c r="T123" s="1122"/>
      <c r="U123" s="1604" t="s">
        <v>76</v>
      </c>
      <c r="V123" s="1605"/>
      <c r="W123" s="1605"/>
      <c r="X123" s="1606"/>
      <c r="Y123" s="1117"/>
      <c r="Z123" s="1118"/>
      <c r="AA123" s="1119"/>
      <c r="AB123" s="1715">
        <f>BR123</f>
        <v>1</v>
      </c>
      <c r="AC123" s="1716"/>
      <c r="AD123" s="1717"/>
      <c r="AE123" s="1600"/>
      <c r="AF123" s="1600"/>
      <c r="AG123" s="1600"/>
      <c r="AH123" s="3"/>
      <c r="AI123" s="3"/>
      <c r="AJ123" s="3"/>
      <c r="AK123" s="3"/>
      <c r="AL123" s="11" t="s">
        <v>94</v>
      </c>
      <c r="AM123" s="1114">
        <v>1</v>
      </c>
      <c r="AN123" s="1114">
        <v>1</v>
      </c>
      <c r="AO123" s="1114">
        <v>1</v>
      </c>
      <c r="AP123" s="1114"/>
      <c r="AQ123" s="1114"/>
      <c r="AR123" s="1114">
        <v>1</v>
      </c>
      <c r="AS123" s="1114">
        <v>1</v>
      </c>
      <c r="AT123" s="1114">
        <v>1</v>
      </c>
      <c r="AU123" s="1114">
        <v>1</v>
      </c>
      <c r="AV123" s="1114">
        <v>1</v>
      </c>
      <c r="AW123" s="1114"/>
      <c r="AX123" s="1114"/>
      <c r="AY123" s="1114">
        <v>1</v>
      </c>
      <c r="AZ123" s="1114">
        <v>1</v>
      </c>
      <c r="BA123" s="1114">
        <v>1</v>
      </c>
      <c r="BB123" s="1114">
        <v>1</v>
      </c>
      <c r="BC123" s="1114">
        <v>1</v>
      </c>
      <c r="BD123" s="1114"/>
      <c r="BE123" s="1114"/>
      <c r="BF123" s="1114">
        <v>1</v>
      </c>
      <c r="BG123" s="1114">
        <v>1</v>
      </c>
      <c r="BH123" s="1114">
        <v>1</v>
      </c>
      <c r="BI123" s="1114">
        <v>1</v>
      </c>
      <c r="BJ123" s="1114">
        <v>1</v>
      </c>
      <c r="BK123" s="1114"/>
      <c r="BL123" s="1114"/>
      <c r="BM123" s="1114">
        <v>1</v>
      </c>
      <c r="BN123" s="1114">
        <v>1</v>
      </c>
      <c r="BO123" s="1114">
        <v>1</v>
      </c>
      <c r="BP123" s="1114">
        <v>1</v>
      </c>
      <c r="BQ123" s="1114"/>
      <c r="BR123" s="122">
        <f t="shared" si="1"/>
        <v>1</v>
      </c>
    </row>
    <row r="124" spans="3:70" ht="15" customHeight="1">
      <c r="C124" s="1484">
        <v>3</v>
      </c>
      <c r="D124" s="1616"/>
      <c r="E124" s="1616"/>
      <c r="F124" s="1616"/>
      <c r="G124" s="1485"/>
      <c r="H124" s="1618" t="str">
        <f>AL133</f>
        <v>Pedreiro</v>
      </c>
      <c r="I124" s="1619"/>
      <c r="J124" s="1619"/>
      <c r="K124" s="1619"/>
      <c r="L124" s="1619"/>
      <c r="M124" s="1619"/>
      <c r="N124" s="1619"/>
      <c r="O124" s="1619"/>
      <c r="P124" s="1619"/>
      <c r="Q124" s="1619"/>
      <c r="R124" s="1619"/>
      <c r="S124" s="1619"/>
      <c r="T124" s="1620"/>
      <c r="U124" s="1604" t="s">
        <v>76</v>
      </c>
      <c r="V124" s="1605"/>
      <c r="W124" s="1605"/>
      <c r="X124" s="1606"/>
      <c r="Y124" s="1117"/>
      <c r="Z124" s="1118"/>
      <c r="AA124" s="1119"/>
      <c r="AB124" s="1715">
        <f>BR133</f>
        <v>1</v>
      </c>
      <c r="AC124" s="1716"/>
      <c r="AD124" s="1717"/>
      <c r="AE124" s="1600"/>
      <c r="AF124" s="1600"/>
      <c r="AG124" s="1600"/>
      <c r="AH124" s="3"/>
      <c r="AI124" s="3"/>
      <c r="AJ124" s="3"/>
      <c r="AK124" s="3"/>
      <c r="AL124" s="11" t="s">
        <v>95</v>
      </c>
      <c r="AM124" s="702"/>
      <c r="AN124" s="702"/>
      <c r="AO124" s="702"/>
      <c r="AP124" s="47"/>
      <c r="AQ124" s="702"/>
      <c r="AR124" s="702"/>
      <c r="AS124" s="702"/>
      <c r="AT124" s="702"/>
      <c r="AU124" s="702"/>
      <c r="AV124" s="702"/>
      <c r="AW124" s="47"/>
      <c r="AX124" s="702"/>
      <c r="AY124" s="702"/>
      <c r="AZ124" s="702"/>
      <c r="BA124" s="702"/>
      <c r="BB124" s="702"/>
      <c r="BC124" s="702"/>
      <c r="BD124" s="47"/>
      <c r="BE124" s="702"/>
      <c r="BF124" s="702"/>
      <c r="BG124" s="702"/>
      <c r="BH124" s="702"/>
      <c r="BI124" s="702"/>
      <c r="BJ124" s="702"/>
      <c r="BK124" s="47"/>
      <c r="BL124" s="702"/>
      <c r="BM124" s="702"/>
      <c r="BN124" s="702"/>
      <c r="BO124" s="702"/>
      <c r="BP124" s="702"/>
      <c r="BQ124" s="702"/>
      <c r="BR124" s="122" t="e">
        <f t="shared" si="1"/>
        <v>#DIV/0!</v>
      </c>
    </row>
    <row r="125" spans="3:70" ht="15" customHeight="1">
      <c r="C125" s="1484">
        <v>4</v>
      </c>
      <c r="D125" s="1616"/>
      <c r="E125" s="1616"/>
      <c r="F125" s="1616"/>
      <c r="G125" s="1485"/>
      <c r="H125" s="1618" t="str">
        <f>AL129</f>
        <v>Eletricista</v>
      </c>
      <c r="I125" s="1619"/>
      <c r="J125" s="1619"/>
      <c r="K125" s="1619"/>
      <c r="L125" s="1619"/>
      <c r="M125" s="1619"/>
      <c r="N125" s="1619"/>
      <c r="O125" s="1619"/>
      <c r="P125" s="1619"/>
      <c r="Q125" s="1619"/>
      <c r="R125" s="1619"/>
      <c r="S125" s="1619"/>
      <c r="T125" s="1620"/>
      <c r="U125" s="1604" t="s">
        <v>76</v>
      </c>
      <c r="V125" s="1605"/>
      <c r="W125" s="1605"/>
      <c r="X125" s="1606"/>
      <c r="Y125" s="1117"/>
      <c r="Z125" s="1118"/>
      <c r="AA125" s="1119"/>
      <c r="AB125" s="1715">
        <f>BR129</f>
        <v>1</v>
      </c>
      <c r="AC125" s="1716"/>
      <c r="AD125" s="1717"/>
      <c r="AE125" s="1600"/>
      <c r="AF125" s="1600"/>
      <c r="AG125" s="1600"/>
      <c r="AH125" s="3"/>
      <c r="AI125" s="3"/>
      <c r="AJ125" s="3"/>
      <c r="AK125" s="3"/>
      <c r="AL125" s="11" t="s">
        <v>96</v>
      </c>
      <c r="AM125" s="702"/>
      <c r="AN125" s="702"/>
      <c r="AO125" s="702"/>
      <c r="AP125" s="47"/>
      <c r="AQ125" s="702"/>
      <c r="AR125" s="702"/>
      <c r="AS125" s="702"/>
      <c r="AT125" s="702"/>
      <c r="AU125" s="702"/>
      <c r="AV125" s="702"/>
      <c r="AW125" s="47"/>
      <c r="AX125" s="702"/>
      <c r="AY125" s="702"/>
      <c r="AZ125" s="702"/>
      <c r="BA125" s="702"/>
      <c r="BB125" s="702"/>
      <c r="BC125" s="702"/>
      <c r="BD125" s="47"/>
      <c r="BE125" s="702"/>
      <c r="BF125" s="702"/>
      <c r="BG125" s="702"/>
      <c r="BH125" s="702"/>
      <c r="BI125" s="702"/>
      <c r="BJ125" s="702"/>
      <c r="BK125" s="47"/>
      <c r="BL125" s="702"/>
      <c r="BM125" s="702"/>
      <c r="BN125" s="702"/>
      <c r="BO125" s="702"/>
      <c r="BP125" s="702"/>
      <c r="BQ125" s="702"/>
      <c r="BR125" s="122" t="e">
        <f t="shared" si="1"/>
        <v>#DIV/0!</v>
      </c>
    </row>
    <row r="126" spans="3:70" ht="15" customHeight="1">
      <c r="C126" s="1484">
        <v>5</v>
      </c>
      <c r="D126" s="1616"/>
      <c r="E126" s="1616"/>
      <c r="F126" s="1616"/>
      <c r="G126" s="1485"/>
      <c r="H126" s="1618" t="str">
        <f>AL126</f>
        <v>Assistente Administrativo</v>
      </c>
      <c r="I126" s="1619"/>
      <c r="J126" s="1619"/>
      <c r="K126" s="1619"/>
      <c r="L126" s="1619"/>
      <c r="M126" s="1619"/>
      <c r="N126" s="1619"/>
      <c r="O126" s="1619"/>
      <c r="P126" s="1619"/>
      <c r="Q126" s="1619"/>
      <c r="R126" s="1619"/>
      <c r="S126" s="1619"/>
      <c r="T126" s="1620"/>
      <c r="U126" s="1604" t="s">
        <v>76</v>
      </c>
      <c r="V126" s="1605"/>
      <c r="W126" s="1605"/>
      <c r="X126" s="1606"/>
      <c r="Y126" s="1607"/>
      <c r="Z126" s="1608"/>
      <c r="AA126" s="1609"/>
      <c r="AB126" s="1715">
        <f>BR126</f>
        <v>1</v>
      </c>
      <c r="AC126" s="1716"/>
      <c r="AD126" s="1717"/>
      <c r="AE126" s="1600"/>
      <c r="AF126" s="1600"/>
      <c r="AG126" s="1600"/>
      <c r="AH126" s="3"/>
      <c r="AI126" s="3"/>
      <c r="AJ126" s="3"/>
      <c r="AK126" s="3"/>
      <c r="AL126" s="11" t="s">
        <v>97</v>
      </c>
      <c r="AM126" s="702">
        <v>1</v>
      </c>
      <c r="AN126" s="702">
        <v>1</v>
      </c>
      <c r="AO126" s="702">
        <v>1</v>
      </c>
      <c r="AP126" s="702"/>
      <c r="AQ126" s="702"/>
      <c r="AR126" s="702">
        <v>1</v>
      </c>
      <c r="AS126" s="702">
        <v>1</v>
      </c>
      <c r="AT126" s="702">
        <v>1</v>
      </c>
      <c r="AU126" s="702">
        <v>1</v>
      </c>
      <c r="AV126" s="702">
        <v>1</v>
      </c>
      <c r="AW126" s="702"/>
      <c r="AX126" s="702"/>
      <c r="AY126" s="702">
        <v>1</v>
      </c>
      <c r="AZ126" s="702">
        <v>1</v>
      </c>
      <c r="BA126" s="702">
        <v>1</v>
      </c>
      <c r="BB126" s="702">
        <v>1</v>
      </c>
      <c r="BC126" s="702">
        <v>1</v>
      </c>
      <c r="BD126" s="702"/>
      <c r="BE126" s="702"/>
      <c r="BF126" s="702">
        <v>1</v>
      </c>
      <c r="BG126" s="702">
        <v>1</v>
      </c>
      <c r="BH126" s="702">
        <v>1</v>
      </c>
      <c r="BI126" s="702">
        <v>1</v>
      </c>
      <c r="BJ126" s="702">
        <v>1</v>
      </c>
      <c r="BK126" s="702"/>
      <c r="BL126" s="702"/>
      <c r="BM126" s="702">
        <v>1</v>
      </c>
      <c r="BN126" s="702">
        <v>1</v>
      </c>
      <c r="BO126" s="702">
        <v>1</v>
      </c>
      <c r="BP126" s="702">
        <v>1</v>
      </c>
      <c r="BQ126" s="702"/>
      <c r="BR126" s="122">
        <f t="shared" si="1"/>
        <v>1</v>
      </c>
    </row>
    <row r="127" spans="3:70" ht="15" customHeight="1">
      <c r="C127" s="1484"/>
      <c r="D127" s="1616"/>
      <c r="E127" s="1616"/>
      <c r="F127" s="1616"/>
      <c r="G127" s="1485"/>
      <c r="H127" s="1618"/>
      <c r="I127" s="1619"/>
      <c r="J127" s="1619"/>
      <c r="K127" s="1619"/>
      <c r="L127" s="1619"/>
      <c r="M127" s="1619"/>
      <c r="N127" s="1619"/>
      <c r="O127" s="1619"/>
      <c r="P127" s="1619"/>
      <c r="Q127" s="1619"/>
      <c r="R127" s="1619"/>
      <c r="S127" s="1619"/>
      <c r="T127" s="1620"/>
      <c r="U127" s="1604"/>
      <c r="V127" s="1605"/>
      <c r="W127" s="1605"/>
      <c r="X127" s="1606"/>
      <c r="Y127" s="1607"/>
      <c r="Z127" s="1608"/>
      <c r="AA127" s="1609"/>
      <c r="AB127" s="1715"/>
      <c r="AC127" s="1716"/>
      <c r="AD127" s="1717"/>
      <c r="AE127" s="1600"/>
      <c r="AF127" s="1600"/>
      <c r="AG127" s="1600"/>
      <c r="AH127" s="3"/>
      <c r="AI127" s="3"/>
      <c r="AJ127" s="3"/>
      <c r="AK127" s="3"/>
      <c r="AL127" s="11" t="s">
        <v>98</v>
      </c>
      <c r="AM127" s="702"/>
      <c r="AN127" s="702"/>
      <c r="AO127" s="702"/>
      <c r="AP127" s="47"/>
      <c r="AQ127" s="702"/>
      <c r="AR127" s="702"/>
      <c r="AS127" s="702"/>
      <c r="AT127" s="702"/>
      <c r="AU127" s="702"/>
      <c r="AV127" s="702"/>
      <c r="AW127" s="47"/>
      <c r="AX127" s="702"/>
      <c r="AY127" s="702"/>
      <c r="AZ127" s="702"/>
      <c r="BA127" s="702"/>
      <c r="BB127" s="702"/>
      <c r="BC127" s="702"/>
      <c r="BD127" s="47"/>
      <c r="BE127" s="702"/>
      <c r="BF127" s="702"/>
      <c r="BG127" s="702"/>
      <c r="BH127" s="702"/>
      <c r="BI127" s="702"/>
      <c r="BJ127" s="702"/>
      <c r="BK127" s="47"/>
      <c r="BL127" s="702"/>
      <c r="BM127" s="702"/>
      <c r="BN127" s="702"/>
      <c r="BO127" s="702"/>
      <c r="BP127" s="702"/>
      <c r="BQ127" s="702"/>
      <c r="BR127" s="122" t="e">
        <f t="shared" si="1"/>
        <v>#DIV/0!</v>
      </c>
    </row>
    <row r="128" spans="3:70" ht="15" customHeight="1">
      <c r="C128" s="1484"/>
      <c r="D128" s="1616"/>
      <c r="E128" s="1616"/>
      <c r="F128" s="1616"/>
      <c r="G128" s="1485"/>
      <c r="H128" s="1617"/>
      <c r="I128" s="1617"/>
      <c r="J128" s="1617"/>
      <c r="K128" s="1617"/>
      <c r="L128" s="1617"/>
      <c r="M128" s="1617"/>
      <c r="N128" s="1617"/>
      <c r="O128" s="1617"/>
      <c r="P128" s="1617"/>
      <c r="Q128" s="1617"/>
      <c r="R128" s="1617"/>
      <c r="S128" s="1617"/>
      <c r="T128" s="1617"/>
      <c r="U128" s="1604"/>
      <c r="V128" s="1605"/>
      <c r="W128" s="1605"/>
      <c r="X128" s="1606"/>
      <c r="Y128" s="1607"/>
      <c r="Z128" s="1608"/>
      <c r="AA128" s="1609"/>
      <c r="AB128" s="1599"/>
      <c r="AC128" s="1599"/>
      <c r="AD128" s="1599"/>
      <c r="AE128" s="1600"/>
      <c r="AF128" s="1600"/>
      <c r="AG128" s="1600"/>
      <c r="AH128" s="3"/>
      <c r="AI128" s="3"/>
      <c r="AJ128" s="3"/>
      <c r="AK128" s="3"/>
      <c r="AL128" s="11" t="s">
        <v>99</v>
      </c>
      <c r="AM128" s="702"/>
      <c r="AN128" s="702"/>
      <c r="AO128" s="702"/>
      <c r="AP128" s="47"/>
      <c r="AQ128" s="702"/>
      <c r="AR128" s="702"/>
      <c r="AS128" s="702"/>
      <c r="AT128" s="702"/>
      <c r="AU128" s="702"/>
      <c r="AV128" s="702"/>
      <c r="AW128" s="47"/>
      <c r="AX128" s="702"/>
      <c r="AY128" s="702"/>
      <c r="AZ128" s="702"/>
      <c r="BA128" s="702"/>
      <c r="BB128" s="702"/>
      <c r="BC128" s="702"/>
      <c r="BD128" s="47"/>
      <c r="BE128" s="702"/>
      <c r="BF128" s="702"/>
      <c r="BG128" s="702"/>
      <c r="BH128" s="702"/>
      <c r="BI128" s="702"/>
      <c r="BJ128" s="702"/>
      <c r="BK128" s="47"/>
      <c r="BL128" s="702"/>
      <c r="BM128" s="702"/>
      <c r="BN128" s="702"/>
      <c r="BO128" s="702"/>
      <c r="BP128" s="702"/>
      <c r="BQ128" s="702"/>
      <c r="BR128" s="122" t="e">
        <f t="shared" si="1"/>
        <v>#DIV/0!</v>
      </c>
    </row>
    <row r="129" spans="3:70" ht="15" customHeight="1">
      <c r="C129" s="1484"/>
      <c r="D129" s="1616"/>
      <c r="E129" s="1616"/>
      <c r="F129" s="1616"/>
      <c r="G129" s="1485"/>
      <c r="H129" s="1617"/>
      <c r="I129" s="1617"/>
      <c r="J129" s="1617"/>
      <c r="K129" s="1617"/>
      <c r="L129" s="1617"/>
      <c r="M129" s="1617"/>
      <c r="N129" s="1617"/>
      <c r="O129" s="1617"/>
      <c r="P129" s="1617"/>
      <c r="Q129" s="1617"/>
      <c r="R129" s="1617"/>
      <c r="S129" s="1617"/>
      <c r="T129" s="1617"/>
      <c r="U129" s="1604"/>
      <c r="V129" s="1605"/>
      <c r="W129" s="1605"/>
      <c r="X129" s="1606"/>
      <c r="Y129" s="1607"/>
      <c r="Z129" s="1608"/>
      <c r="AA129" s="1609"/>
      <c r="AB129" s="1599"/>
      <c r="AC129" s="1599"/>
      <c r="AD129" s="1599"/>
      <c r="AE129" s="1600"/>
      <c r="AF129" s="1600"/>
      <c r="AG129" s="1600"/>
      <c r="AH129" s="3"/>
      <c r="AI129" s="3"/>
      <c r="AJ129" s="3"/>
      <c r="AK129" s="3"/>
      <c r="AL129" s="11" t="s">
        <v>100</v>
      </c>
      <c r="AM129" s="702">
        <v>1</v>
      </c>
      <c r="AN129" s="702">
        <v>1</v>
      </c>
      <c r="AO129" s="702">
        <v>1</v>
      </c>
      <c r="AP129" s="702"/>
      <c r="AQ129" s="702"/>
      <c r="AR129" s="702">
        <v>1</v>
      </c>
      <c r="AS129" s="702">
        <v>1</v>
      </c>
      <c r="AT129" s="702">
        <v>1</v>
      </c>
      <c r="AU129" s="702">
        <v>1</v>
      </c>
      <c r="AV129" s="702">
        <v>1</v>
      </c>
      <c r="AW129" s="702"/>
      <c r="AX129" s="702"/>
      <c r="AY129" s="702">
        <v>1</v>
      </c>
      <c r="AZ129" s="702">
        <v>1</v>
      </c>
      <c r="BA129" s="702">
        <v>1</v>
      </c>
      <c r="BB129" s="702">
        <v>1</v>
      </c>
      <c r="BC129" s="702">
        <v>1</v>
      </c>
      <c r="BD129" s="702"/>
      <c r="BE129" s="702"/>
      <c r="BF129" s="702">
        <v>1</v>
      </c>
      <c r="BG129" s="702">
        <v>1</v>
      </c>
      <c r="BH129" s="702">
        <v>1</v>
      </c>
      <c r="BI129" s="702">
        <v>1</v>
      </c>
      <c r="BJ129" s="702">
        <v>1</v>
      </c>
      <c r="BK129" s="702"/>
      <c r="BL129" s="702"/>
      <c r="BM129" s="702">
        <v>1</v>
      </c>
      <c r="BN129" s="702">
        <v>1</v>
      </c>
      <c r="BO129" s="702">
        <v>1</v>
      </c>
      <c r="BP129" s="702">
        <v>1</v>
      </c>
      <c r="BQ129" s="702"/>
      <c r="BR129" s="122">
        <f t="shared" si="1"/>
        <v>1</v>
      </c>
    </row>
    <row r="130" spans="3:70" ht="15" customHeight="1">
      <c r="C130" s="1484"/>
      <c r="D130" s="1616"/>
      <c r="E130" s="1616"/>
      <c r="F130" s="1616"/>
      <c r="G130" s="1485"/>
      <c r="H130" s="1617"/>
      <c r="I130" s="1617"/>
      <c r="J130" s="1617"/>
      <c r="K130" s="1617"/>
      <c r="L130" s="1617"/>
      <c r="M130" s="1617"/>
      <c r="N130" s="1617"/>
      <c r="O130" s="1617"/>
      <c r="P130" s="1617"/>
      <c r="Q130" s="1617"/>
      <c r="R130" s="1617"/>
      <c r="S130" s="1617"/>
      <c r="T130" s="1617"/>
      <c r="U130" s="1604"/>
      <c r="V130" s="1605"/>
      <c r="W130" s="1605"/>
      <c r="X130" s="1606"/>
      <c r="Y130" s="1607"/>
      <c r="Z130" s="1608"/>
      <c r="AA130" s="1609"/>
      <c r="AB130" s="1599"/>
      <c r="AC130" s="1599"/>
      <c r="AD130" s="1599"/>
      <c r="AE130" s="1600"/>
      <c r="AF130" s="1600"/>
      <c r="AG130" s="1600"/>
      <c r="AH130" s="3"/>
      <c r="AI130" s="3"/>
      <c r="AJ130" s="3"/>
      <c r="AK130" s="3"/>
      <c r="AL130" s="11" t="s">
        <v>101</v>
      </c>
      <c r="AM130" s="1114"/>
      <c r="AN130" s="1114"/>
      <c r="AO130" s="1114"/>
      <c r="AP130" s="1114"/>
      <c r="AQ130" s="1114"/>
      <c r="AR130" s="1114"/>
      <c r="AS130" s="1114"/>
      <c r="AT130" s="1114"/>
      <c r="AU130" s="1114"/>
      <c r="AV130" s="1114"/>
      <c r="AW130" s="1114"/>
      <c r="AX130" s="1114"/>
      <c r="AY130" s="1114"/>
      <c r="AZ130" s="1114"/>
      <c r="BA130" s="1114"/>
      <c r="BB130" s="1114"/>
      <c r="BC130" s="1114"/>
      <c r="BD130" s="1114"/>
      <c r="BE130" s="1114"/>
      <c r="BF130" s="1114"/>
      <c r="BG130" s="1114"/>
      <c r="BH130" s="1114"/>
      <c r="BI130" s="1114"/>
      <c r="BJ130" s="1114"/>
      <c r="BK130" s="1114"/>
      <c r="BL130" s="1114"/>
      <c r="BM130" s="1114"/>
      <c r="BN130" s="1114"/>
      <c r="BO130" s="1114"/>
      <c r="BP130" s="1114"/>
      <c r="BQ130" s="1114"/>
      <c r="BR130" s="122" t="e">
        <f t="shared" si="1"/>
        <v>#DIV/0!</v>
      </c>
    </row>
    <row r="131" spans="3:70" ht="15" customHeight="1">
      <c r="C131" s="1484"/>
      <c r="D131" s="1616"/>
      <c r="E131" s="1616"/>
      <c r="F131" s="1616"/>
      <c r="G131" s="1485"/>
      <c r="H131" s="1617"/>
      <c r="I131" s="1617"/>
      <c r="J131" s="1617"/>
      <c r="K131" s="1617"/>
      <c r="L131" s="1617"/>
      <c r="M131" s="1617"/>
      <c r="N131" s="1617"/>
      <c r="O131" s="1617"/>
      <c r="P131" s="1617"/>
      <c r="Q131" s="1617"/>
      <c r="R131" s="1617"/>
      <c r="S131" s="1617"/>
      <c r="T131" s="1617"/>
      <c r="U131" s="1604"/>
      <c r="V131" s="1605"/>
      <c r="W131" s="1605"/>
      <c r="X131" s="1606"/>
      <c r="Y131" s="1607"/>
      <c r="Z131" s="1608"/>
      <c r="AA131" s="1609"/>
      <c r="AB131" s="1599"/>
      <c r="AC131" s="1599"/>
      <c r="AD131" s="1599"/>
      <c r="AE131" s="1600"/>
      <c r="AF131" s="1600"/>
      <c r="AG131" s="1600"/>
      <c r="AH131" s="3"/>
      <c r="AI131" s="3"/>
      <c r="AJ131" s="3"/>
      <c r="AK131" s="3"/>
      <c r="AL131" s="11" t="s">
        <v>102</v>
      </c>
      <c r="AM131" s="1114">
        <v>2</v>
      </c>
      <c r="AN131" s="1114">
        <v>2</v>
      </c>
      <c r="AO131" s="1114">
        <v>2</v>
      </c>
      <c r="AP131" s="1114"/>
      <c r="AQ131" s="1114"/>
      <c r="AR131" s="1114">
        <v>2</v>
      </c>
      <c r="AS131" s="1114">
        <v>2</v>
      </c>
      <c r="AT131" s="1114">
        <v>2</v>
      </c>
      <c r="AU131" s="1114">
        <v>2</v>
      </c>
      <c r="AV131" s="1114">
        <v>2</v>
      </c>
      <c r="AW131" s="1114"/>
      <c r="AX131" s="1114"/>
      <c r="AY131" s="1114">
        <v>2</v>
      </c>
      <c r="AZ131" s="1114">
        <v>2</v>
      </c>
      <c r="BA131" s="1114">
        <v>2</v>
      </c>
      <c r="BB131" s="1114">
        <v>2</v>
      </c>
      <c r="BC131" s="1114">
        <v>2</v>
      </c>
      <c r="BD131" s="1114"/>
      <c r="BE131" s="1114"/>
      <c r="BF131" s="1114">
        <v>2</v>
      </c>
      <c r="BG131" s="1114">
        <v>2</v>
      </c>
      <c r="BH131" s="1114">
        <v>2</v>
      </c>
      <c r="BI131" s="1114">
        <v>2</v>
      </c>
      <c r="BJ131" s="1114">
        <v>2</v>
      </c>
      <c r="BK131" s="1114"/>
      <c r="BL131" s="1114"/>
      <c r="BM131" s="1114">
        <v>2</v>
      </c>
      <c r="BN131" s="1114">
        <v>2</v>
      </c>
      <c r="BO131" s="1114">
        <v>2</v>
      </c>
      <c r="BP131" s="1114">
        <v>2</v>
      </c>
      <c r="BQ131" s="1114">
        <v>2</v>
      </c>
      <c r="BR131" s="122">
        <f t="shared" si="1"/>
        <v>2</v>
      </c>
    </row>
    <row r="132" spans="3:70" ht="15" customHeight="1">
      <c r="C132" s="1484"/>
      <c r="D132" s="1616"/>
      <c r="E132" s="1616"/>
      <c r="F132" s="1616"/>
      <c r="G132" s="1485"/>
      <c r="H132" s="1617"/>
      <c r="I132" s="1617"/>
      <c r="J132" s="1617"/>
      <c r="K132" s="1617"/>
      <c r="L132" s="1617"/>
      <c r="M132" s="1617"/>
      <c r="N132" s="1617"/>
      <c r="O132" s="1617"/>
      <c r="P132" s="1617"/>
      <c r="Q132" s="1617"/>
      <c r="R132" s="1617"/>
      <c r="S132" s="1617"/>
      <c r="T132" s="1617"/>
      <c r="U132" s="1604"/>
      <c r="V132" s="1605"/>
      <c r="W132" s="1605"/>
      <c r="X132" s="1606"/>
      <c r="Y132" s="1607"/>
      <c r="Z132" s="1608"/>
      <c r="AA132" s="1609"/>
      <c r="AB132" s="1599"/>
      <c r="AC132" s="1599"/>
      <c r="AD132" s="1599"/>
      <c r="AE132" s="1600"/>
      <c r="AF132" s="1600"/>
      <c r="AG132" s="1600"/>
      <c r="AH132" s="3"/>
      <c r="AI132" s="3"/>
      <c r="AJ132" s="3"/>
      <c r="AK132" s="3"/>
      <c r="AL132" s="11" t="s">
        <v>103</v>
      </c>
      <c r="AM132" s="702"/>
      <c r="AN132" s="702"/>
      <c r="AO132" s="702"/>
      <c r="AP132" s="47"/>
      <c r="AQ132" s="702"/>
      <c r="AR132" s="702"/>
      <c r="AS132" s="702"/>
      <c r="AT132" s="702"/>
      <c r="AU132" s="702"/>
      <c r="AV132" s="702"/>
      <c r="AW132" s="47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122" t="e">
        <f t="shared" si="1"/>
        <v>#DIV/0!</v>
      </c>
    </row>
    <row r="133" spans="3:70" ht="15" customHeight="1">
      <c r="C133" s="1484"/>
      <c r="D133" s="1616"/>
      <c r="E133" s="1616"/>
      <c r="F133" s="1616"/>
      <c r="G133" s="1485"/>
      <c r="H133" s="1617"/>
      <c r="I133" s="1617"/>
      <c r="J133" s="1617"/>
      <c r="K133" s="1617"/>
      <c r="L133" s="1617"/>
      <c r="M133" s="1617"/>
      <c r="N133" s="1617"/>
      <c r="O133" s="1617"/>
      <c r="P133" s="1617"/>
      <c r="Q133" s="1617"/>
      <c r="R133" s="1617"/>
      <c r="S133" s="1617"/>
      <c r="T133" s="1617"/>
      <c r="U133" s="1604"/>
      <c r="V133" s="1605"/>
      <c r="W133" s="1605"/>
      <c r="X133" s="1606"/>
      <c r="Y133" s="1607"/>
      <c r="Z133" s="1608"/>
      <c r="AA133" s="1609"/>
      <c r="AB133" s="1599"/>
      <c r="AC133" s="1599"/>
      <c r="AD133" s="1599"/>
      <c r="AE133" s="1600"/>
      <c r="AF133" s="1600"/>
      <c r="AG133" s="1600"/>
      <c r="AH133" s="3"/>
      <c r="AI133" s="3"/>
      <c r="AJ133" s="3"/>
      <c r="AK133" s="3"/>
      <c r="AL133" s="11" t="s">
        <v>104</v>
      </c>
      <c r="AM133" s="702">
        <v>1</v>
      </c>
      <c r="AN133" s="702">
        <v>1</v>
      </c>
      <c r="AO133" s="702">
        <v>1</v>
      </c>
      <c r="AP133" s="702"/>
      <c r="AQ133" s="702"/>
      <c r="AR133" s="702">
        <v>1</v>
      </c>
      <c r="AS133" s="702">
        <v>1</v>
      </c>
      <c r="AT133" s="702">
        <v>1</v>
      </c>
      <c r="AU133" s="702">
        <v>1</v>
      </c>
      <c r="AV133" s="702">
        <v>1</v>
      </c>
      <c r="AW133" s="702"/>
      <c r="AX133" s="702"/>
      <c r="AY133" s="702">
        <v>1</v>
      </c>
      <c r="AZ133" s="702">
        <v>1</v>
      </c>
      <c r="BA133" s="702">
        <v>1</v>
      </c>
      <c r="BB133" s="702">
        <v>1</v>
      </c>
      <c r="BC133" s="702">
        <v>1</v>
      </c>
      <c r="BD133" s="702"/>
      <c r="BE133" s="702"/>
      <c r="BF133" s="702">
        <v>1</v>
      </c>
      <c r="BG133" s="702">
        <v>1</v>
      </c>
      <c r="BH133" s="702">
        <v>1</v>
      </c>
      <c r="BI133" s="702">
        <v>1</v>
      </c>
      <c r="BJ133" s="702">
        <v>1</v>
      </c>
      <c r="BK133" s="702"/>
      <c r="BL133" s="702"/>
      <c r="BM133" s="702">
        <v>1</v>
      </c>
      <c r="BN133" s="702">
        <v>1</v>
      </c>
      <c r="BO133" s="702">
        <v>1</v>
      </c>
      <c r="BP133" s="702">
        <v>1</v>
      </c>
      <c r="BQ133" s="1114"/>
      <c r="BR133" s="122">
        <f t="shared" si="1"/>
        <v>1</v>
      </c>
    </row>
    <row r="134" spans="3:70" ht="15" customHeight="1">
      <c r="C134" s="1484"/>
      <c r="D134" s="1616"/>
      <c r="E134" s="1616"/>
      <c r="F134" s="1616"/>
      <c r="G134" s="1485"/>
      <c r="H134" s="1617"/>
      <c r="I134" s="1617"/>
      <c r="J134" s="1617"/>
      <c r="K134" s="1617"/>
      <c r="L134" s="1617"/>
      <c r="M134" s="1617"/>
      <c r="N134" s="1617"/>
      <c r="O134" s="1617"/>
      <c r="P134" s="1617"/>
      <c r="Q134" s="1617"/>
      <c r="R134" s="1617"/>
      <c r="S134" s="1617"/>
      <c r="T134" s="1617"/>
      <c r="U134" s="1604"/>
      <c r="V134" s="1605"/>
      <c r="W134" s="1605"/>
      <c r="X134" s="1606"/>
      <c r="Y134" s="1607"/>
      <c r="Z134" s="1608"/>
      <c r="AA134" s="1609"/>
      <c r="AB134" s="1599"/>
      <c r="AC134" s="1599"/>
      <c r="AD134" s="1599"/>
      <c r="AE134" s="1600"/>
      <c r="AF134" s="1600"/>
      <c r="AG134" s="1600"/>
      <c r="AH134" s="3"/>
      <c r="AI134" s="3"/>
      <c r="AJ134" s="3"/>
      <c r="AK134" s="3"/>
      <c r="AL134" s="11" t="s">
        <v>83</v>
      </c>
      <c r="AM134" s="1114">
        <v>1</v>
      </c>
      <c r="AN134" s="1114">
        <v>1</v>
      </c>
      <c r="AO134" s="1114">
        <v>1</v>
      </c>
      <c r="AP134" s="1114"/>
      <c r="AQ134" s="1114"/>
      <c r="AR134" s="1114">
        <v>1</v>
      </c>
      <c r="AS134" s="1114">
        <v>1</v>
      </c>
      <c r="AT134" s="1114">
        <v>1</v>
      </c>
      <c r="AU134" s="1114">
        <v>1</v>
      </c>
      <c r="AV134" s="1114">
        <v>1</v>
      </c>
      <c r="AW134" s="1114"/>
      <c r="AX134" s="1114"/>
      <c r="AY134" s="1114">
        <v>1</v>
      </c>
      <c r="AZ134" s="1114">
        <v>1</v>
      </c>
      <c r="BA134" s="1114">
        <v>1</v>
      </c>
      <c r="BB134" s="1114">
        <v>1</v>
      </c>
      <c r="BC134" s="1114">
        <v>1</v>
      </c>
      <c r="BD134" s="1114"/>
      <c r="BE134" s="1114"/>
      <c r="BF134" s="1114">
        <v>1</v>
      </c>
      <c r="BG134" s="1114">
        <v>1</v>
      </c>
      <c r="BH134" s="1114">
        <v>1</v>
      </c>
      <c r="BI134" s="1114">
        <v>1</v>
      </c>
      <c r="BJ134" s="1114">
        <v>1</v>
      </c>
      <c r="BK134" s="1114"/>
      <c r="BL134" s="1114"/>
      <c r="BM134" s="1114">
        <v>1</v>
      </c>
      <c r="BN134" s="1114">
        <v>1</v>
      </c>
      <c r="BO134" s="1114">
        <v>1</v>
      </c>
      <c r="BP134" s="1114">
        <v>1</v>
      </c>
      <c r="BQ134" s="1114"/>
      <c r="BR134" s="122">
        <f t="shared" si="1"/>
        <v>1</v>
      </c>
    </row>
    <row r="135" spans="3:70" ht="15" customHeight="1">
      <c r="C135" s="1468"/>
      <c r="D135" s="1468"/>
      <c r="E135" s="1468"/>
      <c r="F135" s="1468"/>
      <c r="G135" s="1468"/>
      <c r="H135" s="1618"/>
      <c r="I135" s="1619"/>
      <c r="J135" s="1619"/>
      <c r="K135" s="1619"/>
      <c r="L135" s="1619"/>
      <c r="M135" s="1619"/>
      <c r="N135" s="1619"/>
      <c r="O135" s="1619"/>
      <c r="P135" s="1619"/>
      <c r="Q135" s="1619"/>
      <c r="R135" s="1619"/>
      <c r="S135" s="1619"/>
      <c r="T135" s="1620"/>
      <c r="U135" s="1604"/>
      <c r="V135" s="1605"/>
      <c r="W135" s="1605"/>
      <c r="X135" s="1606"/>
      <c r="Y135" s="1607"/>
      <c r="Z135" s="1608"/>
      <c r="AA135" s="1609"/>
      <c r="AB135" s="1599"/>
      <c r="AC135" s="1599"/>
      <c r="AD135" s="1599"/>
      <c r="AE135" s="1600"/>
      <c r="AF135" s="1600"/>
      <c r="AG135" s="1600"/>
      <c r="AH135" s="3"/>
      <c r="AI135" s="3"/>
      <c r="AJ135" s="3"/>
      <c r="AK135" s="3"/>
      <c r="AL135" s="11"/>
      <c r="AM135" s="702"/>
      <c r="AN135" s="702"/>
      <c r="AO135" s="47"/>
      <c r="AP135" s="47"/>
      <c r="AQ135" s="702"/>
      <c r="AR135" s="702"/>
      <c r="AS135" s="702"/>
      <c r="AT135" s="702"/>
      <c r="AU135" s="702"/>
      <c r="AV135" s="47"/>
      <c r="AW135" s="47"/>
      <c r="AX135" s="702"/>
      <c r="AY135" s="702"/>
      <c r="AZ135" s="702"/>
      <c r="BA135" s="702"/>
      <c r="BB135" s="702"/>
      <c r="BC135" s="47"/>
      <c r="BD135" s="47"/>
      <c r="BE135" s="702"/>
      <c r="BF135" s="702"/>
      <c r="BG135" s="702"/>
      <c r="BH135" s="702"/>
      <c r="BI135" s="702"/>
      <c r="BJ135" s="47"/>
      <c r="BK135" s="47"/>
      <c r="BL135" s="702"/>
      <c r="BM135" s="702"/>
      <c r="BN135" s="702"/>
      <c r="BO135" s="702"/>
      <c r="BP135" s="702"/>
      <c r="BQ135" s="702"/>
      <c r="BR135" s="122"/>
    </row>
    <row r="136" spans="3:70" ht="15" customHeight="1">
      <c r="C136" s="1484"/>
      <c r="D136" s="1616"/>
      <c r="E136" s="1616"/>
      <c r="F136" s="1616"/>
      <c r="G136" s="1485"/>
      <c r="H136" s="1618"/>
      <c r="I136" s="1619"/>
      <c r="J136" s="1619"/>
      <c r="K136" s="1619"/>
      <c r="L136" s="1619"/>
      <c r="M136" s="1619"/>
      <c r="N136" s="1619"/>
      <c r="O136" s="1619"/>
      <c r="P136" s="1619"/>
      <c r="Q136" s="1619"/>
      <c r="R136" s="1619"/>
      <c r="S136" s="1619"/>
      <c r="T136" s="1620"/>
      <c r="U136" s="1604"/>
      <c r="V136" s="1605"/>
      <c r="W136" s="1605"/>
      <c r="X136" s="1606"/>
      <c r="Y136" s="1607"/>
      <c r="Z136" s="1608"/>
      <c r="AA136" s="1609"/>
      <c r="AB136" s="1599"/>
      <c r="AC136" s="1599"/>
      <c r="AD136" s="1599"/>
      <c r="AE136" s="1600"/>
      <c r="AF136" s="1600"/>
      <c r="AG136" s="1600"/>
      <c r="AH136" s="3"/>
      <c r="AI136" s="3"/>
      <c r="AJ136" s="3"/>
      <c r="AK136" s="3"/>
      <c r="AL136" s="11"/>
      <c r="AM136" s="702"/>
      <c r="AN136" s="702"/>
      <c r="AO136" s="47"/>
      <c r="AP136" s="47"/>
      <c r="AQ136" s="702"/>
      <c r="AR136" s="702"/>
      <c r="AS136" s="702"/>
      <c r="AT136" s="702"/>
      <c r="AU136" s="702"/>
      <c r="AV136" s="47"/>
      <c r="AW136" s="47"/>
      <c r="AX136" s="702"/>
      <c r="AY136" s="702"/>
      <c r="AZ136" s="702"/>
      <c r="BA136" s="702"/>
      <c r="BB136" s="702"/>
      <c r="BC136" s="47"/>
      <c r="BD136" s="47"/>
      <c r="BE136" s="702"/>
      <c r="BF136" s="702"/>
      <c r="BG136" s="702"/>
      <c r="BH136" s="702"/>
      <c r="BI136" s="702"/>
      <c r="BJ136" s="47"/>
      <c r="BK136" s="47"/>
      <c r="BL136" s="702"/>
      <c r="BM136" s="702"/>
      <c r="BN136" s="702"/>
      <c r="BO136" s="702"/>
      <c r="BP136" s="702"/>
      <c r="BQ136" s="702"/>
      <c r="BR136" s="122"/>
    </row>
    <row r="137" spans="3:70" ht="15" customHeight="1">
      <c r="C137" s="1468"/>
      <c r="D137" s="1468"/>
      <c r="E137" s="1468"/>
      <c r="F137" s="1468"/>
      <c r="G137" s="1468"/>
      <c r="H137" s="1603"/>
      <c r="I137" s="1603"/>
      <c r="J137" s="1603"/>
      <c r="K137" s="1603"/>
      <c r="L137" s="1603"/>
      <c r="M137" s="1603"/>
      <c r="N137" s="1603"/>
      <c r="O137" s="1603"/>
      <c r="P137" s="1603"/>
      <c r="Q137" s="1603"/>
      <c r="R137" s="1603"/>
      <c r="S137" s="1603"/>
      <c r="T137" s="1603"/>
      <c r="U137" s="1604"/>
      <c r="V137" s="1605"/>
      <c r="W137" s="1605"/>
      <c r="X137" s="1606"/>
      <c r="Y137" s="1607"/>
      <c r="Z137" s="1608"/>
      <c r="AA137" s="1609"/>
      <c r="AB137" s="1599"/>
      <c r="AC137" s="1599"/>
      <c r="AD137" s="1599"/>
      <c r="AE137" s="1600"/>
      <c r="AF137" s="1600"/>
      <c r="AG137" s="1600"/>
      <c r="AH137" s="3"/>
      <c r="AI137" s="3"/>
      <c r="AJ137" s="3"/>
      <c r="AK137" s="3"/>
      <c r="AL137" s="11"/>
      <c r="AM137" s="702"/>
      <c r="AN137" s="702"/>
      <c r="AO137" s="47"/>
      <c r="AP137" s="47"/>
      <c r="AQ137" s="702"/>
      <c r="AR137" s="702"/>
      <c r="AS137" s="702"/>
      <c r="AT137" s="702"/>
      <c r="AU137" s="702"/>
      <c r="AV137" s="47"/>
      <c r="AW137" s="47"/>
      <c r="AX137" s="702"/>
      <c r="AY137" s="702"/>
      <c r="AZ137" s="702"/>
      <c r="BA137" s="702"/>
      <c r="BB137" s="702"/>
      <c r="BC137" s="47"/>
      <c r="BD137" s="47"/>
      <c r="BE137" s="702"/>
      <c r="BF137" s="702"/>
      <c r="BG137" s="702"/>
      <c r="BH137" s="702"/>
      <c r="BI137" s="702"/>
      <c r="BJ137" s="47"/>
      <c r="BK137" s="47"/>
      <c r="BL137" s="702"/>
      <c r="BM137" s="702"/>
      <c r="BN137" s="702"/>
      <c r="BO137" s="702"/>
      <c r="BP137" s="702"/>
      <c r="BQ137" s="702"/>
      <c r="BR137" s="122"/>
    </row>
    <row r="138" spans="3:70" ht="15" customHeight="1">
      <c r="C138" s="1468"/>
      <c r="D138" s="1468"/>
      <c r="E138" s="1468"/>
      <c r="F138" s="1468"/>
      <c r="G138" s="1468"/>
      <c r="H138" s="1603"/>
      <c r="I138" s="1603"/>
      <c r="J138" s="1603"/>
      <c r="K138" s="1603"/>
      <c r="L138" s="1603"/>
      <c r="M138" s="1603"/>
      <c r="N138" s="1603"/>
      <c r="O138" s="1603"/>
      <c r="P138" s="1603"/>
      <c r="Q138" s="1603"/>
      <c r="R138" s="1603"/>
      <c r="S138" s="1603"/>
      <c r="T138" s="1603"/>
      <c r="U138" s="1604"/>
      <c r="V138" s="1605"/>
      <c r="W138" s="1605"/>
      <c r="X138" s="1606"/>
      <c r="Y138" s="1607"/>
      <c r="Z138" s="1608"/>
      <c r="AA138" s="1609"/>
      <c r="AB138" s="1599"/>
      <c r="AC138" s="1599"/>
      <c r="AD138" s="1599"/>
      <c r="AE138" s="1600"/>
      <c r="AF138" s="1600"/>
      <c r="AG138" s="1600"/>
      <c r="AH138" s="3"/>
      <c r="AI138" s="3"/>
      <c r="AJ138" s="3"/>
      <c r="AK138" s="3"/>
      <c r="AL138" s="11"/>
      <c r="AM138" s="702"/>
      <c r="AN138" s="702"/>
      <c r="AO138" s="47"/>
      <c r="AP138" s="47"/>
      <c r="AQ138" s="702"/>
      <c r="AR138" s="702"/>
      <c r="AS138" s="702"/>
      <c r="AT138" s="702"/>
      <c r="AU138" s="702"/>
      <c r="AV138" s="47"/>
      <c r="AW138" s="47"/>
      <c r="AX138" s="702"/>
      <c r="AY138" s="702"/>
      <c r="AZ138" s="702"/>
      <c r="BA138" s="702"/>
      <c r="BB138" s="702"/>
      <c r="BC138" s="47"/>
      <c r="BD138" s="47"/>
      <c r="BE138" s="702"/>
      <c r="BF138" s="702"/>
      <c r="BG138" s="702"/>
      <c r="BH138" s="702"/>
      <c r="BI138" s="702"/>
      <c r="BJ138" s="47"/>
      <c r="BK138" s="47"/>
      <c r="BL138" s="702"/>
      <c r="BM138" s="702"/>
      <c r="BN138" s="702"/>
      <c r="BO138" s="702"/>
      <c r="BP138" s="702"/>
      <c r="BQ138" s="702"/>
      <c r="BR138" s="122"/>
    </row>
    <row r="139" spans="3:70" ht="15" customHeight="1">
      <c r="C139" s="1484"/>
      <c r="D139" s="1616"/>
      <c r="E139" s="1616"/>
      <c r="F139" s="1616"/>
      <c r="G139" s="1485"/>
      <c r="H139" s="1603"/>
      <c r="I139" s="1603"/>
      <c r="J139" s="1603"/>
      <c r="K139" s="1603"/>
      <c r="L139" s="1603"/>
      <c r="M139" s="1603"/>
      <c r="N139" s="1603"/>
      <c r="O139" s="1603"/>
      <c r="P139" s="1603"/>
      <c r="Q139" s="1603"/>
      <c r="R139" s="1603"/>
      <c r="S139" s="1603"/>
      <c r="T139" s="1603"/>
      <c r="U139" s="1604"/>
      <c r="V139" s="1605"/>
      <c r="W139" s="1605"/>
      <c r="X139" s="1606"/>
      <c r="Y139" s="1607"/>
      <c r="Z139" s="1608"/>
      <c r="AA139" s="1609"/>
      <c r="AB139" s="1599"/>
      <c r="AC139" s="1599"/>
      <c r="AD139" s="1599"/>
      <c r="AE139" s="1600"/>
      <c r="AF139" s="1600"/>
      <c r="AG139" s="1600"/>
      <c r="AH139" s="3"/>
      <c r="AI139" s="3"/>
      <c r="AJ139" s="3"/>
      <c r="AK139" s="3"/>
      <c r="AL139" s="11"/>
      <c r="AM139" s="702"/>
      <c r="AN139" s="702"/>
      <c r="AO139" s="47"/>
      <c r="AP139" s="47"/>
      <c r="AQ139" s="702"/>
      <c r="AR139" s="702"/>
      <c r="AS139" s="702"/>
      <c r="AT139" s="702"/>
      <c r="AU139" s="702"/>
      <c r="AV139" s="47"/>
      <c r="AW139" s="47"/>
      <c r="AX139" s="702"/>
      <c r="AY139" s="702"/>
      <c r="AZ139" s="702"/>
      <c r="BA139" s="702"/>
      <c r="BB139" s="702"/>
      <c r="BC139" s="47"/>
      <c r="BD139" s="47"/>
      <c r="BE139" s="702"/>
      <c r="BF139" s="702"/>
      <c r="BG139" s="702"/>
      <c r="BH139" s="702"/>
      <c r="BI139" s="702"/>
      <c r="BJ139" s="47"/>
      <c r="BK139" s="47"/>
      <c r="BL139" s="702"/>
      <c r="BM139" s="702"/>
      <c r="BN139" s="702"/>
      <c r="BO139" s="702"/>
      <c r="BP139" s="702"/>
      <c r="BQ139" s="702"/>
      <c r="BR139" s="122"/>
    </row>
    <row r="140" spans="3:70" ht="15" customHeight="1">
      <c r="C140" s="1468"/>
      <c r="D140" s="1468"/>
      <c r="E140" s="1468"/>
      <c r="F140" s="1468"/>
      <c r="G140" s="1468"/>
      <c r="H140" s="1603"/>
      <c r="I140" s="1603"/>
      <c r="J140" s="1603"/>
      <c r="K140" s="1603"/>
      <c r="L140" s="1603"/>
      <c r="M140" s="1603"/>
      <c r="N140" s="1603"/>
      <c r="O140" s="1603"/>
      <c r="P140" s="1603"/>
      <c r="Q140" s="1603"/>
      <c r="R140" s="1603"/>
      <c r="S140" s="1603"/>
      <c r="T140" s="1603"/>
      <c r="U140" s="1604"/>
      <c r="V140" s="1605"/>
      <c r="W140" s="1605"/>
      <c r="X140" s="1606"/>
      <c r="Y140" s="1607"/>
      <c r="Z140" s="1608"/>
      <c r="AA140" s="1609"/>
      <c r="AB140" s="1599"/>
      <c r="AC140" s="1599"/>
      <c r="AD140" s="1599"/>
      <c r="AE140" s="1600"/>
      <c r="AF140" s="1600"/>
      <c r="AG140" s="1600"/>
      <c r="AH140" s="3"/>
      <c r="AI140" s="3"/>
      <c r="AJ140" s="3"/>
      <c r="AK140" s="3"/>
      <c r="AL140" s="11"/>
      <c r="AM140" s="702"/>
      <c r="AN140" s="702"/>
      <c r="AO140" s="47"/>
      <c r="AP140" s="47"/>
      <c r="AQ140" s="702"/>
      <c r="AR140" s="702"/>
      <c r="AS140" s="702"/>
      <c r="AT140" s="702"/>
      <c r="AU140" s="702"/>
      <c r="AV140" s="47"/>
      <c r="AW140" s="47"/>
      <c r="AX140" s="702"/>
      <c r="AY140" s="702"/>
      <c r="AZ140" s="702"/>
      <c r="BA140" s="702"/>
      <c r="BB140" s="702"/>
      <c r="BC140" s="47"/>
      <c r="BD140" s="47"/>
      <c r="BE140" s="702"/>
      <c r="BF140" s="702"/>
      <c r="BG140" s="702"/>
      <c r="BH140" s="702"/>
      <c r="BI140" s="702"/>
      <c r="BJ140" s="47"/>
      <c r="BK140" s="47"/>
      <c r="BL140" s="702"/>
      <c r="BM140" s="702"/>
      <c r="BN140" s="702"/>
      <c r="BO140" s="702"/>
      <c r="BP140" s="702"/>
      <c r="BQ140" s="702"/>
      <c r="BR140" s="122"/>
    </row>
    <row r="141" spans="3:70" ht="15" customHeight="1">
      <c r="C141" s="156"/>
      <c r="D141" s="156"/>
      <c r="E141" s="156"/>
      <c r="F141" s="156"/>
      <c r="G141" s="156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5"/>
      <c r="V141" s="155"/>
      <c r="W141" s="155"/>
      <c r="X141" s="155"/>
      <c r="Y141" s="158"/>
      <c r="Z141" s="158"/>
      <c r="AA141" s="158"/>
      <c r="AB141" s="159"/>
      <c r="AC141" s="159"/>
      <c r="AD141" s="159"/>
      <c r="AE141" s="160"/>
      <c r="AF141" s="160"/>
      <c r="AG141" s="160"/>
      <c r="AH141" s="3"/>
      <c r="AI141" s="3"/>
      <c r="AJ141" s="3"/>
      <c r="AK141" s="3"/>
      <c r="AL141" s="11"/>
      <c r="AM141" s="702"/>
      <c r="AN141" s="702"/>
      <c r="AO141" s="47"/>
      <c r="AP141" s="47"/>
      <c r="AQ141" s="702"/>
      <c r="AR141" s="702"/>
      <c r="AS141" s="702"/>
      <c r="AT141" s="702"/>
      <c r="AU141" s="702"/>
      <c r="AV141" s="47"/>
      <c r="AW141" s="47"/>
      <c r="AX141" s="702"/>
      <c r="AY141" s="702"/>
      <c r="AZ141" s="702"/>
      <c r="BA141" s="702"/>
      <c r="BB141" s="702"/>
      <c r="BC141" s="47"/>
      <c r="BD141" s="47"/>
      <c r="BE141" s="702"/>
      <c r="BF141" s="702"/>
      <c r="BG141" s="702"/>
      <c r="BH141" s="702"/>
      <c r="BI141" s="702"/>
      <c r="BJ141" s="47"/>
      <c r="BK141" s="47"/>
      <c r="BL141" s="702"/>
      <c r="BM141" s="702"/>
      <c r="BN141" s="702"/>
      <c r="BO141" s="702"/>
      <c r="BP141" s="702"/>
      <c r="BQ141" s="702"/>
      <c r="BR141" s="122"/>
    </row>
    <row r="142" spans="3:70" ht="15" customHeight="1">
      <c r="C142" s="156"/>
      <c r="D142" s="156"/>
      <c r="E142" s="156"/>
      <c r="F142" s="156"/>
      <c r="G142" s="156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5"/>
      <c r="V142" s="155"/>
      <c r="W142" s="155"/>
      <c r="X142" s="155"/>
      <c r="Y142" s="158"/>
      <c r="Z142" s="158"/>
      <c r="AA142" s="158"/>
      <c r="AB142" s="159"/>
      <c r="AC142" s="159"/>
      <c r="AD142" s="159"/>
      <c r="AE142" s="160"/>
      <c r="AF142" s="160"/>
      <c r="AG142" s="160"/>
      <c r="AH142" s="3"/>
      <c r="AI142" s="3"/>
      <c r="AJ142" s="3"/>
      <c r="AK142" s="3"/>
      <c r="AL142" s="11"/>
      <c r="AM142" s="702"/>
      <c r="AN142" s="702"/>
      <c r="AO142" s="47"/>
      <c r="AP142" s="47"/>
      <c r="AQ142" s="702"/>
      <c r="AR142" s="702"/>
      <c r="AS142" s="702"/>
      <c r="AT142" s="702"/>
      <c r="AU142" s="702"/>
      <c r="AV142" s="47"/>
      <c r="AW142" s="47"/>
      <c r="AX142" s="702"/>
      <c r="AY142" s="702"/>
      <c r="AZ142" s="702"/>
      <c r="BA142" s="702"/>
      <c r="BB142" s="702"/>
      <c r="BC142" s="47"/>
      <c r="BD142" s="47"/>
      <c r="BE142" s="702"/>
      <c r="BF142" s="702"/>
      <c r="BG142" s="702"/>
      <c r="BH142" s="702"/>
      <c r="BI142" s="702"/>
      <c r="BJ142" s="47"/>
      <c r="BK142" s="47"/>
      <c r="BL142" s="702"/>
      <c r="BM142" s="702"/>
      <c r="BN142" s="702"/>
      <c r="BO142" s="702"/>
      <c r="BP142" s="702"/>
      <c r="BQ142" s="702"/>
      <c r="BR142" s="122"/>
    </row>
    <row r="143" spans="3:70" ht="15" customHeight="1">
      <c r="C143" s="156"/>
      <c r="D143" s="156"/>
      <c r="E143" s="156"/>
      <c r="F143" s="156"/>
      <c r="G143" s="156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5"/>
      <c r="V143" s="155"/>
      <c r="W143" s="155"/>
      <c r="X143" s="155"/>
      <c r="Y143" s="158"/>
      <c r="Z143" s="158"/>
      <c r="AA143" s="158"/>
      <c r="AB143" s="159"/>
      <c r="AC143" s="159"/>
      <c r="AD143" s="159"/>
      <c r="AE143" s="160"/>
      <c r="AF143" s="160"/>
      <c r="AG143" s="160"/>
      <c r="AH143" s="3"/>
      <c r="AI143" s="3"/>
      <c r="AJ143" s="3"/>
      <c r="AK143" s="3"/>
      <c r="AL143" s="11"/>
      <c r="AM143" s="702"/>
      <c r="AN143" s="702"/>
      <c r="AO143" s="47"/>
      <c r="AP143" s="47"/>
      <c r="AQ143" s="702"/>
      <c r="AR143" s="702"/>
      <c r="AS143" s="702"/>
      <c r="AT143" s="702"/>
      <c r="AU143" s="702"/>
      <c r="AV143" s="47"/>
      <c r="AW143" s="47"/>
      <c r="AX143" s="702"/>
      <c r="AY143" s="702"/>
      <c r="AZ143" s="702"/>
      <c r="BA143" s="702"/>
      <c r="BB143" s="702"/>
      <c r="BC143" s="47"/>
      <c r="BD143" s="47"/>
      <c r="BE143" s="702"/>
      <c r="BF143" s="702"/>
      <c r="BG143" s="702"/>
      <c r="BH143" s="702"/>
      <c r="BI143" s="702"/>
      <c r="BJ143" s="47"/>
      <c r="BK143" s="47"/>
      <c r="BL143" s="702"/>
      <c r="BM143" s="702"/>
      <c r="BN143" s="702"/>
      <c r="BO143" s="702"/>
      <c r="BP143" s="702"/>
      <c r="BQ143" s="702"/>
      <c r="BR143" s="122"/>
    </row>
    <row r="144" spans="3:70" ht="15" customHeight="1">
      <c r="C144" s="156"/>
      <c r="D144" s="156"/>
      <c r="E144" s="156"/>
      <c r="F144" s="156"/>
      <c r="G144" s="156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5"/>
      <c r="V144" s="155"/>
      <c r="W144" s="155"/>
      <c r="X144" s="155"/>
      <c r="Y144" s="158"/>
      <c r="Z144" s="158"/>
      <c r="AA144" s="158"/>
      <c r="AB144" s="159"/>
      <c r="AC144" s="159"/>
      <c r="AD144" s="159"/>
      <c r="AE144" s="160"/>
      <c r="AF144" s="160"/>
      <c r="AG144" s="160"/>
      <c r="AH144" s="3"/>
      <c r="AI144" s="3"/>
      <c r="AJ144" s="3"/>
      <c r="AK144" s="3"/>
      <c r="AL144" s="11"/>
      <c r="AM144" s="702"/>
      <c r="AN144" s="702"/>
      <c r="AO144" s="47"/>
      <c r="AP144" s="47"/>
      <c r="AQ144" s="702"/>
      <c r="AR144" s="702"/>
      <c r="AS144" s="702"/>
      <c r="AT144" s="702"/>
      <c r="AU144" s="702"/>
      <c r="AV144" s="47"/>
      <c r="AW144" s="47"/>
      <c r="AX144" s="702"/>
      <c r="AY144" s="702"/>
      <c r="AZ144" s="702"/>
      <c r="BA144" s="702"/>
      <c r="BB144" s="702"/>
      <c r="BC144" s="47"/>
      <c r="BD144" s="47"/>
      <c r="BE144" s="702"/>
      <c r="BF144" s="702"/>
      <c r="BG144" s="702"/>
      <c r="BH144" s="702"/>
      <c r="BI144" s="702"/>
      <c r="BJ144" s="47"/>
      <c r="BK144" s="47"/>
      <c r="BL144" s="702"/>
      <c r="BM144" s="702"/>
      <c r="BN144" s="702"/>
      <c r="BO144" s="702"/>
      <c r="BP144" s="702"/>
      <c r="BQ144" s="702"/>
      <c r="BR144" s="122"/>
    </row>
    <row r="145" spans="3:70" ht="15" customHeight="1">
      <c r="C145" s="156"/>
      <c r="D145" s="156"/>
      <c r="E145" s="156"/>
      <c r="F145" s="156"/>
      <c r="G145" s="156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5"/>
      <c r="V145" s="155"/>
      <c r="W145" s="155"/>
      <c r="X145" s="155"/>
      <c r="Y145" s="158"/>
      <c r="Z145" s="158"/>
      <c r="AA145" s="158"/>
      <c r="AB145" s="159"/>
      <c r="AC145" s="159"/>
      <c r="AD145" s="159"/>
      <c r="AE145" s="160"/>
      <c r="AF145" s="160"/>
      <c r="AG145" s="160"/>
      <c r="AH145" s="3"/>
      <c r="AI145" s="3"/>
      <c r="AJ145" s="3"/>
      <c r="AK145" s="3"/>
      <c r="AL145" s="11"/>
      <c r="AM145" s="702"/>
      <c r="AN145" s="702"/>
      <c r="AO145" s="47"/>
      <c r="AP145" s="47"/>
      <c r="AQ145" s="702"/>
      <c r="AR145" s="702"/>
      <c r="AS145" s="702"/>
      <c r="AT145" s="702"/>
      <c r="AU145" s="702"/>
      <c r="AV145" s="47"/>
      <c r="AW145" s="47"/>
      <c r="AX145" s="702"/>
      <c r="AY145" s="702"/>
      <c r="AZ145" s="702"/>
      <c r="BA145" s="702"/>
      <c r="BB145" s="702"/>
      <c r="BC145" s="47"/>
      <c r="BD145" s="47"/>
      <c r="BE145" s="702"/>
      <c r="BF145" s="702"/>
      <c r="BG145" s="702"/>
      <c r="BH145" s="702"/>
      <c r="BI145" s="702"/>
      <c r="BJ145" s="47"/>
      <c r="BK145" s="47"/>
      <c r="BL145" s="702"/>
      <c r="BM145" s="702"/>
      <c r="BN145" s="702"/>
      <c r="BO145" s="702"/>
      <c r="BP145" s="702"/>
      <c r="BQ145" s="702"/>
      <c r="BR145" s="122"/>
    </row>
    <row r="146" spans="3:70" ht="15" customHeight="1">
      <c r="C146" s="156"/>
      <c r="D146" s="156"/>
      <c r="E146" s="156"/>
      <c r="F146" s="156"/>
      <c r="G146" s="156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5"/>
      <c r="V146" s="155"/>
      <c r="W146" s="155"/>
      <c r="X146" s="155"/>
      <c r="Y146" s="158"/>
      <c r="Z146" s="158"/>
      <c r="AA146" s="158"/>
      <c r="AB146" s="159"/>
      <c r="AC146" s="159"/>
      <c r="AD146" s="159"/>
      <c r="AE146" s="160"/>
      <c r="AF146" s="160"/>
      <c r="AG146" s="160"/>
      <c r="AH146" s="3"/>
      <c r="AI146" s="3"/>
      <c r="AJ146" s="3"/>
      <c r="AK146" s="3"/>
      <c r="AL146" s="11"/>
      <c r="AM146" s="702"/>
      <c r="AN146" s="702"/>
      <c r="AO146" s="47"/>
      <c r="AP146" s="47"/>
      <c r="AQ146" s="702"/>
      <c r="AR146" s="702"/>
      <c r="AS146" s="702"/>
      <c r="AT146" s="702"/>
      <c r="AU146" s="702"/>
      <c r="AV146" s="47"/>
      <c r="AW146" s="47"/>
      <c r="AX146" s="702"/>
      <c r="AY146" s="702"/>
      <c r="AZ146" s="702"/>
      <c r="BA146" s="702"/>
      <c r="BB146" s="702"/>
      <c r="BC146" s="47"/>
      <c r="BD146" s="47"/>
      <c r="BE146" s="702"/>
      <c r="BF146" s="702"/>
      <c r="BG146" s="702"/>
      <c r="BH146" s="702"/>
      <c r="BI146" s="702"/>
      <c r="BJ146" s="47"/>
      <c r="BK146" s="47"/>
      <c r="BL146" s="702"/>
      <c r="BM146" s="702"/>
      <c r="BN146" s="702"/>
      <c r="BO146" s="702"/>
      <c r="BP146" s="702"/>
      <c r="BQ146" s="702"/>
      <c r="BR146" s="122"/>
    </row>
    <row r="147" spans="3:70" ht="15" customHeight="1">
      <c r="C147" s="156"/>
      <c r="D147" s="156"/>
      <c r="E147" s="156"/>
      <c r="F147" s="156"/>
      <c r="G147" s="156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5"/>
      <c r="V147" s="155"/>
      <c r="W147" s="155"/>
      <c r="X147" s="155"/>
      <c r="Y147" s="158"/>
      <c r="Z147" s="158"/>
      <c r="AA147" s="158"/>
      <c r="AB147" s="159"/>
      <c r="AC147" s="159"/>
      <c r="AD147" s="159"/>
      <c r="AE147" s="160"/>
      <c r="AF147" s="160"/>
      <c r="AG147" s="160"/>
      <c r="AH147" s="3"/>
      <c r="AI147" s="3"/>
      <c r="AJ147" s="3"/>
      <c r="AK147" s="3"/>
      <c r="AL147" s="11"/>
      <c r="AM147" s="702"/>
      <c r="AN147" s="702"/>
      <c r="AO147" s="47"/>
      <c r="AP147" s="47"/>
      <c r="AQ147" s="702"/>
      <c r="AR147" s="702"/>
      <c r="AS147" s="702"/>
      <c r="AT147" s="702"/>
      <c r="AU147" s="702"/>
      <c r="AV147" s="47"/>
      <c r="AW147" s="47"/>
      <c r="AX147" s="702"/>
      <c r="AY147" s="702"/>
      <c r="AZ147" s="702"/>
      <c r="BA147" s="702"/>
      <c r="BB147" s="702"/>
      <c r="BC147" s="47"/>
      <c r="BD147" s="47"/>
      <c r="BE147" s="702"/>
      <c r="BF147" s="702"/>
      <c r="BG147" s="702"/>
      <c r="BH147" s="702"/>
      <c r="BI147" s="702"/>
      <c r="BJ147" s="47"/>
      <c r="BK147" s="47"/>
      <c r="BL147" s="702"/>
      <c r="BM147" s="702"/>
      <c r="BN147" s="702"/>
      <c r="BO147" s="702"/>
      <c r="BP147" s="702"/>
      <c r="BQ147" s="702"/>
      <c r="BR147" s="122"/>
    </row>
    <row r="148" spans="3:70" ht="15" customHeight="1"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3"/>
      <c r="AI148" s="3"/>
      <c r="AJ148" s="3"/>
      <c r="AK148" s="3"/>
      <c r="AL148" s="11"/>
      <c r="AM148" s="702"/>
      <c r="AN148" s="702"/>
      <c r="AO148" s="47"/>
      <c r="AP148" s="47"/>
      <c r="AQ148" s="702"/>
      <c r="AR148" s="702"/>
      <c r="AS148" s="702"/>
      <c r="AT148" s="702"/>
      <c r="AU148" s="702"/>
      <c r="AV148" s="47"/>
      <c r="AW148" s="47"/>
      <c r="AX148" s="702"/>
      <c r="AY148" s="702"/>
      <c r="AZ148" s="702"/>
      <c r="BA148" s="702"/>
      <c r="BB148" s="702"/>
      <c r="BC148" s="47"/>
      <c r="BD148" s="47"/>
      <c r="BE148" s="702"/>
      <c r="BF148" s="702"/>
      <c r="BG148" s="702"/>
      <c r="BH148" s="702"/>
      <c r="BI148" s="702"/>
      <c r="BJ148" s="47"/>
      <c r="BK148" s="47"/>
      <c r="BL148" s="702"/>
      <c r="BM148" s="702"/>
      <c r="BN148" s="702"/>
      <c r="BO148" s="702"/>
      <c r="BP148" s="702"/>
      <c r="BQ148" s="702"/>
      <c r="BR148" s="122"/>
    </row>
    <row r="149" spans="3:70" ht="15" customHeight="1">
      <c r="C149" s="1602" t="s">
        <v>105</v>
      </c>
      <c r="D149" s="1602"/>
      <c r="E149" s="1602"/>
      <c r="F149" s="1602"/>
      <c r="G149" s="1602"/>
      <c r="H149" s="1602"/>
      <c r="I149" s="1602"/>
      <c r="J149" s="1602"/>
      <c r="K149" s="1602"/>
      <c r="L149" s="1602"/>
      <c r="M149" s="1602"/>
      <c r="N149" s="1602"/>
      <c r="O149" s="1602"/>
      <c r="P149" s="1602"/>
      <c r="Q149" s="1602"/>
      <c r="R149" s="1602"/>
      <c r="S149" s="1602"/>
      <c r="T149" s="1602"/>
      <c r="U149" s="1602"/>
      <c r="V149" s="1602"/>
      <c r="W149" s="1602"/>
      <c r="X149" s="1602"/>
      <c r="Y149" s="1602"/>
      <c r="Z149" s="1602"/>
      <c r="AA149" s="1602"/>
      <c r="AB149" s="1602"/>
      <c r="AC149" s="1602"/>
      <c r="AD149" s="1602"/>
      <c r="AE149" s="1602"/>
      <c r="AF149" s="1602"/>
      <c r="AG149" s="1602"/>
      <c r="AH149" s="3"/>
      <c r="AI149" s="3"/>
      <c r="AJ149" s="3"/>
      <c r="AK149" s="3"/>
      <c r="AL149" s="11"/>
      <c r="AM149" s="702"/>
      <c r="AN149" s="702"/>
      <c r="AO149" s="47"/>
      <c r="AP149" s="47"/>
      <c r="AQ149" s="702"/>
      <c r="AR149" s="702"/>
      <c r="AS149" s="702"/>
      <c r="AT149" s="702"/>
      <c r="AU149" s="702"/>
      <c r="AV149" s="47"/>
      <c r="AW149" s="47"/>
      <c r="AX149" s="702"/>
      <c r="AY149" s="702"/>
      <c r="AZ149" s="702"/>
      <c r="BA149" s="702"/>
      <c r="BB149" s="702"/>
      <c r="BC149" s="47"/>
      <c r="BD149" s="47"/>
      <c r="BE149" s="702"/>
      <c r="BF149" s="702"/>
      <c r="BG149" s="702"/>
      <c r="BH149" s="702"/>
      <c r="BI149" s="702"/>
      <c r="BJ149" s="47"/>
      <c r="BK149" s="47"/>
      <c r="BL149" s="702"/>
      <c r="BM149" s="702"/>
      <c r="BN149" s="702"/>
      <c r="BO149" s="702"/>
      <c r="BP149" s="702"/>
      <c r="BQ149" s="702"/>
      <c r="BR149" s="122"/>
    </row>
    <row r="150" spans="3:70" ht="15" customHeight="1">
      <c r="C150" s="1589" t="s">
        <v>106</v>
      </c>
      <c r="D150" s="1590"/>
      <c r="E150" s="1590"/>
      <c r="F150" s="1590"/>
      <c r="G150" s="1590"/>
      <c r="H150" s="1590"/>
      <c r="I150" s="1590"/>
      <c r="J150" s="1590"/>
      <c r="K150" s="1590"/>
      <c r="L150" s="1590"/>
      <c r="M150" s="1590"/>
      <c r="N150" s="1590"/>
      <c r="O150" s="1590"/>
      <c r="P150" s="1590"/>
      <c r="Q150" s="1590"/>
      <c r="R150" s="1590"/>
      <c r="S150" s="1590"/>
      <c r="T150" s="1590"/>
      <c r="U150" s="1590"/>
      <c r="V150" s="1590"/>
      <c r="W150" s="1590"/>
      <c r="X150" s="1590"/>
      <c r="Y150" s="1590"/>
      <c r="Z150" s="1590"/>
      <c r="AA150" s="1590"/>
      <c r="AB150" s="1590"/>
      <c r="AC150" s="1590"/>
      <c r="AD150" s="1590"/>
      <c r="AE150" s="1590"/>
      <c r="AF150" s="1590"/>
      <c r="AG150" s="1591"/>
      <c r="AH150" s="3"/>
      <c r="AI150" s="3"/>
      <c r="AJ150" s="3"/>
      <c r="AK150" s="3"/>
      <c r="AL150" s="11"/>
      <c r="AM150" s="702"/>
      <c r="AN150" s="702"/>
      <c r="AO150" s="47"/>
      <c r="AP150" s="47"/>
      <c r="AQ150" s="702"/>
      <c r="AR150" s="702"/>
      <c r="AS150" s="702"/>
      <c r="AT150" s="702"/>
      <c r="AU150" s="702"/>
      <c r="AV150" s="47"/>
      <c r="AW150" s="47"/>
      <c r="AX150" s="702"/>
      <c r="AY150" s="702"/>
      <c r="AZ150" s="702"/>
      <c r="BA150" s="702"/>
      <c r="BB150" s="702"/>
      <c r="BC150" s="47"/>
      <c r="BD150" s="47"/>
      <c r="BE150" s="702"/>
      <c r="BF150" s="702"/>
      <c r="BG150" s="702"/>
      <c r="BH150" s="702"/>
      <c r="BI150" s="702"/>
      <c r="BJ150" s="47"/>
      <c r="BK150" s="47"/>
      <c r="BL150" s="702"/>
      <c r="BM150" s="702"/>
      <c r="BN150" s="702"/>
      <c r="BO150" s="702"/>
      <c r="BP150" s="702"/>
      <c r="BQ150" s="702"/>
      <c r="BR150" s="122"/>
    </row>
    <row r="151" spans="3:70" ht="15" customHeight="1">
      <c r="C151" s="1589"/>
      <c r="D151" s="1590"/>
      <c r="E151" s="1590"/>
      <c r="F151" s="1590"/>
      <c r="G151" s="1590"/>
      <c r="H151" s="1590"/>
      <c r="I151" s="1590"/>
      <c r="J151" s="1590"/>
      <c r="K151" s="1590"/>
      <c r="L151" s="1590"/>
      <c r="M151" s="1590"/>
      <c r="N151" s="1590"/>
      <c r="O151" s="1590"/>
      <c r="P151" s="1590"/>
      <c r="Q151" s="1590"/>
      <c r="R151" s="1590"/>
      <c r="S151" s="1590"/>
      <c r="T151" s="1590"/>
      <c r="U151" s="1590"/>
      <c r="V151" s="1590"/>
      <c r="W151" s="1590"/>
      <c r="X151" s="1590"/>
      <c r="Y151" s="1590"/>
      <c r="Z151" s="1590"/>
      <c r="AA151" s="1590"/>
      <c r="AB151" s="1590"/>
      <c r="AC151" s="1590"/>
      <c r="AD151" s="1590"/>
      <c r="AE151" s="1590"/>
      <c r="AF151" s="1590"/>
      <c r="AG151" s="1591"/>
      <c r="AH151" s="3"/>
      <c r="AI151" s="3"/>
      <c r="AJ151" s="3"/>
      <c r="AK151" s="3"/>
      <c r="AL151" s="11"/>
      <c r="AM151" s="702"/>
      <c r="AN151" s="702"/>
      <c r="AO151" s="47"/>
      <c r="AP151" s="47"/>
      <c r="AQ151" s="702"/>
      <c r="AR151" s="702"/>
      <c r="AS151" s="702"/>
      <c r="AT151" s="702"/>
      <c r="AU151" s="702"/>
      <c r="AV151" s="47"/>
      <c r="AW151" s="47"/>
      <c r="AX151" s="702"/>
      <c r="AY151" s="702"/>
      <c r="AZ151" s="702"/>
      <c r="BA151" s="702"/>
      <c r="BB151" s="702"/>
      <c r="BC151" s="47"/>
      <c r="BD151" s="47"/>
      <c r="BE151" s="702"/>
      <c r="BF151" s="702"/>
      <c r="BG151" s="702"/>
      <c r="BH151" s="702"/>
      <c r="BI151" s="702"/>
      <c r="BJ151" s="47"/>
      <c r="BK151" s="47"/>
      <c r="BL151" s="702"/>
      <c r="BM151" s="702"/>
      <c r="BN151" s="702"/>
      <c r="BO151" s="702"/>
      <c r="BP151" s="702"/>
      <c r="BQ151" s="702"/>
      <c r="BR151" s="122"/>
    </row>
    <row r="152" spans="3:70" ht="15" customHeight="1">
      <c r="C152" s="1592"/>
      <c r="D152" s="1590"/>
      <c r="E152" s="1590"/>
      <c r="F152" s="1590"/>
      <c r="G152" s="1590"/>
      <c r="H152" s="1590"/>
      <c r="I152" s="1590"/>
      <c r="J152" s="1590"/>
      <c r="K152" s="1590"/>
      <c r="L152" s="1590"/>
      <c r="M152" s="1590"/>
      <c r="N152" s="1590"/>
      <c r="O152" s="1590"/>
      <c r="P152" s="1590"/>
      <c r="Q152" s="1590"/>
      <c r="R152" s="1590"/>
      <c r="S152" s="1590"/>
      <c r="T152" s="1590"/>
      <c r="U152" s="1590"/>
      <c r="V152" s="1590"/>
      <c r="W152" s="1590"/>
      <c r="X152" s="1590"/>
      <c r="Y152" s="1590"/>
      <c r="Z152" s="1590"/>
      <c r="AA152" s="1590"/>
      <c r="AB152" s="1590"/>
      <c r="AC152" s="1590"/>
      <c r="AD152" s="1590"/>
      <c r="AE152" s="1590"/>
      <c r="AF152" s="1590"/>
      <c r="AG152" s="1591"/>
      <c r="AH152" s="3"/>
      <c r="AI152" s="80"/>
      <c r="AJ152" s="3"/>
      <c r="AK152" s="3"/>
      <c r="AL152" s="11"/>
      <c r="AM152" s="702"/>
      <c r="AN152" s="702"/>
      <c r="AO152" s="47"/>
      <c r="AP152" s="47"/>
      <c r="AQ152" s="702"/>
      <c r="AR152" s="702"/>
      <c r="AS152" s="702"/>
      <c r="AT152" s="702"/>
      <c r="AU152" s="702"/>
      <c r="AV152" s="47"/>
      <c r="AW152" s="47"/>
      <c r="AX152" s="702"/>
      <c r="AY152" s="702"/>
      <c r="AZ152" s="702"/>
      <c r="BA152" s="702"/>
      <c r="BB152" s="702"/>
      <c r="BC152" s="47"/>
      <c r="BD152" s="47"/>
      <c r="BE152" s="702"/>
      <c r="BF152" s="702"/>
      <c r="BG152" s="702"/>
      <c r="BH152" s="702"/>
      <c r="BI152" s="702"/>
      <c r="BJ152" s="47"/>
      <c r="BK152" s="47"/>
      <c r="BL152" s="702"/>
      <c r="BM152" s="702"/>
      <c r="BN152" s="702"/>
      <c r="BO152" s="702"/>
      <c r="BP152" s="702"/>
      <c r="BQ152" s="702"/>
      <c r="BR152" s="122"/>
    </row>
    <row r="153" spans="3:70" ht="15.6" thickBot="1"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3"/>
      <c r="AI153" s="80"/>
      <c r="AJ153" s="3"/>
      <c r="AK153" s="3"/>
      <c r="AL153" s="6" t="s">
        <v>107</v>
      </c>
      <c r="AM153" s="702">
        <f t="shared" ref="AM153:BQ153" si="2">SUM(AM122:AM151)+SUM(AM102:AM119)</f>
        <v>13</v>
      </c>
      <c r="AN153" s="702">
        <f t="shared" si="2"/>
        <v>13</v>
      </c>
      <c r="AO153" s="702">
        <f t="shared" si="2"/>
        <v>13</v>
      </c>
      <c r="AP153" s="1156">
        <f t="shared" si="2"/>
        <v>0</v>
      </c>
      <c r="AQ153" s="1156">
        <f t="shared" si="2"/>
        <v>1</v>
      </c>
      <c r="AR153" s="702">
        <f t="shared" si="2"/>
        <v>13</v>
      </c>
      <c r="AS153" s="1113">
        <f t="shared" si="2"/>
        <v>13</v>
      </c>
      <c r="AT153" s="702">
        <f t="shared" si="2"/>
        <v>13</v>
      </c>
      <c r="AU153" s="702">
        <f t="shared" si="2"/>
        <v>13</v>
      </c>
      <c r="AV153" s="702">
        <f t="shared" si="2"/>
        <v>13</v>
      </c>
      <c r="AW153" s="47">
        <f t="shared" si="2"/>
        <v>0</v>
      </c>
      <c r="AX153" s="47">
        <f t="shared" si="2"/>
        <v>1</v>
      </c>
      <c r="AY153" s="702">
        <f t="shared" si="2"/>
        <v>13</v>
      </c>
      <c r="AZ153" s="1113">
        <f t="shared" si="2"/>
        <v>13</v>
      </c>
      <c r="BA153" s="702">
        <f t="shared" si="2"/>
        <v>13</v>
      </c>
      <c r="BB153" s="702">
        <f t="shared" si="2"/>
        <v>13</v>
      </c>
      <c r="BC153" s="702">
        <f t="shared" si="2"/>
        <v>13</v>
      </c>
      <c r="BD153" s="47">
        <f t="shared" si="2"/>
        <v>0</v>
      </c>
      <c r="BE153" s="47">
        <f t="shared" si="2"/>
        <v>1</v>
      </c>
      <c r="BF153" s="702">
        <f t="shared" si="2"/>
        <v>13</v>
      </c>
      <c r="BG153" s="1113">
        <f t="shared" si="2"/>
        <v>13</v>
      </c>
      <c r="BH153" s="702">
        <f t="shared" si="2"/>
        <v>13</v>
      </c>
      <c r="BI153" s="702">
        <f t="shared" si="2"/>
        <v>13</v>
      </c>
      <c r="BJ153" s="702">
        <f t="shared" si="2"/>
        <v>13</v>
      </c>
      <c r="BK153" s="47">
        <f t="shared" si="2"/>
        <v>0</v>
      </c>
      <c r="BL153" s="47">
        <f t="shared" si="2"/>
        <v>1</v>
      </c>
      <c r="BM153" s="702">
        <f t="shared" si="2"/>
        <v>13</v>
      </c>
      <c r="BN153" s="702">
        <f t="shared" si="2"/>
        <v>13</v>
      </c>
      <c r="BO153" s="702">
        <f t="shared" si="2"/>
        <v>13</v>
      </c>
      <c r="BP153" s="702">
        <f t="shared" si="2"/>
        <v>13</v>
      </c>
      <c r="BQ153" s="702">
        <f t="shared" si="2"/>
        <v>5</v>
      </c>
    </row>
    <row r="154" spans="3:70" ht="18" thickTop="1">
      <c r="C154" s="1526" t="str">
        <f>$C$90</f>
        <v>Construção da Estação de Bombeamento de Águas Pluviais Laranja, Vila Velha/ES</v>
      </c>
      <c r="D154" s="1526"/>
      <c r="E154" s="1526"/>
      <c r="F154" s="1526"/>
      <c r="G154" s="1526"/>
      <c r="H154" s="1526"/>
      <c r="I154" s="1526"/>
      <c r="J154" s="1526"/>
      <c r="K154" s="1526"/>
      <c r="L154" s="1526"/>
      <c r="M154" s="1526"/>
      <c r="N154" s="1526"/>
      <c r="O154" s="1526"/>
      <c r="P154" s="1526"/>
      <c r="Q154" s="1526"/>
      <c r="R154" s="1526"/>
      <c r="S154" s="1526"/>
      <c r="T154" s="1526"/>
      <c r="U154" s="1526"/>
      <c r="V154" s="1526"/>
      <c r="W154" s="1526"/>
      <c r="X154" s="1526"/>
      <c r="Y154" s="1526"/>
      <c r="Z154" s="1526"/>
      <c r="AA154" s="1526"/>
      <c r="AB154" s="1526"/>
      <c r="AC154" s="1526"/>
      <c r="AD154" s="1516">
        <f>AD90+6</f>
        <v>15</v>
      </c>
      <c r="AE154" s="1516"/>
      <c r="AF154" s="1516"/>
      <c r="AG154" s="1516"/>
      <c r="AL154" s="3"/>
    </row>
    <row r="155" spans="3:70" s="145" customFormat="1" ht="24.9" customHeight="1" thickBot="1">
      <c r="C155" s="172" t="str">
        <f>$C$1</f>
        <v xml:space="preserve">Relatório Técnico Permanente de Engenharia 		                                                                         </v>
      </c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601" t="str">
        <f>$AB$1</f>
        <v>RTPE 524-11</v>
      </c>
      <c r="AB155" s="1601"/>
      <c r="AC155" s="1601"/>
      <c r="AD155" s="1601"/>
      <c r="AE155" s="1601"/>
      <c r="AF155" s="1601"/>
      <c r="AG155" s="1601"/>
      <c r="AM155" s="147"/>
      <c r="AN155" s="147"/>
      <c r="AO155" s="147"/>
      <c r="AP155" s="147"/>
      <c r="AQ155" s="146"/>
      <c r="AR155" s="146"/>
      <c r="AS155" s="146"/>
      <c r="AT155" s="147"/>
      <c r="AU155" s="147"/>
      <c r="AV155" s="147"/>
      <c r="AW155" s="147"/>
      <c r="AX155" s="146"/>
      <c r="AY155" s="146"/>
      <c r="AZ155" s="146"/>
      <c r="BA155" s="147"/>
      <c r="BB155" s="147"/>
      <c r="BC155" s="147"/>
      <c r="BD155" s="147"/>
      <c r="BE155" s="146"/>
      <c r="BF155" s="146"/>
      <c r="BG155" s="146"/>
      <c r="BH155" s="147"/>
      <c r="BI155" s="147"/>
      <c r="BJ155" s="147"/>
      <c r="BK155" s="147"/>
      <c r="BL155" s="146"/>
      <c r="BM155" s="146"/>
      <c r="BN155" s="146"/>
      <c r="BO155" s="147"/>
      <c r="BP155" s="147"/>
      <c r="BQ155" s="146"/>
    </row>
    <row r="156" spans="3:70" ht="15" customHeight="1" thickTop="1"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</row>
    <row r="157" spans="3:70" ht="15" customHeight="1">
      <c r="C157" s="1582" t="s">
        <v>108</v>
      </c>
      <c r="D157" s="1583"/>
      <c r="E157" s="1583"/>
      <c r="F157" s="1583"/>
      <c r="G157" s="1583"/>
      <c r="H157" s="1583"/>
      <c r="I157" s="1583"/>
      <c r="J157" s="1583"/>
      <c r="K157" s="1583"/>
      <c r="L157" s="1583"/>
      <c r="M157" s="1583"/>
      <c r="N157" s="1583"/>
      <c r="O157" s="1583"/>
      <c r="P157" s="1583"/>
      <c r="Q157" s="1583"/>
      <c r="R157" s="1583"/>
      <c r="S157" s="1583"/>
      <c r="T157" s="1583"/>
      <c r="U157" s="1583"/>
      <c r="V157" s="1583"/>
      <c r="W157" s="1583"/>
      <c r="X157" s="1583"/>
      <c r="Y157" s="1583"/>
      <c r="Z157" s="1583"/>
      <c r="AA157" s="1583"/>
      <c r="AB157" s="1583"/>
      <c r="AC157" s="1583"/>
      <c r="AD157" s="1583"/>
      <c r="AE157" s="1583"/>
      <c r="AF157" s="1583"/>
      <c r="AG157" s="1584"/>
    </row>
    <row r="158" spans="3:70" ht="15" customHeight="1">
      <c r="C158" s="1585"/>
      <c r="D158" s="1586"/>
      <c r="E158" s="1586"/>
      <c r="F158" s="1586"/>
      <c r="G158" s="1586"/>
      <c r="H158" s="1586"/>
      <c r="I158" s="1586"/>
      <c r="J158" s="1586"/>
      <c r="K158" s="1586"/>
      <c r="L158" s="1586"/>
      <c r="M158" s="1586"/>
      <c r="N158" s="1586"/>
      <c r="O158" s="1586"/>
      <c r="P158" s="1586"/>
      <c r="Q158" s="1586"/>
      <c r="R158" s="1586"/>
      <c r="S158" s="1586"/>
      <c r="T158" s="1586"/>
      <c r="U158" s="1586"/>
      <c r="V158" s="1586"/>
      <c r="W158" s="1586"/>
      <c r="X158" s="1586"/>
      <c r="Y158" s="1586"/>
      <c r="Z158" s="1586"/>
      <c r="AA158" s="1586"/>
      <c r="AB158" s="1586"/>
      <c r="AC158" s="1586"/>
      <c r="AD158" s="1586"/>
      <c r="AE158" s="1586"/>
      <c r="AF158" s="1586"/>
      <c r="AG158" s="1587"/>
    </row>
    <row r="159" spans="3:70" ht="15" customHeight="1">
      <c r="C159" s="141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550"/>
    </row>
    <row r="160" spans="3:70" ht="15" customHeight="1">
      <c r="C160" s="1505" t="s">
        <v>28</v>
      </c>
      <c r="D160" s="1506"/>
      <c r="E160" s="1506"/>
      <c r="F160" s="1506"/>
      <c r="G160" s="1506"/>
      <c r="H160" s="1570" t="str">
        <f>H96</f>
        <v>DP Barros Pavimentação e Construção Ltda</v>
      </c>
      <c r="I160" s="1570"/>
      <c r="J160" s="1570"/>
      <c r="K160" s="1570"/>
      <c r="L160" s="1570"/>
      <c r="M160" s="1570"/>
      <c r="N160" s="1570"/>
      <c r="O160" s="1570"/>
      <c r="P160" s="1570"/>
      <c r="Q160" s="1570"/>
      <c r="R160" s="1570"/>
      <c r="S160" s="1570"/>
      <c r="T160" s="1570"/>
      <c r="U160" s="1571"/>
      <c r="V160" s="1505" t="s">
        <v>58</v>
      </c>
      <c r="W160" s="1506"/>
      <c r="X160" s="1506"/>
      <c r="Y160" s="1506"/>
      <c r="Z160" s="1506"/>
      <c r="AA160" s="1574">
        <f>AA96</f>
        <v>34</v>
      </c>
      <c r="AB160" s="1574"/>
      <c r="AC160" s="1574"/>
      <c r="AD160" s="1574"/>
      <c r="AE160" s="1574"/>
      <c r="AF160" s="1574"/>
      <c r="AG160" s="1575"/>
    </row>
    <row r="161" spans="3:71" ht="15" customHeight="1">
      <c r="C161" s="1507"/>
      <c r="D161" s="1508"/>
      <c r="E161" s="1508"/>
      <c r="F161" s="1508"/>
      <c r="G161" s="1508"/>
      <c r="H161" s="1572"/>
      <c r="I161" s="1572"/>
      <c r="J161" s="1572"/>
      <c r="K161" s="1572"/>
      <c r="L161" s="1572"/>
      <c r="M161" s="1572"/>
      <c r="N161" s="1572"/>
      <c r="O161" s="1572"/>
      <c r="P161" s="1572"/>
      <c r="Q161" s="1572"/>
      <c r="R161" s="1572"/>
      <c r="S161" s="1572"/>
      <c r="T161" s="1572"/>
      <c r="U161" s="1573"/>
      <c r="V161" s="1507" t="s">
        <v>59</v>
      </c>
      <c r="W161" s="1508"/>
      <c r="X161" s="1508"/>
      <c r="Y161" s="1508"/>
      <c r="Z161" s="1508"/>
      <c r="AA161" s="1576" t="s">
        <v>60</v>
      </c>
      <c r="AB161" s="1576"/>
      <c r="AC161" s="1576"/>
      <c r="AD161" s="1576"/>
      <c r="AE161" s="1576"/>
      <c r="AF161" s="1576"/>
      <c r="AG161" s="1577"/>
    </row>
    <row r="162" spans="3:71" ht="30" customHeight="1">
      <c r="C162" s="1507" t="s">
        <v>61</v>
      </c>
      <c r="D162" s="1508"/>
      <c r="E162" s="1508"/>
      <c r="F162" s="1508"/>
      <c r="G162" s="1508"/>
      <c r="H162" s="1578" t="str">
        <f>H98</f>
        <v>Região do bairro Pontal das Graças, paralelamente ao “Canal do Dique”</v>
      </c>
      <c r="I162" s="1578"/>
      <c r="J162" s="1578"/>
      <c r="K162" s="1578"/>
      <c r="L162" s="1578"/>
      <c r="M162" s="1578"/>
      <c r="N162" s="1578"/>
      <c r="O162" s="1578"/>
      <c r="P162" s="1578"/>
      <c r="Q162" s="1578"/>
      <c r="R162" s="1578"/>
      <c r="S162" s="1578"/>
      <c r="T162" s="1578"/>
      <c r="U162" s="1579"/>
      <c r="V162" s="1507" t="s">
        <v>63</v>
      </c>
      <c r="W162" s="1508"/>
      <c r="X162" s="1508"/>
      <c r="Y162" s="1508"/>
      <c r="Z162" s="1508"/>
      <c r="AA162" s="1576" t="s">
        <v>32</v>
      </c>
      <c r="AB162" s="1580"/>
      <c r="AC162" s="1580"/>
      <c r="AD162" s="1580"/>
      <c r="AE162" s="1580"/>
      <c r="AF162" s="1580"/>
      <c r="AG162" s="1581"/>
    </row>
    <row r="163" spans="3:71" ht="15" customHeight="1">
      <c r="C163" s="1412"/>
      <c r="D163" s="551"/>
      <c r="E163" s="551"/>
      <c r="F163" s="551"/>
      <c r="G163" s="551"/>
      <c r="H163" s="551"/>
      <c r="I163" s="551"/>
      <c r="J163" s="551"/>
      <c r="K163" s="551"/>
      <c r="L163" s="551"/>
      <c r="M163" s="551"/>
      <c r="N163" s="551"/>
      <c r="O163" s="551"/>
      <c r="P163" s="551"/>
      <c r="Q163" s="551"/>
      <c r="R163" s="551"/>
      <c r="S163" s="551"/>
      <c r="T163" s="551"/>
      <c r="U163" s="551"/>
      <c r="V163" s="551"/>
      <c r="W163" s="551"/>
      <c r="X163" s="551"/>
      <c r="Y163" s="551"/>
      <c r="Z163" s="551"/>
      <c r="AA163" s="551"/>
      <c r="AB163" s="551"/>
      <c r="AC163" s="551"/>
      <c r="AD163" s="551"/>
      <c r="AE163" s="551"/>
      <c r="AF163" s="551"/>
      <c r="AG163" s="552"/>
    </row>
    <row r="164" spans="3:71" ht="15" customHeight="1">
      <c r="C164" s="1582" t="s">
        <v>64</v>
      </c>
      <c r="D164" s="1583"/>
      <c r="E164" s="1584"/>
      <c r="F164" s="1582" t="s">
        <v>109</v>
      </c>
      <c r="G164" s="1583"/>
      <c r="H164" s="1583"/>
      <c r="I164" s="1583"/>
      <c r="J164" s="1583"/>
      <c r="K164" s="1583"/>
      <c r="L164" s="1583"/>
      <c r="M164" s="1583"/>
      <c r="N164" s="1583"/>
      <c r="O164" s="1583"/>
      <c r="P164" s="1584"/>
      <c r="Q164" s="1610" t="s">
        <v>110</v>
      </c>
      <c r="R164" s="1611"/>
      <c r="S164" s="1611"/>
      <c r="T164" s="1611"/>
      <c r="U164" s="1611"/>
      <c r="V164" s="1611"/>
      <c r="W164" s="1611"/>
      <c r="X164" s="1612"/>
      <c r="Y164" s="1610" t="s">
        <v>111</v>
      </c>
      <c r="Z164" s="1611"/>
      <c r="AA164" s="1611"/>
      <c r="AB164" s="1611"/>
      <c r="AC164" s="1611"/>
      <c r="AD164" s="1611"/>
      <c r="AE164" s="1611"/>
      <c r="AF164" s="1611"/>
      <c r="AG164" s="1612"/>
      <c r="AM164" s="1"/>
      <c r="AN164" s="1"/>
      <c r="AQ164" s="1"/>
      <c r="AR164" s="1"/>
      <c r="AS164" s="1"/>
      <c r="AT164" s="1"/>
      <c r="AU164" s="1"/>
      <c r="AX164" s="1"/>
      <c r="AY164" s="1"/>
      <c r="AZ164" s="1"/>
      <c r="BA164" s="1"/>
      <c r="BB164" s="1"/>
      <c r="BE164" s="1"/>
      <c r="BF164" s="1"/>
      <c r="BG164" s="1"/>
      <c r="BH164" s="1"/>
      <c r="BI164" s="1"/>
      <c r="BL164" s="1"/>
      <c r="BM164" s="1"/>
      <c r="BN164" s="1"/>
      <c r="BO164" s="1"/>
      <c r="BP164" s="1"/>
      <c r="BQ164" s="1"/>
    </row>
    <row r="165" spans="3:71" ht="15" customHeight="1">
      <c r="C165" s="1585"/>
      <c r="D165" s="1586"/>
      <c r="E165" s="1587"/>
      <c r="F165" s="1585"/>
      <c r="G165" s="1586"/>
      <c r="H165" s="1586"/>
      <c r="I165" s="1586"/>
      <c r="J165" s="1586"/>
      <c r="K165" s="1586"/>
      <c r="L165" s="1586"/>
      <c r="M165" s="1586"/>
      <c r="N165" s="1586"/>
      <c r="O165" s="1586"/>
      <c r="P165" s="1587"/>
      <c r="Q165" s="1593" t="s">
        <v>68</v>
      </c>
      <c r="R165" s="1594"/>
      <c r="S165" s="1594"/>
      <c r="T165" s="1595"/>
      <c r="U165" s="1613" t="s">
        <v>69</v>
      </c>
      <c r="V165" s="1614"/>
      <c r="W165" s="1614"/>
      <c r="X165" s="1615"/>
      <c r="Y165" s="1596" t="s">
        <v>112</v>
      </c>
      <c r="Z165" s="1597"/>
      <c r="AA165" s="1597"/>
      <c r="AB165" s="1596" t="s">
        <v>113</v>
      </c>
      <c r="AC165" s="1597"/>
      <c r="AD165" s="1597"/>
      <c r="AE165" s="1596" t="s">
        <v>114</v>
      </c>
      <c r="AF165" s="1597"/>
      <c r="AG165" s="1598"/>
      <c r="AL165" s="6"/>
      <c r="AM165" s="702">
        <v>1</v>
      </c>
      <c r="AN165" s="702">
        <v>2</v>
      </c>
      <c r="AO165" s="47">
        <v>3</v>
      </c>
      <c r="AP165" s="47">
        <v>4</v>
      </c>
      <c r="AQ165" s="702">
        <v>5</v>
      </c>
      <c r="AR165" s="702">
        <v>6</v>
      </c>
      <c r="AS165" s="702">
        <v>7</v>
      </c>
      <c r="AT165" s="702">
        <v>8</v>
      </c>
      <c r="AU165" s="702">
        <v>9</v>
      </c>
      <c r="AV165" s="47">
        <v>10</v>
      </c>
      <c r="AW165" s="47">
        <v>11</v>
      </c>
      <c r="AX165" s="702">
        <v>12</v>
      </c>
      <c r="AY165" s="702">
        <v>13</v>
      </c>
      <c r="AZ165" s="702">
        <v>14</v>
      </c>
      <c r="BA165" s="702">
        <v>15</v>
      </c>
      <c r="BB165" s="702">
        <v>16</v>
      </c>
      <c r="BC165" s="47">
        <v>17</v>
      </c>
      <c r="BD165" s="47">
        <v>18</v>
      </c>
      <c r="BE165" s="702">
        <v>19</v>
      </c>
      <c r="BF165" s="702">
        <v>20</v>
      </c>
      <c r="BG165" s="702">
        <v>21</v>
      </c>
      <c r="BH165" s="702">
        <v>22</v>
      </c>
      <c r="BI165" s="702">
        <v>23</v>
      </c>
      <c r="BJ165" s="47">
        <v>24</v>
      </c>
      <c r="BK165" s="47">
        <v>25</v>
      </c>
      <c r="BL165" s="702">
        <v>26</v>
      </c>
      <c r="BM165" s="702">
        <v>27</v>
      </c>
      <c r="BN165" s="702">
        <v>28</v>
      </c>
      <c r="BO165" s="702">
        <v>29</v>
      </c>
      <c r="BP165" s="702">
        <v>30</v>
      </c>
      <c r="BQ165" s="702">
        <v>31</v>
      </c>
      <c r="BS165" s="75" t="s">
        <v>71</v>
      </c>
    </row>
    <row r="166" spans="3:71" ht="15" customHeight="1">
      <c r="C166" s="1468"/>
      <c r="D166" s="1468"/>
      <c r="E166" s="1468"/>
      <c r="F166" s="1492"/>
      <c r="G166" s="1493"/>
      <c r="H166" s="1493"/>
      <c r="I166" s="1493"/>
      <c r="J166" s="1493"/>
      <c r="K166" s="1493"/>
      <c r="L166" s="1493"/>
      <c r="M166" s="1493"/>
      <c r="N166" s="1493"/>
      <c r="O166" s="1493"/>
      <c r="P166" s="1494"/>
      <c r="Q166" s="1501"/>
      <c r="R166" s="1502"/>
      <c r="S166" s="1502"/>
      <c r="T166" s="1503"/>
      <c r="U166" s="1495"/>
      <c r="V166" s="1496"/>
      <c r="W166" s="1496"/>
      <c r="X166" s="1497"/>
      <c r="Y166" s="1491"/>
      <c r="Z166" s="1491"/>
      <c r="AA166" s="1491"/>
      <c r="AB166" s="1491"/>
      <c r="AC166" s="1491"/>
      <c r="AD166" s="1491"/>
      <c r="AE166" s="1491"/>
      <c r="AF166" s="1491"/>
      <c r="AG166" s="1491"/>
      <c r="AL166" s="74" t="s">
        <v>115</v>
      </c>
      <c r="AM166" s="1114">
        <v>1</v>
      </c>
      <c r="AN166" s="1114">
        <v>1</v>
      </c>
      <c r="AO166" s="1114">
        <v>1</v>
      </c>
      <c r="AP166" s="1114"/>
      <c r="AQ166" s="1114">
        <v>1</v>
      </c>
      <c r="AR166" s="1114">
        <v>1</v>
      </c>
      <c r="AS166" s="1114">
        <v>1</v>
      </c>
      <c r="AT166" s="1114">
        <v>1</v>
      </c>
      <c r="AU166" s="1114">
        <v>1</v>
      </c>
      <c r="AV166" s="1114">
        <v>1</v>
      </c>
      <c r="AW166" s="1114"/>
      <c r="AX166" s="1114">
        <v>1</v>
      </c>
      <c r="AY166" s="1114">
        <v>1</v>
      </c>
      <c r="AZ166" s="1114">
        <v>1</v>
      </c>
      <c r="BA166" s="1114">
        <v>1</v>
      </c>
      <c r="BB166" s="1114">
        <v>1</v>
      </c>
      <c r="BC166" s="1114">
        <v>1</v>
      </c>
      <c r="BD166" s="1114"/>
      <c r="BE166" s="1114">
        <v>1</v>
      </c>
      <c r="BF166" s="1114">
        <v>1</v>
      </c>
      <c r="BG166" s="1114">
        <v>1</v>
      </c>
      <c r="BH166" s="1114">
        <v>1</v>
      </c>
      <c r="BI166" s="1114">
        <v>1</v>
      </c>
      <c r="BJ166" s="1114">
        <v>1</v>
      </c>
      <c r="BK166" s="1114"/>
      <c r="BL166" s="1114">
        <v>1</v>
      </c>
      <c r="BM166" s="1114">
        <v>1</v>
      </c>
      <c r="BN166" s="1114">
        <v>1</v>
      </c>
      <c r="BO166" s="1114">
        <v>1</v>
      </c>
      <c r="BP166" s="1114">
        <v>1</v>
      </c>
      <c r="BQ166" s="1114">
        <v>1</v>
      </c>
      <c r="BS166" s="75">
        <f t="shared" ref="BS166:BS183" si="3">AVERAGE(AM166:BQ166)</f>
        <v>1</v>
      </c>
    </row>
    <row r="167" spans="3:71" ht="15" customHeight="1">
      <c r="C167" s="1468"/>
      <c r="D167" s="1468"/>
      <c r="E167" s="1468"/>
      <c r="F167" s="1492"/>
      <c r="G167" s="1493"/>
      <c r="H167" s="1493"/>
      <c r="I167" s="1493"/>
      <c r="J167" s="1493"/>
      <c r="K167" s="1493"/>
      <c r="L167" s="1493"/>
      <c r="M167" s="1493"/>
      <c r="N167" s="1493"/>
      <c r="O167" s="1493"/>
      <c r="P167" s="1494"/>
      <c r="Q167" s="1501"/>
      <c r="R167" s="1502"/>
      <c r="S167" s="1502"/>
      <c r="T167" s="1503"/>
      <c r="U167" s="1495"/>
      <c r="V167" s="1496"/>
      <c r="W167" s="1496"/>
      <c r="X167" s="1497"/>
      <c r="Y167" s="1491"/>
      <c r="Z167" s="1491"/>
      <c r="AA167" s="1491"/>
      <c r="AB167" s="1491"/>
      <c r="AC167" s="1491"/>
      <c r="AD167" s="1491"/>
      <c r="AE167" s="1491"/>
      <c r="AF167" s="1491"/>
      <c r="AG167" s="1491"/>
      <c r="AI167" s="709" t="e">
        <f>AVERAGE(U168,U170)</f>
        <v>#DIV/0!</v>
      </c>
      <c r="AL167" s="74" t="s">
        <v>116</v>
      </c>
      <c r="AM167" s="702"/>
      <c r="AN167" s="702"/>
      <c r="AO167" s="47"/>
      <c r="AP167" s="47"/>
      <c r="AQ167" s="702"/>
      <c r="AR167" s="702"/>
      <c r="AS167" s="702"/>
      <c r="AT167" s="702"/>
      <c r="AU167" s="702"/>
      <c r="AV167" s="47"/>
      <c r="AW167" s="47"/>
      <c r="AX167" s="702"/>
      <c r="AY167" s="702"/>
      <c r="AZ167" s="702"/>
      <c r="BA167" s="702"/>
      <c r="BB167" s="702"/>
      <c r="BC167" s="47"/>
      <c r="BD167" s="47"/>
      <c r="BE167" s="702"/>
      <c r="BF167" s="702"/>
      <c r="BG167" s="702"/>
      <c r="BH167" s="702"/>
      <c r="BI167" s="702"/>
      <c r="BJ167" s="47"/>
      <c r="BK167" s="47"/>
      <c r="BL167" s="702"/>
      <c r="BM167" s="702"/>
      <c r="BN167" s="702"/>
      <c r="BO167" s="702"/>
      <c r="BP167" s="702"/>
      <c r="BQ167" s="702"/>
      <c r="BS167" s="75" t="e">
        <f t="shared" si="3"/>
        <v>#DIV/0!</v>
      </c>
    </row>
    <row r="168" spans="3:71" ht="15" customHeight="1">
      <c r="C168" s="1468"/>
      <c r="D168" s="1468"/>
      <c r="E168" s="1468"/>
      <c r="F168" s="1481"/>
      <c r="G168" s="1481"/>
      <c r="H168" s="1481"/>
      <c r="I168" s="1481"/>
      <c r="J168" s="1481"/>
      <c r="K168" s="1481"/>
      <c r="L168" s="1481"/>
      <c r="M168" s="1481"/>
      <c r="N168" s="1481"/>
      <c r="O168" s="1481"/>
      <c r="P168" s="1481"/>
      <c r="Q168" s="1501"/>
      <c r="R168" s="1502"/>
      <c r="S168" s="1502"/>
      <c r="T168" s="1503"/>
      <c r="U168" s="1504"/>
      <c r="V168" s="1504"/>
      <c r="W168" s="1504"/>
      <c r="X168" s="1504"/>
      <c r="Y168" s="1491"/>
      <c r="Z168" s="1491"/>
      <c r="AA168" s="1491"/>
      <c r="AB168" s="1491"/>
      <c r="AC168" s="1491"/>
      <c r="AD168" s="1491"/>
      <c r="AE168" s="1491"/>
      <c r="AF168" s="1491"/>
      <c r="AG168" s="1491"/>
      <c r="AL168" s="74" t="s">
        <v>117</v>
      </c>
      <c r="AM168" s="1114">
        <v>3</v>
      </c>
      <c r="AN168" s="1114">
        <v>3</v>
      </c>
      <c r="AO168" s="1114">
        <v>3</v>
      </c>
      <c r="AP168" s="1114">
        <v>3</v>
      </c>
      <c r="AQ168" s="1114">
        <v>3</v>
      </c>
      <c r="AR168" s="1114">
        <v>3</v>
      </c>
      <c r="AS168" s="1114">
        <v>3</v>
      </c>
      <c r="AT168" s="1114">
        <v>3</v>
      </c>
      <c r="AU168" s="1114">
        <v>3</v>
      </c>
      <c r="AV168" s="1114">
        <v>3</v>
      </c>
      <c r="AW168" s="1114">
        <v>3</v>
      </c>
      <c r="AX168" s="1114">
        <v>3</v>
      </c>
      <c r="AY168" s="1114">
        <v>3</v>
      </c>
      <c r="AZ168" s="1114">
        <v>3</v>
      </c>
      <c r="BA168" s="1114">
        <v>3</v>
      </c>
      <c r="BB168" s="1114">
        <v>3</v>
      </c>
      <c r="BC168" s="1114">
        <v>3</v>
      </c>
      <c r="BD168" s="1114">
        <v>3</v>
      </c>
      <c r="BE168" s="1114">
        <v>3</v>
      </c>
      <c r="BF168" s="1114">
        <v>3</v>
      </c>
      <c r="BG168" s="1114">
        <v>3</v>
      </c>
      <c r="BH168" s="1114">
        <v>3</v>
      </c>
      <c r="BI168" s="1114">
        <v>3</v>
      </c>
      <c r="BJ168" s="1114">
        <v>3</v>
      </c>
      <c r="BK168" s="1114">
        <v>3</v>
      </c>
      <c r="BL168" s="1114">
        <v>3</v>
      </c>
      <c r="BM168" s="1114">
        <v>3</v>
      </c>
      <c r="BN168" s="1114">
        <v>3</v>
      </c>
      <c r="BO168" s="1114">
        <v>3</v>
      </c>
      <c r="BP168" s="1114">
        <v>3</v>
      </c>
      <c r="BQ168" s="1114"/>
      <c r="BS168" s="75">
        <f t="shared" si="3"/>
        <v>3</v>
      </c>
    </row>
    <row r="169" spans="3:71" ht="15" customHeight="1">
      <c r="C169" s="1468"/>
      <c r="D169" s="1468"/>
      <c r="E169" s="1468"/>
      <c r="F169" s="1492"/>
      <c r="G169" s="1493"/>
      <c r="H169" s="1493"/>
      <c r="I169" s="1493"/>
      <c r="J169" s="1493"/>
      <c r="K169" s="1493"/>
      <c r="L169" s="1493"/>
      <c r="M169" s="1493"/>
      <c r="N169" s="1493"/>
      <c r="O169" s="1493"/>
      <c r="P169" s="1494"/>
      <c r="Q169" s="1123"/>
      <c r="R169" s="1124"/>
      <c r="S169" s="1124"/>
      <c r="T169" s="1125"/>
      <c r="U169" s="1495"/>
      <c r="V169" s="1496"/>
      <c r="W169" s="1496"/>
      <c r="X169" s="1497"/>
      <c r="Y169" s="1498"/>
      <c r="Z169" s="1499"/>
      <c r="AA169" s="1500"/>
      <c r="AB169" s="1491"/>
      <c r="AC169" s="1491"/>
      <c r="AD169" s="1491"/>
      <c r="AE169" s="1491"/>
      <c r="AF169" s="1491"/>
      <c r="AG169" s="1491"/>
      <c r="AL169" s="74" t="s">
        <v>118</v>
      </c>
      <c r="AM169" s="702"/>
      <c r="AN169" s="702"/>
      <c r="AO169" s="47"/>
      <c r="AP169" s="47"/>
      <c r="AQ169" s="702"/>
      <c r="AR169" s="702"/>
      <c r="AS169" s="702"/>
      <c r="AT169" s="702"/>
      <c r="AU169" s="702"/>
      <c r="AV169" s="47"/>
      <c r="AW169" s="47"/>
      <c r="AX169" s="702"/>
      <c r="AY169" s="702"/>
      <c r="AZ169" s="702"/>
      <c r="BA169" s="702"/>
      <c r="BB169" s="702"/>
      <c r="BC169" s="47"/>
      <c r="BD169" s="47"/>
      <c r="BE169" s="702"/>
      <c r="BF169" s="702"/>
      <c r="BG169" s="702"/>
      <c r="BH169" s="702"/>
      <c r="BI169" s="702"/>
      <c r="BJ169" s="47"/>
      <c r="BK169" s="47"/>
      <c r="BL169" s="702"/>
      <c r="BM169" s="702"/>
      <c r="BN169" s="702"/>
      <c r="BO169" s="702"/>
      <c r="BP169" s="702"/>
      <c r="BQ169" s="702"/>
      <c r="BS169" s="75" t="e">
        <f t="shared" si="3"/>
        <v>#DIV/0!</v>
      </c>
    </row>
    <row r="170" spans="3:71" ht="15" customHeight="1">
      <c r="C170" s="1468"/>
      <c r="D170" s="1468"/>
      <c r="E170" s="1468"/>
      <c r="F170" s="1492"/>
      <c r="G170" s="1493"/>
      <c r="H170" s="1493"/>
      <c r="I170" s="1493"/>
      <c r="J170" s="1493"/>
      <c r="K170" s="1493"/>
      <c r="L170" s="1493"/>
      <c r="M170" s="1493"/>
      <c r="N170" s="1493"/>
      <c r="O170" s="1493"/>
      <c r="P170" s="1494"/>
      <c r="Q170" s="1123"/>
      <c r="R170" s="1124"/>
      <c r="S170" s="1124"/>
      <c r="T170" s="1125"/>
      <c r="U170" s="1495"/>
      <c r="V170" s="1496"/>
      <c r="W170" s="1496"/>
      <c r="X170" s="1497"/>
      <c r="Y170" s="1498"/>
      <c r="Z170" s="1499"/>
      <c r="AA170" s="1500"/>
      <c r="AB170" s="1491"/>
      <c r="AC170" s="1491"/>
      <c r="AD170" s="1491"/>
      <c r="AE170" s="1491"/>
      <c r="AF170" s="1491"/>
      <c r="AG170" s="1491"/>
      <c r="AL170" s="74" t="s">
        <v>119</v>
      </c>
      <c r="AM170" s="702"/>
      <c r="AN170" s="702"/>
      <c r="AO170" s="47"/>
      <c r="AP170" s="47"/>
      <c r="AQ170" s="702"/>
      <c r="AR170" s="702"/>
      <c r="AS170" s="702"/>
      <c r="AT170" s="702"/>
      <c r="AU170" s="702"/>
      <c r="AV170" s="47"/>
      <c r="AW170" s="47"/>
      <c r="AX170" s="702"/>
      <c r="AY170" s="702"/>
      <c r="AZ170" s="702"/>
      <c r="BA170" s="702"/>
      <c r="BB170" s="702"/>
      <c r="BC170" s="47"/>
      <c r="BD170" s="47"/>
      <c r="BE170" s="702"/>
      <c r="BF170" s="702"/>
      <c r="BG170" s="702"/>
      <c r="BH170" s="702"/>
      <c r="BI170" s="702"/>
      <c r="BJ170" s="47"/>
      <c r="BK170" s="47"/>
      <c r="BL170" s="702"/>
      <c r="BM170" s="702"/>
      <c r="BN170" s="702"/>
      <c r="BO170" s="702"/>
      <c r="BP170" s="702"/>
      <c r="BQ170" s="702"/>
      <c r="BS170" s="75" t="e">
        <f t="shared" si="3"/>
        <v>#DIV/0!</v>
      </c>
    </row>
    <row r="171" spans="3:71" ht="15" customHeight="1">
      <c r="C171" s="1468"/>
      <c r="D171" s="1468"/>
      <c r="E171" s="1468"/>
      <c r="F171" s="1492"/>
      <c r="G171" s="1493"/>
      <c r="H171" s="1493"/>
      <c r="I171" s="1493"/>
      <c r="J171" s="1493"/>
      <c r="K171" s="1493"/>
      <c r="L171" s="1493"/>
      <c r="M171" s="1493"/>
      <c r="N171" s="1493"/>
      <c r="O171" s="1493"/>
      <c r="P171" s="1494"/>
      <c r="Q171" s="1509"/>
      <c r="R171" s="1509"/>
      <c r="S171" s="1509"/>
      <c r="T171" s="1509"/>
      <c r="U171" s="1504"/>
      <c r="V171" s="1504"/>
      <c r="W171" s="1504"/>
      <c r="X171" s="1504"/>
      <c r="Y171" s="1491" t="str">
        <f>IF(U171&gt;0,"X","")</f>
        <v/>
      </c>
      <c r="Z171" s="1491"/>
      <c r="AA171" s="1491"/>
      <c r="AB171" s="1491"/>
      <c r="AC171" s="1491"/>
      <c r="AD171" s="1491"/>
      <c r="AE171" s="1491"/>
      <c r="AF171" s="1491"/>
      <c r="AG171" s="1491"/>
      <c r="AL171" s="74" t="s">
        <v>120</v>
      </c>
      <c r="AM171" s="702"/>
      <c r="AN171" s="702"/>
      <c r="AO171" s="47"/>
      <c r="AP171" s="47"/>
      <c r="AQ171" s="702"/>
      <c r="AR171" s="702"/>
      <c r="AS171" s="702"/>
      <c r="AT171" s="702"/>
      <c r="AU171" s="702"/>
      <c r="AV171" s="47"/>
      <c r="AW171" s="47"/>
      <c r="AX171" s="702"/>
      <c r="AY171" s="702"/>
      <c r="AZ171" s="702"/>
      <c r="BA171" s="702"/>
      <c r="BB171" s="702"/>
      <c r="BC171" s="47"/>
      <c r="BD171" s="47"/>
      <c r="BE171" s="702"/>
      <c r="BF171" s="702"/>
      <c r="BG171" s="702"/>
      <c r="BH171" s="702"/>
      <c r="BI171" s="702"/>
      <c r="BJ171" s="47"/>
      <c r="BK171" s="47"/>
      <c r="BL171" s="702"/>
      <c r="BM171" s="702"/>
      <c r="BN171" s="702"/>
      <c r="BO171" s="702"/>
      <c r="BP171" s="702"/>
      <c r="BQ171" s="702"/>
      <c r="BS171" s="75" t="e">
        <f t="shared" si="3"/>
        <v>#DIV/0!</v>
      </c>
    </row>
    <row r="172" spans="3:71" ht="15" customHeight="1">
      <c r="C172" s="1468"/>
      <c r="D172" s="1468"/>
      <c r="E172" s="1468"/>
      <c r="F172" s="1481"/>
      <c r="G172" s="1481"/>
      <c r="H172" s="1481"/>
      <c r="I172" s="1481"/>
      <c r="J172" s="1481"/>
      <c r="K172" s="1481"/>
      <c r="L172" s="1481"/>
      <c r="M172" s="1481"/>
      <c r="N172" s="1481"/>
      <c r="O172" s="1481"/>
      <c r="P172" s="1481"/>
      <c r="Q172" s="1509"/>
      <c r="R172" s="1509"/>
      <c r="S172" s="1509"/>
      <c r="T172" s="1509"/>
      <c r="U172" s="1504"/>
      <c r="V172" s="1504"/>
      <c r="W172" s="1504"/>
      <c r="X172" s="1504"/>
      <c r="Y172" s="1491" t="str">
        <f>IF(U172&gt;0,"X","")</f>
        <v/>
      </c>
      <c r="Z172" s="1491"/>
      <c r="AA172" s="1491"/>
      <c r="AB172" s="1491"/>
      <c r="AC172" s="1491"/>
      <c r="AD172" s="1491"/>
      <c r="AE172" s="1491"/>
      <c r="AF172" s="1491"/>
      <c r="AG172" s="1491"/>
      <c r="AL172" s="74" t="s">
        <v>121</v>
      </c>
      <c r="AM172" s="1114">
        <v>1</v>
      </c>
      <c r="AN172" s="1114">
        <v>1</v>
      </c>
      <c r="AO172" s="1114">
        <v>1</v>
      </c>
      <c r="AP172" s="1114">
        <v>1</v>
      </c>
      <c r="AQ172" s="1114">
        <v>1</v>
      </c>
      <c r="AR172" s="1114">
        <v>1</v>
      </c>
      <c r="AS172" s="1114">
        <v>1</v>
      </c>
      <c r="AT172" s="1114">
        <v>1</v>
      </c>
      <c r="AU172" s="1114">
        <v>1</v>
      </c>
      <c r="AV172" s="1114">
        <v>1</v>
      </c>
      <c r="AW172" s="1114">
        <v>1</v>
      </c>
      <c r="AX172" s="1114">
        <v>1</v>
      </c>
      <c r="AY172" s="1114">
        <v>1</v>
      </c>
      <c r="AZ172" s="1114">
        <v>1</v>
      </c>
      <c r="BA172" s="1114">
        <v>1</v>
      </c>
      <c r="BB172" s="1114">
        <v>1</v>
      </c>
      <c r="BC172" s="1114">
        <v>1</v>
      </c>
      <c r="BD172" s="1114">
        <v>1</v>
      </c>
      <c r="BE172" s="1114">
        <v>1</v>
      </c>
      <c r="BF172" s="1114">
        <v>1</v>
      </c>
      <c r="BG172" s="1114">
        <v>1</v>
      </c>
      <c r="BH172" s="1114">
        <v>1</v>
      </c>
      <c r="BI172" s="1114">
        <v>1</v>
      </c>
      <c r="BJ172" s="1114">
        <v>1</v>
      </c>
      <c r="BK172" s="1114">
        <v>1</v>
      </c>
      <c r="BL172" s="1114">
        <v>1</v>
      </c>
      <c r="BM172" s="1114">
        <v>1</v>
      </c>
      <c r="BN172" s="1114">
        <v>1</v>
      </c>
      <c r="BO172" s="1114">
        <v>1</v>
      </c>
      <c r="BP172" s="1114">
        <v>1</v>
      </c>
      <c r="BQ172" s="1114"/>
      <c r="BS172" s="75">
        <f t="shared" si="3"/>
        <v>1</v>
      </c>
    </row>
    <row r="173" spans="3:71" ht="15" customHeight="1">
      <c r="C173" s="1468"/>
      <c r="D173" s="1468"/>
      <c r="E173" s="1468"/>
      <c r="F173" s="1481"/>
      <c r="G173" s="1481"/>
      <c r="H173" s="1481"/>
      <c r="I173" s="1481"/>
      <c r="J173" s="1481"/>
      <c r="K173" s="1481"/>
      <c r="L173" s="1481"/>
      <c r="M173" s="1481"/>
      <c r="N173" s="1481"/>
      <c r="O173" s="1481"/>
      <c r="P173" s="1481"/>
      <c r="Q173" s="1509"/>
      <c r="R173" s="1509"/>
      <c r="S173" s="1509"/>
      <c r="T173" s="1509"/>
      <c r="U173" s="1504"/>
      <c r="V173" s="1504"/>
      <c r="W173" s="1504"/>
      <c r="X173" s="1504"/>
      <c r="Y173" s="1491" t="str">
        <f>IF(U173&gt;0,"X","")</f>
        <v/>
      </c>
      <c r="Z173" s="1491"/>
      <c r="AA173" s="1491"/>
      <c r="AB173" s="1491"/>
      <c r="AC173" s="1491"/>
      <c r="AD173" s="1491"/>
      <c r="AE173" s="1491"/>
      <c r="AF173" s="1491"/>
      <c r="AG173" s="1491"/>
      <c r="AL173" s="74" t="s">
        <v>122</v>
      </c>
      <c r="AM173" s="1114"/>
      <c r="AN173" s="1114"/>
      <c r="AO173" s="1115"/>
      <c r="AP173" s="1115"/>
      <c r="AQ173" s="1114"/>
      <c r="AR173" s="1114"/>
      <c r="AS173" s="1114"/>
      <c r="AT173" s="1114"/>
      <c r="AU173" s="1114"/>
      <c r="AV173" s="1115"/>
      <c r="AW173" s="1115"/>
      <c r="AX173" s="1114"/>
      <c r="AY173" s="1114"/>
      <c r="AZ173" s="1114"/>
      <c r="BA173" s="702"/>
      <c r="BB173" s="702"/>
      <c r="BC173" s="47"/>
      <c r="BD173" s="47"/>
      <c r="BE173" s="702"/>
      <c r="BF173" s="702"/>
      <c r="BG173" s="702"/>
      <c r="BH173" s="702"/>
      <c r="BI173" s="702"/>
      <c r="BJ173" s="47"/>
      <c r="BK173" s="47"/>
      <c r="BL173" s="702"/>
      <c r="BM173" s="702"/>
      <c r="BN173" s="702"/>
      <c r="BO173" s="702"/>
      <c r="BP173" s="702"/>
      <c r="BQ173" s="702"/>
      <c r="BS173" s="75" t="e">
        <f t="shared" si="3"/>
        <v>#DIV/0!</v>
      </c>
    </row>
    <row r="174" spans="3:71" ht="15" customHeight="1">
      <c r="C174" s="1468"/>
      <c r="D174" s="1468"/>
      <c r="E174" s="1468"/>
      <c r="F174" s="1481"/>
      <c r="G174" s="1481"/>
      <c r="H174" s="1481"/>
      <c r="I174" s="1481"/>
      <c r="J174" s="1481"/>
      <c r="K174" s="1481"/>
      <c r="L174" s="1481"/>
      <c r="M174" s="1481"/>
      <c r="N174" s="1481"/>
      <c r="O174" s="1481"/>
      <c r="P174" s="1481"/>
      <c r="Q174" s="1509"/>
      <c r="R174" s="1509"/>
      <c r="S174" s="1509"/>
      <c r="T174" s="1509"/>
      <c r="U174" s="1504"/>
      <c r="V174" s="1504"/>
      <c r="W174" s="1504"/>
      <c r="X174" s="1504"/>
      <c r="Y174" s="1491" t="str">
        <f t="shared" ref="Y174" si="4">IF(U174&gt;0,"X","")</f>
        <v/>
      </c>
      <c r="Z174" s="1491"/>
      <c r="AA174" s="1491"/>
      <c r="AB174" s="1491"/>
      <c r="AC174" s="1491"/>
      <c r="AD174" s="1491"/>
      <c r="AE174" s="1491"/>
      <c r="AF174" s="1491"/>
      <c r="AG174" s="1491"/>
      <c r="AL174" s="74" t="s">
        <v>123</v>
      </c>
      <c r="AM174" s="702"/>
      <c r="AN174" s="702"/>
      <c r="AO174" s="47"/>
      <c r="AP174" s="47"/>
      <c r="AQ174" s="702"/>
      <c r="AR174" s="702"/>
      <c r="AS174" s="702"/>
      <c r="AT174" s="702"/>
      <c r="AU174" s="702"/>
      <c r="AV174" s="47"/>
      <c r="AW174" s="47"/>
      <c r="AX174" s="702"/>
      <c r="AY174" s="702"/>
      <c r="AZ174" s="702"/>
      <c r="BA174" s="702"/>
      <c r="BB174" s="702"/>
      <c r="BC174" s="47"/>
      <c r="BD174" s="47"/>
      <c r="BE174" s="702"/>
      <c r="BF174" s="702"/>
      <c r="BG174" s="702"/>
      <c r="BH174" s="702"/>
      <c r="BI174" s="702"/>
      <c r="BJ174" s="47"/>
      <c r="BK174" s="47"/>
      <c r="BL174" s="702"/>
      <c r="BM174" s="702"/>
      <c r="BN174" s="702"/>
      <c r="BO174" s="702"/>
      <c r="BP174" s="702"/>
      <c r="BQ174" s="702"/>
      <c r="BS174" s="75" t="e">
        <f t="shared" si="3"/>
        <v>#DIV/0!</v>
      </c>
    </row>
    <row r="175" spans="3:71" ht="15" customHeight="1">
      <c r="C175" s="1468"/>
      <c r="D175" s="1468"/>
      <c r="E175" s="1468"/>
      <c r="F175" s="1481"/>
      <c r="G175" s="1481"/>
      <c r="H175" s="1481"/>
      <c r="I175" s="1481"/>
      <c r="J175" s="1481"/>
      <c r="K175" s="1481"/>
      <c r="L175" s="1481"/>
      <c r="M175" s="1481"/>
      <c r="N175" s="1481"/>
      <c r="O175" s="1481"/>
      <c r="P175" s="1481"/>
      <c r="Q175" s="1509"/>
      <c r="R175" s="1509"/>
      <c r="S175" s="1509"/>
      <c r="T175" s="1509"/>
      <c r="U175" s="1504"/>
      <c r="V175" s="1504"/>
      <c r="W175" s="1504"/>
      <c r="X175" s="1504"/>
      <c r="Y175" s="1491"/>
      <c r="Z175" s="1491"/>
      <c r="AA175" s="1491"/>
      <c r="AB175" s="1491"/>
      <c r="AC175" s="1491"/>
      <c r="AD175" s="1491"/>
      <c r="AE175" s="1491"/>
      <c r="AF175" s="1491"/>
      <c r="AG175" s="1491"/>
      <c r="AL175" s="74" t="s">
        <v>124</v>
      </c>
      <c r="AM175" s="702"/>
      <c r="AN175" s="702"/>
      <c r="AO175" s="47"/>
      <c r="AP175" s="47"/>
      <c r="AQ175" s="702"/>
      <c r="AR175" s="702"/>
      <c r="AS175" s="702"/>
      <c r="AT175" s="702"/>
      <c r="AU175" s="702"/>
      <c r="AV175" s="47"/>
      <c r="AW175" s="47"/>
      <c r="AX175" s="702"/>
      <c r="AY175" s="702"/>
      <c r="AZ175" s="702"/>
      <c r="BA175" s="702"/>
      <c r="BB175" s="702"/>
      <c r="BC175" s="47"/>
      <c r="BD175" s="47"/>
      <c r="BE175" s="702"/>
      <c r="BF175" s="702"/>
      <c r="BG175" s="702"/>
      <c r="BH175" s="702"/>
      <c r="BI175" s="702"/>
      <c r="BJ175" s="47"/>
      <c r="BK175" s="47"/>
      <c r="BL175" s="702"/>
      <c r="BM175" s="702"/>
      <c r="BN175" s="702"/>
      <c r="BO175" s="702"/>
      <c r="BP175" s="702"/>
      <c r="BQ175" s="702"/>
      <c r="BS175" s="75" t="e">
        <f t="shared" si="3"/>
        <v>#DIV/0!</v>
      </c>
    </row>
    <row r="176" spans="3:71" ht="15" customHeight="1">
      <c r="C176" s="1468"/>
      <c r="D176" s="1468"/>
      <c r="E176" s="1468"/>
      <c r="F176" s="1481"/>
      <c r="G176" s="1481"/>
      <c r="H176" s="1481"/>
      <c r="I176" s="1481"/>
      <c r="J176" s="1481"/>
      <c r="K176" s="1481"/>
      <c r="L176" s="1481"/>
      <c r="M176" s="1481"/>
      <c r="N176" s="1481"/>
      <c r="O176" s="1481"/>
      <c r="P176" s="1481"/>
      <c r="Q176" s="1509"/>
      <c r="R176" s="1509"/>
      <c r="S176" s="1509"/>
      <c r="T176" s="1509"/>
      <c r="U176" s="1504"/>
      <c r="V176" s="1504"/>
      <c r="W176" s="1504"/>
      <c r="X176" s="1504"/>
      <c r="Y176" s="1491"/>
      <c r="Z176" s="1491"/>
      <c r="AA176" s="1491"/>
      <c r="AB176" s="1491"/>
      <c r="AC176" s="1491"/>
      <c r="AD176" s="1491"/>
      <c r="AE176" s="1491"/>
      <c r="AF176" s="1491"/>
      <c r="AG176" s="1491"/>
      <c r="AL176" s="74" t="s">
        <v>125</v>
      </c>
      <c r="AM176" s="702"/>
      <c r="AN176" s="702"/>
      <c r="AO176" s="47"/>
      <c r="AP176" s="47"/>
      <c r="AQ176" s="702"/>
      <c r="AR176" s="702"/>
      <c r="AS176" s="702"/>
      <c r="AT176" s="702"/>
      <c r="AU176" s="702"/>
      <c r="AV176" s="47"/>
      <c r="AW176" s="47"/>
      <c r="AX176" s="702"/>
      <c r="AY176" s="702"/>
      <c r="AZ176" s="702"/>
      <c r="BA176" s="702"/>
      <c r="BB176" s="702"/>
      <c r="BC176" s="47"/>
      <c r="BD176" s="47"/>
      <c r="BE176" s="702"/>
      <c r="BF176" s="702"/>
      <c r="BG176" s="702"/>
      <c r="BH176" s="702"/>
      <c r="BI176" s="702"/>
      <c r="BJ176" s="47"/>
      <c r="BK176" s="47"/>
      <c r="BL176" s="702"/>
      <c r="BM176" s="702"/>
      <c r="BN176" s="702"/>
      <c r="BO176" s="702"/>
      <c r="BP176" s="702"/>
      <c r="BQ176" s="702"/>
      <c r="BS176" s="75" t="e">
        <f t="shared" si="3"/>
        <v>#DIV/0!</v>
      </c>
    </row>
    <row r="177" spans="3:71" ht="15" customHeight="1">
      <c r="C177" s="1468"/>
      <c r="D177" s="1468"/>
      <c r="E177" s="1468"/>
      <c r="F177" s="1481"/>
      <c r="G177" s="1481"/>
      <c r="H177" s="1481"/>
      <c r="I177" s="1481"/>
      <c r="J177" s="1481"/>
      <c r="K177" s="1481"/>
      <c r="L177" s="1481"/>
      <c r="M177" s="1481"/>
      <c r="N177" s="1481"/>
      <c r="O177" s="1481"/>
      <c r="P177" s="1481"/>
      <c r="Q177" s="1509"/>
      <c r="R177" s="1509"/>
      <c r="S177" s="1509"/>
      <c r="T177" s="1509"/>
      <c r="U177" s="1504"/>
      <c r="V177" s="1504"/>
      <c r="W177" s="1504"/>
      <c r="X177" s="1504"/>
      <c r="Y177" s="1491"/>
      <c r="Z177" s="1491"/>
      <c r="AA177" s="1491"/>
      <c r="AB177" s="1491"/>
      <c r="AC177" s="1491"/>
      <c r="AD177" s="1491"/>
      <c r="AE177" s="1491"/>
      <c r="AF177" s="1491"/>
      <c r="AG177" s="1491"/>
      <c r="AL177" s="74" t="s">
        <v>126</v>
      </c>
      <c r="AM177" s="702"/>
      <c r="AN177" s="702"/>
      <c r="AO177" s="47"/>
      <c r="AP177" s="47"/>
      <c r="AQ177" s="702"/>
      <c r="AR177" s="702"/>
      <c r="AS177" s="702"/>
      <c r="AT177" s="702"/>
      <c r="AU177" s="702"/>
      <c r="AV177" s="47"/>
      <c r="AW177" s="47"/>
      <c r="AX177" s="702"/>
      <c r="AY177" s="702"/>
      <c r="AZ177" s="702"/>
      <c r="BA177" s="702"/>
      <c r="BB177" s="702"/>
      <c r="BC177" s="47"/>
      <c r="BD177" s="47"/>
      <c r="BE177" s="702"/>
      <c r="BF177" s="702"/>
      <c r="BG177" s="702"/>
      <c r="BH177" s="702"/>
      <c r="BI177" s="702"/>
      <c r="BJ177" s="47"/>
      <c r="BK177" s="47"/>
      <c r="BL177" s="702"/>
      <c r="BM177" s="702"/>
      <c r="BN177" s="702"/>
      <c r="BO177" s="702"/>
      <c r="BP177" s="702"/>
      <c r="BQ177" s="702"/>
      <c r="BS177" s="75" t="e">
        <f t="shared" si="3"/>
        <v>#DIV/0!</v>
      </c>
    </row>
    <row r="178" spans="3:71" ht="15" customHeight="1">
      <c r="C178" s="1468"/>
      <c r="D178" s="1468"/>
      <c r="E178" s="1468"/>
      <c r="F178" s="1481"/>
      <c r="G178" s="1481"/>
      <c r="H178" s="1481"/>
      <c r="I178" s="1481"/>
      <c r="J178" s="1481"/>
      <c r="K178" s="1481"/>
      <c r="L178" s="1481"/>
      <c r="M178" s="1481"/>
      <c r="N178" s="1481"/>
      <c r="O178" s="1481"/>
      <c r="P178" s="1481"/>
      <c r="Q178" s="1509"/>
      <c r="R178" s="1509"/>
      <c r="S178" s="1509"/>
      <c r="T178" s="1509"/>
      <c r="U178" s="1504"/>
      <c r="V178" s="1504"/>
      <c r="W178" s="1504"/>
      <c r="X178" s="1504"/>
      <c r="Y178" s="1491"/>
      <c r="Z178" s="1491"/>
      <c r="AA178" s="1491"/>
      <c r="AB178" s="1491"/>
      <c r="AC178" s="1491"/>
      <c r="AD178" s="1491"/>
      <c r="AE178" s="1491"/>
      <c r="AF178" s="1491"/>
      <c r="AG178" s="1491"/>
      <c r="AL178" s="74" t="s">
        <v>127</v>
      </c>
      <c r="AM178" s="702"/>
      <c r="AN178" s="702"/>
      <c r="AO178" s="47"/>
      <c r="AP178" s="47"/>
      <c r="AQ178" s="702"/>
      <c r="AR178" s="702"/>
      <c r="AS178" s="702"/>
      <c r="AT178" s="702"/>
      <c r="AU178" s="702"/>
      <c r="AV178" s="47"/>
      <c r="AW178" s="47"/>
      <c r="AX178" s="702"/>
      <c r="AY178" s="702"/>
      <c r="AZ178" s="702"/>
      <c r="BA178" s="702"/>
      <c r="BB178" s="702"/>
      <c r="BC178" s="47"/>
      <c r="BD178" s="47"/>
      <c r="BE178" s="702"/>
      <c r="BF178" s="702"/>
      <c r="BG178" s="702"/>
      <c r="BH178" s="702"/>
      <c r="BI178" s="702"/>
      <c r="BJ178" s="47"/>
      <c r="BK178" s="47"/>
      <c r="BL178" s="702"/>
      <c r="BM178" s="702"/>
      <c r="BN178" s="702"/>
      <c r="BO178" s="702"/>
      <c r="BP178" s="702"/>
      <c r="BQ178" s="702"/>
      <c r="BS178" s="75" t="e">
        <f t="shared" si="3"/>
        <v>#DIV/0!</v>
      </c>
    </row>
    <row r="179" spans="3:71" ht="15" customHeight="1">
      <c r="C179" s="1468"/>
      <c r="D179" s="1468"/>
      <c r="E179" s="1468"/>
      <c r="F179" s="1481"/>
      <c r="G179" s="1481"/>
      <c r="H179" s="1481"/>
      <c r="I179" s="1481"/>
      <c r="J179" s="1481"/>
      <c r="K179" s="1481"/>
      <c r="L179" s="1481"/>
      <c r="M179" s="1481"/>
      <c r="N179" s="1481"/>
      <c r="O179" s="1481"/>
      <c r="P179" s="1481"/>
      <c r="Q179" s="1509"/>
      <c r="R179" s="1509"/>
      <c r="S179" s="1509"/>
      <c r="T179" s="1509"/>
      <c r="U179" s="1504"/>
      <c r="V179" s="1504"/>
      <c r="W179" s="1504"/>
      <c r="X179" s="1504"/>
      <c r="Y179" s="1491"/>
      <c r="Z179" s="1491"/>
      <c r="AA179" s="1491"/>
      <c r="AB179" s="1491"/>
      <c r="AC179" s="1491"/>
      <c r="AD179" s="1491"/>
      <c r="AE179" s="1491"/>
      <c r="AF179" s="1491"/>
      <c r="AG179" s="1491"/>
      <c r="AL179" s="74" t="s">
        <v>128</v>
      </c>
      <c r="AM179" s="702"/>
      <c r="AN179" s="702"/>
      <c r="AO179" s="47"/>
      <c r="AP179" s="47"/>
      <c r="AQ179" s="702"/>
      <c r="AR179" s="702"/>
      <c r="AS179" s="702"/>
      <c r="AT179" s="702"/>
      <c r="AU179" s="702"/>
      <c r="AV179" s="47"/>
      <c r="AW179" s="47"/>
      <c r="AX179" s="702"/>
      <c r="AY179" s="702"/>
      <c r="AZ179" s="702"/>
      <c r="BA179" s="702"/>
      <c r="BB179" s="702"/>
      <c r="BC179" s="47"/>
      <c r="BD179" s="47"/>
      <c r="BE179" s="702"/>
      <c r="BF179" s="702"/>
      <c r="BG179" s="702"/>
      <c r="BH179" s="702"/>
      <c r="BI179" s="702"/>
      <c r="BJ179" s="47"/>
      <c r="BK179" s="47"/>
      <c r="BL179" s="702"/>
      <c r="BM179" s="702"/>
      <c r="BN179" s="702"/>
      <c r="BO179" s="702"/>
      <c r="BP179" s="702"/>
      <c r="BQ179" s="702"/>
      <c r="BS179" s="75" t="e">
        <f t="shared" si="3"/>
        <v>#DIV/0!</v>
      </c>
    </row>
    <row r="180" spans="3:71" ht="15" customHeight="1">
      <c r="C180" s="1468"/>
      <c r="D180" s="1468"/>
      <c r="E180" s="1468"/>
      <c r="F180" s="1481"/>
      <c r="G180" s="1481"/>
      <c r="H180" s="1481"/>
      <c r="I180" s="1481"/>
      <c r="J180" s="1481"/>
      <c r="K180" s="1481"/>
      <c r="L180" s="1481"/>
      <c r="M180" s="1481"/>
      <c r="N180" s="1481"/>
      <c r="O180" s="1481"/>
      <c r="P180" s="1481"/>
      <c r="Q180" s="1509"/>
      <c r="R180" s="1509"/>
      <c r="S180" s="1509"/>
      <c r="T180" s="1509"/>
      <c r="U180" s="1504"/>
      <c r="V180" s="1504"/>
      <c r="W180" s="1504"/>
      <c r="X180" s="1504"/>
      <c r="Y180" s="1491" t="str">
        <f>IF(U180&gt;0,"X","")</f>
        <v/>
      </c>
      <c r="Z180" s="1491"/>
      <c r="AA180" s="1491"/>
      <c r="AB180" s="1491"/>
      <c r="AC180" s="1491"/>
      <c r="AD180" s="1491"/>
      <c r="AE180" s="1491"/>
      <c r="AF180" s="1491"/>
      <c r="AG180" s="1491"/>
      <c r="AL180" s="74" t="s">
        <v>129</v>
      </c>
      <c r="AM180" s="702"/>
      <c r="AN180" s="702"/>
      <c r="AO180" s="47"/>
      <c r="AP180" s="47"/>
      <c r="AQ180" s="702"/>
      <c r="AR180" s="702"/>
      <c r="AS180" s="702"/>
      <c r="AT180" s="702"/>
      <c r="AU180" s="702"/>
      <c r="AV180" s="47"/>
      <c r="AW180" s="47"/>
      <c r="AX180" s="702"/>
      <c r="AY180" s="702"/>
      <c r="AZ180" s="702"/>
      <c r="BA180" s="702"/>
      <c r="BB180" s="702"/>
      <c r="BC180" s="47"/>
      <c r="BD180" s="47"/>
      <c r="BE180" s="702"/>
      <c r="BF180" s="702"/>
      <c r="BG180" s="702"/>
      <c r="BH180" s="702"/>
      <c r="BI180" s="702"/>
      <c r="BJ180" s="47"/>
      <c r="BK180" s="47"/>
      <c r="BL180" s="702"/>
      <c r="BM180" s="702"/>
      <c r="BN180" s="702"/>
      <c r="BO180" s="702"/>
      <c r="BP180" s="702"/>
      <c r="BQ180" s="702"/>
      <c r="BS180" s="75" t="e">
        <f t="shared" si="3"/>
        <v>#DIV/0!</v>
      </c>
    </row>
    <row r="181" spans="3:71" ht="15" customHeight="1">
      <c r="C181" s="1468"/>
      <c r="D181" s="1468"/>
      <c r="E181" s="1468"/>
      <c r="F181" s="1481"/>
      <c r="G181" s="1481"/>
      <c r="H181" s="1481"/>
      <c r="I181" s="1481"/>
      <c r="J181" s="1481"/>
      <c r="K181" s="1481"/>
      <c r="L181" s="1481"/>
      <c r="M181" s="1481"/>
      <c r="N181" s="1481"/>
      <c r="O181" s="1481"/>
      <c r="P181" s="1481"/>
      <c r="Q181" s="1509"/>
      <c r="R181" s="1509"/>
      <c r="S181" s="1509"/>
      <c r="T181" s="1509"/>
      <c r="U181" s="1504"/>
      <c r="V181" s="1504"/>
      <c r="W181" s="1504"/>
      <c r="X181" s="1504"/>
      <c r="Y181" s="1491" t="str">
        <f>IF(U181&gt;0,"X","")</f>
        <v/>
      </c>
      <c r="Z181" s="1491"/>
      <c r="AA181" s="1491"/>
      <c r="AB181" s="1491"/>
      <c r="AC181" s="1491"/>
      <c r="AD181" s="1491"/>
      <c r="AE181" s="1491"/>
      <c r="AF181" s="1491"/>
      <c r="AG181" s="1491"/>
      <c r="AL181" s="74" t="s">
        <v>130</v>
      </c>
      <c r="AM181" s="1114">
        <v>1</v>
      </c>
      <c r="AN181" s="1114">
        <v>1</v>
      </c>
      <c r="AO181" s="1114">
        <v>1</v>
      </c>
      <c r="AP181" s="1114"/>
      <c r="AQ181" s="1114">
        <v>1</v>
      </c>
      <c r="AR181" s="1114">
        <v>1</v>
      </c>
      <c r="AS181" s="1114">
        <v>1</v>
      </c>
      <c r="AT181" s="1114">
        <v>1</v>
      </c>
      <c r="AU181" s="1114">
        <v>1</v>
      </c>
      <c r="AV181" s="1114">
        <v>1</v>
      </c>
      <c r="AW181" s="1114"/>
      <c r="AX181" s="1114">
        <v>1</v>
      </c>
      <c r="AY181" s="1114">
        <v>1</v>
      </c>
      <c r="AZ181" s="1114">
        <v>1</v>
      </c>
      <c r="BA181" s="1114">
        <v>1</v>
      </c>
      <c r="BB181" s="1114">
        <v>1</v>
      </c>
      <c r="BC181" s="1114">
        <v>1</v>
      </c>
      <c r="BD181" s="1114"/>
      <c r="BE181" s="1114">
        <v>1</v>
      </c>
      <c r="BF181" s="1114">
        <v>1</v>
      </c>
      <c r="BG181" s="1114">
        <v>1</v>
      </c>
      <c r="BH181" s="1114">
        <v>1</v>
      </c>
      <c r="BI181" s="1114">
        <v>1</v>
      </c>
      <c r="BJ181" s="1114">
        <v>1</v>
      </c>
      <c r="BK181" s="1114"/>
      <c r="BL181" s="1114">
        <v>1</v>
      </c>
      <c r="BM181" s="1114">
        <v>1</v>
      </c>
      <c r="BN181" s="1114">
        <v>1</v>
      </c>
      <c r="BO181" s="1114">
        <v>1</v>
      </c>
      <c r="BP181" s="1114">
        <v>1</v>
      </c>
      <c r="BQ181" s="1114"/>
      <c r="BS181" s="75">
        <f t="shared" si="3"/>
        <v>1</v>
      </c>
    </row>
    <row r="182" spans="3:71" ht="15" customHeight="1">
      <c r="C182" s="1468"/>
      <c r="D182" s="1468"/>
      <c r="E182" s="1468"/>
      <c r="F182" s="1481"/>
      <c r="G182" s="1481"/>
      <c r="H182" s="1481"/>
      <c r="I182" s="1481"/>
      <c r="J182" s="1481"/>
      <c r="K182" s="1481"/>
      <c r="L182" s="1481"/>
      <c r="M182" s="1481"/>
      <c r="N182" s="1481"/>
      <c r="O182" s="1481"/>
      <c r="P182" s="1481"/>
      <c r="Q182" s="1509"/>
      <c r="R182" s="1509"/>
      <c r="S182" s="1509"/>
      <c r="T182" s="1509"/>
      <c r="U182" s="1504"/>
      <c r="V182" s="1504"/>
      <c r="W182" s="1504"/>
      <c r="X182" s="1504"/>
      <c r="Y182" s="1491" t="str">
        <f>IF(U182&gt;0,"X","")</f>
        <v/>
      </c>
      <c r="Z182" s="1491"/>
      <c r="AA182" s="1491"/>
      <c r="AB182" s="1491"/>
      <c r="AC182" s="1491"/>
      <c r="AD182" s="1491"/>
      <c r="AE182" s="1491"/>
      <c r="AF182" s="1491"/>
      <c r="AG182" s="1491"/>
      <c r="AL182" s="74" t="s">
        <v>131</v>
      </c>
      <c r="AM182" s="1114">
        <v>1</v>
      </c>
      <c r="AN182" s="1114">
        <v>1</v>
      </c>
      <c r="AO182" s="1114">
        <v>1</v>
      </c>
      <c r="AP182" s="1114"/>
      <c r="AQ182" s="1114">
        <v>1</v>
      </c>
      <c r="AR182" s="1114">
        <v>1</v>
      </c>
      <c r="AS182" s="1114">
        <v>1</v>
      </c>
      <c r="AT182" s="1114">
        <v>1</v>
      </c>
      <c r="AU182" s="1114">
        <v>1</v>
      </c>
      <c r="AV182" s="1114">
        <v>1</v>
      </c>
      <c r="AW182" s="1114"/>
      <c r="AX182" s="1114">
        <v>1</v>
      </c>
      <c r="AY182" s="1114">
        <v>1</v>
      </c>
      <c r="AZ182" s="1114">
        <v>1</v>
      </c>
      <c r="BA182" s="1114">
        <v>1</v>
      </c>
      <c r="BB182" s="1114">
        <v>1</v>
      </c>
      <c r="BC182" s="1114">
        <v>1</v>
      </c>
      <c r="BD182" s="1114"/>
      <c r="BE182" s="1114">
        <v>1</v>
      </c>
      <c r="BF182" s="1114">
        <v>1</v>
      </c>
      <c r="BG182" s="1114">
        <v>1</v>
      </c>
      <c r="BH182" s="1114">
        <v>1</v>
      </c>
      <c r="BI182" s="1114">
        <v>1</v>
      </c>
      <c r="BJ182" s="1114">
        <v>1</v>
      </c>
      <c r="BK182" s="1114"/>
      <c r="BL182" s="1114">
        <v>1</v>
      </c>
      <c r="BM182" s="1114">
        <v>1</v>
      </c>
      <c r="BN182" s="1114">
        <v>1</v>
      </c>
      <c r="BO182" s="1114">
        <v>1</v>
      </c>
      <c r="BP182" s="1114">
        <v>1</v>
      </c>
      <c r="BQ182" s="1114"/>
      <c r="BS182" s="75">
        <f t="shared" si="3"/>
        <v>1</v>
      </c>
    </row>
    <row r="183" spans="3:71" ht="15" customHeight="1">
      <c r="C183" s="1468"/>
      <c r="D183" s="1468"/>
      <c r="E183" s="1468"/>
      <c r="F183" s="1481"/>
      <c r="G183" s="1481"/>
      <c r="H183" s="1481"/>
      <c r="I183" s="1481"/>
      <c r="J183" s="1481"/>
      <c r="K183" s="1481"/>
      <c r="L183" s="1481"/>
      <c r="M183" s="1481"/>
      <c r="N183" s="1481"/>
      <c r="O183" s="1481"/>
      <c r="P183" s="1481"/>
      <c r="Q183" s="1509"/>
      <c r="R183" s="1509"/>
      <c r="S183" s="1509"/>
      <c r="T183" s="1509"/>
      <c r="U183" s="1504"/>
      <c r="V183" s="1504"/>
      <c r="W183" s="1504"/>
      <c r="X183" s="1504"/>
      <c r="Y183" s="1491" t="str">
        <f>IF(U183&gt;0,"X","")</f>
        <v/>
      </c>
      <c r="Z183" s="1491"/>
      <c r="AA183" s="1491"/>
      <c r="AB183" s="1491"/>
      <c r="AC183" s="1491"/>
      <c r="AD183" s="1491"/>
      <c r="AE183" s="1491"/>
      <c r="AF183" s="1491"/>
      <c r="AG183" s="1491"/>
      <c r="AL183" s="74" t="s">
        <v>132</v>
      </c>
      <c r="AM183" s="1114">
        <v>0</v>
      </c>
      <c r="AN183" s="1114">
        <v>1</v>
      </c>
      <c r="AO183" s="1114">
        <v>0</v>
      </c>
      <c r="AP183" s="1115"/>
      <c r="AQ183" s="1114">
        <v>1</v>
      </c>
      <c r="AR183" s="1114">
        <v>1</v>
      </c>
      <c r="AS183" s="1114">
        <v>1</v>
      </c>
      <c r="AT183" s="1114">
        <v>1</v>
      </c>
      <c r="AU183" s="1114">
        <v>0</v>
      </c>
      <c r="AV183" s="1114">
        <v>1</v>
      </c>
      <c r="AW183" s="1114"/>
      <c r="AX183" s="1114">
        <v>1</v>
      </c>
      <c r="AY183" s="1114">
        <v>1</v>
      </c>
      <c r="AZ183" s="1114">
        <v>1</v>
      </c>
      <c r="BA183" s="1114">
        <v>0</v>
      </c>
      <c r="BB183" s="1114">
        <v>1</v>
      </c>
      <c r="BC183" s="1114">
        <v>1</v>
      </c>
      <c r="BD183" s="1114"/>
      <c r="BE183" s="1114">
        <v>1</v>
      </c>
      <c r="BF183" s="1114">
        <v>1</v>
      </c>
      <c r="BG183" s="1114">
        <v>1</v>
      </c>
      <c r="BH183" s="1114">
        <v>1</v>
      </c>
      <c r="BI183" s="1114">
        <v>1</v>
      </c>
      <c r="BJ183" s="1114">
        <v>1</v>
      </c>
      <c r="BK183" s="1114"/>
      <c r="BL183" s="1114">
        <v>1</v>
      </c>
      <c r="BM183" s="1114">
        <v>1</v>
      </c>
      <c r="BN183" s="1114">
        <v>1</v>
      </c>
      <c r="BO183" s="1114">
        <v>1</v>
      </c>
      <c r="BP183" s="1114">
        <v>1</v>
      </c>
      <c r="BQ183" s="1114"/>
      <c r="BS183" s="75">
        <f t="shared" si="3"/>
        <v>0.84615384615384615</v>
      </c>
    </row>
    <row r="184" spans="3:71" ht="15" customHeight="1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M184" s="1"/>
      <c r="AN184" s="1"/>
      <c r="AQ184" s="1"/>
      <c r="AR184" s="1"/>
      <c r="AS184" s="1"/>
      <c r="AT184" s="1"/>
      <c r="AU184" s="1"/>
      <c r="AX184" s="1"/>
      <c r="AY184" s="1"/>
      <c r="AZ184" s="1"/>
      <c r="BA184" s="1"/>
      <c r="BB184" s="1"/>
      <c r="BE184" s="1"/>
      <c r="BF184" s="1"/>
      <c r="BG184" s="1"/>
      <c r="BH184" s="1"/>
      <c r="BI184" s="1"/>
      <c r="BL184" s="1"/>
      <c r="BM184" s="1"/>
      <c r="BN184" s="1"/>
      <c r="BO184" s="1"/>
      <c r="BP184" s="1"/>
      <c r="BQ184" s="1"/>
    </row>
    <row r="185" spans="3:71" ht="15" customHeight="1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L185" s="6" t="s">
        <v>107</v>
      </c>
      <c r="AM185" s="702">
        <f t="shared" ref="AM185:BL185" si="5">SUM(AM166:AM183)</f>
        <v>7</v>
      </c>
      <c r="AN185" s="702">
        <f t="shared" si="5"/>
        <v>8</v>
      </c>
      <c r="AO185" s="47">
        <f t="shared" si="5"/>
        <v>7</v>
      </c>
      <c r="AP185" s="47">
        <f t="shared" si="5"/>
        <v>4</v>
      </c>
      <c r="AQ185" s="702">
        <f t="shared" si="5"/>
        <v>8</v>
      </c>
      <c r="AR185" s="702">
        <f t="shared" si="5"/>
        <v>8</v>
      </c>
      <c r="AS185" s="702">
        <f t="shared" si="5"/>
        <v>8</v>
      </c>
      <c r="AT185" s="702">
        <f t="shared" si="5"/>
        <v>8</v>
      </c>
      <c r="AU185" s="702">
        <f t="shared" si="5"/>
        <v>7</v>
      </c>
      <c r="AV185" s="47">
        <f t="shared" si="5"/>
        <v>8</v>
      </c>
      <c r="AW185" s="47">
        <f t="shared" si="5"/>
        <v>4</v>
      </c>
      <c r="AX185" s="702">
        <f t="shared" si="5"/>
        <v>8</v>
      </c>
      <c r="AY185" s="702">
        <f t="shared" si="5"/>
        <v>8</v>
      </c>
      <c r="AZ185" s="702">
        <f t="shared" si="5"/>
        <v>8</v>
      </c>
      <c r="BA185" s="702">
        <f t="shared" si="5"/>
        <v>7</v>
      </c>
      <c r="BB185" s="702">
        <f t="shared" si="5"/>
        <v>8</v>
      </c>
      <c r="BC185" s="47">
        <f t="shared" si="5"/>
        <v>8</v>
      </c>
      <c r="BD185" s="47">
        <f t="shared" si="5"/>
        <v>4</v>
      </c>
      <c r="BE185" s="702">
        <f t="shared" si="5"/>
        <v>8</v>
      </c>
      <c r="BF185" s="702">
        <f t="shared" si="5"/>
        <v>8</v>
      </c>
      <c r="BG185" s="702">
        <f t="shared" si="5"/>
        <v>8</v>
      </c>
      <c r="BH185" s="702">
        <f t="shared" si="5"/>
        <v>8</v>
      </c>
      <c r="BI185" s="702">
        <f t="shared" si="5"/>
        <v>8</v>
      </c>
      <c r="BJ185" s="47">
        <f t="shared" si="5"/>
        <v>8</v>
      </c>
      <c r="BK185" s="47">
        <f t="shared" si="5"/>
        <v>4</v>
      </c>
      <c r="BL185" s="702">
        <f t="shared" si="5"/>
        <v>8</v>
      </c>
      <c r="BM185" s="702">
        <f>SUM(BM166:BM183)</f>
        <v>8</v>
      </c>
      <c r="BN185" s="702">
        <f>SUM(BN166:BN183)</f>
        <v>8</v>
      </c>
      <c r="BO185" s="702">
        <f>SUM(BO166:BO183)</f>
        <v>8</v>
      </c>
      <c r="BP185" s="702">
        <f>SUM(BP166:BP183)</f>
        <v>8</v>
      </c>
      <c r="BQ185" s="702">
        <f>SUM(BQ166:BQ183)</f>
        <v>1</v>
      </c>
    </row>
    <row r="186" spans="3:71" ht="15" customHeight="1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3:71" ht="15" customHeight="1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3:71" ht="15" customHeight="1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3:71" ht="15" customHeight="1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3:71" ht="15" customHeight="1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3:71" ht="15" customHeight="1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3:71" ht="15" customHeight="1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3:33" ht="15" customHeight="1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3:33" ht="15" customHeight="1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3:33" ht="15" customHeight="1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3:33" ht="15" customHeight="1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3:33" ht="15" customHeight="1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3:33" ht="15" customHeight="1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3:33" ht="15" customHeight="1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3:33" ht="15" customHeight="1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3:33" ht="15" customHeight="1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3:33" ht="15" customHeight="1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3:33" ht="15" customHeight="1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3:33" ht="15" customHeight="1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3:33" ht="15" customHeight="1">
      <c r="C205" s="79"/>
      <c r="D205" s="79"/>
      <c r="E205" s="79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"/>
      <c r="R205" s="8"/>
      <c r="S205" s="8"/>
      <c r="T205" s="8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</row>
    <row r="206" spans="3:33" ht="15" customHeight="1">
      <c r="C206" s="79"/>
      <c r="D206" s="79"/>
      <c r="E206" s="79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"/>
      <c r="R206" s="8"/>
      <c r="S206" s="8"/>
      <c r="T206" s="8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3:33" ht="15" customHeight="1">
      <c r="C207" s="79"/>
      <c r="D207" s="79"/>
      <c r="E207" s="79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"/>
      <c r="R207" s="8"/>
      <c r="S207" s="8"/>
      <c r="T207" s="8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</row>
    <row r="208" spans="3:33" ht="15" customHeight="1">
      <c r="C208" s="79"/>
      <c r="D208" s="79"/>
      <c r="E208" s="79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"/>
      <c r="R208" s="8"/>
      <c r="S208" s="8"/>
      <c r="T208" s="8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</row>
    <row r="209" spans="3:69" ht="15" customHeight="1">
      <c r="C209" s="79"/>
      <c r="D209" s="79"/>
      <c r="E209" s="79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"/>
      <c r="R209" s="8"/>
      <c r="S209" s="8"/>
      <c r="T209" s="8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</row>
    <row r="210" spans="3:69" ht="15" customHeight="1">
      <c r="C210" s="79"/>
      <c r="D210" s="79"/>
      <c r="E210" s="79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"/>
      <c r="R210" s="8"/>
      <c r="S210" s="8"/>
      <c r="T210" s="8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</row>
    <row r="211" spans="3:69" ht="15" customHeight="1">
      <c r="C211" s="1588" t="s">
        <v>105</v>
      </c>
      <c r="D211" s="1588"/>
      <c r="E211" s="1588"/>
      <c r="F211" s="1588"/>
      <c r="G211" s="1588"/>
      <c r="H211" s="1588"/>
      <c r="I211" s="1588"/>
      <c r="J211" s="1588"/>
      <c r="K211" s="1588"/>
      <c r="L211" s="1588"/>
      <c r="M211" s="1588"/>
      <c r="N211" s="1588"/>
      <c r="O211" s="1588"/>
      <c r="P211" s="1588"/>
      <c r="Q211" s="1588"/>
      <c r="R211" s="1588"/>
      <c r="S211" s="1588"/>
      <c r="T211" s="1588"/>
      <c r="U211" s="1588"/>
      <c r="V211" s="1588"/>
      <c r="W211" s="1588"/>
      <c r="X211" s="1588"/>
      <c r="Y211" s="1588"/>
      <c r="Z211" s="1588"/>
      <c r="AA211" s="1588"/>
      <c r="AB211" s="1588"/>
      <c r="AC211" s="1588"/>
      <c r="AD211" s="1588"/>
      <c r="AE211" s="1588"/>
      <c r="AF211" s="1588"/>
      <c r="AG211" s="1588"/>
    </row>
    <row r="212" spans="3:69" ht="15" customHeight="1">
      <c r="C212" s="1589" t="s">
        <v>133</v>
      </c>
      <c r="D212" s="1590"/>
      <c r="E212" s="1590"/>
      <c r="F212" s="1590"/>
      <c r="G212" s="1590"/>
      <c r="H212" s="1590"/>
      <c r="I212" s="1590"/>
      <c r="J212" s="1590"/>
      <c r="K212" s="1590"/>
      <c r="L212" s="1590"/>
      <c r="M212" s="1590"/>
      <c r="N212" s="1590"/>
      <c r="O212" s="1590"/>
      <c r="P212" s="1590"/>
      <c r="Q212" s="1590"/>
      <c r="R212" s="1590"/>
      <c r="S212" s="1590"/>
      <c r="T212" s="1590"/>
      <c r="U212" s="1590"/>
      <c r="V212" s="1590"/>
      <c r="W212" s="1590"/>
      <c r="X212" s="1590"/>
      <c r="Y212" s="1590"/>
      <c r="Z212" s="1590"/>
      <c r="AA212" s="1590"/>
      <c r="AB212" s="1590"/>
      <c r="AC212" s="1590"/>
      <c r="AD212" s="1590"/>
      <c r="AE212" s="1590"/>
      <c r="AF212" s="1590"/>
      <c r="AG212" s="1591"/>
    </row>
    <row r="213" spans="3:69" ht="15" customHeight="1">
      <c r="C213" s="1589"/>
      <c r="D213" s="1590"/>
      <c r="E213" s="1590"/>
      <c r="F213" s="1590"/>
      <c r="G213" s="1590"/>
      <c r="H213" s="1590"/>
      <c r="I213" s="1590"/>
      <c r="J213" s="1590"/>
      <c r="K213" s="1590"/>
      <c r="L213" s="1590"/>
      <c r="M213" s="1590"/>
      <c r="N213" s="1590"/>
      <c r="O213" s="1590"/>
      <c r="P213" s="1590"/>
      <c r="Q213" s="1590"/>
      <c r="R213" s="1590"/>
      <c r="S213" s="1590"/>
      <c r="T213" s="1590"/>
      <c r="U213" s="1590"/>
      <c r="V213" s="1590"/>
      <c r="W213" s="1590"/>
      <c r="X213" s="1590"/>
      <c r="Y213" s="1590"/>
      <c r="Z213" s="1590"/>
      <c r="AA213" s="1590"/>
      <c r="AB213" s="1590"/>
      <c r="AC213" s="1590"/>
      <c r="AD213" s="1590"/>
      <c r="AE213" s="1590"/>
      <c r="AF213" s="1590"/>
      <c r="AG213" s="1591"/>
    </row>
    <row r="214" spans="3:69" ht="15" customHeight="1">
      <c r="C214" s="1589"/>
      <c r="D214" s="1590"/>
      <c r="E214" s="1590"/>
      <c r="F214" s="1590"/>
      <c r="G214" s="1590"/>
      <c r="H214" s="1590"/>
      <c r="I214" s="1590"/>
      <c r="J214" s="1590"/>
      <c r="K214" s="1590"/>
      <c r="L214" s="1590"/>
      <c r="M214" s="1590"/>
      <c r="N214" s="1590"/>
      <c r="O214" s="1590"/>
      <c r="P214" s="1590"/>
      <c r="Q214" s="1590"/>
      <c r="R214" s="1590"/>
      <c r="S214" s="1590"/>
      <c r="T214" s="1590"/>
      <c r="U214" s="1590"/>
      <c r="V214" s="1590"/>
      <c r="W214" s="1590"/>
      <c r="X214" s="1590"/>
      <c r="Y214" s="1590"/>
      <c r="Z214" s="1590"/>
      <c r="AA214" s="1590"/>
      <c r="AB214" s="1590"/>
      <c r="AC214" s="1590"/>
      <c r="AD214" s="1590"/>
      <c r="AE214" s="1590"/>
      <c r="AF214" s="1590"/>
      <c r="AG214" s="1591"/>
    </row>
    <row r="215" spans="3:69" ht="15" customHeight="1">
      <c r="C215" s="1592"/>
      <c r="D215" s="1590"/>
      <c r="E215" s="1590"/>
      <c r="F215" s="1590"/>
      <c r="G215" s="1590"/>
      <c r="H215" s="1590"/>
      <c r="I215" s="1590"/>
      <c r="J215" s="1590"/>
      <c r="K215" s="1590"/>
      <c r="L215" s="1590"/>
      <c r="M215" s="1590"/>
      <c r="N215" s="1590"/>
      <c r="O215" s="1590"/>
      <c r="P215" s="1590"/>
      <c r="Q215" s="1590"/>
      <c r="R215" s="1590"/>
      <c r="S215" s="1590"/>
      <c r="T215" s="1590"/>
      <c r="U215" s="1590"/>
      <c r="V215" s="1590"/>
      <c r="W215" s="1590"/>
      <c r="X215" s="1590"/>
      <c r="Y215" s="1590"/>
      <c r="Z215" s="1590"/>
      <c r="AA215" s="1590"/>
      <c r="AB215" s="1590"/>
      <c r="AC215" s="1590"/>
      <c r="AD215" s="1590"/>
      <c r="AE215" s="1590"/>
      <c r="AF215" s="1590"/>
      <c r="AG215" s="1591"/>
    </row>
    <row r="216" spans="3:69" ht="14.25" customHeight="1" thickBot="1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3:69" ht="20.100000000000001" customHeight="1" thickTop="1">
      <c r="C217" s="1526" t="str">
        <f>$C$90</f>
        <v>Construção da Estação de Bombeamento de Águas Pluviais Laranja, Vila Velha/ES</v>
      </c>
      <c r="D217" s="1526"/>
      <c r="E217" s="1526"/>
      <c r="F217" s="1526"/>
      <c r="G217" s="1526"/>
      <c r="H217" s="1526"/>
      <c r="I217" s="1526"/>
      <c r="J217" s="1526"/>
      <c r="K217" s="1526"/>
      <c r="L217" s="1526"/>
      <c r="M217" s="1526"/>
      <c r="N217" s="1526"/>
      <c r="O217" s="1526"/>
      <c r="P217" s="1526"/>
      <c r="Q217" s="1526"/>
      <c r="R217" s="1526"/>
      <c r="S217" s="1526"/>
      <c r="T217" s="1526"/>
      <c r="U217" s="1526"/>
      <c r="V217" s="1526"/>
      <c r="W217" s="1526"/>
      <c r="X217" s="1526"/>
      <c r="Y217" s="1526"/>
      <c r="Z217" s="1526"/>
      <c r="AA217" s="1526"/>
      <c r="AB217" s="173">
        <v>9</v>
      </c>
      <c r="AC217" s="173"/>
      <c r="AD217" s="1516">
        <f>AD154+3</f>
        <v>18</v>
      </c>
      <c r="AE217" s="1516"/>
      <c r="AF217" s="1516"/>
      <c r="AG217" s="1516"/>
    </row>
    <row r="218" spans="3:69" s="145" customFormat="1" ht="20.100000000000001" customHeight="1" thickBot="1">
      <c r="C218" s="143" t="str">
        <f>$C$1</f>
        <v xml:space="preserve">Relatório Técnico Permanente de Engenharia 		                                                                         </v>
      </c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718" t="str">
        <f>$AB$1</f>
        <v>RTPE 524-11</v>
      </c>
      <c r="AB218" s="1718"/>
      <c r="AC218" s="1718"/>
      <c r="AD218" s="1718"/>
      <c r="AE218" s="1718"/>
      <c r="AF218" s="1718"/>
      <c r="AG218" s="1718"/>
      <c r="AM218" s="147"/>
      <c r="AN218" s="147"/>
      <c r="AO218" s="147"/>
      <c r="AP218" s="147"/>
      <c r="AQ218" s="146"/>
      <c r="AR218" s="146"/>
      <c r="AS218" s="146"/>
      <c r="AT218" s="147"/>
      <c r="AU218" s="147"/>
      <c r="AV218" s="147"/>
      <c r="AW218" s="147"/>
      <c r="AX218" s="146"/>
      <c r="AY218" s="146"/>
      <c r="AZ218" s="146"/>
      <c r="BA218" s="147"/>
      <c r="BB218" s="147"/>
      <c r="BC218" s="147"/>
      <c r="BD218" s="147"/>
      <c r="BE218" s="146"/>
      <c r="BF218" s="146"/>
      <c r="BG218" s="146"/>
      <c r="BH218" s="147"/>
      <c r="BI218" s="147"/>
      <c r="BJ218" s="147"/>
      <c r="BK218" s="147"/>
      <c r="BL218" s="146"/>
      <c r="BM218" s="146"/>
      <c r="BN218" s="146"/>
      <c r="BO218" s="147"/>
      <c r="BP218" s="147"/>
      <c r="BQ218" s="146"/>
    </row>
    <row r="219" spans="3:69" ht="15" customHeight="1" thickTop="1"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</row>
    <row r="220" spans="3:69" ht="15" customHeight="1">
      <c r="C220" s="1582" t="s">
        <v>134</v>
      </c>
      <c r="D220" s="1583"/>
      <c r="E220" s="1583"/>
      <c r="F220" s="1583"/>
      <c r="G220" s="1583"/>
      <c r="H220" s="1583"/>
      <c r="I220" s="1583"/>
      <c r="J220" s="1583"/>
      <c r="K220" s="1583"/>
      <c r="L220" s="1583"/>
      <c r="M220" s="1583"/>
      <c r="N220" s="1583"/>
      <c r="O220" s="1583"/>
      <c r="P220" s="1583"/>
      <c r="Q220" s="1583"/>
      <c r="R220" s="1583"/>
      <c r="S220" s="1583"/>
      <c r="T220" s="1583"/>
      <c r="U220" s="1583"/>
      <c r="V220" s="1583"/>
      <c r="W220" s="1583"/>
      <c r="X220" s="1583"/>
      <c r="Y220" s="1583"/>
      <c r="Z220" s="1583"/>
      <c r="AA220" s="1583"/>
      <c r="AB220" s="1583"/>
      <c r="AC220" s="1583"/>
      <c r="AD220" s="1583"/>
      <c r="AE220" s="1583"/>
      <c r="AF220" s="1583"/>
      <c r="AG220" s="1584"/>
    </row>
    <row r="221" spans="3:69" ht="15" customHeight="1">
      <c r="C221" s="1585"/>
      <c r="D221" s="1586"/>
      <c r="E221" s="1586"/>
      <c r="F221" s="1586"/>
      <c r="G221" s="1586"/>
      <c r="H221" s="1586"/>
      <c r="I221" s="1586"/>
      <c r="J221" s="1586"/>
      <c r="K221" s="1586"/>
      <c r="L221" s="1586"/>
      <c r="M221" s="1586"/>
      <c r="N221" s="1586"/>
      <c r="O221" s="1586"/>
      <c r="P221" s="1586"/>
      <c r="Q221" s="1586"/>
      <c r="R221" s="1586"/>
      <c r="S221" s="1586"/>
      <c r="T221" s="1586"/>
      <c r="U221" s="1586"/>
      <c r="V221" s="1586"/>
      <c r="W221" s="1586"/>
      <c r="X221" s="1586"/>
      <c r="Y221" s="1586"/>
      <c r="Z221" s="1586"/>
      <c r="AA221" s="1586"/>
      <c r="AB221" s="1586"/>
      <c r="AC221" s="1586"/>
      <c r="AD221" s="1586"/>
      <c r="AE221" s="1586"/>
      <c r="AF221" s="1586"/>
      <c r="AG221" s="1587"/>
    </row>
    <row r="222" spans="3:69" ht="15" customHeight="1">
      <c r="C222" s="141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550"/>
    </row>
    <row r="223" spans="3:69" ht="15" customHeight="1">
      <c r="C223" s="1505" t="s">
        <v>28</v>
      </c>
      <c r="D223" s="1506"/>
      <c r="E223" s="1506"/>
      <c r="F223" s="1506"/>
      <c r="G223" s="1506"/>
      <c r="H223" s="1570" t="str">
        <f>H160</f>
        <v>DP Barros Pavimentação e Construção Ltda</v>
      </c>
      <c r="I223" s="1570"/>
      <c r="J223" s="1570"/>
      <c r="K223" s="1570"/>
      <c r="L223" s="1570"/>
      <c r="M223" s="1570"/>
      <c r="N223" s="1570"/>
      <c r="O223" s="1570"/>
      <c r="P223" s="1570"/>
      <c r="Q223" s="1570"/>
      <c r="R223" s="1570"/>
      <c r="S223" s="1570"/>
      <c r="T223" s="1570"/>
      <c r="U223" s="1571"/>
      <c r="V223" s="1505" t="s">
        <v>58</v>
      </c>
      <c r="W223" s="1506"/>
      <c r="X223" s="1506"/>
      <c r="Y223" s="1506"/>
      <c r="Z223" s="1506"/>
      <c r="AA223" s="1574">
        <f>AA96</f>
        <v>34</v>
      </c>
      <c r="AB223" s="1574"/>
      <c r="AC223" s="1574"/>
      <c r="AD223" s="1574"/>
      <c r="AE223" s="1574"/>
      <c r="AF223" s="1574"/>
      <c r="AG223" s="1575"/>
    </row>
    <row r="224" spans="3:69" ht="15" customHeight="1">
      <c r="C224" s="1507"/>
      <c r="D224" s="1508"/>
      <c r="E224" s="1508"/>
      <c r="F224" s="1508"/>
      <c r="G224" s="1508"/>
      <c r="H224" s="1572"/>
      <c r="I224" s="1572"/>
      <c r="J224" s="1572"/>
      <c r="K224" s="1572"/>
      <c r="L224" s="1572"/>
      <c r="M224" s="1572"/>
      <c r="N224" s="1572"/>
      <c r="O224" s="1572"/>
      <c r="P224" s="1572"/>
      <c r="Q224" s="1572"/>
      <c r="R224" s="1572"/>
      <c r="S224" s="1572"/>
      <c r="T224" s="1572"/>
      <c r="U224" s="1573"/>
      <c r="V224" s="1507" t="s">
        <v>59</v>
      </c>
      <c r="W224" s="1508"/>
      <c r="X224" s="1508"/>
      <c r="Y224" s="1508"/>
      <c r="Z224" s="1508"/>
      <c r="AA224" s="1576" t="s">
        <v>60</v>
      </c>
      <c r="AB224" s="1576"/>
      <c r="AC224" s="1576"/>
      <c r="AD224" s="1576"/>
      <c r="AE224" s="1576"/>
      <c r="AF224" s="1576"/>
      <c r="AG224" s="1577"/>
    </row>
    <row r="225" spans="3:38" ht="30" customHeight="1">
      <c r="C225" s="1507" t="s">
        <v>61</v>
      </c>
      <c r="D225" s="1508"/>
      <c r="E225" s="1508"/>
      <c r="F225" s="1508"/>
      <c r="G225" s="1508"/>
      <c r="H225" s="1578" t="str">
        <f>H162</f>
        <v>Região do bairro Pontal das Graças, paralelamente ao “Canal do Dique”</v>
      </c>
      <c r="I225" s="1578"/>
      <c r="J225" s="1578"/>
      <c r="K225" s="1578"/>
      <c r="L225" s="1578"/>
      <c r="M225" s="1578"/>
      <c r="N225" s="1578"/>
      <c r="O225" s="1578"/>
      <c r="P225" s="1578"/>
      <c r="Q225" s="1578"/>
      <c r="R225" s="1578"/>
      <c r="S225" s="1578"/>
      <c r="T225" s="1578"/>
      <c r="U225" s="1579"/>
      <c r="V225" s="1507" t="s">
        <v>63</v>
      </c>
      <c r="W225" s="1508"/>
      <c r="X225" s="1508"/>
      <c r="Y225" s="1508"/>
      <c r="Z225" s="1508"/>
      <c r="AA225" s="1576" t="s">
        <v>32</v>
      </c>
      <c r="AB225" s="1580"/>
      <c r="AC225" s="1580"/>
      <c r="AD225" s="1580"/>
      <c r="AE225" s="1580"/>
      <c r="AF225" s="1580"/>
      <c r="AG225" s="1581"/>
    </row>
    <row r="226" spans="3:38" ht="15" customHeight="1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5"/>
      <c r="AA226" s="5"/>
      <c r="AB226" s="5"/>
      <c r="AC226" s="5"/>
      <c r="AD226" s="5"/>
      <c r="AE226" s="5"/>
      <c r="AF226" s="5"/>
      <c r="AG226" s="4"/>
    </row>
    <row r="227" spans="3:38" ht="15" customHeight="1">
      <c r="C227" s="1476" t="s">
        <v>135</v>
      </c>
      <c r="D227" s="1476"/>
      <c r="E227" s="1476"/>
      <c r="F227" s="1484">
        <v>1</v>
      </c>
      <c r="G227" s="1485"/>
      <c r="H227" s="1484">
        <f>F227+1</f>
        <v>2</v>
      </c>
      <c r="I227" s="1485"/>
      <c r="J227" s="1484">
        <f>H227+1</f>
        <v>3</v>
      </c>
      <c r="K227" s="1485"/>
      <c r="L227" s="1484">
        <f>J227+1</f>
        <v>4</v>
      </c>
      <c r="M227" s="1485"/>
      <c r="N227" s="1484">
        <f>L227+1</f>
        <v>5</v>
      </c>
      <c r="O227" s="1485"/>
      <c r="P227" s="1484">
        <f>N227+1</f>
        <v>6</v>
      </c>
      <c r="Q227" s="1485"/>
      <c r="R227" s="1484">
        <f>P227+1</f>
        <v>7</v>
      </c>
      <c r="S227" s="1485"/>
      <c r="T227" s="1484">
        <f>R227+1</f>
        <v>8</v>
      </c>
      <c r="U227" s="1485"/>
      <c r="V227" s="1484">
        <f>T227+1</f>
        <v>9</v>
      </c>
      <c r="W227" s="1485"/>
      <c r="X227" s="1484">
        <f>V227+1</f>
        <v>10</v>
      </c>
      <c r="Y227" s="1485"/>
      <c r="Z227" s="1484">
        <f>X227+1</f>
        <v>11</v>
      </c>
      <c r="AA227" s="1485"/>
      <c r="AB227" s="1484">
        <f>Z227+1</f>
        <v>12</v>
      </c>
      <c r="AC227" s="1485"/>
      <c r="AD227" s="1484">
        <f>AB227+1</f>
        <v>13</v>
      </c>
      <c r="AE227" s="1485"/>
      <c r="AF227" s="5"/>
      <c r="AG227" s="5"/>
    </row>
    <row r="228" spans="3:38" ht="15" customHeight="1">
      <c r="C228" s="1482" t="s">
        <v>136</v>
      </c>
      <c r="D228" s="1483"/>
      <c r="E228" s="1483"/>
      <c r="F228" s="1469">
        <v>1</v>
      </c>
      <c r="G228" s="1469">
        <v>1</v>
      </c>
      <c r="H228" s="1469">
        <v>1</v>
      </c>
      <c r="I228" s="1469">
        <v>1</v>
      </c>
      <c r="J228" s="1469">
        <v>1</v>
      </c>
      <c r="K228" s="1469">
        <v>1</v>
      </c>
      <c r="L228" s="1469">
        <v>1</v>
      </c>
      <c r="M228" s="1469">
        <v>1</v>
      </c>
      <c r="N228" s="1469">
        <v>1</v>
      </c>
      <c r="O228" s="1469">
        <v>1</v>
      </c>
      <c r="P228" s="1469">
        <v>1</v>
      </c>
      <c r="Q228" s="1469">
        <v>1</v>
      </c>
      <c r="R228" s="1469">
        <v>1</v>
      </c>
      <c r="S228" s="1469">
        <v>1</v>
      </c>
      <c r="T228" s="1469">
        <v>1</v>
      </c>
      <c r="U228" s="1469">
        <v>1</v>
      </c>
      <c r="V228" s="1469">
        <v>1</v>
      </c>
      <c r="W228" s="1469">
        <v>1</v>
      </c>
      <c r="X228" s="1469">
        <v>1</v>
      </c>
      <c r="Y228" s="1469">
        <v>1</v>
      </c>
      <c r="Z228" s="1469">
        <v>1</v>
      </c>
      <c r="AA228" s="1469">
        <v>1</v>
      </c>
      <c r="AB228" s="1469">
        <v>1</v>
      </c>
      <c r="AC228" s="1469">
        <v>1</v>
      </c>
      <c r="AD228" s="1469">
        <v>1</v>
      </c>
      <c r="AE228" s="1469">
        <v>1</v>
      </c>
      <c r="AF228" s="5"/>
      <c r="AG228" s="5"/>
    </row>
    <row r="229" spans="3:38" ht="15" customHeight="1">
      <c r="C229" s="1483"/>
      <c r="D229" s="1483"/>
      <c r="E229" s="1483"/>
      <c r="F229" s="1470"/>
      <c r="G229" s="1470"/>
      <c r="H229" s="1470"/>
      <c r="I229" s="1470"/>
      <c r="J229" s="1470"/>
      <c r="K229" s="1470"/>
      <c r="L229" s="1470"/>
      <c r="M229" s="1470"/>
      <c r="N229" s="1470"/>
      <c r="O229" s="1470"/>
      <c r="P229" s="1470"/>
      <c r="Q229" s="1470"/>
      <c r="R229" s="1470"/>
      <c r="S229" s="1470"/>
      <c r="T229" s="1470"/>
      <c r="U229" s="1470"/>
      <c r="V229" s="1470"/>
      <c r="W229" s="1470"/>
      <c r="X229" s="1470"/>
      <c r="Y229" s="1470"/>
      <c r="Z229" s="1470"/>
      <c r="AA229" s="1470"/>
      <c r="AB229" s="1470"/>
      <c r="AC229" s="1470"/>
      <c r="AD229" s="1470"/>
      <c r="AE229" s="1470"/>
      <c r="AF229" s="5"/>
      <c r="AG229" s="5"/>
    </row>
    <row r="230" spans="3:38" ht="15" customHeight="1">
      <c r="C230" s="1482" t="s">
        <v>137</v>
      </c>
      <c r="D230" s="1483"/>
      <c r="E230" s="1483"/>
      <c r="F230" s="1469">
        <v>1</v>
      </c>
      <c r="G230" s="1469">
        <v>1</v>
      </c>
      <c r="H230" s="1469">
        <v>1</v>
      </c>
      <c r="I230" s="1469">
        <v>1</v>
      </c>
      <c r="J230" s="1469">
        <v>1</v>
      </c>
      <c r="K230" s="1469">
        <v>1</v>
      </c>
      <c r="L230" s="1469">
        <v>1</v>
      </c>
      <c r="M230" s="1469">
        <v>1</v>
      </c>
      <c r="N230" s="1469">
        <v>1</v>
      </c>
      <c r="O230" s="1469">
        <v>1</v>
      </c>
      <c r="P230" s="1469">
        <v>1</v>
      </c>
      <c r="Q230" s="1469">
        <v>1</v>
      </c>
      <c r="R230" s="1469">
        <v>1</v>
      </c>
      <c r="S230" s="1469">
        <v>1</v>
      </c>
      <c r="T230" s="1469">
        <v>1</v>
      </c>
      <c r="U230" s="1469">
        <v>1</v>
      </c>
      <c r="V230" s="1469">
        <v>1</v>
      </c>
      <c r="W230" s="1469">
        <v>1</v>
      </c>
      <c r="X230" s="1469">
        <v>1</v>
      </c>
      <c r="Y230" s="1469">
        <v>1</v>
      </c>
      <c r="Z230" s="1469">
        <v>1</v>
      </c>
      <c r="AA230" s="1469">
        <v>1</v>
      </c>
      <c r="AB230" s="1469">
        <v>1</v>
      </c>
      <c r="AC230" s="1469">
        <v>1</v>
      </c>
      <c r="AD230" s="1469">
        <v>0</v>
      </c>
      <c r="AE230" s="1469">
        <v>0</v>
      </c>
      <c r="AF230" s="5"/>
      <c r="AG230" s="5"/>
      <c r="AL230" s="1" t="s">
        <v>138</v>
      </c>
    </row>
    <row r="231" spans="3:38" ht="15" customHeight="1">
      <c r="C231" s="1483"/>
      <c r="D231" s="1483"/>
      <c r="E231" s="1483"/>
      <c r="F231" s="1470"/>
      <c r="G231" s="1470"/>
      <c r="H231" s="1470"/>
      <c r="I231" s="1470"/>
      <c r="J231" s="1470"/>
      <c r="K231" s="1470"/>
      <c r="L231" s="1470"/>
      <c r="M231" s="1470"/>
      <c r="N231" s="1470"/>
      <c r="O231" s="1470"/>
      <c r="P231" s="1470"/>
      <c r="Q231" s="1470"/>
      <c r="R231" s="1470"/>
      <c r="S231" s="1470"/>
      <c r="T231" s="1470"/>
      <c r="U231" s="1470"/>
      <c r="V231" s="1470"/>
      <c r="W231" s="1470"/>
      <c r="X231" s="1470"/>
      <c r="Y231" s="1470"/>
      <c r="Z231" s="1470"/>
      <c r="AA231" s="1470"/>
      <c r="AB231" s="1470"/>
      <c r="AC231" s="1470"/>
      <c r="AD231" s="1470"/>
      <c r="AE231" s="1470"/>
      <c r="AF231" s="5"/>
      <c r="AG231" s="5"/>
      <c r="AL231" s="1" t="s">
        <v>139</v>
      </c>
    </row>
    <row r="232" spans="3:38" ht="15" customHeight="1">
      <c r="C232" s="1475" t="s">
        <v>140</v>
      </c>
      <c r="D232" s="1476"/>
      <c r="E232" s="1476"/>
      <c r="F232" s="1477">
        <f>SUM(F228:G231)*25</f>
        <v>100</v>
      </c>
      <c r="G232" s="1478"/>
      <c r="H232" s="1477">
        <f>SUM(H228:I231)*25</f>
        <v>100</v>
      </c>
      <c r="I232" s="1478"/>
      <c r="J232" s="1486">
        <f>SUM(J228:K231)*25</f>
        <v>100</v>
      </c>
      <c r="K232" s="1487"/>
      <c r="L232" s="1486">
        <f>SUM(L228:M231)*25</f>
        <v>100</v>
      </c>
      <c r="M232" s="1487"/>
      <c r="N232" s="1486">
        <f>SUM(N228:O231)*25</f>
        <v>100</v>
      </c>
      <c r="O232" s="1487"/>
      <c r="P232" s="1486">
        <f>SUM(P228:Q231)*25</f>
        <v>100</v>
      </c>
      <c r="Q232" s="1487"/>
      <c r="R232" s="1486">
        <f>SUM(R228:S231)*25</f>
        <v>100</v>
      </c>
      <c r="S232" s="1487"/>
      <c r="T232" s="1486">
        <f>SUM(T228:U231)*25</f>
        <v>100</v>
      </c>
      <c r="U232" s="1487"/>
      <c r="V232" s="1486">
        <f>SUM(V228:W231)*25</f>
        <v>100</v>
      </c>
      <c r="W232" s="1487"/>
      <c r="X232" s="1486">
        <f>SUM(X228:Y231)*25</f>
        <v>100</v>
      </c>
      <c r="Y232" s="1487"/>
      <c r="Z232" s="1486">
        <f>SUM(Z228:AA231)*25</f>
        <v>100</v>
      </c>
      <c r="AA232" s="1487"/>
      <c r="AB232" s="1486">
        <f>SUM(AB228:AC231)*25</f>
        <v>100</v>
      </c>
      <c r="AC232" s="1487"/>
      <c r="AD232" s="1486">
        <f>SUM(AD228:AE231)*25</f>
        <v>50</v>
      </c>
      <c r="AE232" s="1487"/>
      <c r="AF232" s="5"/>
      <c r="AG232" s="5"/>
    </row>
    <row r="233" spans="3:38" ht="15" customHeight="1">
      <c r="C233" s="1476"/>
      <c r="D233" s="1476"/>
      <c r="E233" s="1476"/>
      <c r="F233" s="1479"/>
      <c r="G233" s="1480"/>
      <c r="H233" s="1479"/>
      <c r="I233" s="1480"/>
      <c r="J233" s="1479"/>
      <c r="K233" s="1480"/>
      <c r="L233" s="1479"/>
      <c r="M233" s="1480"/>
      <c r="N233" s="1479"/>
      <c r="O233" s="1480"/>
      <c r="P233" s="1479"/>
      <c r="Q233" s="1480"/>
      <c r="R233" s="1479"/>
      <c r="S233" s="1480"/>
      <c r="T233" s="1479"/>
      <c r="U233" s="1480"/>
      <c r="V233" s="1479"/>
      <c r="W233" s="1480"/>
      <c r="X233" s="1479"/>
      <c r="Y233" s="1480"/>
      <c r="Z233" s="1479"/>
      <c r="AA233" s="1480"/>
      <c r="AB233" s="1479"/>
      <c r="AC233" s="1480"/>
      <c r="AD233" s="1479"/>
      <c r="AE233" s="1480"/>
      <c r="AF233" s="5"/>
      <c r="AG233" s="5"/>
    </row>
    <row r="234" spans="3:38" ht="15" customHeight="1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3:38" ht="15" customHeight="1">
      <c r="C235" s="1476" t="s">
        <v>135</v>
      </c>
      <c r="D235" s="1476"/>
      <c r="E235" s="1476"/>
      <c r="F235" s="1484">
        <f>AD227+1</f>
        <v>14</v>
      </c>
      <c r="G235" s="1485"/>
      <c r="H235" s="1484">
        <f>F235+1</f>
        <v>15</v>
      </c>
      <c r="I235" s="1485"/>
      <c r="J235" s="1484">
        <f>H235+1</f>
        <v>16</v>
      </c>
      <c r="K235" s="1485"/>
      <c r="L235" s="1484">
        <f>J235+1</f>
        <v>17</v>
      </c>
      <c r="M235" s="1485"/>
      <c r="N235" s="1484">
        <f>L235+1</f>
        <v>18</v>
      </c>
      <c r="O235" s="1485"/>
      <c r="P235" s="1484">
        <f>N235+1</f>
        <v>19</v>
      </c>
      <c r="Q235" s="1485"/>
      <c r="R235" s="1484">
        <f>P235+1</f>
        <v>20</v>
      </c>
      <c r="S235" s="1485"/>
      <c r="T235" s="1484">
        <f>R235+1</f>
        <v>21</v>
      </c>
      <c r="U235" s="1485"/>
      <c r="V235" s="1484">
        <f>T235+1</f>
        <v>22</v>
      </c>
      <c r="W235" s="1485"/>
      <c r="X235" s="1484">
        <f>V235+1</f>
        <v>23</v>
      </c>
      <c r="Y235" s="1485"/>
      <c r="Z235" s="1484">
        <f>X235+1</f>
        <v>24</v>
      </c>
      <c r="AA235" s="1485"/>
      <c r="AB235" s="1484">
        <f>Z235+1</f>
        <v>25</v>
      </c>
      <c r="AC235" s="1485"/>
      <c r="AD235" s="1484">
        <f>AB235+1</f>
        <v>26</v>
      </c>
      <c r="AE235" s="1485"/>
      <c r="AF235" s="5"/>
      <c r="AG235" s="5"/>
    </row>
    <row r="236" spans="3:38" ht="15" customHeight="1">
      <c r="C236" s="1482" t="s">
        <v>136</v>
      </c>
      <c r="D236" s="1483"/>
      <c r="E236" s="1483"/>
      <c r="F236" s="1469">
        <v>1</v>
      </c>
      <c r="G236" s="1469">
        <v>1</v>
      </c>
      <c r="H236" s="1469">
        <v>1</v>
      </c>
      <c r="I236" s="1469">
        <v>1</v>
      </c>
      <c r="J236" s="1469">
        <v>1</v>
      </c>
      <c r="K236" s="1469">
        <v>1</v>
      </c>
      <c r="L236" s="1469">
        <v>1</v>
      </c>
      <c r="M236" s="1469">
        <v>1</v>
      </c>
      <c r="N236" s="1469">
        <v>1</v>
      </c>
      <c r="O236" s="1469">
        <v>1</v>
      </c>
      <c r="P236" s="1469">
        <v>1</v>
      </c>
      <c r="Q236" s="1469">
        <v>1</v>
      </c>
      <c r="R236" s="1469">
        <v>1</v>
      </c>
      <c r="S236" s="1469">
        <v>1</v>
      </c>
      <c r="T236" s="1469">
        <v>1</v>
      </c>
      <c r="U236" s="1469">
        <v>1</v>
      </c>
      <c r="V236" s="1469">
        <v>1</v>
      </c>
      <c r="W236" s="1469">
        <v>1</v>
      </c>
      <c r="X236" s="1469">
        <v>1</v>
      </c>
      <c r="Y236" s="1469">
        <v>1</v>
      </c>
      <c r="Z236" s="1469">
        <v>1</v>
      </c>
      <c r="AA236" s="1469">
        <v>1</v>
      </c>
      <c r="AB236" s="1469">
        <v>1</v>
      </c>
      <c r="AC236" s="1469">
        <v>1</v>
      </c>
      <c r="AD236" s="1469">
        <v>1</v>
      </c>
      <c r="AE236" s="1469">
        <v>1</v>
      </c>
      <c r="AF236" s="5"/>
      <c r="AG236" s="5"/>
    </row>
    <row r="237" spans="3:38" ht="15" customHeight="1">
      <c r="C237" s="1483"/>
      <c r="D237" s="1483"/>
      <c r="E237" s="1483"/>
      <c r="F237" s="1470"/>
      <c r="G237" s="1470"/>
      <c r="H237" s="1470"/>
      <c r="I237" s="1470"/>
      <c r="J237" s="1470"/>
      <c r="K237" s="1470"/>
      <c r="L237" s="1470"/>
      <c r="M237" s="1470"/>
      <c r="N237" s="1470"/>
      <c r="O237" s="1470"/>
      <c r="P237" s="1470"/>
      <c r="Q237" s="1470"/>
      <c r="R237" s="1470"/>
      <c r="S237" s="1470"/>
      <c r="T237" s="1470"/>
      <c r="U237" s="1470"/>
      <c r="V237" s="1470"/>
      <c r="W237" s="1470"/>
      <c r="X237" s="1470"/>
      <c r="Y237" s="1470"/>
      <c r="Z237" s="1470"/>
      <c r="AA237" s="1470"/>
      <c r="AB237" s="1470"/>
      <c r="AC237" s="1470"/>
      <c r="AD237" s="1470"/>
      <c r="AE237" s="1470"/>
      <c r="AF237" s="5"/>
      <c r="AG237" s="5"/>
    </row>
    <row r="238" spans="3:38" ht="15" customHeight="1">
      <c r="C238" s="1482" t="s">
        <v>137</v>
      </c>
      <c r="D238" s="1483"/>
      <c r="E238" s="1483"/>
      <c r="F238" s="1469">
        <v>1</v>
      </c>
      <c r="G238" s="1469">
        <v>1</v>
      </c>
      <c r="H238" s="1469">
        <v>1</v>
      </c>
      <c r="I238" s="1469">
        <v>1</v>
      </c>
      <c r="J238" s="1469">
        <v>1</v>
      </c>
      <c r="K238" s="1469">
        <v>1</v>
      </c>
      <c r="L238" s="1469">
        <v>1</v>
      </c>
      <c r="M238" s="1469">
        <v>1</v>
      </c>
      <c r="N238" s="1469">
        <v>1</v>
      </c>
      <c r="O238" s="1469">
        <v>1</v>
      </c>
      <c r="P238" s="1469">
        <v>1</v>
      </c>
      <c r="Q238" s="1469">
        <v>1</v>
      </c>
      <c r="R238" s="1469">
        <v>1</v>
      </c>
      <c r="S238" s="1469">
        <v>1</v>
      </c>
      <c r="T238" s="1469">
        <v>1</v>
      </c>
      <c r="U238" s="1469">
        <v>1</v>
      </c>
      <c r="V238" s="1469">
        <v>1</v>
      </c>
      <c r="W238" s="1469">
        <v>1</v>
      </c>
      <c r="X238" s="1469">
        <v>1</v>
      </c>
      <c r="Y238" s="1469">
        <v>1</v>
      </c>
      <c r="Z238" s="1469">
        <v>1</v>
      </c>
      <c r="AA238" s="1469">
        <v>1</v>
      </c>
      <c r="AB238" s="1469">
        <v>1</v>
      </c>
      <c r="AC238" s="1469">
        <v>0</v>
      </c>
      <c r="AD238" s="1469">
        <v>1</v>
      </c>
      <c r="AE238" s="1469">
        <v>1</v>
      </c>
      <c r="AF238" s="5"/>
      <c r="AG238" s="5"/>
    </row>
    <row r="239" spans="3:38" ht="15" customHeight="1">
      <c r="C239" s="1483"/>
      <c r="D239" s="1483"/>
      <c r="E239" s="1483"/>
      <c r="F239" s="1470"/>
      <c r="G239" s="1470"/>
      <c r="H239" s="1470"/>
      <c r="I239" s="1470"/>
      <c r="J239" s="1470"/>
      <c r="K239" s="1470"/>
      <c r="L239" s="1470"/>
      <c r="M239" s="1470"/>
      <c r="N239" s="1470"/>
      <c r="O239" s="1470"/>
      <c r="P239" s="1470"/>
      <c r="Q239" s="1470"/>
      <c r="R239" s="1470"/>
      <c r="S239" s="1470"/>
      <c r="T239" s="1470"/>
      <c r="U239" s="1470"/>
      <c r="V239" s="1470"/>
      <c r="W239" s="1470"/>
      <c r="X239" s="1470"/>
      <c r="Y239" s="1470"/>
      <c r="Z239" s="1470"/>
      <c r="AA239" s="1470"/>
      <c r="AB239" s="1470"/>
      <c r="AC239" s="1470"/>
      <c r="AD239" s="1470"/>
      <c r="AE239" s="1470"/>
      <c r="AF239" s="5"/>
      <c r="AG239" s="5"/>
    </row>
    <row r="240" spans="3:38" ht="15" customHeight="1">
      <c r="C240" s="1475" t="s">
        <v>140</v>
      </c>
      <c r="D240" s="1476"/>
      <c r="E240" s="1476"/>
      <c r="F240" s="1477">
        <f>SUM(F236:G239)*25</f>
        <v>100</v>
      </c>
      <c r="G240" s="1478"/>
      <c r="H240" s="1477">
        <f>SUM(H236:I239)*25</f>
        <v>100</v>
      </c>
      <c r="I240" s="1478"/>
      <c r="J240" s="1486">
        <f>SUM(J236:K239)*25</f>
        <v>100</v>
      </c>
      <c r="K240" s="1487"/>
      <c r="L240" s="1486">
        <f>SUM(L236:M239)*25</f>
        <v>100</v>
      </c>
      <c r="M240" s="1487"/>
      <c r="N240" s="1486">
        <f>SUM(N236:O239)*25</f>
        <v>100</v>
      </c>
      <c r="O240" s="1487"/>
      <c r="P240" s="1486">
        <f>SUM(P236:Q239)*25</f>
        <v>100</v>
      </c>
      <c r="Q240" s="1487"/>
      <c r="R240" s="1486">
        <f>SUM(R236:S239)*25</f>
        <v>100</v>
      </c>
      <c r="S240" s="1487"/>
      <c r="T240" s="1486">
        <f>SUM(T236:U239)*25</f>
        <v>100</v>
      </c>
      <c r="U240" s="1487"/>
      <c r="V240" s="1486">
        <f>SUM(V236:W239)*25</f>
        <v>100</v>
      </c>
      <c r="W240" s="1487"/>
      <c r="X240" s="1486">
        <f>SUM(X236:Y239)*25</f>
        <v>100</v>
      </c>
      <c r="Y240" s="1487"/>
      <c r="Z240" s="1486">
        <f>SUM(Z236:AA239)*25</f>
        <v>100</v>
      </c>
      <c r="AA240" s="1487"/>
      <c r="AB240" s="1486">
        <f>SUM(AB236:AC239)*25</f>
        <v>75</v>
      </c>
      <c r="AC240" s="1487"/>
      <c r="AD240" s="1486">
        <f>SUM(AD236:AE239)*25</f>
        <v>100</v>
      </c>
      <c r="AE240" s="1487"/>
      <c r="AF240" s="5"/>
      <c r="AG240" s="5"/>
    </row>
    <row r="241" spans="3:69" ht="15" customHeight="1">
      <c r="C241" s="1476"/>
      <c r="D241" s="1476"/>
      <c r="E241" s="1476"/>
      <c r="F241" s="1479"/>
      <c r="G241" s="1480"/>
      <c r="H241" s="1479"/>
      <c r="I241" s="1480"/>
      <c r="J241" s="1479"/>
      <c r="K241" s="1480"/>
      <c r="L241" s="1479"/>
      <c r="M241" s="1480"/>
      <c r="N241" s="1479"/>
      <c r="O241" s="1480"/>
      <c r="P241" s="1479"/>
      <c r="Q241" s="1480"/>
      <c r="R241" s="1479"/>
      <c r="S241" s="1480"/>
      <c r="T241" s="1479"/>
      <c r="U241" s="1480"/>
      <c r="V241" s="1479"/>
      <c r="W241" s="1480"/>
      <c r="X241" s="1479"/>
      <c r="Y241" s="1480"/>
      <c r="Z241" s="1479"/>
      <c r="AA241" s="1480"/>
      <c r="AB241" s="1479"/>
      <c r="AC241" s="1480"/>
      <c r="AD241" s="1479"/>
      <c r="AE241" s="1480"/>
      <c r="AF241" s="5"/>
      <c r="AG241" s="5"/>
    </row>
    <row r="242" spans="3:69" ht="15" customHeight="1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3:69" ht="15" customHeight="1">
      <c r="C243" s="1476" t="s">
        <v>135</v>
      </c>
      <c r="D243" s="1476"/>
      <c r="E243" s="1476"/>
      <c r="F243" s="1484">
        <f>AD235+1</f>
        <v>27</v>
      </c>
      <c r="G243" s="1485"/>
      <c r="H243" s="1468">
        <f>F243+1</f>
        <v>28</v>
      </c>
      <c r="I243" s="1468"/>
      <c r="J243" s="1468">
        <f>H243+1</f>
        <v>29</v>
      </c>
      <c r="K243" s="1468"/>
      <c r="L243" s="1468">
        <f>J243+1</f>
        <v>30</v>
      </c>
      <c r="M243" s="1468"/>
      <c r="N243" s="1468">
        <f>L243+1</f>
        <v>31</v>
      </c>
      <c r="O243" s="1468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3:69" ht="15" customHeight="1">
      <c r="C244" s="1482" t="s">
        <v>136</v>
      </c>
      <c r="D244" s="1483"/>
      <c r="E244" s="1483"/>
      <c r="F244" s="1469">
        <v>1</v>
      </c>
      <c r="G244" s="1469">
        <v>1</v>
      </c>
      <c r="H244" s="1469">
        <v>1</v>
      </c>
      <c r="I244" s="1469">
        <v>1</v>
      </c>
      <c r="J244" s="1469">
        <v>1</v>
      </c>
      <c r="K244" s="1469">
        <v>1</v>
      </c>
      <c r="L244" s="1469">
        <v>1</v>
      </c>
      <c r="M244" s="1469">
        <v>1</v>
      </c>
      <c r="N244" s="1469">
        <v>1</v>
      </c>
      <c r="O244" s="1469">
        <v>1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3:69" ht="15" customHeight="1">
      <c r="C245" s="1483"/>
      <c r="D245" s="1483"/>
      <c r="E245" s="1483"/>
      <c r="F245" s="1470"/>
      <c r="G245" s="1470"/>
      <c r="H245" s="1470"/>
      <c r="I245" s="1470"/>
      <c r="J245" s="1470"/>
      <c r="K245" s="1470"/>
      <c r="L245" s="1470"/>
      <c r="M245" s="1470"/>
      <c r="N245" s="1470"/>
      <c r="O245" s="1470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3:69" ht="15" customHeight="1">
      <c r="C246" s="1482" t="s">
        <v>137</v>
      </c>
      <c r="D246" s="1483"/>
      <c r="E246" s="1483"/>
      <c r="F246" s="1469">
        <v>1</v>
      </c>
      <c r="G246" s="1469">
        <v>1</v>
      </c>
      <c r="H246" s="1469">
        <v>1</v>
      </c>
      <c r="I246" s="1469">
        <v>1</v>
      </c>
      <c r="J246" s="1469">
        <v>1</v>
      </c>
      <c r="K246" s="1469">
        <v>1</v>
      </c>
      <c r="L246" s="1469">
        <v>1</v>
      </c>
      <c r="M246" s="1469">
        <v>1</v>
      </c>
      <c r="N246" s="1469">
        <v>1</v>
      </c>
      <c r="O246" s="1469">
        <v>0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3:69" ht="15" customHeight="1">
      <c r="C247" s="1483"/>
      <c r="D247" s="1483"/>
      <c r="E247" s="1483"/>
      <c r="F247" s="1470"/>
      <c r="G247" s="1470"/>
      <c r="H247" s="1470"/>
      <c r="I247" s="1470"/>
      <c r="J247" s="1470"/>
      <c r="K247" s="1470"/>
      <c r="L247" s="1470"/>
      <c r="M247" s="1470"/>
      <c r="N247" s="1470"/>
      <c r="O247" s="1470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3:69" ht="12" customHeight="1">
      <c r="C248" s="1475" t="s">
        <v>140</v>
      </c>
      <c r="D248" s="1476"/>
      <c r="E248" s="1476"/>
      <c r="F248" s="1477">
        <f>SUM(F244:G247)*25</f>
        <v>100</v>
      </c>
      <c r="G248" s="1478"/>
      <c r="H248" s="1471">
        <f>SUM(H244:I247)*25</f>
        <v>100</v>
      </c>
      <c r="I248" s="1471"/>
      <c r="J248" s="1471">
        <f>SUM(J244:K247)*25</f>
        <v>100</v>
      </c>
      <c r="K248" s="1471"/>
      <c r="L248" s="1471">
        <f>SUM(L244:M247)*25</f>
        <v>100</v>
      </c>
      <c r="M248" s="1471"/>
      <c r="N248" s="1471">
        <f>SUM(N244:O247)*25</f>
        <v>75</v>
      </c>
      <c r="O248" s="1471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3:69" ht="12" customHeight="1">
      <c r="C249" s="1476"/>
      <c r="D249" s="1476"/>
      <c r="E249" s="1476"/>
      <c r="F249" s="1479"/>
      <c r="G249" s="1480"/>
      <c r="H249" s="1471"/>
      <c r="I249" s="1471"/>
      <c r="J249" s="1471"/>
      <c r="K249" s="1471"/>
      <c r="L249" s="1471"/>
      <c r="M249" s="1471"/>
      <c r="N249" s="1471"/>
      <c r="O249" s="1471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3:69" ht="15" customHeight="1">
      <c r="C250" s="5"/>
      <c r="D250" s="7"/>
      <c r="E250" s="7"/>
      <c r="F250" s="7"/>
      <c r="G250" s="7"/>
      <c r="H250" s="7"/>
      <c r="I250" s="7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3:69" ht="15" customHeight="1">
      <c r="C251" s="5"/>
      <c r="D251" s="1567" t="s">
        <v>141</v>
      </c>
      <c r="E251" s="1567"/>
      <c r="F251" s="1567"/>
      <c r="G251" s="1567"/>
      <c r="H251" s="82">
        <v>1</v>
      </c>
      <c r="I251" s="1568" t="s">
        <v>142</v>
      </c>
      <c r="J251" s="1569"/>
      <c r="K251" s="1569"/>
      <c r="L251" s="1569"/>
      <c r="M251" s="149"/>
      <c r="N251" s="154"/>
      <c r="O251" s="1472" t="s">
        <v>143</v>
      </c>
      <c r="P251" s="1472"/>
      <c r="Q251" s="1472"/>
      <c r="R251" s="1472"/>
      <c r="S251" s="1472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3:69" ht="15" customHeight="1">
      <c r="C252" s="5"/>
      <c r="D252" s="758"/>
      <c r="E252" s="758"/>
      <c r="F252" s="758"/>
      <c r="G252" s="758"/>
      <c r="H252" s="759"/>
      <c r="I252" s="759"/>
      <c r="J252" s="759"/>
      <c r="K252" s="759"/>
      <c r="L252" s="759"/>
      <c r="M252" s="759"/>
      <c r="N252" s="759"/>
      <c r="O252" s="759"/>
      <c r="P252" s="759"/>
      <c r="Q252" s="759"/>
      <c r="R252" s="759"/>
      <c r="S252" s="759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3:69" ht="15" customHeight="1">
      <c r="C253" s="5"/>
      <c r="D253" s="758"/>
      <c r="E253" s="758"/>
      <c r="F253" s="758"/>
      <c r="G253" s="758"/>
      <c r="H253" s="759"/>
      <c r="I253" s="759"/>
      <c r="J253" s="759"/>
      <c r="K253" s="759"/>
      <c r="L253" s="759"/>
      <c r="M253" s="759"/>
      <c r="N253" s="759"/>
      <c r="O253" s="759"/>
      <c r="P253" s="759"/>
      <c r="Q253" s="759"/>
      <c r="R253" s="759"/>
      <c r="S253" s="759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3:69" s="163" customFormat="1" ht="15" customHeight="1">
      <c r="C254" s="162"/>
      <c r="D254" s="760"/>
      <c r="E254" s="760"/>
      <c r="F254" s="760"/>
      <c r="G254" s="760"/>
      <c r="H254" s="761"/>
      <c r="I254" s="761"/>
      <c r="J254" s="761"/>
      <c r="K254" s="761"/>
      <c r="L254" s="761"/>
      <c r="M254" s="762"/>
      <c r="N254" s="761"/>
      <c r="O254" s="763"/>
      <c r="P254" s="763"/>
      <c r="Q254" s="763"/>
      <c r="R254" s="763"/>
      <c r="S254" s="763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M254" s="165"/>
      <c r="AN254" s="165"/>
      <c r="AO254" s="165"/>
      <c r="AP254" s="165"/>
      <c r="AQ254" s="164"/>
      <c r="AR254" s="164"/>
      <c r="AS254" s="164"/>
      <c r="AT254" s="165"/>
      <c r="AU254" s="165"/>
      <c r="AV254" s="165"/>
      <c r="AW254" s="165"/>
      <c r="AX254" s="164"/>
      <c r="AY254" s="164"/>
      <c r="AZ254" s="164"/>
      <c r="BA254" s="165"/>
      <c r="BB254" s="165"/>
      <c r="BC254" s="165"/>
      <c r="BD254" s="165"/>
      <c r="BE254" s="164"/>
      <c r="BF254" s="164"/>
      <c r="BG254" s="164"/>
      <c r="BH254" s="165"/>
      <c r="BI254" s="165"/>
      <c r="BJ254" s="165"/>
      <c r="BK254" s="165"/>
      <c r="BL254" s="164"/>
      <c r="BM254" s="164"/>
      <c r="BN254" s="164"/>
      <c r="BO254" s="165"/>
      <c r="BP254" s="165"/>
      <c r="BQ254" s="164"/>
    </row>
    <row r="255" spans="3:69" ht="15" hidden="1" customHeight="1">
      <c r="C255" s="5"/>
      <c r="D255" s="1565" t="s">
        <v>144</v>
      </c>
      <c r="E255" s="1565"/>
      <c r="F255" s="1565"/>
      <c r="G255" s="1565"/>
      <c r="H255" s="1565"/>
      <c r="I255" s="1565"/>
      <c r="J255" s="1565"/>
      <c r="K255" s="1565"/>
      <c r="L255" s="1565"/>
      <c r="M255" s="1565"/>
      <c r="N255" s="1565"/>
      <c r="O255" s="1565"/>
      <c r="P255" s="1565"/>
      <c r="Q255" s="1565"/>
      <c r="R255" s="1565"/>
      <c r="S255" s="1565"/>
      <c r="T255" s="1565"/>
      <c r="U255" s="1565"/>
      <c r="V255" s="1565"/>
      <c r="W255" s="1565"/>
      <c r="X255" s="1565"/>
      <c r="Y255" s="1565"/>
      <c r="Z255" s="1565"/>
      <c r="AA255" s="1565"/>
      <c r="AB255" s="1565"/>
      <c r="AC255" s="1565"/>
      <c r="AD255" s="1565"/>
      <c r="AE255" s="1565"/>
      <c r="AF255" s="1565"/>
      <c r="AG255" s="5"/>
    </row>
    <row r="256" spans="3:69" ht="15" hidden="1" customHeight="1">
      <c r="C256" s="5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5"/>
    </row>
    <row r="257" spans="3:33" ht="15" hidden="1" customHeight="1">
      <c r="C257" s="5"/>
      <c r="D257" s="149"/>
      <c r="E257" s="149"/>
      <c r="F257" s="149"/>
      <c r="G257" s="149"/>
      <c r="H257" s="149"/>
      <c r="I257" s="149"/>
      <c r="J257" s="149"/>
      <c r="K257" s="1556" t="s">
        <v>145</v>
      </c>
      <c r="L257" s="1557"/>
      <c r="M257" s="1557"/>
      <c r="N257" s="1557"/>
      <c r="O257" s="1558"/>
      <c r="P257" s="1556" t="s">
        <v>146</v>
      </c>
      <c r="Q257" s="1557"/>
      <c r="R257" s="1557"/>
      <c r="S257" s="1557"/>
      <c r="T257" s="1558"/>
      <c r="U257" s="1555" t="s">
        <v>147</v>
      </c>
      <c r="V257" s="1555"/>
      <c r="W257" s="1555"/>
      <c r="X257" s="1555"/>
      <c r="Y257" s="1555"/>
      <c r="Z257" s="1555"/>
      <c r="AA257" s="1555"/>
      <c r="AB257" s="1555"/>
      <c r="AC257" s="1555"/>
      <c r="AD257" s="1555"/>
      <c r="AE257" s="1555"/>
      <c r="AF257" s="1555"/>
      <c r="AG257" s="5"/>
    </row>
    <row r="258" spans="3:33" ht="15" hidden="1" customHeight="1">
      <c r="C258" s="5"/>
      <c r="D258" s="1556" t="s">
        <v>142</v>
      </c>
      <c r="E258" s="1557"/>
      <c r="F258" s="1557"/>
      <c r="G258" s="1557"/>
      <c r="H258" s="1557"/>
      <c r="I258" s="1557"/>
      <c r="J258" s="1558"/>
      <c r="K258" s="1546">
        <v>0</v>
      </c>
      <c r="L258" s="1547"/>
      <c r="M258" s="1547"/>
      <c r="N258" s="1547"/>
      <c r="O258" s="1548"/>
      <c r="P258" s="1552" t="e">
        <f>U258/K258</f>
        <v>#DIV/0!</v>
      </c>
      <c r="Q258" s="1553"/>
      <c r="R258" s="1553"/>
      <c r="S258" s="1553"/>
      <c r="T258" s="1554"/>
      <c r="U258" s="1562">
        <v>0</v>
      </c>
      <c r="V258" s="1563"/>
      <c r="W258" s="1563"/>
      <c r="X258" s="1563"/>
      <c r="Y258" s="1563"/>
      <c r="Z258" s="1563"/>
      <c r="AA258" s="1563"/>
      <c r="AB258" s="1563"/>
      <c r="AC258" s="1563"/>
      <c r="AD258" s="1563"/>
      <c r="AE258" s="1563"/>
      <c r="AF258" s="1564"/>
      <c r="AG258" s="5"/>
    </row>
    <row r="259" spans="3:33" ht="15" hidden="1" customHeight="1">
      <c r="C259" s="5"/>
      <c r="D259" s="1556" t="s">
        <v>143</v>
      </c>
      <c r="E259" s="1557"/>
      <c r="F259" s="1557"/>
      <c r="G259" s="1557"/>
      <c r="H259" s="1557"/>
      <c r="I259" s="1557"/>
      <c r="J259" s="1558"/>
      <c r="K259" s="1549"/>
      <c r="L259" s="1550"/>
      <c r="M259" s="1550"/>
      <c r="N259" s="1550"/>
      <c r="O259" s="1551"/>
      <c r="P259" s="1536" t="e">
        <f>1-P258</f>
        <v>#DIV/0!</v>
      </c>
      <c r="Q259" s="1537"/>
      <c r="R259" s="1537"/>
      <c r="S259" s="1537"/>
      <c r="T259" s="1538"/>
      <c r="U259" s="1562">
        <v>0</v>
      </c>
      <c r="V259" s="1563"/>
      <c r="W259" s="1563"/>
      <c r="X259" s="1563"/>
      <c r="Y259" s="1563"/>
      <c r="Z259" s="1563"/>
      <c r="AA259" s="1563"/>
      <c r="AB259" s="1563"/>
      <c r="AC259" s="1563"/>
      <c r="AD259" s="1563"/>
      <c r="AE259" s="1563"/>
      <c r="AF259" s="1564"/>
      <c r="AG259" s="5"/>
    </row>
    <row r="260" spans="3:33" ht="15" customHeight="1">
      <c r="C260" s="5"/>
      <c r="D260" s="151"/>
      <c r="E260" s="151"/>
      <c r="F260" s="151"/>
      <c r="G260" s="151"/>
      <c r="H260" s="151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5"/>
    </row>
    <row r="261" spans="3:33" ht="15" customHeight="1">
      <c r="C261" s="5"/>
      <c r="D261" s="1559" t="s">
        <v>148</v>
      </c>
      <c r="E261" s="1559"/>
      <c r="F261" s="1559"/>
      <c r="G261" s="1559"/>
      <c r="H261" s="1559"/>
      <c r="I261" s="1559"/>
      <c r="J261" s="1559"/>
      <c r="K261" s="1559"/>
      <c r="L261" s="1559"/>
      <c r="M261" s="1559"/>
      <c r="N261" s="1559"/>
      <c r="O261" s="1559"/>
      <c r="P261" s="1559"/>
      <c r="Q261" s="1559"/>
      <c r="R261" s="1559"/>
      <c r="S261" s="1559"/>
      <c r="T261" s="1559"/>
      <c r="U261" s="1559"/>
      <c r="V261" s="1559"/>
      <c r="W261" s="1559"/>
      <c r="X261" s="1559"/>
      <c r="Y261" s="1559"/>
      <c r="Z261" s="1559"/>
      <c r="AA261" s="1559"/>
      <c r="AB261" s="1559"/>
      <c r="AC261" s="1559"/>
      <c r="AD261" s="1559"/>
      <c r="AE261" s="1559"/>
      <c r="AF261" s="1559"/>
      <c r="AG261" s="5"/>
    </row>
    <row r="262" spans="3:33" ht="15" customHeight="1">
      <c r="C262" s="5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5"/>
    </row>
    <row r="263" spans="3:33" ht="15" customHeight="1">
      <c r="C263" s="5"/>
      <c r="D263" s="149"/>
      <c r="E263" s="149"/>
      <c r="F263" s="149"/>
      <c r="G263" s="149"/>
      <c r="H263" s="149"/>
      <c r="I263" s="149"/>
      <c r="J263" s="149"/>
      <c r="K263" s="1556" t="s">
        <v>145</v>
      </c>
      <c r="L263" s="1557"/>
      <c r="M263" s="1557"/>
      <c r="N263" s="1557"/>
      <c r="O263" s="1558"/>
      <c r="P263" s="1556" t="s">
        <v>146</v>
      </c>
      <c r="Q263" s="1557"/>
      <c r="R263" s="1557"/>
      <c r="S263" s="1557"/>
      <c r="T263" s="1558"/>
      <c r="U263" s="1556" t="s">
        <v>147</v>
      </c>
      <c r="V263" s="1557"/>
      <c r="W263" s="1557"/>
      <c r="X263" s="1557"/>
      <c r="Y263" s="1557"/>
      <c r="Z263" s="1557"/>
      <c r="AA263" s="1557"/>
      <c r="AB263" s="1557"/>
      <c r="AC263" s="1557"/>
      <c r="AD263" s="1557"/>
      <c r="AE263" s="1557"/>
      <c r="AF263" s="1558"/>
      <c r="AG263" s="5"/>
    </row>
    <row r="264" spans="3:33" ht="15" customHeight="1">
      <c r="C264" s="5"/>
      <c r="D264" s="1556" t="s">
        <v>142</v>
      </c>
      <c r="E264" s="1557"/>
      <c r="F264" s="1557"/>
      <c r="G264" s="1557"/>
      <c r="H264" s="1557"/>
      <c r="I264" s="1557"/>
      <c r="J264" s="1558"/>
      <c r="K264" s="1546">
        <v>1096</v>
      </c>
      <c r="L264" s="1547"/>
      <c r="M264" s="1547"/>
      <c r="N264" s="1547"/>
      <c r="O264" s="1548"/>
      <c r="P264" s="1552">
        <f>U264/K264</f>
        <v>0.95255474452554745</v>
      </c>
      <c r="Q264" s="1553"/>
      <c r="R264" s="1553"/>
      <c r="S264" s="1553"/>
      <c r="T264" s="1554"/>
      <c r="U264" s="1562">
        <v>1044</v>
      </c>
      <c r="V264" s="1563"/>
      <c r="W264" s="1563"/>
      <c r="X264" s="1563"/>
      <c r="Y264" s="1563"/>
      <c r="Z264" s="1563"/>
      <c r="AA264" s="1563"/>
      <c r="AB264" s="1563"/>
      <c r="AC264" s="1563"/>
      <c r="AD264" s="1563"/>
      <c r="AE264" s="1563"/>
      <c r="AF264" s="1564"/>
      <c r="AG264" s="5"/>
    </row>
    <row r="265" spans="3:33" ht="15" customHeight="1">
      <c r="C265" s="5"/>
      <c r="D265" s="1556" t="s">
        <v>143</v>
      </c>
      <c r="E265" s="1557"/>
      <c r="F265" s="1557"/>
      <c r="G265" s="1557"/>
      <c r="H265" s="1557"/>
      <c r="I265" s="1557"/>
      <c r="J265" s="1558"/>
      <c r="K265" s="1549"/>
      <c r="L265" s="1550"/>
      <c r="M265" s="1550"/>
      <c r="N265" s="1550"/>
      <c r="O265" s="1551"/>
      <c r="P265" s="1536">
        <f>1-P264</f>
        <v>4.7445255474452552E-2</v>
      </c>
      <c r="Q265" s="1537"/>
      <c r="R265" s="1537"/>
      <c r="S265" s="1537"/>
      <c r="T265" s="1538"/>
      <c r="U265" s="1562">
        <f>K264-U264</f>
        <v>52</v>
      </c>
      <c r="V265" s="1563"/>
      <c r="W265" s="1563"/>
      <c r="X265" s="1563"/>
      <c r="Y265" s="1563"/>
      <c r="Z265" s="1563"/>
      <c r="AA265" s="1563"/>
      <c r="AB265" s="1563"/>
      <c r="AC265" s="1563"/>
      <c r="AD265" s="1563"/>
      <c r="AE265" s="1563"/>
      <c r="AF265" s="1564"/>
      <c r="AG265" s="5"/>
    </row>
    <row r="266" spans="3:33" ht="15" customHeight="1">
      <c r="C266" s="5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5"/>
    </row>
    <row r="267" spans="3:33" ht="15" hidden="1" customHeight="1">
      <c r="C267" s="5"/>
      <c r="D267" s="1559" t="s">
        <v>144</v>
      </c>
      <c r="E267" s="1559"/>
      <c r="F267" s="1559"/>
      <c r="G267" s="1559"/>
      <c r="H267" s="1559"/>
      <c r="I267" s="1559"/>
      <c r="J267" s="1559"/>
      <c r="K267" s="1559"/>
      <c r="L267" s="1559"/>
      <c r="M267" s="1559"/>
      <c r="N267" s="1559"/>
      <c r="O267" s="1559"/>
      <c r="P267" s="1559"/>
      <c r="Q267" s="1559"/>
      <c r="R267" s="1559"/>
      <c r="S267" s="1559"/>
      <c r="T267" s="1559"/>
      <c r="U267" s="1559"/>
      <c r="V267" s="1559"/>
      <c r="W267" s="1559"/>
      <c r="X267" s="1559"/>
      <c r="Y267" s="1559"/>
      <c r="Z267" s="1559"/>
      <c r="AA267" s="1559"/>
      <c r="AB267" s="1559"/>
      <c r="AC267" s="1559"/>
      <c r="AD267" s="1559"/>
      <c r="AE267" s="1559"/>
      <c r="AF267" s="1559"/>
      <c r="AG267" s="5"/>
    </row>
    <row r="268" spans="3:33" ht="15" hidden="1" customHeight="1">
      <c r="C268" s="5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5"/>
    </row>
    <row r="269" spans="3:33" ht="15" hidden="1" customHeight="1">
      <c r="C269" s="5"/>
      <c r="D269" s="149"/>
      <c r="E269" s="149"/>
      <c r="F269" s="149"/>
      <c r="G269" s="149"/>
      <c r="H269" s="149"/>
      <c r="I269" s="149"/>
      <c r="J269" s="149"/>
      <c r="K269" s="1556" t="s">
        <v>145</v>
      </c>
      <c r="L269" s="1557"/>
      <c r="M269" s="1557"/>
      <c r="N269" s="1557"/>
      <c r="O269" s="1558"/>
      <c r="P269" s="1556" t="s">
        <v>146</v>
      </c>
      <c r="Q269" s="1557"/>
      <c r="R269" s="1557"/>
      <c r="S269" s="1557"/>
      <c r="T269" s="1558"/>
      <c r="U269" s="1555" t="s">
        <v>147</v>
      </c>
      <c r="V269" s="1555"/>
      <c r="W269" s="1555"/>
      <c r="X269" s="1555"/>
      <c r="Y269" s="1555"/>
      <c r="Z269" s="1555"/>
      <c r="AA269" s="1555"/>
      <c r="AB269" s="1555"/>
      <c r="AC269" s="1555"/>
      <c r="AD269" s="1555"/>
      <c r="AE269" s="1555"/>
      <c r="AF269" s="1555"/>
      <c r="AG269" s="5"/>
    </row>
    <row r="270" spans="3:33" ht="15" hidden="1" customHeight="1">
      <c r="C270" s="5"/>
      <c r="D270" s="1556" t="s">
        <v>142</v>
      </c>
      <c r="E270" s="1557"/>
      <c r="F270" s="1557"/>
      <c r="G270" s="1557"/>
      <c r="H270" s="1557"/>
      <c r="I270" s="1557"/>
      <c r="J270" s="1558"/>
      <c r="K270" s="1546">
        <f>K258+K264</f>
        <v>1096</v>
      </c>
      <c r="L270" s="1547"/>
      <c r="M270" s="1547"/>
      <c r="N270" s="1547"/>
      <c r="O270" s="1548"/>
      <c r="P270" s="1552">
        <f>U270/K270</f>
        <v>0.95255474452554745</v>
      </c>
      <c r="Q270" s="1553"/>
      <c r="R270" s="1553"/>
      <c r="S270" s="1553"/>
      <c r="T270" s="1554"/>
      <c r="U270" s="1539">
        <f>U258+U264</f>
        <v>1044</v>
      </c>
      <c r="V270" s="1539"/>
      <c r="W270" s="1539"/>
      <c r="X270" s="1539"/>
      <c r="Y270" s="1539"/>
      <c r="Z270" s="1539"/>
      <c r="AA270" s="1539"/>
      <c r="AB270" s="1539"/>
      <c r="AC270" s="1539"/>
      <c r="AD270" s="1539"/>
      <c r="AE270" s="1539"/>
      <c r="AF270" s="1539"/>
      <c r="AG270" s="5"/>
    </row>
    <row r="271" spans="3:33" ht="15" hidden="1" customHeight="1">
      <c r="C271" s="5"/>
      <c r="D271" s="1556" t="s">
        <v>143</v>
      </c>
      <c r="E271" s="1557"/>
      <c r="F271" s="1557"/>
      <c r="G271" s="1557"/>
      <c r="H271" s="1557"/>
      <c r="I271" s="1557"/>
      <c r="J271" s="1558"/>
      <c r="K271" s="1549"/>
      <c r="L271" s="1550"/>
      <c r="M271" s="1550"/>
      <c r="N271" s="1550"/>
      <c r="O271" s="1551"/>
      <c r="P271" s="1536">
        <f>1-P270</f>
        <v>4.7445255474452552E-2</v>
      </c>
      <c r="Q271" s="1537"/>
      <c r="R271" s="1537"/>
      <c r="S271" s="1537"/>
      <c r="T271" s="1538"/>
      <c r="U271" s="1539">
        <f>U259+U265</f>
        <v>52</v>
      </c>
      <c r="V271" s="1539"/>
      <c r="W271" s="1539"/>
      <c r="X271" s="1539"/>
      <c r="Y271" s="1539"/>
      <c r="Z271" s="1539"/>
      <c r="AA271" s="1539"/>
      <c r="AB271" s="1539"/>
      <c r="AC271" s="1539"/>
      <c r="AD271" s="1539"/>
      <c r="AE271" s="1539"/>
      <c r="AF271" s="1539"/>
      <c r="AG271" s="5"/>
    </row>
    <row r="272" spans="3:33" ht="15" customHeight="1">
      <c r="C272" s="5"/>
      <c r="D272" s="1559" t="s">
        <v>149</v>
      </c>
      <c r="E272" s="1559"/>
      <c r="F272" s="1559"/>
      <c r="G272" s="1559"/>
      <c r="H272" s="1559"/>
      <c r="I272" s="1559"/>
      <c r="J272" s="1559"/>
      <c r="K272" s="1559"/>
      <c r="L272" s="1559"/>
      <c r="M272" s="1559"/>
      <c r="N272" s="1559"/>
      <c r="O272" s="1559"/>
      <c r="P272" s="1559"/>
      <c r="Q272" s="1559"/>
      <c r="R272" s="1559"/>
      <c r="S272" s="1559"/>
      <c r="T272" s="1559"/>
      <c r="U272" s="1559"/>
      <c r="V272" s="1559"/>
      <c r="W272" s="1559"/>
      <c r="X272" s="1559"/>
      <c r="Y272" s="1559"/>
      <c r="Z272" s="1559"/>
      <c r="AA272" s="1559"/>
      <c r="AB272" s="1559"/>
      <c r="AC272" s="1559"/>
      <c r="AD272" s="1559"/>
      <c r="AE272" s="1559"/>
      <c r="AF272" s="1559"/>
      <c r="AG272" s="1192" t="s">
        <v>150</v>
      </c>
    </row>
    <row r="273" spans="3:38" ht="15" customHeight="1">
      <c r="C273" s="5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5"/>
    </row>
    <row r="274" spans="3:38" ht="15" customHeight="1">
      <c r="C274" s="5"/>
      <c r="D274" s="149"/>
      <c r="E274" s="149"/>
      <c r="F274" s="149"/>
      <c r="G274" s="149"/>
      <c r="H274" s="149"/>
      <c r="I274" s="149"/>
      <c r="J274" s="149"/>
      <c r="K274" s="1556" t="s">
        <v>145</v>
      </c>
      <c r="L274" s="1557"/>
      <c r="M274" s="1557"/>
      <c r="N274" s="1557"/>
      <c r="O274" s="1558"/>
      <c r="P274" s="1556" t="s">
        <v>146</v>
      </c>
      <c r="Q274" s="1557"/>
      <c r="R274" s="1557"/>
      <c r="S274" s="1557"/>
      <c r="T274" s="1558"/>
      <c r="U274" s="1555" t="s">
        <v>147</v>
      </c>
      <c r="V274" s="1555"/>
      <c r="W274" s="1555"/>
      <c r="X274" s="1555"/>
      <c r="Y274" s="1555"/>
      <c r="Z274" s="1555"/>
      <c r="AA274" s="1555"/>
      <c r="AB274" s="1555"/>
      <c r="AC274" s="1555"/>
      <c r="AD274" s="1555"/>
      <c r="AE274" s="1555"/>
      <c r="AF274" s="1555"/>
      <c r="AG274" s="5"/>
    </row>
    <row r="275" spans="3:38" ht="15" customHeight="1">
      <c r="C275" s="5"/>
      <c r="D275" s="1556" t="s">
        <v>142</v>
      </c>
      <c r="E275" s="1557"/>
      <c r="F275" s="1557"/>
      <c r="G275" s="1557"/>
      <c r="H275" s="1557"/>
      <c r="I275" s="1557"/>
      <c r="J275" s="1558"/>
      <c r="K275" s="1546">
        <v>31</v>
      </c>
      <c r="L275" s="1547"/>
      <c r="M275" s="1547"/>
      <c r="N275" s="1547"/>
      <c r="O275" s="1548"/>
      <c r="P275" s="1552">
        <f>U275/K275</f>
        <v>0.967741935483871</v>
      </c>
      <c r="Q275" s="1553"/>
      <c r="R275" s="1553"/>
      <c r="S275" s="1553"/>
      <c r="T275" s="1554"/>
      <c r="U275" s="1539">
        <f>ROUNDUP((SUM(F232:AE233,F240:AE241,F248:O249)/(K275*100))*(K275),0)</f>
        <v>30</v>
      </c>
      <c r="V275" s="1539"/>
      <c r="W275" s="1539"/>
      <c r="X275" s="1539"/>
      <c r="Y275" s="1539"/>
      <c r="Z275" s="1539"/>
      <c r="AA275" s="1539"/>
      <c r="AB275" s="1539"/>
      <c r="AC275" s="1539"/>
      <c r="AD275" s="1539"/>
      <c r="AE275" s="1539"/>
      <c r="AF275" s="1539"/>
      <c r="AG275" s="5"/>
      <c r="AL275" s="1249"/>
    </row>
    <row r="276" spans="3:38" ht="15" customHeight="1">
      <c r="C276" s="5"/>
      <c r="D276" s="1556" t="s">
        <v>143</v>
      </c>
      <c r="E276" s="1557"/>
      <c r="F276" s="1557"/>
      <c r="G276" s="1557"/>
      <c r="H276" s="1557"/>
      <c r="I276" s="1557"/>
      <c r="J276" s="1558"/>
      <c r="K276" s="1549"/>
      <c r="L276" s="1550"/>
      <c r="M276" s="1550"/>
      <c r="N276" s="1550"/>
      <c r="O276" s="1551"/>
      <c r="P276" s="1536">
        <f>1-P275</f>
        <v>3.2258064516129004E-2</v>
      </c>
      <c r="Q276" s="1537"/>
      <c r="R276" s="1537"/>
      <c r="S276" s="1537"/>
      <c r="T276" s="1538"/>
      <c r="U276" s="1539">
        <f>K275-U275</f>
        <v>1</v>
      </c>
      <c r="V276" s="1539"/>
      <c r="W276" s="1539"/>
      <c r="X276" s="1539"/>
      <c r="Y276" s="1539"/>
      <c r="Z276" s="1539"/>
      <c r="AA276" s="1539"/>
      <c r="AB276" s="1539"/>
      <c r="AC276" s="1539"/>
      <c r="AD276" s="1539"/>
      <c r="AE276" s="1539"/>
      <c r="AF276" s="1539"/>
      <c r="AG276" s="5"/>
    </row>
    <row r="277" spans="3:38" ht="15" customHeight="1">
      <c r="C277" s="5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5"/>
    </row>
    <row r="278" spans="3:38" ht="15" customHeight="1">
      <c r="C278" s="5"/>
      <c r="D278" s="1559" t="s">
        <v>151</v>
      </c>
      <c r="E278" s="1559"/>
      <c r="F278" s="1559"/>
      <c r="G278" s="1559"/>
      <c r="H278" s="1559"/>
      <c r="I278" s="1559"/>
      <c r="J278" s="1559"/>
      <c r="K278" s="1559"/>
      <c r="L278" s="1559"/>
      <c r="M278" s="1559"/>
      <c r="N278" s="1559"/>
      <c r="O278" s="1559"/>
      <c r="P278" s="1559"/>
      <c r="Q278" s="1559"/>
      <c r="R278" s="1559"/>
      <c r="S278" s="1559"/>
      <c r="T278" s="1559"/>
      <c r="U278" s="1559"/>
      <c r="V278" s="1559"/>
      <c r="W278" s="1559"/>
      <c r="X278" s="1559"/>
      <c r="Y278" s="1559"/>
      <c r="Z278" s="1559"/>
      <c r="AA278" s="1559"/>
      <c r="AB278" s="1559"/>
      <c r="AC278" s="1559"/>
      <c r="AD278" s="1559"/>
      <c r="AE278" s="1559"/>
      <c r="AF278" s="1559"/>
      <c r="AG278" s="5"/>
    </row>
    <row r="279" spans="3:38" ht="15" customHeight="1">
      <c r="C279" s="5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5"/>
    </row>
    <row r="280" spans="3:38" ht="15" customHeight="1">
      <c r="C280" s="5"/>
      <c r="D280" s="149"/>
      <c r="E280" s="149"/>
      <c r="F280" s="149"/>
      <c r="G280" s="149"/>
      <c r="H280" s="149"/>
      <c r="I280" s="149"/>
      <c r="J280" s="149"/>
      <c r="K280" s="1556" t="s">
        <v>145</v>
      </c>
      <c r="L280" s="1557"/>
      <c r="M280" s="1557"/>
      <c r="N280" s="1557"/>
      <c r="O280" s="1558"/>
      <c r="P280" s="1556" t="s">
        <v>146</v>
      </c>
      <c r="Q280" s="1557"/>
      <c r="R280" s="1557"/>
      <c r="S280" s="1557"/>
      <c r="T280" s="1558"/>
      <c r="U280" s="1555" t="s">
        <v>147</v>
      </c>
      <c r="V280" s="1555"/>
      <c r="W280" s="1555"/>
      <c r="X280" s="1555"/>
      <c r="Y280" s="1555"/>
      <c r="Z280" s="1555"/>
      <c r="AA280" s="1555"/>
      <c r="AB280" s="1555"/>
      <c r="AC280" s="1555"/>
      <c r="AD280" s="1555"/>
      <c r="AE280" s="1555"/>
      <c r="AF280" s="1555"/>
      <c r="AG280" s="5"/>
    </row>
    <row r="281" spans="3:38" ht="15" customHeight="1">
      <c r="C281" s="5"/>
      <c r="D281" s="1556" t="s">
        <v>142</v>
      </c>
      <c r="E281" s="1557"/>
      <c r="F281" s="1557"/>
      <c r="G281" s="1557"/>
      <c r="H281" s="1557"/>
      <c r="I281" s="1557"/>
      <c r="J281" s="1558"/>
      <c r="K281" s="1546">
        <f>K264+K275</f>
        <v>1127</v>
      </c>
      <c r="L281" s="1547"/>
      <c r="M281" s="1547"/>
      <c r="N281" s="1547"/>
      <c r="O281" s="1548"/>
      <c r="P281" s="1552">
        <f>U281/K281</f>
        <v>0.95297249334516421</v>
      </c>
      <c r="Q281" s="1553"/>
      <c r="R281" s="1553"/>
      <c r="S281" s="1553"/>
      <c r="T281" s="1554"/>
      <c r="U281" s="1539">
        <f>U264+U275</f>
        <v>1074</v>
      </c>
      <c r="V281" s="1539"/>
      <c r="W281" s="1539"/>
      <c r="X281" s="1539"/>
      <c r="Y281" s="1539"/>
      <c r="Z281" s="1539"/>
      <c r="AA281" s="1539"/>
      <c r="AB281" s="1539"/>
      <c r="AC281" s="1539"/>
      <c r="AD281" s="1539"/>
      <c r="AE281" s="1539"/>
      <c r="AF281" s="1539"/>
      <c r="AG281" s="5"/>
    </row>
    <row r="282" spans="3:38" ht="15" customHeight="1">
      <c r="C282" s="5"/>
      <c r="D282" s="1556" t="s">
        <v>143</v>
      </c>
      <c r="E282" s="1557"/>
      <c r="F282" s="1557"/>
      <c r="G282" s="1557"/>
      <c r="H282" s="1557"/>
      <c r="I282" s="1557"/>
      <c r="J282" s="1558"/>
      <c r="K282" s="1549"/>
      <c r="L282" s="1550"/>
      <c r="M282" s="1550"/>
      <c r="N282" s="1550"/>
      <c r="O282" s="1551"/>
      <c r="P282" s="1536">
        <f>1-P281</f>
        <v>4.7027506654835793E-2</v>
      </c>
      <c r="Q282" s="1537"/>
      <c r="R282" s="1537"/>
      <c r="S282" s="1537"/>
      <c r="T282" s="1538"/>
      <c r="U282" s="1539">
        <f>U265+U276</f>
        <v>53</v>
      </c>
      <c r="V282" s="1539"/>
      <c r="W282" s="1539"/>
      <c r="X282" s="1539"/>
      <c r="Y282" s="1539"/>
      <c r="Z282" s="1539"/>
      <c r="AA282" s="1539"/>
      <c r="AB282" s="1539"/>
      <c r="AC282" s="1539"/>
      <c r="AD282" s="1539"/>
      <c r="AE282" s="1539"/>
      <c r="AF282" s="1539"/>
      <c r="AG282" s="5"/>
    </row>
    <row r="283" spans="3:38" ht="15" customHeight="1">
      <c r="C283" s="5"/>
      <c r="D283" s="166"/>
      <c r="E283" s="166"/>
      <c r="F283" s="166"/>
      <c r="G283" s="166"/>
      <c r="H283" s="166"/>
      <c r="I283" s="166"/>
      <c r="J283" s="166"/>
      <c r="K283" s="167"/>
      <c r="L283" s="167"/>
      <c r="M283" s="167"/>
      <c r="N283" s="167"/>
      <c r="O283" s="167"/>
      <c r="P283" s="168"/>
      <c r="Q283" s="168"/>
      <c r="R283" s="168"/>
      <c r="S283" s="168"/>
      <c r="T283" s="168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5"/>
    </row>
    <row r="284" spans="3:38" ht="15" customHeight="1">
      <c r="C284" s="5"/>
      <c r="D284" s="166"/>
      <c r="E284" s="166"/>
      <c r="F284" s="166"/>
      <c r="G284" s="166"/>
      <c r="H284" s="166"/>
      <c r="I284" s="166"/>
      <c r="J284" s="166"/>
      <c r="K284" s="167"/>
      <c r="L284" s="167"/>
      <c r="M284" s="167"/>
      <c r="N284" s="167"/>
      <c r="O284" s="167"/>
      <c r="P284" s="168"/>
      <c r="Q284" s="168"/>
      <c r="R284" s="168"/>
      <c r="S284" s="168"/>
      <c r="T284" s="168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5"/>
    </row>
    <row r="285" spans="3:38" ht="15" customHeight="1">
      <c r="C285" s="5"/>
      <c r="D285" s="166"/>
      <c r="E285" s="166"/>
      <c r="F285" s="166"/>
      <c r="G285" s="166"/>
      <c r="H285" s="166"/>
      <c r="I285" s="166"/>
      <c r="J285" s="166"/>
      <c r="K285" s="167"/>
      <c r="L285" s="167"/>
      <c r="M285" s="167"/>
      <c r="N285" s="167"/>
      <c r="O285" s="167"/>
      <c r="P285" s="168"/>
      <c r="Q285" s="168"/>
      <c r="R285" s="168"/>
      <c r="S285" s="168"/>
      <c r="T285" s="168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5"/>
    </row>
    <row r="286" spans="3:38" ht="15" customHeight="1">
      <c r="C286" s="5"/>
      <c r="D286" s="166"/>
      <c r="E286" s="166"/>
      <c r="F286" s="166"/>
      <c r="G286" s="166"/>
      <c r="H286" s="166"/>
      <c r="I286" s="166"/>
      <c r="J286" s="166"/>
      <c r="K286" s="167"/>
      <c r="L286" s="167"/>
      <c r="M286" s="167"/>
      <c r="N286" s="167"/>
      <c r="O286" s="167"/>
      <c r="P286" s="168"/>
      <c r="Q286" s="168"/>
      <c r="R286" s="168"/>
      <c r="S286" s="168"/>
      <c r="T286" s="168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5"/>
    </row>
    <row r="287" spans="3:38" ht="15" customHeight="1">
      <c r="C287" s="5"/>
      <c r="D287" s="166"/>
      <c r="E287" s="166"/>
      <c r="F287" s="166"/>
      <c r="G287" s="166"/>
      <c r="H287" s="166"/>
      <c r="I287" s="166"/>
      <c r="J287" s="166"/>
      <c r="K287" s="167"/>
      <c r="L287" s="167"/>
      <c r="M287" s="167"/>
      <c r="N287" s="167"/>
      <c r="O287" s="167"/>
      <c r="P287" s="168"/>
      <c r="Q287" s="168"/>
      <c r="R287" s="168"/>
      <c r="S287" s="168"/>
      <c r="T287" s="168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5"/>
    </row>
    <row r="288" spans="3:38" ht="15" customHeight="1">
      <c r="C288" s="5"/>
      <c r="D288" s="166"/>
      <c r="E288" s="166"/>
      <c r="F288" s="166"/>
      <c r="G288" s="166"/>
      <c r="H288" s="166"/>
      <c r="I288" s="166"/>
      <c r="J288" s="166"/>
      <c r="K288" s="167"/>
      <c r="L288" s="167"/>
      <c r="M288" s="167"/>
      <c r="N288" s="167"/>
      <c r="O288" s="167"/>
      <c r="P288" s="168"/>
      <c r="Q288" s="168"/>
      <c r="R288" s="168"/>
      <c r="S288" s="168"/>
      <c r="T288" s="168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5"/>
    </row>
    <row r="289" spans="3:69" ht="15" customHeight="1" thickBot="1">
      <c r="C289" s="5"/>
      <c r="D289" s="7"/>
      <c r="E289" s="7"/>
      <c r="F289" s="7"/>
      <c r="G289" s="7"/>
      <c r="H289" s="7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3:69" ht="24.9" customHeight="1" thickTop="1">
      <c r="C290" s="1526" t="str">
        <f>$C$90</f>
        <v>Construção da Estação de Bombeamento de Águas Pluviais Laranja, Vila Velha/ES</v>
      </c>
      <c r="D290" s="1526"/>
      <c r="E290" s="1526"/>
      <c r="F290" s="1526"/>
      <c r="G290" s="1526"/>
      <c r="H290" s="1526"/>
      <c r="I290" s="1526"/>
      <c r="J290" s="1526"/>
      <c r="K290" s="1526"/>
      <c r="L290" s="1526"/>
      <c r="M290" s="1526"/>
      <c r="N290" s="1526"/>
      <c r="O290" s="1526"/>
      <c r="P290" s="1526"/>
      <c r="Q290" s="1526"/>
      <c r="R290" s="1526"/>
      <c r="S290" s="1526"/>
      <c r="T290" s="1526"/>
      <c r="U290" s="1526"/>
      <c r="V290" s="1526"/>
      <c r="W290" s="1526"/>
      <c r="X290" s="1526"/>
      <c r="Y290" s="1526"/>
      <c r="Z290" s="1526"/>
      <c r="AA290" s="1526"/>
      <c r="AB290" s="1526"/>
      <c r="AC290" s="1526"/>
      <c r="AD290" s="1516">
        <f>AD217+2</f>
        <v>20</v>
      </c>
      <c r="AE290" s="1516"/>
      <c r="AF290" s="1516"/>
      <c r="AG290" s="1516"/>
    </row>
    <row r="291" spans="3:69" s="145" customFormat="1" ht="20.100000000000001" customHeight="1" thickBot="1">
      <c r="C291" s="1779" t="str">
        <f>$C$1</f>
        <v xml:space="preserve">Relatório Técnico Permanente de Engenharia 		                                                                         </v>
      </c>
      <c r="D291" s="1779"/>
      <c r="E291" s="1779"/>
      <c r="F291" s="1779"/>
      <c r="G291" s="1779"/>
      <c r="H291" s="1779"/>
      <c r="I291" s="1779"/>
      <c r="J291" s="1779"/>
      <c r="K291" s="1779"/>
      <c r="L291" s="1779"/>
      <c r="M291" s="1779"/>
      <c r="N291" s="1779"/>
      <c r="O291" s="1779"/>
      <c r="P291" s="1779"/>
      <c r="Q291" s="1779"/>
      <c r="R291" s="1779"/>
      <c r="S291" s="1779"/>
      <c r="T291" s="1779"/>
      <c r="U291" s="1779"/>
      <c r="V291" s="1779"/>
      <c r="W291" s="1779"/>
      <c r="X291" s="1779"/>
      <c r="Y291" s="1779"/>
      <c r="Z291" s="1779"/>
      <c r="AA291" s="1566" t="str">
        <f>$AB$1</f>
        <v>RTPE 524-11</v>
      </c>
      <c r="AB291" s="1566"/>
      <c r="AC291" s="1566"/>
      <c r="AD291" s="1566"/>
      <c r="AE291" s="1566"/>
      <c r="AF291" s="1566"/>
      <c r="AG291" s="1566"/>
      <c r="AM291" s="147"/>
      <c r="AN291" s="147"/>
      <c r="AO291" s="147"/>
      <c r="AP291" s="147"/>
      <c r="AQ291" s="146"/>
      <c r="AR291" s="146"/>
      <c r="AS291" s="146"/>
      <c r="AT291" s="147"/>
      <c r="AU291" s="147"/>
      <c r="AV291" s="147"/>
      <c r="AW291" s="147"/>
      <c r="AX291" s="146"/>
      <c r="AY291" s="146"/>
      <c r="AZ291" s="146"/>
      <c r="BA291" s="147"/>
      <c r="BB291" s="147"/>
      <c r="BC291" s="147"/>
      <c r="BD291" s="147"/>
      <c r="BE291" s="146"/>
      <c r="BF291" s="146"/>
      <c r="BG291" s="146"/>
      <c r="BH291" s="147"/>
      <c r="BI291" s="147"/>
      <c r="BJ291" s="147"/>
      <c r="BK291" s="147"/>
      <c r="BL291" s="146"/>
      <c r="BM291" s="146"/>
      <c r="BN291" s="146"/>
      <c r="BO291" s="147"/>
      <c r="BP291" s="147"/>
      <c r="BQ291" s="146"/>
    </row>
    <row r="292" spans="3:69" ht="15" customHeight="1" thickTop="1"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</row>
    <row r="293" spans="3:69" ht="15" customHeight="1">
      <c r="C293" s="1517" t="s">
        <v>152</v>
      </c>
      <c r="D293" s="1518"/>
      <c r="E293" s="1518"/>
      <c r="F293" s="1518"/>
      <c r="G293" s="1518"/>
      <c r="H293" s="1518"/>
      <c r="I293" s="1518"/>
      <c r="J293" s="1518"/>
      <c r="K293" s="1518"/>
      <c r="L293" s="1518"/>
      <c r="M293" s="1518"/>
      <c r="N293" s="1518"/>
      <c r="O293" s="1518"/>
      <c r="P293" s="1518"/>
      <c r="Q293" s="1518"/>
      <c r="R293" s="1518"/>
      <c r="S293" s="1518"/>
      <c r="T293" s="1518"/>
      <c r="U293" s="1518"/>
      <c r="V293" s="1518"/>
      <c r="W293" s="1518"/>
      <c r="X293" s="1518"/>
      <c r="Y293" s="1518"/>
      <c r="Z293" s="1518"/>
      <c r="AA293" s="1518"/>
      <c r="AB293" s="1518"/>
      <c r="AC293" s="1518"/>
      <c r="AD293" s="1518"/>
      <c r="AE293" s="1518"/>
      <c r="AF293" s="1518"/>
      <c r="AG293" s="1519"/>
      <c r="AI293" s="1561"/>
      <c r="AJ293" s="1561"/>
      <c r="AK293" s="1561"/>
      <c r="AL293" s="1561"/>
    </row>
    <row r="294" spans="3:69" ht="15" customHeight="1">
      <c r="C294" s="1520"/>
      <c r="D294" s="1521"/>
      <c r="E294" s="1521"/>
      <c r="F294" s="1521"/>
      <c r="G294" s="1521"/>
      <c r="H294" s="1521"/>
      <c r="I294" s="1521"/>
      <c r="J294" s="1521"/>
      <c r="K294" s="1521"/>
      <c r="L294" s="1521"/>
      <c r="M294" s="1521"/>
      <c r="N294" s="1521"/>
      <c r="O294" s="1521"/>
      <c r="P294" s="1521"/>
      <c r="Q294" s="1521"/>
      <c r="R294" s="1521"/>
      <c r="S294" s="1521"/>
      <c r="T294" s="1521"/>
      <c r="U294" s="1521"/>
      <c r="V294" s="1521"/>
      <c r="W294" s="1521"/>
      <c r="X294" s="1521"/>
      <c r="Y294" s="1521"/>
      <c r="Z294" s="1521"/>
      <c r="AA294" s="1521"/>
      <c r="AB294" s="1521"/>
      <c r="AC294" s="1521"/>
      <c r="AD294" s="1521"/>
      <c r="AE294" s="1521"/>
      <c r="AF294" s="1521"/>
      <c r="AG294" s="1522"/>
      <c r="AI294" s="1561"/>
      <c r="AJ294" s="1561"/>
      <c r="AK294" s="1561"/>
      <c r="AL294" s="1561"/>
    </row>
    <row r="295" spans="3:69" ht="15" customHeight="1"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</row>
    <row r="296" spans="3:69" ht="15" customHeight="1"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</row>
    <row r="297" spans="3:69" ht="15" customHeight="1"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</row>
    <row r="298" spans="3:69" ht="15" customHeight="1">
      <c r="C298" s="1527" t="s">
        <v>153</v>
      </c>
      <c r="D298" s="1528"/>
      <c r="E298" s="1528"/>
      <c r="F298" s="1528"/>
      <c r="G298" s="1528"/>
      <c r="H298" s="1528"/>
      <c r="I298" s="1528"/>
      <c r="J298" s="1528"/>
      <c r="K298" s="1528"/>
      <c r="L298" s="1528"/>
      <c r="M298" s="1528"/>
      <c r="N298" s="1528"/>
      <c r="O298" s="1528"/>
      <c r="P298" s="1528"/>
      <c r="Q298" s="1529"/>
      <c r="R298" s="10"/>
      <c r="S298" s="1527" t="s">
        <v>154</v>
      </c>
      <c r="T298" s="1528"/>
      <c r="U298" s="1528"/>
      <c r="V298" s="1528"/>
      <c r="W298" s="1528"/>
      <c r="X298" s="1528"/>
      <c r="Y298" s="1528"/>
      <c r="Z298" s="1528"/>
      <c r="AA298" s="1528"/>
      <c r="AB298" s="1528"/>
      <c r="AC298" s="1528"/>
      <c r="AD298" s="1528"/>
      <c r="AE298" s="1528"/>
      <c r="AF298" s="1528"/>
      <c r="AG298" s="1529"/>
    </row>
    <row r="299" spans="3:69" ht="15" customHeight="1">
      <c r="C299" s="1530"/>
      <c r="D299" s="1531"/>
      <c r="E299" s="1531"/>
      <c r="F299" s="1531"/>
      <c r="G299" s="1531"/>
      <c r="H299" s="1531"/>
      <c r="I299" s="1531"/>
      <c r="J299" s="1531"/>
      <c r="K299" s="1531"/>
      <c r="L299" s="1531"/>
      <c r="M299" s="1531"/>
      <c r="N299" s="1531"/>
      <c r="O299" s="1531"/>
      <c r="P299" s="1531"/>
      <c r="Q299" s="1532"/>
      <c r="R299" s="10"/>
      <c r="S299" s="1530"/>
      <c r="T299" s="1531"/>
      <c r="U299" s="1531"/>
      <c r="V299" s="1531"/>
      <c r="W299" s="1531"/>
      <c r="X299" s="1531"/>
      <c r="Y299" s="1531"/>
      <c r="Z299" s="1531"/>
      <c r="AA299" s="1531"/>
      <c r="AB299" s="1531"/>
      <c r="AC299" s="1531"/>
      <c r="AD299" s="1531"/>
      <c r="AE299" s="1531"/>
      <c r="AF299" s="1531"/>
      <c r="AG299" s="1532"/>
      <c r="AM299" s="1474"/>
      <c r="AN299" s="1474"/>
      <c r="AO299" s="1474"/>
      <c r="AP299" s="1474"/>
      <c r="AQ299" s="1474"/>
      <c r="AR299" s="1474"/>
      <c r="AS299" s="1474"/>
      <c r="AT299" s="1474"/>
      <c r="AU299" s="1474"/>
      <c r="AV299" s="1474"/>
      <c r="AW299" s="1474"/>
      <c r="AX299" s="1474"/>
      <c r="AY299" s="1474"/>
      <c r="AZ299" s="1474"/>
      <c r="BA299" s="1474"/>
      <c r="BB299" s="1474"/>
      <c r="BC299" s="1474"/>
      <c r="BD299" s="1474"/>
      <c r="BE299" s="1474"/>
      <c r="BF299" s="1474"/>
      <c r="BG299" s="1474"/>
      <c r="BH299" s="1474"/>
      <c r="BI299" s="1474"/>
      <c r="BJ299" s="1474"/>
      <c r="BK299" s="1474"/>
      <c r="BL299" s="1474"/>
      <c r="BM299" s="1474"/>
      <c r="BN299" s="1474"/>
      <c r="BO299" s="1474"/>
      <c r="BP299" s="1474"/>
      <c r="BQ299" s="1474"/>
    </row>
    <row r="300" spans="3:69" ht="15" customHeight="1">
      <c r="C300" s="1530"/>
      <c r="D300" s="1531"/>
      <c r="E300" s="1531"/>
      <c r="F300" s="1531"/>
      <c r="G300" s="1531"/>
      <c r="H300" s="1531"/>
      <c r="I300" s="1531"/>
      <c r="J300" s="1531"/>
      <c r="K300" s="1531"/>
      <c r="L300" s="1531"/>
      <c r="M300" s="1531"/>
      <c r="N300" s="1531"/>
      <c r="O300" s="1531"/>
      <c r="P300" s="1531"/>
      <c r="Q300" s="1532"/>
      <c r="R300" s="10"/>
      <c r="S300" s="1530"/>
      <c r="T300" s="1531"/>
      <c r="U300" s="1531"/>
      <c r="V300" s="1531"/>
      <c r="W300" s="1531"/>
      <c r="X300" s="1531"/>
      <c r="Y300" s="1531"/>
      <c r="Z300" s="1531"/>
      <c r="AA300" s="1531"/>
      <c r="AB300" s="1531"/>
      <c r="AC300" s="1531"/>
      <c r="AD300" s="1531"/>
      <c r="AE300" s="1531"/>
      <c r="AF300" s="1531"/>
      <c r="AG300" s="1532"/>
      <c r="AM300" s="1473"/>
      <c r="AN300" s="1473"/>
      <c r="AO300" s="1473"/>
      <c r="AP300" s="1473"/>
      <c r="AQ300" s="1473"/>
      <c r="AR300" s="1473"/>
      <c r="AS300" s="1473"/>
      <c r="AT300" s="1473"/>
      <c r="AU300" s="1473"/>
      <c r="AV300" s="1473"/>
      <c r="AW300" s="1473"/>
      <c r="AX300" s="1473"/>
      <c r="AY300" s="1473"/>
      <c r="AZ300" s="1473"/>
      <c r="BA300" s="1473"/>
      <c r="BB300" s="1473"/>
      <c r="BC300" s="1473"/>
      <c r="BD300" s="1473"/>
      <c r="BE300" s="1473"/>
      <c r="BF300" s="1473"/>
      <c r="BG300" s="1473"/>
      <c r="BH300" s="1473"/>
      <c r="BI300" s="1473"/>
      <c r="BJ300" s="1473"/>
      <c r="BK300" s="1473"/>
      <c r="BL300" s="1473"/>
      <c r="BM300" s="1473"/>
      <c r="BN300" s="1473"/>
      <c r="BO300" s="1473"/>
      <c r="BP300" s="1473"/>
      <c r="BQ300" s="1473"/>
    </row>
    <row r="301" spans="3:69" ht="15" customHeight="1">
      <c r="C301" s="1530"/>
      <c r="D301" s="1531"/>
      <c r="E301" s="1531"/>
      <c r="F301" s="1531"/>
      <c r="G301" s="1531"/>
      <c r="H301" s="1531"/>
      <c r="I301" s="1531"/>
      <c r="J301" s="1531"/>
      <c r="K301" s="1531"/>
      <c r="L301" s="1531"/>
      <c r="M301" s="1531"/>
      <c r="N301" s="1531"/>
      <c r="O301" s="1531"/>
      <c r="P301" s="1531"/>
      <c r="Q301" s="1532"/>
      <c r="R301" s="10"/>
      <c r="S301" s="1530"/>
      <c r="T301" s="1531"/>
      <c r="U301" s="1531"/>
      <c r="V301" s="1531"/>
      <c r="W301" s="1531"/>
      <c r="X301" s="1531"/>
      <c r="Y301" s="1531"/>
      <c r="Z301" s="1531"/>
      <c r="AA301" s="1531"/>
      <c r="AB301" s="1531"/>
      <c r="AC301" s="1531"/>
      <c r="AD301" s="1531"/>
      <c r="AE301" s="1531"/>
      <c r="AF301" s="1531"/>
      <c r="AG301" s="1532"/>
      <c r="AM301" s="1473"/>
      <c r="AN301" s="1473"/>
      <c r="AO301" s="1473"/>
      <c r="AP301" s="1473"/>
      <c r="AQ301" s="1473"/>
      <c r="AR301" s="1473"/>
      <c r="AS301" s="1473"/>
      <c r="AT301" s="1473"/>
      <c r="AU301" s="1473"/>
      <c r="AV301" s="1473"/>
      <c r="AW301" s="1473"/>
      <c r="AX301" s="1473"/>
      <c r="AY301" s="1473"/>
      <c r="AZ301" s="1473"/>
      <c r="BA301" s="1473"/>
      <c r="BB301" s="1473"/>
      <c r="BC301" s="1473"/>
      <c r="BD301" s="1473"/>
      <c r="BE301" s="1473"/>
      <c r="BF301" s="1473"/>
      <c r="BG301" s="1473"/>
      <c r="BH301" s="1473"/>
      <c r="BI301" s="1473"/>
      <c r="BJ301" s="1473"/>
      <c r="BK301" s="1473"/>
      <c r="BL301" s="1473"/>
      <c r="BM301" s="1473"/>
      <c r="BN301" s="1473"/>
      <c r="BO301" s="1473"/>
      <c r="BP301" s="1473"/>
      <c r="BQ301" s="1473"/>
    </row>
    <row r="302" spans="3:69" ht="15" customHeight="1">
      <c r="C302" s="1530"/>
      <c r="D302" s="1531"/>
      <c r="E302" s="1531"/>
      <c r="F302" s="1531"/>
      <c r="G302" s="1531"/>
      <c r="H302" s="1531"/>
      <c r="I302" s="1531"/>
      <c r="J302" s="1531"/>
      <c r="K302" s="1531"/>
      <c r="L302" s="1531"/>
      <c r="M302" s="1531"/>
      <c r="N302" s="1531"/>
      <c r="O302" s="1531"/>
      <c r="P302" s="1531"/>
      <c r="Q302" s="1532"/>
      <c r="R302" s="10"/>
      <c r="S302" s="1530"/>
      <c r="T302" s="1531"/>
      <c r="U302" s="1531"/>
      <c r="V302" s="1531"/>
      <c r="W302" s="1531"/>
      <c r="X302" s="1531"/>
      <c r="Y302" s="1531"/>
      <c r="Z302" s="1531"/>
      <c r="AA302" s="1531"/>
      <c r="AB302" s="1531"/>
      <c r="AC302" s="1531"/>
      <c r="AD302" s="1531"/>
      <c r="AE302" s="1531"/>
      <c r="AF302" s="1531"/>
      <c r="AG302" s="1532"/>
      <c r="AM302" s="1474"/>
      <c r="AN302" s="1474"/>
      <c r="AO302" s="1474"/>
      <c r="AP302" s="1474"/>
      <c r="AQ302" s="1474"/>
      <c r="AR302" s="1474"/>
      <c r="AS302" s="1474"/>
      <c r="AT302" s="1474"/>
      <c r="AU302" s="1474"/>
      <c r="AV302" s="1474"/>
      <c r="AW302" s="1474"/>
      <c r="AX302" s="1474"/>
      <c r="AY302" s="1474"/>
      <c r="AZ302" s="1474"/>
      <c r="BA302" s="1474"/>
      <c r="BB302" s="1474"/>
      <c r="BC302" s="1474"/>
      <c r="BD302" s="1474"/>
      <c r="BE302" s="1474"/>
      <c r="BF302" s="1474"/>
      <c r="BG302" s="1474"/>
      <c r="BH302" s="1474"/>
      <c r="BI302" s="1474"/>
      <c r="BJ302" s="1474"/>
      <c r="BK302" s="1474"/>
      <c r="BL302" s="1474"/>
      <c r="BM302" s="1474"/>
      <c r="BN302" s="1474"/>
      <c r="BO302" s="1474"/>
      <c r="BP302" s="1474"/>
      <c r="BQ302" s="1474"/>
    </row>
    <row r="303" spans="3:69" ht="15" customHeight="1">
      <c r="C303" s="1530"/>
      <c r="D303" s="1531"/>
      <c r="E303" s="1531"/>
      <c r="F303" s="1531"/>
      <c r="G303" s="1531"/>
      <c r="H303" s="1531"/>
      <c r="I303" s="1531"/>
      <c r="J303" s="1531"/>
      <c r="K303" s="1531"/>
      <c r="L303" s="1531"/>
      <c r="M303" s="1531"/>
      <c r="N303" s="1531"/>
      <c r="O303" s="1531"/>
      <c r="P303" s="1531"/>
      <c r="Q303" s="1532"/>
      <c r="R303" s="10"/>
      <c r="S303" s="1530"/>
      <c r="T303" s="1531"/>
      <c r="U303" s="1531"/>
      <c r="V303" s="1531"/>
      <c r="W303" s="1531"/>
      <c r="X303" s="1531"/>
      <c r="Y303" s="1531"/>
      <c r="Z303" s="1531"/>
      <c r="AA303" s="1531"/>
      <c r="AB303" s="1531"/>
      <c r="AC303" s="1531"/>
      <c r="AD303" s="1531"/>
      <c r="AE303" s="1531"/>
      <c r="AF303" s="1531"/>
      <c r="AG303" s="1532"/>
      <c r="AM303" s="1473"/>
      <c r="AN303" s="1473"/>
      <c r="AO303" s="1473"/>
      <c r="AP303" s="1473"/>
      <c r="AQ303" s="1473"/>
      <c r="AR303" s="1473"/>
      <c r="AS303" s="1473"/>
      <c r="AT303" s="1473"/>
      <c r="AU303" s="1473"/>
      <c r="AV303" s="1473"/>
      <c r="AW303" s="1473"/>
      <c r="AX303" s="1473"/>
      <c r="AY303" s="1473"/>
      <c r="AZ303" s="1473"/>
      <c r="BA303" s="1473"/>
      <c r="BB303" s="1473"/>
      <c r="BC303" s="1473"/>
      <c r="BD303" s="1473"/>
      <c r="BE303" s="1473"/>
      <c r="BF303" s="1473"/>
      <c r="BG303" s="1473"/>
      <c r="BH303" s="1473"/>
      <c r="BI303" s="1473"/>
      <c r="BJ303" s="1473"/>
      <c r="BK303" s="1473"/>
      <c r="BL303" s="1473"/>
      <c r="BM303" s="1473"/>
      <c r="BN303" s="1473"/>
      <c r="BO303" s="1473"/>
      <c r="BP303" s="1473"/>
      <c r="BQ303" s="1473"/>
    </row>
    <row r="304" spans="3:69" ht="15" customHeight="1">
      <c r="C304" s="1530"/>
      <c r="D304" s="1531"/>
      <c r="E304" s="1531"/>
      <c r="F304" s="1531"/>
      <c r="G304" s="1531"/>
      <c r="H304" s="1531"/>
      <c r="I304" s="1531"/>
      <c r="J304" s="1531"/>
      <c r="K304" s="1531"/>
      <c r="L304" s="1531"/>
      <c r="M304" s="1531"/>
      <c r="N304" s="1531"/>
      <c r="O304" s="1531"/>
      <c r="P304" s="1531"/>
      <c r="Q304" s="1532"/>
      <c r="R304" s="10"/>
      <c r="S304" s="1530"/>
      <c r="T304" s="1531"/>
      <c r="U304" s="1531"/>
      <c r="V304" s="1531"/>
      <c r="W304" s="1531"/>
      <c r="X304" s="1531"/>
      <c r="Y304" s="1531"/>
      <c r="Z304" s="1531"/>
      <c r="AA304" s="1531"/>
      <c r="AB304" s="1531"/>
      <c r="AC304" s="1531"/>
      <c r="AD304" s="1531"/>
      <c r="AE304" s="1531"/>
      <c r="AF304" s="1531"/>
      <c r="AG304" s="1532"/>
      <c r="AM304" s="1473"/>
      <c r="AN304" s="1473"/>
      <c r="AO304" s="1473"/>
      <c r="AP304" s="1473"/>
      <c r="AQ304" s="1473"/>
      <c r="AR304" s="1473"/>
      <c r="AS304" s="1473"/>
      <c r="AT304" s="1473"/>
      <c r="AU304" s="1473"/>
      <c r="AV304" s="1473"/>
      <c r="AW304" s="1473"/>
      <c r="AX304" s="1473"/>
      <c r="AY304" s="1473"/>
      <c r="AZ304" s="1473"/>
      <c r="BA304" s="1473"/>
      <c r="BB304" s="1473"/>
      <c r="BC304" s="1473"/>
      <c r="BD304" s="1473"/>
      <c r="BE304" s="1473"/>
      <c r="BF304" s="1473"/>
      <c r="BG304" s="1473"/>
      <c r="BH304" s="1473"/>
      <c r="BI304" s="1473"/>
      <c r="BJ304" s="1473"/>
      <c r="BK304" s="1473"/>
      <c r="BL304" s="1473"/>
      <c r="BM304" s="1473"/>
      <c r="BN304" s="1473"/>
      <c r="BO304" s="1473"/>
      <c r="BP304" s="1473"/>
      <c r="BQ304" s="1473"/>
    </row>
    <row r="305" spans="3:69" ht="15" customHeight="1">
      <c r="C305" s="1530"/>
      <c r="D305" s="1531"/>
      <c r="E305" s="1531"/>
      <c r="F305" s="1531"/>
      <c r="G305" s="1531"/>
      <c r="H305" s="1531"/>
      <c r="I305" s="1531"/>
      <c r="J305" s="1531"/>
      <c r="K305" s="1531"/>
      <c r="L305" s="1531"/>
      <c r="M305" s="1531"/>
      <c r="N305" s="1531"/>
      <c r="O305" s="1531"/>
      <c r="P305" s="1531"/>
      <c r="Q305" s="1532"/>
      <c r="R305" s="10"/>
      <c r="S305" s="1530"/>
      <c r="T305" s="1531"/>
      <c r="U305" s="1531"/>
      <c r="V305" s="1531"/>
      <c r="W305" s="1531"/>
      <c r="X305" s="1531"/>
      <c r="Y305" s="1531"/>
      <c r="Z305" s="1531"/>
      <c r="AA305" s="1531"/>
      <c r="AB305" s="1531"/>
      <c r="AC305" s="1531"/>
      <c r="AD305" s="1531"/>
      <c r="AE305" s="1531"/>
      <c r="AF305" s="1531"/>
      <c r="AG305" s="1532"/>
      <c r="AL305" s="1467" t="s">
        <v>155</v>
      </c>
      <c r="AM305" s="1467"/>
      <c r="AN305" s="1467"/>
      <c r="AO305" s="1467"/>
      <c r="AP305" s="1467"/>
      <c r="AQ305" s="1467"/>
      <c r="AR305" s="1467"/>
      <c r="AS305" s="1467"/>
      <c r="AT305" s="1467"/>
      <c r="AU305" s="1467"/>
      <c r="AV305" s="1467"/>
      <c r="AW305" s="1467"/>
      <c r="AX305" s="1467"/>
      <c r="AY305" s="1467"/>
      <c r="AZ305" s="1467"/>
      <c r="BA305" s="1467"/>
      <c r="BB305" s="1467"/>
      <c r="BC305" s="1467"/>
      <c r="BD305" s="1467"/>
      <c r="BE305" s="1467"/>
      <c r="BF305" s="1467"/>
      <c r="BG305" s="1467"/>
      <c r="BH305" s="1467"/>
      <c r="BI305" s="1467"/>
      <c r="BJ305" s="1467"/>
      <c r="BK305" s="1467"/>
      <c r="BL305" s="1467"/>
      <c r="BM305" s="1467"/>
      <c r="BN305" s="1467"/>
      <c r="BO305" s="1467"/>
      <c r="BP305" s="1467"/>
      <c r="BQ305" s="1467"/>
    </row>
    <row r="306" spans="3:69" ht="15" customHeight="1">
      <c r="C306" s="1530"/>
      <c r="D306" s="1531"/>
      <c r="E306" s="1531"/>
      <c r="F306" s="1531"/>
      <c r="G306" s="1531"/>
      <c r="H306" s="1531"/>
      <c r="I306" s="1531"/>
      <c r="J306" s="1531"/>
      <c r="K306" s="1531"/>
      <c r="L306" s="1531"/>
      <c r="M306" s="1531"/>
      <c r="N306" s="1531"/>
      <c r="O306" s="1531"/>
      <c r="P306" s="1531"/>
      <c r="Q306" s="1532"/>
      <c r="R306" s="10"/>
      <c r="S306" s="1530"/>
      <c r="T306" s="1531"/>
      <c r="U306" s="1531"/>
      <c r="V306" s="1531"/>
      <c r="W306" s="1531"/>
      <c r="X306" s="1531"/>
      <c r="Y306" s="1531"/>
      <c r="Z306" s="1531"/>
      <c r="AA306" s="1531"/>
      <c r="AB306" s="1531"/>
      <c r="AC306" s="1531"/>
      <c r="AD306" s="1531"/>
      <c r="AE306" s="1531"/>
      <c r="AF306" s="1531"/>
      <c r="AG306" s="1532"/>
      <c r="AL306" s="1467"/>
      <c r="AM306" s="1467"/>
      <c r="AN306" s="1467"/>
      <c r="AO306" s="1467"/>
      <c r="AP306" s="1467"/>
      <c r="AQ306" s="1467"/>
      <c r="AR306" s="1467"/>
      <c r="AS306" s="1467"/>
      <c r="AT306" s="1467"/>
      <c r="AU306" s="1467"/>
      <c r="AV306" s="1467"/>
      <c r="AW306" s="1467"/>
      <c r="AX306" s="1467"/>
      <c r="AY306" s="1467"/>
      <c r="AZ306" s="1467"/>
      <c r="BA306" s="1467"/>
      <c r="BB306" s="1467"/>
      <c r="BC306" s="1467"/>
      <c r="BD306" s="1467"/>
      <c r="BE306" s="1467"/>
      <c r="BF306" s="1467"/>
      <c r="BG306" s="1467"/>
      <c r="BH306" s="1467"/>
      <c r="BI306" s="1467"/>
      <c r="BJ306" s="1467"/>
      <c r="BK306" s="1467"/>
      <c r="BL306" s="1467"/>
      <c r="BM306" s="1467"/>
      <c r="BN306" s="1467"/>
      <c r="BO306" s="1467"/>
      <c r="BP306" s="1467"/>
      <c r="BQ306" s="1467"/>
    </row>
    <row r="307" spans="3:69" ht="15" customHeight="1">
      <c r="C307" s="1530"/>
      <c r="D307" s="1531"/>
      <c r="E307" s="1531"/>
      <c r="F307" s="1531"/>
      <c r="G307" s="1531"/>
      <c r="H307" s="1531"/>
      <c r="I307" s="1531"/>
      <c r="J307" s="1531"/>
      <c r="K307" s="1531"/>
      <c r="L307" s="1531"/>
      <c r="M307" s="1531"/>
      <c r="N307" s="1531"/>
      <c r="O307" s="1531"/>
      <c r="P307" s="1531"/>
      <c r="Q307" s="1532"/>
      <c r="R307" s="10"/>
      <c r="S307" s="1530"/>
      <c r="T307" s="1531"/>
      <c r="U307" s="1531"/>
      <c r="V307" s="1531"/>
      <c r="W307" s="1531"/>
      <c r="X307" s="1531"/>
      <c r="Y307" s="1531"/>
      <c r="Z307" s="1531"/>
      <c r="AA307" s="1531"/>
      <c r="AB307" s="1531"/>
      <c r="AC307" s="1531"/>
      <c r="AD307" s="1531"/>
      <c r="AE307" s="1531"/>
      <c r="AF307" s="1531"/>
      <c r="AG307" s="1532"/>
      <c r="AM307" s="1473"/>
      <c r="AN307" s="1473"/>
      <c r="AO307" s="1473"/>
      <c r="AP307" s="1473"/>
      <c r="AQ307" s="1473"/>
      <c r="AR307" s="1473"/>
      <c r="AS307" s="1473"/>
      <c r="AT307" s="1473"/>
      <c r="AU307" s="1473"/>
      <c r="AV307" s="1473"/>
      <c r="AW307" s="1473"/>
      <c r="AX307" s="1473"/>
      <c r="AY307" s="1473"/>
      <c r="AZ307" s="1473"/>
      <c r="BA307" s="1473"/>
      <c r="BB307" s="1473"/>
      <c r="BC307" s="1473"/>
      <c r="BD307" s="1473"/>
      <c r="BE307" s="1473"/>
      <c r="BF307" s="1473"/>
      <c r="BG307" s="1473"/>
      <c r="BH307" s="1473"/>
      <c r="BI307" s="1473"/>
      <c r="BJ307" s="1473"/>
      <c r="BK307" s="1473"/>
      <c r="BL307" s="1473"/>
      <c r="BM307" s="1473"/>
      <c r="BN307" s="1473"/>
      <c r="BO307" s="1473"/>
      <c r="BP307" s="1473"/>
      <c r="BQ307" s="1473"/>
    </row>
    <row r="308" spans="3:69" ht="15" customHeight="1">
      <c r="C308" s="1530"/>
      <c r="D308" s="1531"/>
      <c r="E308" s="1531"/>
      <c r="F308" s="1531"/>
      <c r="G308" s="1531"/>
      <c r="H308" s="1531"/>
      <c r="I308" s="1531"/>
      <c r="J308" s="1531"/>
      <c r="K308" s="1531"/>
      <c r="L308" s="1531"/>
      <c r="M308" s="1531"/>
      <c r="N308" s="1531"/>
      <c r="O308" s="1531"/>
      <c r="P308" s="1531"/>
      <c r="Q308" s="1532"/>
      <c r="R308" s="10"/>
      <c r="S308" s="1530"/>
      <c r="T308" s="1531"/>
      <c r="U308" s="1531"/>
      <c r="V308" s="1531"/>
      <c r="W308" s="1531"/>
      <c r="X308" s="1531"/>
      <c r="Y308" s="1531"/>
      <c r="Z308" s="1531"/>
      <c r="AA308" s="1531"/>
      <c r="AB308" s="1531"/>
      <c r="AC308" s="1531"/>
      <c r="AD308" s="1531"/>
      <c r="AE308" s="1531"/>
      <c r="AF308" s="1531"/>
      <c r="AG308" s="1532"/>
      <c r="AM308" s="1474"/>
      <c r="AN308" s="1474"/>
      <c r="AO308" s="1474"/>
      <c r="AP308" s="1474"/>
      <c r="AQ308" s="1474"/>
      <c r="AR308" s="1474"/>
      <c r="AS308" s="1474"/>
      <c r="AT308" s="1474"/>
      <c r="AU308" s="1474"/>
      <c r="AV308" s="1474"/>
      <c r="AW308" s="1474"/>
      <c r="AX308" s="1474"/>
      <c r="AY308" s="1474"/>
      <c r="AZ308" s="1474"/>
      <c r="BA308" s="1474"/>
      <c r="BB308" s="1474"/>
      <c r="BC308" s="1474"/>
      <c r="BD308" s="1474"/>
      <c r="BE308" s="1474"/>
      <c r="BF308" s="1474"/>
      <c r="BG308" s="1474"/>
      <c r="BH308" s="1474"/>
      <c r="BI308" s="1474"/>
      <c r="BJ308" s="1474"/>
      <c r="BK308" s="1474"/>
      <c r="BL308" s="1474"/>
      <c r="BM308" s="1474"/>
      <c r="BN308" s="1474"/>
      <c r="BO308" s="1474"/>
      <c r="BP308" s="1474"/>
      <c r="BQ308" s="1474"/>
    </row>
    <row r="309" spans="3:69" ht="15" customHeight="1">
      <c r="C309" s="1533"/>
      <c r="D309" s="1534"/>
      <c r="E309" s="1534"/>
      <c r="F309" s="1534"/>
      <c r="G309" s="1534"/>
      <c r="H309" s="1534"/>
      <c r="I309" s="1534"/>
      <c r="J309" s="1534"/>
      <c r="K309" s="1534"/>
      <c r="L309" s="1534"/>
      <c r="M309" s="1534"/>
      <c r="N309" s="1534"/>
      <c r="O309" s="1534"/>
      <c r="P309" s="1534"/>
      <c r="Q309" s="1535"/>
      <c r="R309" s="10"/>
      <c r="S309" s="1533"/>
      <c r="T309" s="1534"/>
      <c r="U309" s="1534"/>
      <c r="V309" s="1534"/>
      <c r="W309" s="1534"/>
      <c r="X309" s="1534"/>
      <c r="Y309" s="1534"/>
      <c r="Z309" s="1534"/>
      <c r="AA309" s="1534"/>
      <c r="AB309" s="1534"/>
      <c r="AC309" s="1534"/>
      <c r="AD309" s="1534"/>
      <c r="AE309" s="1534"/>
      <c r="AF309" s="1534"/>
      <c r="AG309" s="1535"/>
      <c r="AM309" s="1473"/>
      <c r="AN309" s="1473"/>
      <c r="AO309" s="1473"/>
      <c r="AP309" s="1473"/>
      <c r="AQ309" s="1473"/>
      <c r="AR309" s="1473"/>
      <c r="AS309" s="1473"/>
      <c r="AT309" s="1473"/>
      <c r="AU309" s="1473"/>
      <c r="AV309" s="1473"/>
      <c r="AW309" s="1473"/>
      <c r="AX309" s="1473"/>
      <c r="AY309" s="1473"/>
      <c r="AZ309" s="1473"/>
      <c r="BA309" s="1473"/>
      <c r="BB309" s="1473"/>
      <c r="BC309" s="1473"/>
      <c r="BD309" s="1473"/>
      <c r="BE309" s="1473"/>
      <c r="BF309" s="1473"/>
      <c r="BG309" s="1473"/>
      <c r="BH309" s="1473"/>
      <c r="BI309" s="1473"/>
      <c r="BJ309" s="1473"/>
      <c r="BK309" s="1473"/>
      <c r="BL309" s="1473"/>
      <c r="BM309" s="1473"/>
      <c r="BN309" s="1473"/>
      <c r="BO309" s="1473"/>
      <c r="BP309" s="1473"/>
      <c r="BQ309" s="1473"/>
    </row>
    <row r="310" spans="3:69" ht="15" customHeight="1"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L310" s="205"/>
      <c r="AM310" s="1473"/>
      <c r="AN310" s="1473"/>
      <c r="AO310" s="1473"/>
      <c r="AP310" s="1473"/>
      <c r="AQ310" s="1473"/>
      <c r="AR310" s="1473"/>
      <c r="AS310" s="1473"/>
      <c r="AT310" s="1473"/>
      <c r="AU310" s="1473"/>
      <c r="AV310" s="1473"/>
      <c r="AW310" s="1473"/>
      <c r="AX310" s="1473"/>
      <c r="AY310" s="1473"/>
      <c r="AZ310" s="1473"/>
      <c r="BA310" s="1473"/>
      <c r="BB310" s="1473"/>
      <c r="BC310" s="1473"/>
      <c r="BD310" s="1473"/>
      <c r="BE310" s="1473"/>
      <c r="BF310" s="1473"/>
      <c r="BG310" s="1473"/>
      <c r="BH310" s="1473"/>
      <c r="BI310" s="1473"/>
      <c r="BJ310" s="1473"/>
      <c r="BK310" s="1473"/>
      <c r="BL310" s="1473"/>
      <c r="BM310" s="1473"/>
      <c r="BN310" s="1473"/>
      <c r="BO310" s="1473"/>
      <c r="BP310" s="1473"/>
      <c r="BQ310" s="1473"/>
    </row>
    <row r="311" spans="3:69" ht="15" customHeight="1">
      <c r="C311" s="1540" t="s">
        <v>870</v>
      </c>
      <c r="D311" s="1541"/>
      <c r="E311" s="1541"/>
      <c r="F311" s="1541"/>
      <c r="G311" s="1541"/>
      <c r="H311" s="1541"/>
      <c r="I311" s="1541"/>
      <c r="J311" s="1541"/>
      <c r="K311" s="1541"/>
      <c r="L311" s="1541"/>
      <c r="M311" s="1541"/>
      <c r="N311" s="1541"/>
      <c r="O311" s="1541"/>
      <c r="P311" s="1541"/>
      <c r="Q311" s="1542"/>
      <c r="R311" s="414"/>
      <c r="S311" s="1510" t="s">
        <v>870</v>
      </c>
      <c r="T311" s="1511"/>
      <c r="U311" s="1511"/>
      <c r="V311" s="1511"/>
      <c r="W311" s="1511"/>
      <c r="X311" s="1511"/>
      <c r="Y311" s="1511"/>
      <c r="Z311" s="1511"/>
      <c r="AA311" s="1511"/>
      <c r="AB311" s="1511"/>
      <c r="AC311" s="1511"/>
      <c r="AD311" s="1511"/>
      <c r="AE311" s="1511"/>
      <c r="AF311" s="1511"/>
      <c r="AG311" s="1512"/>
      <c r="AM311" s="1473"/>
      <c r="AN311" s="1473"/>
      <c r="AO311" s="1473"/>
      <c r="AP311" s="1473"/>
      <c r="AQ311" s="1473"/>
      <c r="AR311" s="1473"/>
      <c r="AS311" s="1473"/>
      <c r="AT311" s="1473"/>
      <c r="AU311" s="1473"/>
      <c r="AV311" s="1473"/>
      <c r="AW311" s="1473"/>
      <c r="AX311" s="1473"/>
      <c r="AY311" s="1473"/>
      <c r="AZ311" s="1473"/>
      <c r="BA311" s="1473"/>
      <c r="BB311" s="1473"/>
      <c r="BC311" s="1473"/>
      <c r="BD311" s="1473"/>
      <c r="BE311" s="1473"/>
      <c r="BF311" s="1473"/>
      <c r="BG311" s="1473"/>
      <c r="BH311" s="1473"/>
      <c r="BI311" s="1473"/>
      <c r="BJ311" s="1473"/>
      <c r="BK311" s="1473"/>
      <c r="BL311" s="1473"/>
      <c r="BM311" s="1473"/>
      <c r="BN311" s="1473"/>
      <c r="BO311" s="1473"/>
      <c r="BP311" s="1473"/>
      <c r="BQ311" s="1473"/>
    </row>
    <row r="312" spans="3:69" ht="15" customHeight="1">
      <c r="C312" s="1543"/>
      <c r="D312" s="1544"/>
      <c r="E312" s="1544"/>
      <c r="F312" s="1544"/>
      <c r="G312" s="1544"/>
      <c r="H312" s="1544"/>
      <c r="I312" s="1544"/>
      <c r="J312" s="1544"/>
      <c r="K312" s="1544"/>
      <c r="L312" s="1544"/>
      <c r="M312" s="1544"/>
      <c r="N312" s="1544"/>
      <c r="O312" s="1544"/>
      <c r="P312" s="1544"/>
      <c r="Q312" s="1545"/>
      <c r="R312" s="414"/>
      <c r="S312" s="1513"/>
      <c r="T312" s="1514"/>
      <c r="U312" s="1514"/>
      <c r="V312" s="1514"/>
      <c r="W312" s="1514"/>
      <c r="X312" s="1514"/>
      <c r="Y312" s="1514"/>
      <c r="Z312" s="1514"/>
      <c r="AA312" s="1514"/>
      <c r="AB312" s="1514"/>
      <c r="AC312" s="1514"/>
      <c r="AD312" s="1514"/>
      <c r="AE312" s="1514"/>
      <c r="AF312" s="1514"/>
      <c r="AG312" s="1515"/>
    </row>
    <row r="313" spans="3:69" ht="15" customHeight="1">
      <c r="C313" s="170"/>
      <c r="D313" s="170"/>
      <c r="E313" s="170"/>
      <c r="F313" s="170"/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48"/>
      <c r="S313" s="170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</row>
    <row r="314" spans="3:69" ht="15" customHeight="1">
      <c r="C314" s="170"/>
      <c r="D314" s="170"/>
      <c r="E314" s="170"/>
      <c r="F314" s="170"/>
      <c r="G314" s="170"/>
      <c r="H314" s="170"/>
      <c r="I314" s="170"/>
      <c r="K314" s="170"/>
      <c r="L314" s="170"/>
      <c r="M314" s="170"/>
      <c r="N314" s="170"/>
      <c r="O314" s="170"/>
      <c r="P314" s="170"/>
      <c r="Q314" s="170"/>
      <c r="R314" s="148"/>
      <c r="S314" s="170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</row>
    <row r="315" spans="3:69" ht="15" customHeight="1">
      <c r="C315" s="170"/>
      <c r="D315" s="170"/>
      <c r="E315" s="170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48"/>
      <c r="S315" s="170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</row>
    <row r="316" spans="3:69" ht="15" customHeight="1"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L316" s="121"/>
    </row>
    <row r="317" spans="3:69" ht="15" customHeight="1">
      <c r="C317" s="1527" t="s">
        <v>153</v>
      </c>
      <c r="D317" s="1528"/>
      <c r="E317" s="1528"/>
      <c r="F317" s="1528"/>
      <c r="G317" s="1528"/>
      <c r="H317" s="1528"/>
      <c r="I317" s="1528"/>
      <c r="J317" s="1528"/>
      <c r="K317" s="1528"/>
      <c r="L317" s="1528"/>
      <c r="M317" s="1528"/>
      <c r="N317" s="1528"/>
      <c r="O317" s="1528"/>
      <c r="P317" s="1528"/>
      <c r="Q317" s="1529"/>
      <c r="R317" s="10"/>
      <c r="S317" s="1527" t="s">
        <v>154</v>
      </c>
      <c r="T317" s="1528"/>
      <c r="U317" s="1528"/>
      <c r="V317" s="1528"/>
      <c r="W317" s="1528"/>
      <c r="X317" s="1528"/>
      <c r="Y317" s="1528"/>
      <c r="Z317" s="1528"/>
      <c r="AA317" s="1528"/>
      <c r="AB317" s="1528"/>
      <c r="AC317" s="1528"/>
      <c r="AD317" s="1528"/>
      <c r="AE317" s="1528"/>
      <c r="AF317" s="1528"/>
      <c r="AG317" s="1529"/>
      <c r="AL317" s="78"/>
      <c r="AM317" s="232"/>
      <c r="AN317" s="232"/>
      <c r="AO317" s="232"/>
      <c r="AP317" s="232"/>
      <c r="AQ317" s="226"/>
      <c r="AR317" s="226"/>
      <c r="AS317" s="226"/>
      <c r="AT317" s="232"/>
      <c r="AU317" s="232"/>
      <c r="AV317" s="232"/>
      <c r="AW317" s="232"/>
      <c r="AX317" s="226"/>
      <c r="AY317" s="226"/>
      <c r="AZ317" s="226"/>
      <c r="BA317" s="232"/>
      <c r="BB317" s="232"/>
      <c r="BC317" s="232"/>
      <c r="BD317" s="232"/>
      <c r="BE317" s="226"/>
      <c r="BF317" s="226"/>
      <c r="BG317" s="226"/>
      <c r="BH317" s="232"/>
      <c r="BI317" s="232"/>
      <c r="BJ317" s="232"/>
      <c r="BK317" s="232"/>
      <c r="BL317" s="226"/>
      <c r="BM317" s="226"/>
      <c r="BN317" s="226"/>
      <c r="BO317" s="232"/>
      <c r="BP317" s="232"/>
      <c r="BQ317" s="226"/>
    </row>
    <row r="318" spans="3:69" ht="15" customHeight="1">
      <c r="C318" s="1530"/>
      <c r="D318" s="1531"/>
      <c r="E318" s="1531"/>
      <c r="F318" s="1531"/>
      <c r="G318" s="1531"/>
      <c r="H318" s="1531"/>
      <c r="I318" s="1531"/>
      <c r="J318" s="1531"/>
      <c r="K318" s="1531"/>
      <c r="L318" s="1531"/>
      <c r="M318" s="1531"/>
      <c r="N318" s="1531"/>
      <c r="O318" s="1531"/>
      <c r="P318" s="1531"/>
      <c r="Q318" s="1532"/>
      <c r="R318" s="10"/>
      <c r="S318" s="1530"/>
      <c r="T318" s="1531"/>
      <c r="U318" s="1531"/>
      <c r="V318" s="1531"/>
      <c r="W318" s="1531"/>
      <c r="X318" s="1531"/>
      <c r="Y318" s="1531"/>
      <c r="Z318" s="1531"/>
      <c r="AA318" s="1531"/>
      <c r="AB318" s="1531"/>
      <c r="AC318" s="1531"/>
      <c r="AD318" s="1531"/>
      <c r="AE318" s="1531"/>
      <c r="AF318" s="1531"/>
      <c r="AG318" s="1532"/>
      <c r="AL318" s="78"/>
      <c r="AM318" s="232"/>
      <c r="AN318" s="232"/>
      <c r="AO318" s="232"/>
      <c r="AP318" s="232"/>
      <c r="AQ318" s="226"/>
      <c r="AR318" s="226"/>
      <c r="AS318" s="226"/>
      <c r="AT318" s="232"/>
      <c r="AU318" s="232"/>
      <c r="AV318" s="232"/>
      <c r="AW318" s="232"/>
      <c r="AX318" s="226"/>
      <c r="AY318" s="226"/>
      <c r="AZ318" s="226"/>
      <c r="BA318" s="232"/>
      <c r="BB318" s="232"/>
      <c r="BC318" s="232"/>
      <c r="BD318" s="232"/>
      <c r="BE318" s="226"/>
      <c r="BF318" s="226"/>
      <c r="BG318" s="226"/>
      <c r="BH318" s="232"/>
      <c r="BI318" s="232"/>
      <c r="BJ318" s="232"/>
      <c r="BK318" s="232"/>
      <c r="BL318" s="226"/>
      <c r="BM318" s="226"/>
      <c r="BN318" s="226"/>
      <c r="BO318" s="232"/>
      <c r="BP318" s="232"/>
      <c r="BQ318" s="226"/>
    </row>
    <row r="319" spans="3:69" ht="15" customHeight="1">
      <c r="C319" s="1530"/>
      <c r="D319" s="1531"/>
      <c r="E319" s="1531"/>
      <c r="F319" s="1531"/>
      <c r="G319" s="1531"/>
      <c r="H319" s="1531"/>
      <c r="I319" s="1531"/>
      <c r="J319" s="1531"/>
      <c r="K319" s="1531"/>
      <c r="L319" s="1531"/>
      <c r="M319" s="1531"/>
      <c r="N319" s="1531"/>
      <c r="O319" s="1531"/>
      <c r="P319" s="1531"/>
      <c r="Q319" s="1532"/>
      <c r="R319" s="10"/>
      <c r="S319" s="1530"/>
      <c r="T319" s="1531"/>
      <c r="U319" s="1531"/>
      <c r="V319" s="1531"/>
      <c r="W319" s="1531"/>
      <c r="X319" s="1531"/>
      <c r="Y319" s="1531"/>
      <c r="Z319" s="1531"/>
      <c r="AA319" s="1531"/>
      <c r="AB319" s="1531"/>
      <c r="AC319" s="1531"/>
      <c r="AD319" s="1531"/>
      <c r="AE319" s="1531"/>
      <c r="AF319" s="1531"/>
      <c r="AG319" s="1532"/>
      <c r="AL319" s="78"/>
      <c r="AM319" s="232"/>
      <c r="AN319" s="232"/>
      <c r="AO319" s="232"/>
      <c r="AP319" s="232"/>
      <c r="AQ319" s="226"/>
      <c r="AR319" s="226"/>
      <c r="AS319" s="226"/>
      <c r="AT319" s="232"/>
      <c r="AU319" s="232"/>
      <c r="AV319" s="232"/>
      <c r="AW319" s="232"/>
      <c r="AX319" s="226"/>
      <c r="AY319" s="226"/>
      <c r="AZ319" s="226"/>
      <c r="BA319" s="232"/>
      <c r="BB319" s="232"/>
      <c r="BC319" s="232"/>
      <c r="BD319" s="232"/>
      <c r="BE319" s="226"/>
      <c r="BF319" s="226"/>
      <c r="BG319" s="226"/>
      <c r="BH319" s="232"/>
      <c r="BI319" s="232"/>
      <c r="BJ319" s="232"/>
      <c r="BK319" s="232"/>
      <c r="BL319" s="226"/>
      <c r="BM319" s="226"/>
      <c r="BN319" s="226"/>
      <c r="BO319" s="232"/>
      <c r="BP319" s="232"/>
      <c r="BQ319" s="226"/>
    </row>
    <row r="320" spans="3:69" ht="15" customHeight="1">
      <c r="C320" s="1530"/>
      <c r="D320" s="1531"/>
      <c r="E320" s="1531"/>
      <c r="F320" s="1531"/>
      <c r="G320" s="1531"/>
      <c r="H320" s="1531"/>
      <c r="I320" s="1531"/>
      <c r="J320" s="1531"/>
      <c r="K320" s="1531"/>
      <c r="L320" s="1531"/>
      <c r="M320" s="1531"/>
      <c r="N320" s="1531"/>
      <c r="O320" s="1531"/>
      <c r="P320" s="1531"/>
      <c r="Q320" s="1532"/>
      <c r="R320" s="10"/>
      <c r="S320" s="1530"/>
      <c r="T320" s="1531"/>
      <c r="U320" s="1531"/>
      <c r="V320" s="1531"/>
      <c r="W320" s="1531"/>
      <c r="X320" s="1531"/>
      <c r="Y320" s="1531"/>
      <c r="Z320" s="1531"/>
      <c r="AA320" s="1531"/>
      <c r="AB320" s="1531"/>
      <c r="AC320" s="1531"/>
      <c r="AD320" s="1531"/>
      <c r="AE320" s="1531"/>
      <c r="AF320" s="1531"/>
      <c r="AG320" s="1532"/>
      <c r="AL320" s="78"/>
      <c r="AM320" s="232"/>
      <c r="AN320" s="232"/>
      <c r="AO320" s="232"/>
      <c r="AP320" s="232"/>
      <c r="AQ320" s="226"/>
      <c r="AR320" s="226"/>
      <c r="AS320" s="226"/>
      <c r="AT320" s="232"/>
      <c r="AU320" s="232"/>
      <c r="AV320" s="232"/>
      <c r="AW320" s="232"/>
      <c r="AX320" s="226"/>
      <c r="AY320" s="226"/>
      <c r="AZ320" s="226"/>
      <c r="BA320" s="232"/>
      <c r="BB320" s="232"/>
      <c r="BC320" s="232"/>
      <c r="BD320" s="232"/>
      <c r="BE320" s="226"/>
      <c r="BF320" s="226"/>
      <c r="BG320" s="226"/>
      <c r="BH320" s="232"/>
      <c r="BI320" s="232"/>
      <c r="BJ320" s="232"/>
      <c r="BK320" s="232"/>
      <c r="BL320" s="226"/>
      <c r="BM320" s="226"/>
      <c r="BN320" s="226"/>
      <c r="BO320" s="232"/>
      <c r="BP320" s="232"/>
      <c r="BQ320" s="226"/>
    </row>
    <row r="321" spans="3:69" ht="15" customHeight="1">
      <c r="C321" s="1530"/>
      <c r="D321" s="1531"/>
      <c r="E321" s="1531"/>
      <c r="F321" s="1531"/>
      <c r="G321" s="1531"/>
      <c r="H321" s="1531"/>
      <c r="I321" s="1531"/>
      <c r="J321" s="1531"/>
      <c r="K321" s="1531"/>
      <c r="L321" s="1531"/>
      <c r="M321" s="1531"/>
      <c r="N321" s="1531"/>
      <c r="O321" s="1531"/>
      <c r="P321" s="1531"/>
      <c r="Q321" s="1532"/>
      <c r="R321" s="10"/>
      <c r="S321" s="1530"/>
      <c r="T321" s="1531"/>
      <c r="U321" s="1531"/>
      <c r="V321" s="1531"/>
      <c r="W321" s="1531"/>
      <c r="X321" s="1531"/>
      <c r="Y321" s="1531"/>
      <c r="Z321" s="1531"/>
      <c r="AA321" s="1531"/>
      <c r="AB321" s="1531"/>
      <c r="AC321" s="1531"/>
      <c r="AD321" s="1531"/>
      <c r="AE321" s="1531"/>
      <c r="AF321" s="1531"/>
      <c r="AG321" s="1532"/>
      <c r="AL321" s="78"/>
      <c r="AM321" s="232"/>
      <c r="AN321" s="232"/>
      <c r="AO321" s="232"/>
      <c r="AP321" s="232"/>
      <c r="AQ321" s="226"/>
      <c r="AR321" s="226"/>
      <c r="AS321" s="226"/>
      <c r="AT321" s="232"/>
      <c r="AU321" s="232"/>
      <c r="AV321" s="232"/>
      <c r="AW321" s="232"/>
      <c r="AX321" s="226"/>
      <c r="AY321" s="226"/>
      <c r="AZ321" s="226"/>
      <c r="BA321" s="232"/>
      <c r="BB321" s="232"/>
      <c r="BC321" s="232"/>
      <c r="BD321" s="232"/>
      <c r="BE321" s="226"/>
      <c r="BF321" s="226"/>
      <c r="BG321" s="226"/>
      <c r="BH321" s="232"/>
      <c r="BI321" s="232"/>
      <c r="BJ321" s="232"/>
      <c r="BK321" s="232"/>
      <c r="BL321" s="226"/>
      <c r="BM321" s="226"/>
      <c r="BN321" s="226"/>
      <c r="BO321" s="232"/>
      <c r="BP321" s="232"/>
      <c r="BQ321" s="226"/>
    </row>
    <row r="322" spans="3:69" ht="15" customHeight="1">
      <c r="C322" s="1530"/>
      <c r="D322" s="1531"/>
      <c r="E322" s="1531"/>
      <c r="F322" s="1531"/>
      <c r="G322" s="1531"/>
      <c r="H322" s="1531"/>
      <c r="I322" s="1531"/>
      <c r="J322" s="1531"/>
      <c r="K322" s="1531"/>
      <c r="L322" s="1531"/>
      <c r="M322" s="1531"/>
      <c r="N322" s="1531"/>
      <c r="O322" s="1531"/>
      <c r="P322" s="1531"/>
      <c r="Q322" s="1532"/>
      <c r="R322" s="10"/>
      <c r="S322" s="1530"/>
      <c r="T322" s="1531"/>
      <c r="U322" s="1531"/>
      <c r="V322" s="1531"/>
      <c r="W322" s="1531"/>
      <c r="X322" s="1531"/>
      <c r="Y322" s="1531"/>
      <c r="Z322" s="1531"/>
      <c r="AA322" s="1531"/>
      <c r="AB322" s="1531"/>
      <c r="AC322" s="1531"/>
      <c r="AD322" s="1531"/>
      <c r="AE322" s="1531"/>
      <c r="AF322" s="1531"/>
      <c r="AG322" s="1532"/>
      <c r="AL322" s="1467"/>
      <c r="AM322" s="1467"/>
      <c r="AN322" s="1467"/>
      <c r="AO322" s="1467"/>
      <c r="AP322" s="1467"/>
      <c r="AQ322" s="1467"/>
      <c r="AR322" s="1467"/>
      <c r="AS322" s="1467"/>
      <c r="AT322" s="1467"/>
      <c r="AU322" s="1467"/>
      <c r="AV322" s="1467"/>
      <c r="AW322" s="1467"/>
      <c r="AX322" s="1467"/>
      <c r="AY322" s="1467"/>
      <c r="AZ322" s="1467"/>
      <c r="BA322" s="1467"/>
      <c r="BB322" s="1467"/>
      <c r="BC322" s="1467"/>
      <c r="BD322" s="1467"/>
      <c r="BE322" s="1467"/>
      <c r="BF322" s="1467"/>
      <c r="BG322" s="1467"/>
      <c r="BH322" s="1467"/>
      <c r="BI322" s="1467"/>
      <c r="BJ322" s="1467"/>
      <c r="BK322" s="1467"/>
      <c r="BL322" s="1467"/>
      <c r="BM322" s="1467"/>
      <c r="BN322" s="1467"/>
      <c r="BO322" s="1467"/>
      <c r="BP322" s="1467"/>
      <c r="BQ322" s="1467"/>
    </row>
    <row r="323" spans="3:69" ht="15" customHeight="1">
      <c r="C323" s="1530"/>
      <c r="D323" s="1531"/>
      <c r="E323" s="1531"/>
      <c r="F323" s="1531"/>
      <c r="G323" s="1531"/>
      <c r="H323" s="1531"/>
      <c r="I323" s="1531"/>
      <c r="J323" s="1531"/>
      <c r="K323" s="1531"/>
      <c r="L323" s="1531"/>
      <c r="M323" s="1531"/>
      <c r="N323" s="1531"/>
      <c r="O323" s="1531"/>
      <c r="P323" s="1531"/>
      <c r="Q323" s="1532"/>
      <c r="R323" s="10"/>
      <c r="S323" s="1530"/>
      <c r="T323" s="1531"/>
      <c r="U323" s="1531"/>
      <c r="V323" s="1531"/>
      <c r="W323" s="1531"/>
      <c r="X323" s="1531"/>
      <c r="Y323" s="1531"/>
      <c r="Z323" s="1531"/>
      <c r="AA323" s="1531"/>
      <c r="AB323" s="1531"/>
      <c r="AC323" s="1531"/>
      <c r="AD323" s="1531"/>
      <c r="AE323" s="1531"/>
      <c r="AF323" s="1531"/>
      <c r="AG323" s="1532"/>
      <c r="AL323" s="1467"/>
      <c r="AM323" s="1467"/>
      <c r="AN323" s="1467"/>
      <c r="AO323" s="1467"/>
      <c r="AP323" s="1467"/>
      <c r="AQ323" s="1467"/>
      <c r="AR323" s="1467"/>
      <c r="AS323" s="1467"/>
      <c r="AT323" s="1467"/>
      <c r="AU323" s="1467"/>
      <c r="AV323" s="1467"/>
      <c r="AW323" s="1467"/>
      <c r="AX323" s="1467"/>
      <c r="AY323" s="1467"/>
      <c r="AZ323" s="1467"/>
      <c r="BA323" s="1467"/>
      <c r="BB323" s="1467"/>
      <c r="BC323" s="1467"/>
      <c r="BD323" s="1467"/>
      <c r="BE323" s="1467"/>
      <c r="BF323" s="1467"/>
      <c r="BG323" s="1467"/>
      <c r="BH323" s="1467"/>
      <c r="BI323" s="1467"/>
      <c r="BJ323" s="1467"/>
      <c r="BK323" s="1467"/>
      <c r="BL323" s="1467"/>
      <c r="BM323" s="1467"/>
      <c r="BN323" s="1467"/>
      <c r="BO323" s="1467"/>
      <c r="BP323" s="1467"/>
      <c r="BQ323" s="1467"/>
    </row>
    <row r="324" spans="3:69" ht="15" customHeight="1">
      <c r="C324" s="1530"/>
      <c r="D324" s="1531"/>
      <c r="E324" s="1531"/>
      <c r="F324" s="1531"/>
      <c r="G324" s="1531"/>
      <c r="H324" s="1531"/>
      <c r="I324" s="1531"/>
      <c r="J324" s="1531"/>
      <c r="K324" s="1531"/>
      <c r="L324" s="1531"/>
      <c r="M324" s="1531"/>
      <c r="N324" s="1531"/>
      <c r="O324" s="1531"/>
      <c r="P324" s="1531"/>
      <c r="Q324" s="1532"/>
      <c r="R324" s="10"/>
      <c r="S324" s="1530"/>
      <c r="T324" s="1531"/>
      <c r="U324" s="1531"/>
      <c r="V324" s="1531"/>
      <c r="W324" s="1531"/>
      <c r="X324" s="1531"/>
      <c r="Y324" s="1531"/>
      <c r="Z324" s="1531"/>
      <c r="AA324" s="1531"/>
      <c r="AB324" s="1531"/>
      <c r="AC324" s="1531"/>
      <c r="AD324" s="1531"/>
      <c r="AE324" s="1531"/>
      <c r="AF324" s="1531"/>
      <c r="AG324" s="1532"/>
      <c r="AL324" s="78"/>
      <c r="AM324" s="232"/>
      <c r="AN324" s="232"/>
      <c r="AO324" s="232"/>
      <c r="AP324" s="232"/>
      <c r="AQ324" s="226"/>
      <c r="AR324" s="226"/>
      <c r="AS324" s="226"/>
      <c r="AT324" s="232"/>
      <c r="AU324" s="232"/>
      <c r="AV324" s="232"/>
      <c r="AW324" s="232"/>
      <c r="AX324" s="226"/>
      <c r="AY324" s="226"/>
      <c r="AZ324" s="226"/>
      <c r="BA324" s="232"/>
      <c r="BB324" s="232"/>
      <c r="BC324" s="232"/>
      <c r="BD324" s="232"/>
      <c r="BE324" s="226"/>
      <c r="BF324" s="226"/>
      <c r="BG324" s="226"/>
      <c r="BH324" s="232"/>
      <c r="BI324" s="232"/>
      <c r="BJ324" s="232"/>
      <c r="BK324" s="232"/>
      <c r="BL324" s="226"/>
      <c r="BM324" s="226"/>
      <c r="BN324" s="226"/>
      <c r="BO324" s="232"/>
      <c r="BP324" s="232"/>
      <c r="BQ324" s="226"/>
    </row>
    <row r="325" spans="3:69" ht="15" customHeight="1">
      <c r="C325" s="1530"/>
      <c r="D325" s="1531"/>
      <c r="E325" s="1531"/>
      <c r="F325" s="1531"/>
      <c r="G325" s="1531"/>
      <c r="H325" s="1531"/>
      <c r="I325" s="1531"/>
      <c r="J325" s="1531"/>
      <c r="K325" s="1531"/>
      <c r="L325" s="1531"/>
      <c r="M325" s="1531"/>
      <c r="N325" s="1531"/>
      <c r="O325" s="1531"/>
      <c r="P325" s="1531"/>
      <c r="Q325" s="1532"/>
      <c r="R325" s="10"/>
      <c r="S325" s="1530"/>
      <c r="T325" s="1531"/>
      <c r="U325" s="1531"/>
      <c r="V325" s="1531"/>
      <c r="W325" s="1531"/>
      <c r="X325" s="1531"/>
      <c r="Y325" s="1531"/>
      <c r="Z325" s="1531"/>
      <c r="AA325" s="1531"/>
      <c r="AB325" s="1531"/>
      <c r="AC325" s="1531"/>
      <c r="AD325" s="1531"/>
      <c r="AE325" s="1531"/>
      <c r="AF325" s="1531"/>
      <c r="AG325" s="1532"/>
      <c r="AL325" s="78"/>
      <c r="AM325" s="232"/>
      <c r="AN325" s="232"/>
      <c r="AO325" s="232"/>
      <c r="AP325" s="232"/>
      <c r="AQ325" s="226"/>
      <c r="AR325" s="226"/>
      <c r="AS325" s="226"/>
      <c r="AT325" s="232"/>
      <c r="AU325" s="232"/>
      <c r="AV325" s="232"/>
      <c r="AW325" s="232"/>
      <c r="AX325" s="226"/>
      <c r="AY325" s="226"/>
      <c r="AZ325" s="226"/>
      <c r="BA325" s="232"/>
      <c r="BB325" s="232"/>
      <c r="BC325" s="232"/>
      <c r="BD325" s="232"/>
      <c r="BE325" s="226"/>
      <c r="BF325" s="226"/>
      <c r="BG325" s="226"/>
      <c r="BH325" s="232"/>
      <c r="BI325" s="232"/>
      <c r="BJ325" s="232"/>
      <c r="BK325" s="232"/>
      <c r="BL325" s="226"/>
      <c r="BM325" s="226"/>
      <c r="BN325" s="226"/>
      <c r="BO325" s="232"/>
      <c r="BP325" s="232"/>
      <c r="BQ325" s="226"/>
    </row>
    <row r="326" spans="3:69" ht="15" customHeight="1">
      <c r="C326" s="1530"/>
      <c r="D326" s="1531"/>
      <c r="E326" s="1531"/>
      <c r="F326" s="1531"/>
      <c r="G326" s="1531"/>
      <c r="H326" s="1531"/>
      <c r="I326" s="1531"/>
      <c r="J326" s="1531"/>
      <c r="K326" s="1531"/>
      <c r="L326" s="1531"/>
      <c r="M326" s="1531"/>
      <c r="N326" s="1531"/>
      <c r="O326" s="1531"/>
      <c r="P326" s="1531"/>
      <c r="Q326" s="1532"/>
      <c r="R326" s="10"/>
      <c r="S326" s="1530"/>
      <c r="T326" s="1531"/>
      <c r="U326" s="1531"/>
      <c r="V326" s="1531"/>
      <c r="W326" s="1531"/>
      <c r="X326" s="1531"/>
      <c r="Y326" s="1531"/>
      <c r="Z326" s="1531"/>
      <c r="AA326" s="1531"/>
      <c r="AB326" s="1531"/>
      <c r="AC326" s="1531"/>
      <c r="AD326" s="1531"/>
      <c r="AE326" s="1531"/>
      <c r="AF326" s="1531"/>
      <c r="AG326" s="1532"/>
      <c r="AL326" s="78"/>
      <c r="AM326" s="232"/>
      <c r="AN326" s="232"/>
      <c r="AO326" s="232"/>
      <c r="AP326" s="232"/>
      <c r="AQ326" s="226"/>
      <c r="AR326" s="226"/>
      <c r="AS326" s="226"/>
      <c r="AT326" s="232"/>
      <c r="AU326" s="232"/>
      <c r="AV326" s="232"/>
      <c r="AW326" s="232"/>
      <c r="AX326" s="226"/>
      <c r="AY326" s="226"/>
      <c r="AZ326" s="226"/>
      <c r="BA326" s="232"/>
      <c r="BB326" s="232"/>
      <c r="BC326" s="232"/>
      <c r="BD326" s="232"/>
      <c r="BE326" s="226"/>
      <c r="BF326" s="226"/>
      <c r="BG326" s="226"/>
      <c r="BH326" s="232"/>
      <c r="BI326" s="232"/>
      <c r="BJ326" s="232"/>
      <c r="BK326" s="232"/>
      <c r="BL326" s="226"/>
      <c r="BM326" s="226"/>
      <c r="BN326" s="226"/>
      <c r="BO326" s="232"/>
      <c r="BP326" s="232"/>
      <c r="BQ326" s="226"/>
    </row>
    <row r="327" spans="3:69" ht="15" customHeight="1">
      <c r="C327" s="1530"/>
      <c r="D327" s="1531"/>
      <c r="E327" s="1531"/>
      <c r="F327" s="1531"/>
      <c r="G327" s="1531"/>
      <c r="H327" s="1531"/>
      <c r="I327" s="1531"/>
      <c r="J327" s="1531"/>
      <c r="K327" s="1531"/>
      <c r="L327" s="1531"/>
      <c r="M327" s="1531"/>
      <c r="N327" s="1531"/>
      <c r="O327" s="1531"/>
      <c r="P327" s="1531"/>
      <c r="Q327" s="1532"/>
      <c r="R327" s="10"/>
      <c r="S327" s="1530"/>
      <c r="T327" s="1531"/>
      <c r="U327" s="1531"/>
      <c r="V327" s="1531"/>
      <c r="W327" s="1531"/>
      <c r="X327" s="1531"/>
      <c r="Y327" s="1531"/>
      <c r="Z327" s="1531"/>
      <c r="AA327" s="1531"/>
      <c r="AB327" s="1531"/>
      <c r="AC327" s="1531"/>
      <c r="AD327" s="1531"/>
      <c r="AE327" s="1531"/>
      <c r="AF327" s="1531"/>
      <c r="AG327" s="1532"/>
      <c r="AL327" s="78"/>
      <c r="AM327" s="232"/>
      <c r="AN327" s="232"/>
      <c r="AO327" s="232"/>
      <c r="AP327" s="232"/>
      <c r="AQ327" s="226"/>
      <c r="AR327" s="226"/>
      <c r="AS327" s="226"/>
      <c r="AT327" s="232"/>
      <c r="AU327" s="232"/>
      <c r="AV327" s="232"/>
      <c r="AW327" s="232"/>
      <c r="AX327" s="226"/>
      <c r="AY327" s="226"/>
      <c r="AZ327" s="226"/>
      <c r="BA327" s="232"/>
      <c r="BB327" s="232"/>
      <c r="BC327" s="232"/>
      <c r="BD327" s="232"/>
      <c r="BE327" s="226"/>
      <c r="BF327" s="226"/>
      <c r="BG327" s="226"/>
      <c r="BH327" s="232"/>
      <c r="BI327" s="232"/>
      <c r="BJ327" s="232"/>
      <c r="BK327" s="232"/>
      <c r="BL327" s="226"/>
      <c r="BM327" s="226"/>
      <c r="BN327" s="226"/>
      <c r="BO327" s="232"/>
      <c r="BP327" s="232"/>
      <c r="BQ327" s="226"/>
    </row>
    <row r="328" spans="3:69" ht="15" customHeight="1">
      <c r="C328" s="1533"/>
      <c r="D328" s="1534"/>
      <c r="E328" s="1534"/>
      <c r="F328" s="1534"/>
      <c r="G328" s="1534"/>
      <c r="H328" s="1534"/>
      <c r="I328" s="1534"/>
      <c r="J328" s="1534"/>
      <c r="K328" s="1534"/>
      <c r="L328" s="1534"/>
      <c r="M328" s="1534"/>
      <c r="N328" s="1534"/>
      <c r="O328" s="1534"/>
      <c r="P328" s="1534"/>
      <c r="Q328" s="1535"/>
      <c r="R328" s="10"/>
      <c r="S328" s="1533"/>
      <c r="T328" s="1534"/>
      <c r="U328" s="1534"/>
      <c r="V328" s="1534"/>
      <c r="W328" s="1534"/>
      <c r="X328" s="1534"/>
      <c r="Y328" s="1534"/>
      <c r="Z328" s="1534"/>
      <c r="AA328" s="1534"/>
      <c r="AB328" s="1534"/>
      <c r="AC328" s="1534"/>
      <c r="AD328" s="1534"/>
      <c r="AE328" s="1534"/>
      <c r="AF328" s="1534"/>
      <c r="AG328" s="1535"/>
      <c r="AL328" s="78"/>
      <c r="AM328" s="232"/>
      <c r="AN328" s="232"/>
      <c r="AO328" s="232"/>
      <c r="AP328" s="232"/>
      <c r="AQ328" s="226"/>
      <c r="AR328" s="226"/>
      <c r="AS328" s="226"/>
      <c r="AT328" s="232"/>
      <c r="AU328" s="232"/>
      <c r="AV328" s="232"/>
      <c r="AW328" s="232"/>
      <c r="AX328" s="226"/>
      <c r="AY328" s="226"/>
      <c r="AZ328" s="226"/>
      <c r="BA328" s="232"/>
      <c r="BB328" s="232"/>
      <c r="BC328" s="232"/>
      <c r="BD328" s="232"/>
      <c r="BE328" s="226"/>
      <c r="BF328" s="226"/>
      <c r="BG328" s="226"/>
      <c r="BH328" s="232"/>
      <c r="BI328" s="232"/>
      <c r="BJ328" s="232"/>
      <c r="BK328" s="232"/>
      <c r="BL328" s="226"/>
      <c r="BM328" s="226"/>
      <c r="BN328" s="226"/>
      <c r="BO328" s="232"/>
      <c r="BP328" s="232"/>
      <c r="BQ328" s="226"/>
    </row>
    <row r="329" spans="3:69" ht="15" customHeight="1"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L329" s="78"/>
      <c r="AM329" s="232"/>
      <c r="AN329" s="232"/>
      <c r="AO329" s="232"/>
      <c r="AP329" s="232"/>
      <c r="AQ329" s="226"/>
      <c r="AR329" s="226"/>
      <c r="AS329" s="226"/>
      <c r="AT329" s="232"/>
      <c r="AU329" s="232"/>
      <c r="AV329" s="232"/>
      <c r="AW329" s="232"/>
      <c r="AX329" s="226"/>
      <c r="AY329" s="226"/>
      <c r="AZ329" s="226"/>
      <c r="BA329" s="232"/>
      <c r="BB329" s="232"/>
      <c r="BC329" s="232"/>
      <c r="BD329" s="232"/>
      <c r="BE329" s="226"/>
      <c r="BF329" s="226"/>
      <c r="BG329" s="226"/>
      <c r="BH329" s="232"/>
      <c r="BI329" s="232"/>
      <c r="BJ329" s="232"/>
      <c r="BK329" s="232"/>
      <c r="BL329" s="226"/>
      <c r="BM329" s="226"/>
      <c r="BN329" s="226"/>
      <c r="BO329" s="232"/>
      <c r="BP329" s="232"/>
      <c r="BQ329" s="226"/>
    </row>
    <row r="330" spans="3:69" ht="15" customHeight="1">
      <c r="C330" s="1540" t="s">
        <v>879</v>
      </c>
      <c r="D330" s="1541"/>
      <c r="E330" s="1541"/>
      <c r="F330" s="1541"/>
      <c r="G330" s="1541"/>
      <c r="H330" s="1541"/>
      <c r="I330" s="1541"/>
      <c r="J330" s="1541"/>
      <c r="K330" s="1541"/>
      <c r="L330" s="1541"/>
      <c r="M330" s="1541"/>
      <c r="N330" s="1541"/>
      <c r="O330" s="1541"/>
      <c r="P330" s="1541"/>
      <c r="Q330" s="1542"/>
      <c r="R330" s="148"/>
      <c r="S330" s="1540" t="s">
        <v>874</v>
      </c>
      <c r="T330" s="1541"/>
      <c r="U330" s="1541"/>
      <c r="V330" s="1541"/>
      <c r="W330" s="1541"/>
      <c r="X330" s="1541"/>
      <c r="Y330" s="1541"/>
      <c r="Z330" s="1541"/>
      <c r="AA330" s="1541"/>
      <c r="AB330" s="1541"/>
      <c r="AC330" s="1541"/>
      <c r="AD330" s="1541"/>
      <c r="AE330" s="1541"/>
      <c r="AF330" s="1541"/>
      <c r="AG330" s="1542"/>
      <c r="AL330" s="78"/>
      <c r="AM330" s="232"/>
      <c r="AN330" s="232"/>
      <c r="AO330" s="232"/>
      <c r="AP330" s="232"/>
      <c r="AQ330" s="226"/>
      <c r="AR330" s="226"/>
      <c r="AS330" s="226"/>
      <c r="AT330" s="232"/>
      <c r="AU330" s="232"/>
      <c r="AV330" s="232"/>
      <c r="AW330" s="232"/>
      <c r="AX330" s="226"/>
      <c r="AY330" s="226"/>
      <c r="AZ330" s="226"/>
      <c r="BA330" s="232"/>
      <c r="BB330" s="232"/>
      <c r="BC330" s="232"/>
      <c r="BD330" s="232"/>
      <c r="BE330" s="226"/>
      <c r="BF330" s="226"/>
      <c r="BG330" s="226"/>
      <c r="BH330" s="232"/>
      <c r="BI330" s="232"/>
      <c r="BJ330" s="232"/>
      <c r="BK330" s="232"/>
      <c r="BL330" s="226"/>
      <c r="BM330" s="226"/>
      <c r="BN330" s="226"/>
      <c r="BO330" s="232"/>
      <c r="BP330" s="232"/>
      <c r="BQ330" s="226"/>
    </row>
    <row r="331" spans="3:69" ht="15" customHeight="1">
      <c r="C331" s="1543"/>
      <c r="D331" s="1544"/>
      <c r="E331" s="1544"/>
      <c r="F331" s="1544"/>
      <c r="G331" s="1544"/>
      <c r="H331" s="1544"/>
      <c r="I331" s="1544"/>
      <c r="J331" s="1544"/>
      <c r="K331" s="1544"/>
      <c r="L331" s="1544"/>
      <c r="M331" s="1544"/>
      <c r="N331" s="1544"/>
      <c r="O331" s="1544"/>
      <c r="P331" s="1544"/>
      <c r="Q331" s="1545"/>
      <c r="R331" s="148"/>
      <c r="S331" s="1543"/>
      <c r="T331" s="1544"/>
      <c r="U331" s="1544"/>
      <c r="V331" s="1544"/>
      <c r="W331" s="1544"/>
      <c r="X331" s="1544"/>
      <c r="Y331" s="1544"/>
      <c r="Z331" s="1544"/>
      <c r="AA331" s="1544"/>
      <c r="AB331" s="1544"/>
      <c r="AC331" s="1544"/>
      <c r="AD331" s="1544"/>
      <c r="AE331" s="1544"/>
      <c r="AF331" s="1544"/>
      <c r="AG331" s="1545"/>
      <c r="AL331" s="78"/>
      <c r="AM331" s="232"/>
      <c r="AN331" s="232"/>
      <c r="AO331" s="232"/>
      <c r="AP331" s="232"/>
      <c r="AQ331" s="226"/>
      <c r="AR331" s="226"/>
      <c r="AS331" s="226"/>
      <c r="AT331" s="232"/>
      <c r="AU331" s="232"/>
      <c r="AV331" s="232"/>
      <c r="AW331" s="232"/>
      <c r="AX331" s="226"/>
      <c r="AY331" s="226"/>
      <c r="AZ331" s="226"/>
      <c r="BA331" s="232"/>
      <c r="BB331" s="232"/>
      <c r="BC331" s="232"/>
      <c r="BD331" s="232"/>
      <c r="BE331" s="226"/>
      <c r="BF331" s="226"/>
      <c r="BG331" s="226"/>
      <c r="BH331" s="232"/>
      <c r="BI331" s="232"/>
      <c r="BJ331" s="232"/>
      <c r="BK331" s="232"/>
      <c r="BL331" s="226"/>
      <c r="BM331" s="226"/>
      <c r="BN331" s="226"/>
      <c r="BO331" s="232"/>
      <c r="BP331" s="232"/>
      <c r="BQ331" s="226"/>
    </row>
    <row r="332" spans="3:69" ht="15" customHeight="1"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48"/>
      <c r="S332" s="170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L332" s="78"/>
      <c r="AM332" s="232"/>
      <c r="AN332" s="232"/>
      <c r="AO332" s="232"/>
      <c r="AP332" s="232"/>
      <c r="AQ332" s="226"/>
      <c r="AR332" s="226"/>
      <c r="AS332" s="226"/>
      <c r="AT332" s="232"/>
      <c r="AU332" s="232"/>
      <c r="AV332" s="232"/>
      <c r="AW332" s="232"/>
      <c r="AX332" s="226"/>
      <c r="AY332" s="226"/>
      <c r="AZ332" s="226"/>
      <c r="BA332" s="232"/>
      <c r="BB332" s="232"/>
      <c r="BC332" s="232"/>
      <c r="BD332" s="232"/>
      <c r="BE332" s="226"/>
      <c r="BF332" s="226"/>
      <c r="BG332" s="226"/>
      <c r="BH332" s="232"/>
      <c r="BI332" s="232"/>
      <c r="BJ332" s="232"/>
      <c r="BK332" s="232"/>
      <c r="BL332" s="226"/>
      <c r="BM332" s="226"/>
      <c r="BN332" s="226"/>
      <c r="BO332" s="232"/>
      <c r="BP332" s="232"/>
      <c r="BQ332" s="226"/>
    </row>
    <row r="333" spans="3:69" ht="15" customHeight="1">
      <c r="C333" s="170"/>
      <c r="D333" s="170"/>
      <c r="E333" s="170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48"/>
      <c r="S333" s="170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L333" s="78"/>
      <c r="AM333" s="232"/>
      <c r="AN333" s="232"/>
      <c r="AO333" s="232"/>
      <c r="AP333" s="232"/>
      <c r="AQ333" s="226"/>
      <c r="AR333" s="226"/>
      <c r="AS333" s="226"/>
      <c r="AT333" s="232"/>
      <c r="AU333" s="232"/>
      <c r="AV333" s="232"/>
      <c r="AW333" s="232"/>
      <c r="AX333" s="226"/>
      <c r="AY333" s="226"/>
      <c r="AZ333" s="226"/>
      <c r="BA333" s="232"/>
      <c r="BB333" s="232"/>
      <c r="BC333" s="232"/>
      <c r="BD333" s="232"/>
      <c r="BE333" s="226"/>
      <c r="BF333" s="226"/>
      <c r="BG333" s="226"/>
      <c r="BH333" s="232"/>
      <c r="BI333" s="232"/>
      <c r="BJ333" s="232"/>
      <c r="BK333" s="232"/>
      <c r="BL333" s="226"/>
      <c r="BM333" s="226"/>
      <c r="BN333" s="226"/>
      <c r="BO333" s="232"/>
      <c r="BP333" s="232"/>
      <c r="BQ333" s="226"/>
    </row>
    <row r="334" spans="3:69" ht="15" customHeight="1">
      <c r="C334" s="170"/>
      <c r="D334" s="170"/>
      <c r="E334" s="170"/>
      <c r="F334" s="170"/>
      <c r="G334" s="170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48"/>
      <c r="S334" s="170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L334" s="78"/>
      <c r="AM334" s="232"/>
      <c r="AN334" s="232"/>
      <c r="AO334" s="232"/>
      <c r="AP334" s="232"/>
      <c r="AQ334" s="226"/>
      <c r="AR334" s="226"/>
      <c r="AS334" s="226"/>
      <c r="AT334" s="232"/>
      <c r="AU334" s="232"/>
      <c r="AV334" s="232"/>
      <c r="AW334" s="232"/>
      <c r="AX334" s="226"/>
      <c r="AY334" s="226"/>
      <c r="AZ334" s="226"/>
      <c r="BA334" s="232"/>
      <c r="BB334" s="232"/>
      <c r="BC334" s="232"/>
      <c r="BD334" s="232"/>
      <c r="BE334" s="226"/>
      <c r="BF334" s="226"/>
      <c r="BG334" s="226"/>
      <c r="BH334" s="232"/>
      <c r="BI334" s="232"/>
      <c r="BJ334" s="232"/>
      <c r="BK334" s="232"/>
      <c r="BL334" s="226"/>
      <c r="BM334" s="226"/>
      <c r="BN334" s="226"/>
      <c r="BO334" s="232"/>
      <c r="BP334" s="232"/>
      <c r="BQ334" s="226"/>
    </row>
    <row r="335" spans="3:69" ht="15" customHeight="1"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L335" s="78"/>
      <c r="AM335" s="232"/>
      <c r="AN335" s="232"/>
      <c r="AO335" s="232"/>
      <c r="AP335" s="232"/>
      <c r="AQ335" s="226"/>
      <c r="AR335" s="226"/>
      <c r="AS335" s="226"/>
      <c r="AT335" s="232"/>
      <c r="AU335" s="232"/>
      <c r="AV335" s="232"/>
      <c r="AW335" s="232"/>
      <c r="AX335" s="226"/>
      <c r="AY335" s="226"/>
      <c r="AZ335" s="226"/>
      <c r="BA335" s="232"/>
      <c r="BB335" s="232"/>
      <c r="BC335" s="232"/>
      <c r="BD335" s="232"/>
      <c r="BE335" s="226"/>
      <c r="BF335" s="226"/>
      <c r="BG335" s="226"/>
      <c r="BH335" s="232"/>
      <c r="BI335" s="232"/>
      <c r="BJ335" s="232"/>
      <c r="BK335" s="232"/>
      <c r="BL335" s="226"/>
      <c r="BM335" s="226"/>
      <c r="BN335" s="226"/>
      <c r="BO335" s="232"/>
      <c r="BP335" s="232"/>
      <c r="BQ335" s="226"/>
    </row>
    <row r="336" spans="3:69" ht="15" customHeight="1">
      <c r="C336" s="1527" t="s">
        <v>153</v>
      </c>
      <c r="D336" s="1528"/>
      <c r="E336" s="1528"/>
      <c r="F336" s="1528"/>
      <c r="G336" s="1528"/>
      <c r="H336" s="1528"/>
      <c r="I336" s="1528"/>
      <c r="J336" s="1528"/>
      <c r="K336" s="1528"/>
      <c r="L336" s="1528"/>
      <c r="M336" s="1528"/>
      <c r="N336" s="1528"/>
      <c r="O336" s="1528"/>
      <c r="P336" s="1528"/>
      <c r="Q336" s="1529"/>
      <c r="R336" s="10"/>
      <c r="S336" s="1527"/>
      <c r="T336" s="1528"/>
      <c r="U336" s="1528"/>
      <c r="V336" s="1528"/>
      <c r="W336" s="1528"/>
      <c r="X336" s="1528"/>
      <c r="Y336" s="1528"/>
      <c r="Z336" s="1528"/>
      <c r="AA336" s="1528"/>
      <c r="AB336" s="1528"/>
      <c r="AC336" s="1528"/>
      <c r="AD336" s="1528"/>
      <c r="AE336" s="1528"/>
      <c r="AF336" s="1528"/>
      <c r="AG336" s="1529"/>
      <c r="AL336" s="78"/>
      <c r="AM336" s="232"/>
      <c r="AN336" s="232"/>
      <c r="AO336" s="232"/>
      <c r="AP336" s="232"/>
      <c r="AQ336" s="226"/>
      <c r="AR336" s="226"/>
      <c r="AS336" s="226"/>
      <c r="AT336" s="232"/>
      <c r="AU336" s="232"/>
      <c r="AV336" s="232"/>
      <c r="AW336" s="232"/>
      <c r="AX336" s="226"/>
      <c r="AY336" s="226"/>
      <c r="AZ336" s="226"/>
      <c r="BA336" s="232"/>
      <c r="BB336" s="232"/>
      <c r="BC336" s="232"/>
      <c r="BD336" s="232"/>
      <c r="BE336" s="226"/>
      <c r="BF336" s="226"/>
      <c r="BG336" s="226"/>
      <c r="BH336" s="232"/>
      <c r="BI336" s="232"/>
      <c r="BJ336" s="232"/>
      <c r="BK336" s="232"/>
      <c r="BL336" s="226"/>
      <c r="BM336" s="226"/>
      <c r="BN336" s="226"/>
      <c r="BO336" s="232"/>
      <c r="BP336" s="232"/>
      <c r="BQ336" s="226"/>
    </row>
    <row r="337" spans="3:69" ht="15" customHeight="1">
      <c r="C337" s="1530"/>
      <c r="D337" s="1531"/>
      <c r="E337" s="1531"/>
      <c r="F337" s="1531"/>
      <c r="G337" s="1531"/>
      <c r="H337" s="1531"/>
      <c r="I337" s="1531"/>
      <c r="J337" s="1531"/>
      <c r="K337" s="1531"/>
      <c r="L337" s="1531"/>
      <c r="M337" s="1531"/>
      <c r="N337" s="1531"/>
      <c r="O337" s="1531"/>
      <c r="P337" s="1531"/>
      <c r="Q337" s="1532"/>
      <c r="R337" s="10"/>
      <c r="S337" s="1530"/>
      <c r="T337" s="1531"/>
      <c r="U337" s="1531"/>
      <c r="V337" s="1531"/>
      <c r="W337" s="1531"/>
      <c r="X337" s="1531"/>
      <c r="Y337" s="1531"/>
      <c r="Z337" s="1531"/>
      <c r="AA337" s="1531"/>
      <c r="AB337" s="1531"/>
      <c r="AC337" s="1531"/>
      <c r="AD337" s="1531"/>
      <c r="AE337" s="1531"/>
      <c r="AF337" s="1531"/>
      <c r="AG337" s="1532"/>
      <c r="AL337" s="1467"/>
      <c r="AM337" s="1467"/>
      <c r="AN337" s="1467"/>
      <c r="AO337" s="1467"/>
      <c r="AP337" s="1467"/>
      <c r="AQ337" s="1467"/>
      <c r="AR337" s="1467"/>
      <c r="AS337" s="1467"/>
      <c r="AT337" s="1467"/>
      <c r="AU337" s="1467"/>
      <c r="AV337" s="1467"/>
      <c r="AW337" s="1467"/>
      <c r="AX337" s="1467"/>
      <c r="AY337" s="1467"/>
      <c r="AZ337" s="1467"/>
      <c r="BA337" s="1467"/>
      <c r="BB337" s="1467"/>
      <c r="BC337" s="1467"/>
      <c r="BD337" s="1467"/>
      <c r="BE337" s="1467"/>
      <c r="BF337" s="1467"/>
      <c r="BG337" s="1467"/>
      <c r="BH337" s="1467"/>
      <c r="BI337" s="1467"/>
      <c r="BJ337" s="1467"/>
      <c r="BK337" s="1467"/>
      <c r="BL337" s="1467"/>
      <c r="BM337" s="1467"/>
      <c r="BN337" s="1467"/>
      <c r="BO337" s="1467"/>
      <c r="BP337" s="1467"/>
      <c r="BQ337" s="1467"/>
    </row>
    <row r="338" spans="3:69" ht="15" customHeight="1">
      <c r="C338" s="1530"/>
      <c r="D338" s="1531"/>
      <c r="E338" s="1531"/>
      <c r="F338" s="1531"/>
      <c r="G338" s="1531"/>
      <c r="H338" s="1531"/>
      <c r="I338" s="1531"/>
      <c r="J338" s="1531"/>
      <c r="K338" s="1531"/>
      <c r="L338" s="1531"/>
      <c r="M338" s="1531"/>
      <c r="N338" s="1531"/>
      <c r="O338" s="1531"/>
      <c r="P338" s="1531"/>
      <c r="Q338" s="1532"/>
      <c r="R338" s="10"/>
      <c r="S338" s="1530"/>
      <c r="T338" s="1531"/>
      <c r="U338" s="1531"/>
      <c r="V338" s="1531"/>
      <c r="W338" s="1531"/>
      <c r="X338" s="1531"/>
      <c r="Y338" s="1531"/>
      <c r="Z338" s="1531"/>
      <c r="AA338" s="1531"/>
      <c r="AB338" s="1531"/>
      <c r="AC338" s="1531"/>
      <c r="AD338" s="1531"/>
      <c r="AE338" s="1531"/>
      <c r="AF338" s="1531"/>
      <c r="AG338" s="1532"/>
      <c r="AL338" s="1467"/>
      <c r="AM338" s="1467"/>
      <c r="AN338" s="1467"/>
      <c r="AO338" s="1467"/>
      <c r="AP338" s="1467"/>
      <c r="AQ338" s="1467"/>
      <c r="AR338" s="1467"/>
      <c r="AS338" s="1467"/>
      <c r="AT338" s="1467"/>
      <c r="AU338" s="1467"/>
      <c r="AV338" s="1467"/>
      <c r="AW338" s="1467"/>
      <c r="AX338" s="1467"/>
      <c r="AY338" s="1467"/>
      <c r="AZ338" s="1467"/>
      <c r="BA338" s="1467"/>
      <c r="BB338" s="1467"/>
      <c r="BC338" s="1467"/>
      <c r="BD338" s="1467"/>
      <c r="BE338" s="1467"/>
      <c r="BF338" s="1467"/>
      <c r="BG338" s="1467"/>
      <c r="BH338" s="1467"/>
      <c r="BI338" s="1467"/>
      <c r="BJ338" s="1467"/>
      <c r="BK338" s="1467"/>
      <c r="BL338" s="1467"/>
      <c r="BM338" s="1467"/>
      <c r="BN338" s="1467"/>
      <c r="BO338" s="1467"/>
      <c r="BP338" s="1467"/>
      <c r="BQ338" s="1467"/>
    </row>
    <row r="339" spans="3:69" ht="15" customHeight="1">
      <c r="C339" s="1530"/>
      <c r="D339" s="1531"/>
      <c r="E339" s="1531"/>
      <c r="F339" s="1531"/>
      <c r="G339" s="1531"/>
      <c r="H339" s="1531"/>
      <c r="I339" s="1531"/>
      <c r="J339" s="1531"/>
      <c r="K339" s="1531"/>
      <c r="L339" s="1531"/>
      <c r="M339" s="1531"/>
      <c r="N339" s="1531"/>
      <c r="O339" s="1531"/>
      <c r="P339" s="1531"/>
      <c r="Q339" s="1532"/>
      <c r="R339" s="10"/>
      <c r="S339" s="1530"/>
      <c r="T339" s="1531"/>
      <c r="U339" s="1531"/>
      <c r="V339" s="1531"/>
      <c r="W339" s="1531"/>
      <c r="X339" s="1531"/>
      <c r="Y339" s="1531"/>
      <c r="Z339" s="1531"/>
      <c r="AA339" s="1531"/>
      <c r="AB339" s="1531"/>
      <c r="AC339" s="1531"/>
      <c r="AD339" s="1531"/>
      <c r="AE339" s="1531"/>
      <c r="AF339" s="1531"/>
      <c r="AG339" s="1532"/>
      <c r="AL339" s="1467" t="s">
        <v>159</v>
      </c>
      <c r="AM339" s="1467"/>
      <c r="AN339" s="1467"/>
      <c r="AO339" s="1467"/>
      <c r="AP339" s="1467"/>
      <c r="AQ339" s="1467"/>
      <c r="AR339" s="1467"/>
      <c r="AS339" s="1467"/>
      <c r="AT339" s="1467"/>
      <c r="AU339" s="1467"/>
      <c r="AV339" s="1467"/>
      <c r="AW339" s="1467"/>
      <c r="AX339" s="1467"/>
      <c r="AY339" s="1467"/>
      <c r="AZ339" s="1467"/>
      <c r="BA339" s="1467"/>
      <c r="BB339" s="1467"/>
      <c r="BC339" s="1467"/>
      <c r="BD339" s="1467"/>
      <c r="BE339" s="1467"/>
      <c r="BF339" s="1467"/>
      <c r="BG339" s="1467"/>
      <c r="BH339" s="1467"/>
      <c r="BI339" s="1467"/>
      <c r="BJ339" s="1467"/>
      <c r="BK339" s="1467"/>
      <c r="BL339" s="1467"/>
      <c r="BM339" s="1467"/>
      <c r="BN339" s="1467"/>
      <c r="BO339" s="1467"/>
      <c r="BP339" s="1467"/>
      <c r="BQ339" s="1467"/>
    </row>
    <row r="340" spans="3:69" ht="15" customHeight="1">
      <c r="C340" s="1530"/>
      <c r="D340" s="1531"/>
      <c r="E340" s="1531"/>
      <c r="F340" s="1531"/>
      <c r="G340" s="1531"/>
      <c r="H340" s="1531"/>
      <c r="I340" s="1531"/>
      <c r="J340" s="1531"/>
      <c r="K340" s="1531"/>
      <c r="L340" s="1531"/>
      <c r="M340" s="1531"/>
      <c r="N340" s="1531"/>
      <c r="O340" s="1531"/>
      <c r="P340" s="1531"/>
      <c r="Q340" s="1532"/>
      <c r="R340" s="10"/>
      <c r="S340" s="1530"/>
      <c r="T340" s="1531"/>
      <c r="U340" s="1531"/>
      <c r="V340" s="1531"/>
      <c r="W340" s="1531"/>
      <c r="X340" s="1531"/>
      <c r="Y340" s="1531"/>
      <c r="Z340" s="1531"/>
      <c r="AA340" s="1531"/>
      <c r="AB340" s="1531"/>
      <c r="AC340" s="1531"/>
      <c r="AD340" s="1531"/>
      <c r="AE340" s="1531"/>
      <c r="AF340" s="1531"/>
      <c r="AG340" s="1532"/>
      <c r="AL340" s="1467"/>
      <c r="AM340" s="1467"/>
      <c r="AN340" s="1467"/>
      <c r="AO340" s="1467"/>
      <c r="AP340" s="1467"/>
      <c r="AQ340" s="1467"/>
      <c r="AR340" s="1467"/>
      <c r="AS340" s="1467"/>
      <c r="AT340" s="1467"/>
      <c r="AU340" s="1467"/>
      <c r="AV340" s="1467"/>
      <c r="AW340" s="1467"/>
      <c r="AX340" s="1467"/>
      <c r="AY340" s="1467"/>
      <c r="AZ340" s="1467"/>
      <c r="BA340" s="1467"/>
      <c r="BB340" s="1467"/>
      <c r="BC340" s="1467"/>
      <c r="BD340" s="1467"/>
      <c r="BE340" s="1467"/>
      <c r="BF340" s="1467"/>
      <c r="BG340" s="1467"/>
      <c r="BH340" s="1467"/>
      <c r="BI340" s="1467"/>
      <c r="BJ340" s="1467"/>
      <c r="BK340" s="1467"/>
      <c r="BL340" s="1467"/>
      <c r="BM340" s="1467"/>
      <c r="BN340" s="1467"/>
      <c r="BO340" s="1467"/>
      <c r="BP340" s="1467"/>
      <c r="BQ340" s="1467"/>
    </row>
    <row r="341" spans="3:69" ht="15" customHeight="1">
      <c r="C341" s="1530"/>
      <c r="D341" s="1531"/>
      <c r="E341" s="1531"/>
      <c r="F341" s="1531"/>
      <c r="G341" s="1531"/>
      <c r="H341" s="1531"/>
      <c r="I341" s="1531"/>
      <c r="J341" s="1531"/>
      <c r="K341" s="1531"/>
      <c r="L341" s="1531"/>
      <c r="M341" s="1531"/>
      <c r="N341" s="1531"/>
      <c r="O341" s="1531"/>
      <c r="P341" s="1531"/>
      <c r="Q341" s="1532"/>
      <c r="R341" s="10"/>
      <c r="S341" s="1530"/>
      <c r="T341" s="1531"/>
      <c r="U341" s="1531"/>
      <c r="V341" s="1531"/>
      <c r="W341" s="1531"/>
      <c r="X341" s="1531"/>
      <c r="Y341" s="1531"/>
      <c r="Z341" s="1531"/>
      <c r="AA341" s="1531"/>
      <c r="AB341" s="1531"/>
      <c r="AC341" s="1531"/>
      <c r="AD341" s="1531"/>
      <c r="AE341" s="1531"/>
      <c r="AF341" s="1531"/>
      <c r="AG341" s="1532"/>
    </row>
    <row r="342" spans="3:69" ht="15" customHeight="1">
      <c r="C342" s="1530"/>
      <c r="D342" s="1531"/>
      <c r="E342" s="1531"/>
      <c r="F342" s="1531"/>
      <c r="G342" s="1531"/>
      <c r="H342" s="1531"/>
      <c r="I342" s="1531"/>
      <c r="J342" s="1531"/>
      <c r="K342" s="1531"/>
      <c r="L342" s="1531"/>
      <c r="M342" s="1531"/>
      <c r="N342" s="1531"/>
      <c r="O342" s="1531"/>
      <c r="P342" s="1531"/>
      <c r="Q342" s="1532"/>
      <c r="R342" s="10"/>
      <c r="S342" s="1530"/>
      <c r="T342" s="1531"/>
      <c r="U342" s="1531"/>
      <c r="V342" s="1531"/>
      <c r="W342" s="1531"/>
      <c r="X342" s="1531"/>
      <c r="Y342" s="1531"/>
      <c r="Z342" s="1531"/>
      <c r="AA342" s="1531"/>
      <c r="AB342" s="1531"/>
      <c r="AC342" s="1531"/>
      <c r="AD342" s="1531"/>
      <c r="AE342" s="1531"/>
      <c r="AF342" s="1531"/>
      <c r="AG342" s="1532"/>
    </row>
    <row r="343" spans="3:69" ht="15" customHeight="1">
      <c r="C343" s="1530"/>
      <c r="D343" s="1531"/>
      <c r="E343" s="1531"/>
      <c r="F343" s="1531"/>
      <c r="G343" s="1531"/>
      <c r="H343" s="1531"/>
      <c r="I343" s="1531"/>
      <c r="J343" s="1531"/>
      <c r="K343" s="1531"/>
      <c r="L343" s="1531"/>
      <c r="M343" s="1531"/>
      <c r="N343" s="1531"/>
      <c r="O343" s="1531"/>
      <c r="P343" s="1531"/>
      <c r="Q343" s="1532"/>
      <c r="R343" s="10"/>
      <c r="S343" s="1530"/>
      <c r="T343" s="1531"/>
      <c r="U343" s="1531"/>
      <c r="V343" s="1531"/>
      <c r="W343" s="1531"/>
      <c r="X343" s="1531"/>
      <c r="Y343" s="1531"/>
      <c r="Z343" s="1531"/>
      <c r="AA343" s="1531"/>
      <c r="AB343" s="1531"/>
      <c r="AC343" s="1531"/>
      <c r="AD343" s="1531"/>
      <c r="AE343" s="1531"/>
      <c r="AF343" s="1531"/>
      <c r="AG343" s="1532"/>
    </row>
    <row r="344" spans="3:69" ht="15" customHeight="1">
      <c r="C344" s="1530"/>
      <c r="D344" s="1531"/>
      <c r="E344" s="1531"/>
      <c r="F344" s="1531"/>
      <c r="G344" s="1531"/>
      <c r="H344" s="1531"/>
      <c r="I344" s="1531"/>
      <c r="J344" s="1531"/>
      <c r="K344" s="1531"/>
      <c r="L344" s="1531"/>
      <c r="M344" s="1531"/>
      <c r="N344" s="1531"/>
      <c r="O344" s="1531"/>
      <c r="P344" s="1531"/>
      <c r="Q344" s="1532"/>
      <c r="R344" s="10"/>
      <c r="S344" s="1530"/>
      <c r="T344" s="1531"/>
      <c r="U344" s="1531"/>
      <c r="V344" s="1531"/>
      <c r="W344" s="1531"/>
      <c r="X344" s="1531"/>
      <c r="Y344" s="1531"/>
      <c r="Z344" s="1531"/>
      <c r="AA344" s="1531"/>
      <c r="AB344" s="1531"/>
      <c r="AC344" s="1531"/>
      <c r="AD344" s="1531"/>
      <c r="AE344" s="1531"/>
      <c r="AF344" s="1531"/>
      <c r="AG344" s="1532"/>
    </row>
    <row r="345" spans="3:69" ht="15" customHeight="1">
      <c r="C345" s="1530"/>
      <c r="D345" s="1531"/>
      <c r="E345" s="1531"/>
      <c r="F345" s="1531"/>
      <c r="G345" s="1531"/>
      <c r="H345" s="1531"/>
      <c r="I345" s="1531"/>
      <c r="J345" s="1531"/>
      <c r="K345" s="1531"/>
      <c r="L345" s="1531"/>
      <c r="M345" s="1531"/>
      <c r="N345" s="1531"/>
      <c r="O345" s="1531"/>
      <c r="P345" s="1531"/>
      <c r="Q345" s="1532"/>
      <c r="R345" s="10"/>
      <c r="S345" s="1530"/>
      <c r="T345" s="1531"/>
      <c r="U345" s="1531"/>
      <c r="V345" s="1531"/>
      <c r="W345" s="1531"/>
      <c r="X345" s="1531"/>
      <c r="Y345" s="1531"/>
      <c r="Z345" s="1531"/>
      <c r="AA345" s="1531"/>
      <c r="AB345" s="1531"/>
      <c r="AC345" s="1531"/>
      <c r="AD345" s="1531"/>
      <c r="AE345" s="1531"/>
      <c r="AF345" s="1531"/>
      <c r="AG345" s="1532"/>
    </row>
    <row r="346" spans="3:69" ht="15" customHeight="1">
      <c r="C346" s="1530"/>
      <c r="D346" s="1531"/>
      <c r="E346" s="1531"/>
      <c r="F346" s="1531"/>
      <c r="G346" s="1531"/>
      <c r="H346" s="1531"/>
      <c r="I346" s="1531"/>
      <c r="J346" s="1531"/>
      <c r="K346" s="1531"/>
      <c r="L346" s="1531"/>
      <c r="M346" s="1531"/>
      <c r="N346" s="1531"/>
      <c r="O346" s="1531"/>
      <c r="P346" s="1531"/>
      <c r="Q346" s="1532"/>
      <c r="R346" s="10"/>
      <c r="S346" s="1530"/>
      <c r="T346" s="1531"/>
      <c r="U346" s="1531"/>
      <c r="V346" s="1531"/>
      <c r="W346" s="1531"/>
      <c r="X346" s="1531"/>
      <c r="Y346" s="1531"/>
      <c r="Z346" s="1531"/>
      <c r="AA346" s="1531"/>
      <c r="AB346" s="1531"/>
      <c r="AC346" s="1531"/>
      <c r="AD346" s="1531"/>
      <c r="AE346" s="1531"/>
      <c r="AF346" s="1531"/>
      <c r="AG346" s="1532"/>
    </row>
    <row r="347" spans="3:69" ht="15" customHeight="1">
      <c r="C347" s="1533"/>
      <c r="D347" s="1534"/>
      <c r="E347" s="1534"/>
      <c r="F347" s="1534"/>
      <c r="G347" s="1534"/>
      <c r="H347" s="1534"/>
      <c r="I347" s="1534"/>
      <c r="J347" s="1534"/>
      <c r="K347" s="1534"/>
      <c r="L347" s="1534"/>
      <c r="M347" s="1534"/>
      <c r="N347" s="1534"/>
      <c r="O347" s="1534"/>
      <c r="P347" s="1534"/>
      <c r="Q347" s="1535"/>
      <c r="R347" s="10"/>
      <c r="S347" s="1533"/>
      <c r="T347" s="1534"/>
      <c r="U347" s="1534"/>
      <c r="V347" s="1534"/>
      <c r="W347" s="1534"/>
      <c r="X347" s="1534"/>
      <c r="Y347" s="1534"/>
      <c r="Z347" s="1534"/>
      <c r="AA347" s="1534"/>
      <c r="AB347" s="1534"/>
      <c r="AC347" s="1534"/>
      <c r="AD347" s="1534"/>
      <c r="AE347" s="1534"/>
      <c r="AF347" s="1534"/>
      <c r="AG347" s="1535"/>
    </row>
    <row r="348" spans="3:69" ht="15" customHeight="1"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</row>
    <row r="349" spans="3:69" ht="15" customHeight="1">
      <c r="C349" s="1540" t="s">
        <v>874</v>
      </c>
      <c r="D349" s="1780"/>
      <c r="E349" s="1780"/>
      <c r="F349" s="1780"/>
      <c r="G349" s="1780"/>
      <c r="H349" s="1780"/>
      <c r="I349" s="1780"/>
      <c r="J349" s="1780"/>
      <c r="K349" s="1780"/>
      <c r="L349" s="1780"/>
      <c r="M349" s="1780"/>
      <c r="N349" s="1780"/>
      <c r="O349" s="1780"/>
      <c r="P349" s="1780"/>
      <c r="Q349" s="1781"/>
      <c r="R349" s="148"/>
      <c r="S349" s="1540" t="s">
        <v>872</v>
      </c>
      <c r="T349" s="1541"/>
      <c r="U349" s="1541"/>
      <c r="V349" s="1541"/>
      <c r="W349" s="1541"/>
      <c r="X349" s="1541"/>
      <c r="Y349" s="1541"/>
      <c r="Z349" s="1541"/>
      <c r="AA349" s="1541"/>
      <c r="AB349" s="1541"/>
      <c r="AC349" s="1541"/>
      <c r="AD349" s="1541"/>
      <c r="AE349" s="1541"/>
      <c r="AF349" s="1541"/>
      <c r="AG349" s="1542"/>
    </row>
    <row r="350" spans="3:69" ht="15" customHeight="1">
      <c r="C350" s="1782"/>
      <c r="D350" s="1783"/>
      <c r="E350" s="1783"/>
      <c r="F350" s="1783"/>
      <c r="G350" s="1783"/>
      <c r="H350" s="1783"/>
      <c r="I350" s="1783"/>
      <c r="J350" s="1783"/>
      <c r="K350" s="1783"/>
      <c r="L350" s="1783"/>
      <c r="M350" s="1783"/>
      <c r="N350" s="1783"/>
      <c r="O350" s="1783"/>
      <c r="P350" s="1783"/>
      <c r="Q350" s="1784"/>
      <c r="R350" s="148"/>
      <c r="S350" s="1543"/>
      <c r="T350" s="1544"/>
      <c r="U350" s="1544"/>
      <c r="V350" s="1544"/>
      <c r="W350" s="1544"/>
      <c r="X350" s="1544"/>
      <c r="Y350" s="1544"/>
      <c r="Z350" s="1544"/>
      <c r="AA350" s="1544"/>
      <c r="AB350" s="1544"/>
      <c r="AC350" s="1544"/>
      <c r="AD350" s="1544"/>
      <c r="AE350" s="1544"/>
      <c r="AF350" s="1544"/>
      <c r="AG350" s="1545"/>
    </row>
    <row r="351" spans="3:69" ht="15" customHeight="1">
      <c r="C351" s="170"/>
      <c r="D351" s="170"/>
      <c r="E351" s="170"/>
      <c r="F351" s="170"/>
      <c r="G351" s="170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48"/>
      <c r="S351" s="170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</row>
    <row r="352" spans="3:69" ht="15" customHeight="1" thickBot="1"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</row>
    <row r="353" spans="3:69" ht="24.9" customHeight="1" thickTop="1">
      <c r="C353" s="1560" t="str">
        <f>$C$90</f>
        <v>Construção da Estação de Bombeamento de Águas Pluviais Laranja, Vila Velha/ES</v>
      </c>
      <c r="D353" s="1560"/>
      <c r="E353" s="1560"/>
      <c r="F353" s="1560"/>
      <c r="G353" s="1560"/>
      <c r="H353" s="1560"/>
      <c r="I353" s="1560"/>
      <c r="J353" s="1560"/>
      <c r="K353" s="1560"/>
      <c r="L353" s="1560"/>
      <c r="M353" s="1560"/>
      <c r="N353" s="1560"/>
      <c r="O353" s="1560"/>
      <c r="P353" s="1560"/>
      <c r="Q353" s="1560"/>
      <c r="R353" s="1560"/>
      <c r="S353" s="1560"/>
      <c r="T353" s="1560"/>
      <c r="U353" s="1560"/>
      <c r="V353" s="1560"/>
      <c r="W353" s="1560"/>
      <c r="X353" s="1560"/>
      <c r="Y353" s="1560"/>
      <c r="Z353" s="1560"/>
      <c r="AA353" s="1560"/>
      <c r="AB353" s="1560"/>
      <c r="AC353" s="1560"/>
      <c r="AD353" s="1516">
        <f>AD290+6</f>
        <v>26</v>
      </c>
      <c r="AE353" s="1516"/>
      <c r="AF353" s="1516"/>
      <c r="AG353" s="1516"/>
    </row>
    <row r="354" spans="3:69" s="145" customFormat="1" ht="20.100000000000001" customHeight="1" thickBot="1">
      <c r="C354" s="174" t="str">
        <f>$C$1</f>
        <v xml:space="preserve">Relatório Técnico Permanente de Engenharia 		                                                                         </v>
      </c>
      <c r="D354" s="174"/>
      <c r="E354" s="174"/>
      <c r="F354" s="174"/>
      <c r="G354" s="174"/>
      <c r="H354" s="174"/>
      <c r="I354" s="174"/>
      <c r="J354" s="174"/>
      <c r="K354" s="174"/>
      <c r="L354" s="174"/>
      <c r="M354" s="174"/>
      <c r="N354" s="174"/>
      <c r="O354" s="174"/>
      <c r="P354" s="174"/>
      <c r="Q354" s="174"/>
      <c r="R354" s="174"/>
      <c r="S354" s="174"/>
      <c r="T354" s="174"/>
      <c r="U354" s="174"/>
      <c r="V354" s="174"/>
      <c r="W354" s="174"/>
      <c r="X354" s="174"/>
      <c r="Y354" s="174"/>
      <c r="Z354" s="174"/>
      <c r="AA354" s="1525" t="str">
        <f>$AB$1</f>
        <v>RTPE 524-11</v>
      </c>
      <c r="AB354" s="1525"/>
      <c r="AC354" s="1525"/>
      <c r="AD354" s="1525"/>
      <c r="AE354" s="1525"/>
      <c r="AF354" s="1525"/>
      <c r="AG354" s="1525"/>
      <c r="AM354" s="147"/>
      <c r="AN354" s="147"/>
      <c r="AO354" s="147"/>
      <c r="AP354" s="147"/>
      <c r="AQ354" s="146"/>
      <c r="AR354" s="146"/>
      <c r="AS354" s="146"/>
      <c r="AT354" s="147"/>
      <c r="AU354" s="147"/>
      <c r="AV354" s="147"/>
      <c r="AW354" s="147"/>
      <c r="AX354" s="146"/>
      <c r="AY354" s="146"/>
      <c r="AZ354" s="146"/>
      <c r="BA354" s="147"/>
      <c r="BB354" s="147"/>
      <c r="BC354" s="147"/>
      <c r="BD354" s="147"/>
      <c r="BE354" s="146"/>
      <c r="BF354" s="146"/>
      <c r="BG354" s="146"/>
      <c r="BH354" s="147"/>
      <c r="BI354" s="147"/>
      <c r="BJ354" s="147"/>
      <c r="BK354" s="147"/>
      <c r="BL354" s="146"/>
      <c r="BM354" s="146"/>
      <c r="BN354" s="146"/>
      <c r="BO354" s="147"/>
      <c r="BP354" s="147"/>
      <c r="BQ354" s="146"/>
    </row>
    <row r="355" spans="3:69" ht="15" customHeight="1" thickTop="1"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</row>
    <row r="356" spans="3:69" ht="15" customHeight="1">
      <c r="C356" s="1517" t="s">
        <v>152</v>
      </c>
      <c r="D356" s="1518"/>
      <c r="E356" s="1518"/>
      <c r="F356" s="1518"/>
      <c r="G356" s="1518"/>
      <c r="H356" s="1518"/>
      <c r="I356" s="1518"/>
      <c r="J356" s="1518"/>
      <c r="K356" s="1518"/>
      <c r="L356" s="1518"/>
      <c r="M356" s="1518"/>
      <c r="N356" s="1518"/>
      <c r="O356" s="1518"/>
      <c r="P356" s="1518"/>
      <c r="Q356" s="1518"/>
      <c r="R356" s="1518"/>
      <c r="S356" s="1518"/>
      <c r="T356" s="1518"/>
      <c r="U356" s="1518"/>
      <c r="V356" s="1518"/>
      <c r="W356" s="1518"/>
      <c r="X356" s="1518"/>
      <c r="Y356" s="1518"/>
      <c r="Z356" s="1518"/>
      <c r="AA356" s="1518"/>
      <c r="AB356" s="1518"/>
      <c r="AC356" s="1518"/>
      <c r="AD356" s="1518"/>
      <c r="AE356" s="1518"/>
      <c r="AF356" s="1518"/>
      <c r="AG356" s="1519"/>
    </row>
    <row r="357" spans="3:69" ht="15" customHeight="1">
      <c r="C357" s="1520"/>
      <c r="D357" s="1521"/>
      <c r="E357" s="1521"/>
      <c r="F357" s="1521"/>
      <c r="G357" s="1521"/>
      <c r="H357" s="1521"/>
      <c r="I357" s="1521"/>
      <c r="J357" s="1521"/>
      <c r="K357" s="1521"/>
      <c r="L357" s="1521"/>
      <c r="M357" s="1521"/>
      <c r="N357" s="1521"/>
      <c r="O357" s="1521"/>
      <c r="P357" s="1521"/>
      <c r="Q357" s="1521"/>
      <c r="R357" s="1521"/>
      <c r="S357" s="1521"/>
      <c r="T357" s="1521"/>
      <c r="U357" s="1521"/>
      <c r="V357" s="1521"/>
      <c r="W357" s="1521"/>
      <c r="X357" s="1521"/>
      <c r="Y357" s="1521"/>
      <c r="Z357" s="1521"/>
      <c r="AA357" s="1521"/>
      <c r="AB357" s="1521"/>
      <c r="AC357" s="1521"/>
      <c r="AD357" s="1521"/>
      <c r="AE357" s="1521"/>
      <c r="AF357" s="1521"/>
      <c r="AG357" s="1522"/>
    </row>
    <row r="358" spans="3:69" ht="15" customHeight="1"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  <c r="AA358" s="171"/>
      <c r="AB358" s="171"/>
      <c r="AC358" s="171"/>
      <c r="AD358" s="171"/>
      <c r="AE358" s="171"/>
      <c r="AF358" s="171"/>
      <c r="AG358" s="171"/>
    </row>
    <row r="359" spans="3:69" ht="15" customHeight="1"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  <c r="AA359" s="171"/>
      <c r="AB359" s="171"/>
      <c r="AC359" s="171"/>
      <c r="AD359" s="171"/>
      <c r="AE359" s="171"/>
      <c r="AF359" s="171"/>
      <c r="AG359" s="171"/>
    </row>
    <row r="360" spans="3:69" ht="15" customHeight="1"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</row>
    <row r="361" spans="3:69" ht="15" customHeight="1">
      <c r="C361" s="1527" t="s">
        <v>153</v>
      </c>
      <c r="D361" s="1528"/>
      <c r="E361" s="1528"/>
      <c r="F361" s="1528"/>
      <c r="G361" s="1528"/>
      <c r="H361" s="1528"/>
      <c r="I361" s="1528"/>
      <c r="J361" s="1528"/>
      <c r="K361" s="1528"/>
      <c r="L361" s="1528"/>
      <c r="M361" s="1528"/>
      <c r="N361" s="1528"/>
      <c r="O361" s="1528"/>
      <c r="P361" s="1528"/>
      <c r="Q361" s="1529"/>
      <c r="R361" s="10"/>
      <c r="S361" s="1527" t="s">
        <v>154</v>
      </c>
      <c r="T361" s="1528"/>
      <c r="U361" s="1528"/>
      <c r="V361" s="1528"/>
      <c r="W361" s="1528"/>
      <c r="X361" s="1528"/>
      <c r="Y361" s="1528"/>
      <c r="Z361" s="1528"/>
      <c r="AA361" s="1528"/>
      <c r="AB361" s="1528"/>
      <c r="AC361" s="1528"/>
      <c r="AD361" s="1528"/>
      <c r="AE361" s="1528"/>
      <c r="AF361" s="1528"/>
      <c r="AG361" s="1529"/>
    </row>
    <row r="362" spans="3:69" ht="15" customHeight="1">
      <c r="C362" s="1530"/>
      <c r="D362" s="1531"/>
      <c r="E362" s="1531"/>
      <c r="F362" s="1531"/>
      <c r="G362" s="1531"/>
      <c r="H362" s="1531"/>
      <c r="I362" s="1531"/>
      <c r="J362" s="1531"/>
      <c r="K362" s="1531"/>
      <c r="L362" s="1531"/>
      <c r="M362" s="1531"/>
      <c r="N362" s="1531"/>
      <c r="O362" s="1531"/>
      <c r="P362" s="1531"/>
      <c r="Q362" s="1532"/>
      <c r="R362" s="10"/>
      <c r="S362" s="1530"/>
      <c r="T362" s="1531"/>
      <c r="U362" s="1531"/>
      <c r="V362" s="1531"/>
      <c r="W362" s="1531"/>
      <c r="X362" s="1531"/>
      <c r="Y362" s="1531"/>
      <c r="Z362" s="1531"/>
      <c r="AA362" s="1531"/>
      <c r="AB362" s="1531"/>
      <c r="AC362" s="1531"/>
      <c r="AD362" s="1531"/>
      <c r="AE362" s="1531"/>
      <c r="AF362" s="1531"/>
      <c r="AG362" s="1532"/>
      <c r="AM362" s="1474"/>
      <c r="AN362" s="1474"/>
      <c r="AO362" s="1474"/>
      <c r="AP362" s="1474"/>
      <c r="AQ362" s="1474"/>
      <c r="AR362" s="1474"/>
      <c r="AS362" s="1474"/>
      <c r="AT362" s="1474"/>
      <c r="AU362" s="1474"/>
      <c r="AV362" s="1474"/>
      <c r="AW362" s="1474"/>
      <c r="AX362" s="1474"/>
      <c r="AY362" s="1474"/>
      <c r="AZ362" s="1474"/>
      <c r="BA362" s="1474"/>
      <c r="BB362" s="1474"/>
      <c r="BC362" s="1474"/>
      <c r="BD362" s="1474"/>
      <c r="BE362" s="1474"/>
      <c r="BF362" s="1474"/>
      <c r="BG362" s="1474"/>
      <c r="BH362" s="1474"/>
      <c r="BI362" s="1474"/>
      <c r="BJ362" s="1474"/>
      <c r="BK362" s="1474"/>
      <c r="BL362" s="1474"/>
      <c r="BM362" s="1474"/>
      <c r="BN362" s="1474"/>
      <c r="BO362" s="1474"/>
      <c r="BP362" s="1474"/>
      <c r="BQ362" s="1474"/>
    </row>
    <row r="363" spans="3:69" ht="15" customHeight="1">
      <c r="C363" s="1530"/>
      <c r="D363" s="1531"/>
      <c r="E363" s="1531"/>
      <c r="F363" s="1531"/>
      <c r="G363" s="1531"/>
      <c r="H363" s="1531"/>
      <c r="I363" s="1531"/>
      <c r="J363" s="1531"/>
      <c r="K363" s="1531"/>
      <c r="L363" s="1531"/>
      <c r="M363" s="1531"/>
      <c r="N363" s="1531"/>
      <c r="O363" s="1531"/>
      <c r="P363" s="1531"/>
      <c r="Q363" s="1532"/>
      <c r="R363" s="10"/>
      <c r="S363" s="1530"/>
      <c r="T363" s="1531"/>
      <c r="U363" s="1531"/>
      <c r="V363" s="1531"/>
      <c r="W363" s="1531"/>
      <c r="X363" s="1531"/>
      <c r="Y363" s="1531"/>
      <c r="Z363" s="1531"/>
      <c r="AA363" s="1531"/>
      <c r="AB363" s="1531"/>
      <c r="AC363" s="1531"/>
      <c r="AD363" s="1531"/>
      <c r="AE363" s="1531"/>
      <c r="AF363" s="1531"/>
      <c r="AG363" s="1532"/>
      <c r="AM363" s="1473"/>
      <c r="AN363" s="1473"/>
      <c r="AO363" s="1473"/>
      <c r="AP363" s="1473"/>
      <c r="AQ363" s="1473"/>
      <c r="AR363" s="1473"/>
      <c r="AS363" s="1473"/>
      <c r="AT363" s="1473"/>
      <c r="AU363" s="1473"/>
      <c r="AV363" s="1473"/>
      <c r="AW363" s="1473"/>
      <c r="AX363" s="1473"/>
      <c r="AY363" s="1473"/>
      <c r="AZ363" s="1473"/>
      <c r="BA363" s="1473"/>
      <c r="BB363" s="1473"/>
      <c r="BC363" s="1473"/>
      <c r="BD363" s="1473"/>
      <c r="BE363" s="1473"/>
      <c r="BF363" s="1473"/>
      <c r="BG363" s="1473"/>
      <c r="BH363" s="1473"/>
      <c r="BI363" s="1473"/>
      <c r="BJ363" s="1473"/>
      <c r="BK363" s="1473"/>
      <c r="BL363" s="1473"/>
      <c r="BM363" s="1473"/>
      <c r="BN363" s="1473"/>
      <c r="BO363" s="1473"/>
      <c r="BP363" s="1473"/>
      <c r="BQ363" s="1473"/>
    </row>
    <row r="364" spans="3:69" ht="15" customHeight="1">
      <c r="C364" s="1530"/>
      <c r="D364" s="1531"/>
      <c r="E364" s="1531"/>
      <c r="F364" s="1531"/>
      <c r="G364" s="1531"/>
      <c r="H364" s="1531"/>
      <c r="I364" s="1531"/>
      <c r="J364" s="1531"/>
      <c r="K364" s="1531"/>
      <c r="L364" s="1531"/>
      <c r="M364" s="1531"/>
      <c r="N364" s="1531"/>
      <c r="O364" s="1531"/>
      <c r="P364" s="1531"/>
      <c r="Q364" s="1532"/>
      <c r="R364" s="10"/>
      <c r="S364" s="1530"/>
      <c r="T364" s="1531"/>
      <c r="U364" s="1531"/>
      <c r="V364" s="1531"/>
      <c r="W364" s="1531"/>
      <c r="X364" s="1531"/>
      <c r="Y364" s="1531"/>
      <c r="Z364" s="1531"/>
      <c r="AA364" s="1531"/>
      <c r="AB364" s="1531"/>
      <c r="AC364" s="1531"/>
      <c r="AD364" s="1531"/>
      <c r="AE364" s="1531"/>
      <c r="AF364" s="1531"/>
      <c r="AG364" s="1532"/>
      <c r="AM364" s="1473"/>
      <c r="AN364" s="1473"/>
      <c r="AO364" s="1473"/>
      <c r="AP364" s="1473"/>
      <c r="AQ364" s="1473"/>
      <c r="AR364" s="1473"/>
      <c r="AS364" s="1473"/>
      <c r="AT364" s="1473"/>
      <c r="AU364" s="1473"/>
      <c r="AV364" s="1473"/>
      <c r="AW364" s="1473"/>
      <c r="AX364" s="1473"/>
      <c r="AY364" s="1473"/>
      <c r="AZ364" s="1473"/>
      <c r="BA364" s="1473"/>
      <c r="BB364" s="1473"/>
      <c r="BC364" s="1473"/>
      <c r="BD364" s="1473"/>
      <c r="BE364" s="1473"/>
      <c r="BF364" s="1473"/>
      <c r="BG364" s="1473"/>
      <c r="BH364" s="1473"/>
      <c r="BI364" s="1473"/>
      <c r="BJ364" s="1473"/>
      <c r="BK364" s="1473"/>
      <c r="BL364" s="1473"/>
      <c r="BM364" s="1473"/>
      <c r="BN364" s="1473"/>
      <c r="BO364" s="1473"/>
      <c r="BP364" s="1473"/>
      <c r="BQ364" s="1473"/>
    </row>
    <row r="365" spans="3:69" ht="15" customHeight="1">
      <c r="C365" s="1530"/>
      <c r="D365" s="1531"/>
      <c r="E365" s="1531"/>
      <c r="F365" s="1531"/>
      <c r="G365" s="1531"/>
      <c r="H365" s="1531"/>
      <c r="I365" s="1531"/>
      <c r="J365" s="1531"/>
      <c r="K365" s="1531"/>
      <c r="L365" s="1531"/>
      <c r="M365" s="1531"/>
      <c r="N365" s="1531"/>
      <c r="O365" s="1531"/>
      <c r="P365" s="1531"/>
      <c r="Q365" s="1532"/>
      <c r="R365" s="10"/>
      <c r="S365" s="1530"/>
      <c r="T365" s="1531"/>
      <c r="U365" s="1531"/>
      <c r="V365" s="1531"/>
      <c r="W365" s="1531"/>
      <c r="X365" s="1531"/>
      <c r="Y365" s="1531"/>
      <c r="Z365" s="1531"/>
      <c r="AA365" s="1531"/>
      <c r="AB365" s="1531"/>
      <c r="AC365" s="1531"/>
      <c r="AD365" s="1531"/>
      <c r="AE365" s="1531"/>
      <c r="AF365" s="1531"/>
      <c r="AG365" s="1532"/>
      <c r="AM365" s="1474"/>
      <c r="AN365" s="1474"/>
      <c r="AO365" s="1474"/>
      <c r="AP365" s="1474"/>
      <c r="AQ365" s="1474"/>
      <c r="AR365" s="1474"/>
      <c r="AS365" s="1474"/>
      <c r="AT365" s="1474"/>
      <c r="AU365" s="1474"/>
      <c r="AV365" s="1474"/>
      <c r="AW365" s="1474"/>
      <c r="AX365" s="1474"/>
      <c r="AY365" s="1474"/>
      <c r="AZ365" s="1474"/>
      <c r="BA365" s="1474"/>
      <c r="BB365" s="1474"/>
      <c r="BC365" s="1474"/>
      <c r="BD365" s="1474"/>
      <c r="BE365" s="1474"/>
      <c r="BF365" s="1474"/>
      <c r="BG365" s="1474"/>
      <c r="BH365" s="1474"/>
      <c r="BI365" s="1474"/>
      <c r="BJ365" s="1474"/>
      <c r="BK365" s="1474"/>
      <c r="BL365" s="1474"/>
      <c r="BM365" s="1474"/>
      <c r="BN365" s="1474"/>
      <c r="BO365" s="1474"/>
      <c r="BP365" s="1474"/>
      <c r="BQ365" s="1474"/>
    </row>
    <row r="366" spans="3:69" ht="15" customHeight="1">
      <c r="C366" s="1530"/>
      <c r="D366" s="1531"/>
      <c r="E366" s="1531"/>
      <c r="F366" s="1531"/>
      <c r="G366" s="1531"/>
      <c r="H366" s="1531"/>
      <c r="I366" s="1531"/>
      <c r="J366" s="1531"/>
      <c r="K366" s="1531"/>
      <c r="L366" s="1531"/>
      <c r="M366" s="1531"/>
      <c r="N366" s="1531"/>
      <c r="O366" s="1531"/>
      <c r="P366" s="1531"/>
      <c r="Q366" s="1532"/>
      <c r="R366" s="10"/>
      <c r="S366" s="1530"/>
      <c r="T366" s="1531"/>
      <c r="U366" s="1531"/>
      <c r="V366" s="1531"/>
      <c r="W366" s="1531"/>
      <c r="X366" s="1531"/>
      <c r="Y366" s="1531"/>
      <c r="Z366" s="1531"/>
      <c r="AA366" s="1531"/>
      <c r="AB366" s="1531"/>
      <c r="AC366" s="1531"/>
      <c r="AD366" s="1531"/>
      <c r="AE366" s="1531"/>
      <c r="AF366" s="1531"/>
      <c r="AG366" s="1532"/>
      <c r="AM366" s="1473"/>
      <c r="AN366" s="1473"/>
      <c r="AO366" s="1473"/>
      <c r="AP366" s="1473"/>
      <c r="AQ366" s="1473"/>
      <c r="AR366" s="1473"/>
      <c r="AS366" s="1473"/>
      <c r="AT366" s="1473"/>
      <c r="AU366" s="1473"/>
      <c r="AV366" s="1473"/>
      <c r="AW366" s="1473"/>
      <c r="AX366" s="1473"/>
      <c r="AY366" s="1473"/>
      <c r="AZ366" s="1473"/>
      <c r="BA366" s="1473"/>
      <c r="BB366" s="1473"/>
      <c r="BC366" s="1473"/>
      <c r="BD366" s="1473"/>
      <c r="BE366" s="1473"/>
      <c r="BF366" s="1473"/>
      <c r="BG366" s="1473"/>
      <c r="BH366" s="1473"/>
      <c r="BI366" s="1473"/>
      <c r="BJ366" s="1473"/>
      <c r="BK366" s="1473"/>
      <c r="BL366" s="1473"/>
      <c r="BM366" s="1473"/>
      <c r="BN366" s="1473"/>
      <c r="BO366" s="1473"/>
      <c r="BP366" s="1473"/>
      <c r="BQ366" s="1473"/>
    </row>
    <row r="367" spans="3:69" ht="15" customHeight="1">
      <c r="C367" s="1530"/>
      <c r="D367" s="1531"/>
      <c r="E367" s="1531"/>
      <c r="F367" s="1531"/>
      <c r="G367" s="1531"/>
      <c r="H367" s="1531"/>
      <c r="I367" s="1531"/>
      <c r="J367" s="1531"/>
      <c r="K367" s="1531"/>
      <c r="L367" s="1531"/>
      <c r="M367" s="1531"/>
      <c r="N367" s="1531"/>
      <c r="O367" s="1531"/>
      <c r="P367" s="1531"/>
      <c r="Q367" s="1532"/>
      <c r="R367" s="10"/>
      <c r="S367" s="1530"/>
      <c r="T367" s="1531"/>
      <c r="U367" s="1531"/>
      <c r="V367" s="1531"/>
      <c r="W367" s="1531"/>
      <c r="X367" s="1531"/>
      <c r="Y367" s="1531"/>
      <c r="Z367" s="1531"/>
      <c r="AA367" s="1531"/>
      <c r="AB367" s="1531"/>
      <c r="AC367" s="1531"/>
      <c r="AD367" s="1531"/>
      <c r="AE367" s="1531"/>
      <c r="AF367" s="1531"/>
      <c r="AG367" s="1532"/>
      <c r="AM367" s="1473"/>
      <c r="AN367" s="1473"/>
      <c r="AO367" s="1473"/>
      <c r="AP367" s="1473"/>
      <c r="AQ367" s="1473"/>
      <c r="AR367" s="1473"/>
      <c r="AS367" s="1473"/>
      <c r="AT367" s="1473"/>
      <c r="AU367" s="1473"/>
      <c r="AV367" s="1473"/>
      <c r="AW367" s="1473"/>
      <c r="AX367" s="1473"/>
      <c r="AY367" s="1473"/>
      <c r="AZ367" s="1473"/>
      <c r="BA367" s="1473"/>
      <c r="BB367" s="1473"/>
      <c r="BC367" s="1473"/>
      <c r="BD367" s="1473"/>
      <c r="BE367" s="1473"/>
      <c r="BF367" s="1473"/>
      <c r="BG367" s="1473"/>
      <c r="BH367" s="1473"/>
      <c r="BI367" s="1473"/>
      <c r="BJ367" s="1473"/>
      <c r="BK367" s="1473"/>
      <c r="BL367" s="1473"/>
      <c r="BM367" s="1473"/>
      <c r="BN367" s="1473"/>
      <c r="BO367" s="1473"/>
      <c r="BP367" s="1473"/>
      <c r="BQ367" s="1473"/>
    </row>
    <row r="368" spans="3:69" ht="15" customHeight="1">
      <c r="C368" s="1530"/>
      <c r="D368" s="1531"/>
      <c r="E368" s="1531"/>
      <c r="F368" s="1531"/>
      <c r="G368" s="1531"/>
      <c r="H368" s="1531"/>
      <c r="I368" s="1531"/>
      <c r="J368" s="1531"/>
      <c r="K368" s="1531"/>
      <c r="L368" s="1531"/>
      <c r="M368" s="1531"/>
      <c r="N368" s="1531"/>
      <c r="O368" s="1531"/>
      <c r="P368" s="1531"/>
      <c r="Q368" s="1532"/>
      <c r="R368" s="10"/>
      <c r="S368" s="1530"/>
      <c r="T368" s="1531"/>
      <c r="U368" s="1531"/>
      <c r="V368" s="1531"/>
      <c r="W368" s="1531"/>
      <c r="X368" s="1531"/>
      <c r="Y368" s="1531"/>
      <c r="Z368" s="1531"/>
      <c r="AA368" s="1531"/>
      <c r="AB368" s="1531"/>
      <c r="AC368" s="1531"/>
      <c r="AD368" s="1531"/>
      <c r="AE368" s="1531"/>
      <c r="AF368" s="1531"/>
      <c r="AG368" s="1532"/>
      <c r="AM368" s="1473"/>
      <c r="AN368" s="1473"/>
      <c r="AO368" s="1473"/>
      <c r="AP368" s="1473"/>
      <c r="AQ368" s="1473"/>
      <c r="AR368" s="1473"/>
      <c r="AS368" s="1473"/>
      <c r="AT368" s="1473"/>
      <c r="AU368" s="1473"/>
      <c r="AV368" s="1473"/>
      <c r="AW368" s="1473"/>
      <c r="AX368" s="1473"/>
      <c r="AY368" s="1473"/>
      <c r="AZ368" s="1473"/>
      <c r="BA368" s="1473"/>
      <c r="BB368" s="1473"/>
      <c r="BC368" s="1473"/>
      <c r="BD368" s="1473"/>
      <c r="BE368" s="1473"/>
      <c r="BF368" s="1473"/>
      <c r="BG368" s="1473"/>
      <c r="BH368" s="1473"/>
      <c r="BI368" s="1473"/>
      <c r="BJ368" s="1473"/>
      <c r="BK368" s="1473"/>
      <c r="BL368" s="1473"/>
      <c r="BM368" s="1473"/>
      <c r="BN368" s="1473"/>
      <c r="BO368" s="1473"/>
      <c r="BP368" s="1473"/>
      <c r="BQ368" s="1473"/>
    </row>
    <row r="369" spans="3:69" ht="15" customHeight="1">
      <c r="C369" s="1530"/>
      <c r="D369" s="1531"/>
      <c r="E369" s="1531"/>
      <c r="F369" s="1531"/>
      <c r="G369" s="1531"/>
      <c r="H369" s="1531"/>
      <c r="I369" s="1531"/>
      <c r="J369" s="1531"/>
      <c r="K369" s="1531"/>
      <c r="L369" s="1531"/>
      <c r="M369" s="1531"/>
      <c r="N369" s="1531"/>
      <c r="O369" s="1531"/>
      <c r="P369" s="1531"/>
      <c r="Q369" s="1532"/>
      <c r="R369" s="10"/>
      <c r="S369" s="1530"/>
      <c r="T369" s="1531"/>
      <c r="U369" s="1531"/>
      <c r="V369" s="1531"/>
      <c r="W369" s="1531"/>
      <c r="X369" s="1531"/>
      <c r="Y369" s="1531"/>
      <c r="Z369" s="1531"/>
      <c r="AA369" s="1531"/>
      <c r="AB369" s="1531"/>
      <c r="AC369" s="1531"/>
      <c r="AD369" s="1531"/>
      <c r="AE369" s="1531"/>
      <c r="AF369" s="1531"/>
      <c r="AG369" s="1532"/>
      <c r="AM369" s="1473"/>
      <c r="AN369" s="1473"/>
      <c r="AO369" s="1473"/>
      <c r="AP369" s="1473"/>
      <c r="AQ369" s="1473"/>
      <c r="AR369" s="1473"/>
      <c r="AS369" s="1473"/>
      <c r="AT369" s="1473"/>
      <c r="AU369" s="1473"/>
      <c r="AV369" s="1473"/>
      <c r="AW369" s="1473"/>
      <c r="AX369" s="1473"/>
      <c r="AY369" s="1473"/>
      <c r="AZ369" s="1473"/>
      <c r="BA369" s="1473"/>
      <c r="BB369" s="1473"/>
      <c r="BC369" s="1473"/>
      <c r="BD369" s="1473"/>
      <c r="BE369" s="1473"/>
      <c r="BF369" s="1473"/>
      <c r="BG369" s="1473"/>
      <c r="BH369" s="1473"/>
      <c r="BI369" s="1473"/>
      <c r="BJ369" s="1473"/>
      <c r="BK369" s="1473"/>
      <c r="BL369" s="1473"/>
      <c r="BM369" s="1473"/>
      <c r="BN369" s="1473"/>
      <c r="BO369" s="1473"/>
      <c r="BP369" s="1473"/>
      <c r="BQ369" s="1473"/>
    </row>
    <row r="370" spans="3:69" ht="15" customHeight="1">
      <c r="C370" s="1530"/>
      <c r="D370" s="1531"/>
      <c r="E370" s="1531"/>
      <c r="F370" s="1531"/>
      <c r="G370" s="1531"/>
      <c r="H370" s="1531"/>
      <c r="I370" s="1531"/>
      <c r="J370" s="1531"/>
      <c r="K370" s="1531"/>
      <c r="L370" s="1531"/>
      <c r="M370" s="1531"/>
      <c r="N370" s="1531"/>
      <c r="O370" s="1531"/>
      <c r="P370" s="1531"/>
      <c r="Q370" s="1532"/>
      <c r="R370" s="10"/>
      <c r="S370" s="1530"/>
      <c r="T370" s="1531"/>
      <c r="U370" s="1531"/>
      <c r="V370" s="1531"/>
      <c r="W370" s="1531"/>
      <c r="X370" s="1531"/>
      <c r="Y370" s="1531"/>
      <c r="Z370" s="1531"/>
      <c r="AA370" s="1531"/>
      <c r="AB370" s="1531"/>
      <c r="AC370" s="1531"/>
      <c r="AD370" s="1531"/>
      <c r="AE370" s="1531"/>
      <c r="AF370" s="1531"/>
      <c r="AG370" s="1532"/>
      <c r="AM370" s="1473"/>
      <c r="AN370" s="1473"/>
      <c r="AO370" s="1473"/>
      <c r="AP370" s="1473"/>
      <c r="AQ370" s="1473"/>
      <c r="AR370" s="1473"/>
      <c r="AS370" s="1473"/>
      <c r="AT370" s="1473"/>
      <c r="AU370" s="1473"/>
      <c r="AV370" s="1473"/>
      <c r="AW370" s="1473"/>
      <c r="AX370" s="1473"/>
      <c r="AY370" s="1473"/>
      <c r="AZ370" s="1473"/>
      <c r="BA370" s="1473"/>
      <c r="BB370" s="1473"/>
      <c r="BC370" s="1473"/>
      <c r="BD370" s="1473"/>
      <c r="BE370" s="1473"/>
      <c r="BF370" s="1473"/>
      <c r="BG370" s="1473"/>
      <c r="BH370" s="1473"/>
      <c r="BI370" s="1473"/>
      <c r="BJ370" s="1473"/>
      <c r="BK370" s="1473"/>
      <c r="BL370" s="1473"/>
      <c r="BM370" s="1473"/>
      <c r="BN370" s="1473"/>
      <c r="BO370" s="1473"/>
      <c r="BP370" s="1473"/>
      <c r="BQ370" s="1473"/>
    </row>
    <row r="371" spans="3:69" ht="15" customHeight="1">
      <c r="C371" s="1530"/>
      <c r="D371" s="1531"/>
      <c r="E371" s="1531"/>
      <c r="F371" s="1531"/>
      <c r="G371" s="1531"/>
      <c r="H371" s="1531"/>
      <c r="I371" s="1531"/>
      <c r="J371" s="1531"/>
      <c r="K371" s="1531"/>
      <c r="L371" s="1531"/>
      <c r="M371" s="1531"/>
      <c r="N371" s="1531"/>
      <c r="O371" s="1531"/>
      <c r="P371" s="1531"/>
      <c r="Q371" s="1532"/>
      <c r="R371" s="10"/>
      <c r="S371" s="1530"/>
      <c r="T371" s="1531"/>
      <c r="U371" s="1531"/>
      <c r="V371" s="1531"/>
      <c r="W371" s="1531"/>
      <c r="X371" s="1531"/>
      <c r="Y371" s="1531"/>
      <c r="Z371" s="1531"/>
      <c r="AA371" s="1531"/>
      <c r="AB371" s="1531"/>
      <c r="AC371" s="1531"/>
      <c r="AD371" s="1531"/>
      <c r="AE371" s="1531"/>
      <c r="AF371" s="1531"/>
      <c r="AG371" s="1532"/>
      <c r="AL371" s="1467"/>
      <c r="AM371" s="1467"/>
      <c r="AN371" s="1467"/>
      <c r="AO371" s="1467"/>
      <c r="AP371" s="1467"/>
      <c r="AQ371" s="1467"/>
      <c r="AR371" s="1467"/>
      <c r="AS371" s="1467"/>
      <c r="AT371" s="1467"/>
      <c r="AU371" s="1467"/>
      <c r="AV371" s="1467"/>
      <c r="AW371" s="1467"/>
      <c r="AX371" s="1467"/>
      <c r="AY371" s="1467"/>
      <c r="AZ371" s="1467"/>
      <c r="BA371" s="1467"/>
      <c r="BB371" s="1467"/>
      <c r="BC371" s="1467"/>
      <c r="BD371" s="1467"/>
      <c r="BE371" s="1467"/>
      <c r="BF371" s="1467"/>
      <c r="BG371" s="1467"/>
      <c r="BH371" s="1467"/>
      <c r="BI371" s="1467"/>
      <c r="BJ371" s="1467"/>
      <c r="BK371" s="1467"/>
      <c r="BL371" s="1467"/>
      <c r="BM371" s="1467"/>
      <c r="BN371" s="1467"/>
      <c r="BO371" s="1467"/>
      <c r="BP371" s="1467"/>
      <c r="BQ371" s="1467"/>
    </row>
    <row r="372" spans="3:69" ht="15" customHeight="1">
      <c r="C372" s="1533"/>
      <c r="D372" s="1534"/>
      <c r="E372" s="1534"/>
      <c r="F372" s="1534"/>
      <c r="G372" s="1534"/>
      <c r="H372" s="1534"/>
      <c r="I372" s="1534"/>
      <c r="J372" s="1534"/>
      <c r="K372" s="1534"/>
      <c r="L372" s="1534"/>
      <c r="M372" s="1534"/>
      <c r="N372" s="1534"/>
      <c r="O372" s="1534"/>
      <c r="P372" s="1534"/>
      <c r="Q372" s="1535"/>
      <c r="R372" s="10"/>
      <c r="S372" s="1533"/>
      <c r="T372" s="1534"/>
      <c r="U372" s="1534"/>
      <c r="V372" s="1534"/>
      <c r="W372" s="1534"/>
      <c r="X372" s="1534"/>
      <c r="Y372" s="1534"/>
      <c r="Z372" s="1534"/>
      <c r="AA372" s="1534"/>
      <c r="AB372" s="1534"/>
      <c r="AC372" s="1534"/>
      <c r="AD372" s="1534"/>
      <c r="AE372" s="1534"/>
      <c r="AF372" s="1534"/>
      <c r="AG372" s="1535"/>
      <c r="AL372" s="1467"/>
      <c r="AM372" s="1467"/>
      <c r="AN372" s="1467"/>
      <c r="AO372" s="1467"/>
      <c r="AP372" s="1467"/>
      <c r="AQ372" s="1467"/>
      <c r="AR372" s="1467"/>
      <c r="AS372" s="1467"/>
      <c r="AT372" s="1467"/>
      <c r="AU372" s="1467"/>
      <c r="AV372" s="1467"/>
      <c r="AW372" s="1467"/>
      <c r="AX372" s="1467"/>
      <c r="AY372" s="1467"/>
      <c r="AZ372" s="1467"/>
      <c r="BA372" s="1467"/>
      <c r="BB372" s="1467"/>
      <c r="BC372" s="1467"/>
      <c r="BD372" s="1467"/>
      <c r="BE372" s="1467"/>
      <c r="BF372" s="1467"/>
      <c r="BG372" s="1467"/>
      <c r="BH372" s="1467"/>
      <c r="BI372" s="1467"/>
      <c r="BJ372" s="1467"/>
      <c r="BK372" s="1467"/>
      <c r="BL372" s="1467"/>
      <c r="BM372" s="1467"/>
      <c r="BN372" s="1467"/>
      <c r="BO372" s="1467"/>
      <c r="BP372" s="1467"/>
      <c r="BQ372" s="1467"/>
    </row>
    <row r="373" spans="3:69" ht="15" customHeight="1"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L373" s="205"/>
      <c r="AM373" s="1473"/>
      <c r="AN373" s="1473"/>
      <c r="AO373" s="1473"/>
      <c r="AP373" s="1473"/>
      <c r="AQ373" s="1473"/>
      <c r="AR373" s="1473"/>
      <c r="AS373" s="1473"/>
      <c r="AT373" s="1473"/>
      <c r="AU373" s="1473"/>
      <c r="AV373" s="1473"/>
      <c r="AW373" s="1473"/>
      <c r="AX373" s="1473"/>
      <c r="AY373" s="1473"/>
      <c r="AZ373" s="1473"/>
      <c r="BA373" s="1473"/>
      <c r="BB373" s="1473"/>
      <c r="BC373" s="1473"/>
      <c r="BD373" s="1473"/>
      <c r="BE373" s="1473"/>
      <c r="BF373" s="1473"/>
      <c r="BG373" s="1473"/>
      <c r="BH373" s="1473"/>
      <c r="BI373" s="1473"/>
      <c r="BJ373" s="1473"/>
      <c r="BK373" s="1473"/>
      <c r="BL373" s="1473"/>
      <c r="BM373" s="1473"/>
      <c r="BN373" s="1473"/>
      <c r="BO373" s="1473"/>
      <c r="BP373" s="1473"/>
      <c r="BQ373" s="1473"/>
    </row>
    <row r="374" spans="3:69" ht="15" customHeight="1">
      <c r="C374" s="1510" t="s">
        <v>161</v>
      </c>
      <c r="D374" s="1511"/>
      <c r="E374" s="1511"/>
      <c r="F374" s="1511"/>
      <c r="G374" s="1511"/>
      <c r="H374" s="1511"/>
      <c r="I374" s="1511"/>
      <c r="J374" s="1511"/>
      <c r="K374" s="1511"/>
      <c r="L374" s="1511"/>
      <c r="M374" s="1511"/>
      <c r="N374" s="1511"/>
      <c r="O374" s="1511"/>
      <c r="P374" s="1511"/>
      <c r="Q374" s="1512"/>
      <c r="R374" s="148"/>
      <c r="S374" s="1510" t="s">
        <v>162</v>
      </c>
      <c r="T374" s="1511"/>
      <c r="U374" s="1511"/>
      <c r="V374" s="1511"/>
      <c r="W374" s="1511"/>
      <c r="X374" s="1511"/>
      <c r="Y374" s="1511"/>
      <c r="Z374" s="1511"/>
      <c r="AA374" s="1511"/>
      <c r="AB374" s="1511"/>
      <c r="AC374" s="1511"/>
      <c r="AD374" s="1511"/>
      <c r="AE374" s="1511"/>
      <c r="AF374" s="1511"/>
      <c r="AG374" s="1512"/>
      <c r="AM374" s="1473"/>
      <c r="AN374" s="1473"/>
      <c r="AO374" s="1473"/>
      <c r="AP374" s="1473"/>
      <c r="AQ374" s="1473"/>
      <c r="AR374" s="1473"/>
      <c r="AS374" s="1473"/>
      <c r="AT374" s="1473"/>
      <c r="AU374" s="1473"/>
      <c r="AV374" s="1473"/>
      <c r="AW374" s="1473"/>
      <c r="AX374" s="1473"/>
      <c r="AY374" s="1473"/>
      <c r="AZ374" s="1473"/>
      <c r="BA374" s="1473"/>
      <c r="BB374" s="1473"/>
      <c r="BC374" s="1473"/>
      <c r="BD374" s="1473"/>
      <c r="BE374" s="1473"/>
      <c r="BF374" s="1473"/>
      <c r="BG374" s="1473"/>
      <c r="BH374" s="1473"/>
      <c r="BI374" s="1473"/>
      <c r="BJ374" s="1473"/>
      <c r="BK374" s="1473"/>
      <c r="BL374" s="1473"/>
      <c r="BM374" s="1473"/>
      <c r="BN374" s="1473"/>
      <c r="BO374" s="1473"/>
      <c r="BP374" s="1473"/>
      <c r="BQ374" s="1473"/>
    </row>
    <row r="375" spans="3:69" ht="15" customHeight="1">
      <c r="C375" s="1513"/>
      <c r="D375" s="1514"/>
      <c r="E375" s="1514"/>
      <c r="F375" s="1514"/>
      <c r="G375" s="1514"/>
      <c r="H375" s="1514"/>
      <c r="I375" s="1514"/>
      <c r="J375" s="1514"/>
      <c r="K375" s="1514"/>
      <c r="L375" s="1514"/>
      <c r="M375" s="1514"/>
      <c r="N375" s="1514"/>
      <c r="O375" s="1514"/>
      <c r="P375" s="1514"/>
      <c r="Q375" s="1515"/>
      <c r="R375" s="148"/>
      <c r="S375" s="1513"/>
      <c r="T375" s="1514"/>
      <c r="U375" s="1514"/>
      <c r="V375" s="1514"/>
      <c r="W375" s="1514"/>
      <c r="X375" s="1514"/>
      <c r="Y375" s="1514"/>
      <c r="Z375" s="1514"/>
      <c r="AA375" s="1514"/>
      <c r="AB375" s="1514"/>
      <c r="AC375" s="1514"/>
      <c r="AD375" s="1514"/>
      <c r="AE375" s="1514"/>
      <c r="AF375" s="1514"/>
      <c r="AG375" s="1515"/>
    </row>
    <row r="376" spans="3:69" ht="15" customHeight="1">
      <c r="C376" s="170"/>
      <c r="D376" s="170"/>
      <c r="E376" s="170"/>
      <c r="F376" s="170"/>
      <c r="G376" s="170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48"/>
      <c r="S376" s="170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</row>
    <row r="377" spans="3:69" ht="15" customHeight="1">
      <c r="C377" s="170"/>
      <c r="D377" s="170"/>
      <c r="E377" s="170"/>
      <c r="F377" s="170"/>
      <c r="G377" s="170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467"/>
      <c r="AM377" s="1467"/>
      <c r="AN377" s="1467"/>
      <c r="AO377" s="1467"/>
      <c r="AP377" s="1467"/>
      <c r="AQ377" s="1467"/>
      <c r="AR377" s="1467"/>
      <c r="AS377" s="1467"/>
      <c r="AT377" s="1467"/>
      <c r="AU377" s="1467"/>
      <c r="AV377" s="1467"/>
      <c r="AW377" s="1467"/>
      <c r="AX377" s="1467"/>
      <c r="AY377" s="1467"/>
      <c r="AZ377" s="1467"/>
      <c r="BA377" s="1467"/>
      <c r="BB377" s="1467"/>
      <c r="BC377" s="1467"/>
      <c r="BD377" s="1467"/>
      <c r="BE377" s="1467"/>
      <c r="BF377" s="1467"/>
      <c r="BG377" s="1467"/>
      <c r="BH377" s="1467"/>
      <c r="BI377" s="1467"/>
      <c r="BJ377" s="1467"/>
      <c r="BK377" s="1467"/>
      <c r="BL377" s="1467"/>
      <c r="BM377" s="1467"/>
      <c r="BN377" s="1467"/>
      <c r="BO377" s="1467"/>
      <c r="BP377" s="1467"/>
      <c r="BQ377" s="1467"/>
    </row>
    <row r="378" spans="3:69" ht="15" customHeight="1">
      <c r="C378" s="170"/>
      <c r="D378" s="170"/>
      <c r="E378" s="170"/>
      <c r="F378" s="170"/>
      <c r="G378" s="170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48"/>
      <c r="S378" s="170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L378" s="1467"/>
      <c r="AM378" s="1467"/>
      <c r="AN378" s="1467"/>
      <c r="AO378" s="1467"/>
      <c r="AP378" s="1467"/>
      <c r="AQ378" s="1467"/>
      <c r="AR378" s="1467"/>
      <c r="AS378" s="1467"/>
      <c r="AT378" s="1467"/>
      <c r="AU378" s="1467"/>
      <c r="AV378" s="1467"/>
      <c r="AW378" s="1467"/>
      <c r="AX378" s="1467"/>
      <c r="AY378" s="1467"/>
      <c r="AZ378" s="1467"/>
      <c r="BA378" s="1467"/>
      <c r="BB378" s="1467"/>
      <c r="BC378" s="1467"/>
      <c r="BD378" s="1467"/>
      <c r="BE378" s="1467"/>
      <c r="BF378" s="1467"/>
      <c r="BG378" s="1467"/>
      <c r="BH378" s="1467"/>
      <c r="BI378" s="1467"/>
      <c r="BJ378" s="1467"/>
      <c r="BK378" s="1467"/>
      <c r="BL378" s="1467"/>
      <c r="BM378" s="1467"/>
      <c r="BN378" s="1467"/>
      <c r="BO378" s="1467"/>
      <c r="BP378" s="1467"/>
      <c r="BQ378" s="1467"/>
    </row>
    <row r="379" spans="3:69" ht="15" customHeight="1"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</row>
    <row r="380" spans="3:69" ht="15" customHeight="1">
      <c r="C380" s="1527" t="s">
        <v>153</v>
      </c>
      <c r="D380" s="1528"/>
      <c r="E380" s="1528"/>
      <c r="F380" s="1528"/>
      <c r="G380" s="1528"/>
      <c r="H380" s="1528"/>
      <c r="I380" s="1528"/>
      <c r="J380" s="1528"/>
      <c r="K380" s="1528"/>
      <c r="L380" s="1528"/>
      <c r="M380" s="1528"/>
      <c r="N380" s="1528"/>
      <c r="O380" s="1528"/>
      <c r="P380" s="1528"/>
      <c r="Q380" s="1529"/>
      <c r="R380" s="10"/>
      <c r="S380" s="1527" t="s">
        <v>154</v>
      </c>
      <c r="T380" s="1528"/>
      <c r="U380" s="1528"/>
      <c r="V380" s="1528"/>
      <c r="W380" s="1528"/>
      <c r="X380" s="1528"/>
      <c r="Y380" s="1528"/>
      <c r="Z380" s="1528"/>
      <c r="AA380" s="1528"/>
      <c r="AB380" s="1528"/>
      <c r="AC380" s="1528"/>
      <c r="AD380" s="1528"/>
      <c r="AE380" s="1528"/>
      <c r="AF380" s="1528"/>
      <c r="AG380" s="1529"/>
      <c r="AL380"/>
    </row>
    <row r="381" spans="3:69" ht="15" customHeight="1">
      <c r="C381" s="1530"/>
      <c r="D381" s="1531"/>
      <c r="E381" s="1531"/>
      <c r="F381" s="1531"/>
      <c r="G381" s="1531"/>
      <c r="H381" s="1531"/>
      <c r="I381" s="1531"/>
      <c r="J381" s="1531"/>
      <c r="K381" s="1531"/>
      <c r="L381" s="1531"/>
      <c r="M381" s="1531"/>
      <c r="N381" s="1531"/>
      <c r="O381" s="1531"/>
      <c r="P381" s="1531"/>
      <c r="Q381" s="1532"/>
      <c r="R381" s="10"/>
      <c r="S381" s="1530"/>
      <c r="T381" s="1531"/>
      <c r="U381" s="1531"/>
      <c r="V381" s="1531"/>
      <c r="W381" s="1531"/>
      <c r="X381" s="1531"/>
      <c r="Y381" s="1531"/>
      <c r="Z381" s="1531"/>
      <c r="AA381" s="1531"/>
      <c r="AB381" s="1531"/>
      <c r="AC381" s="1531"/>
      <c r="AD381" s="1531"/>
      <c r="AE381" s="1531"/>
      <c r="AF381" s="1531"/>
      <c r="AG381" s="1532"/>
    </row>
    <row r="382" spans="3:69" ht="15" customHeight="1">
      <c r="C382" s="1530"/>
      <c r="D382" s="1531"/>
      <c r="E382" s="1531"/>
      <c r="F382" s="1531"/>
      <c r="G382" s="1531"/>
      <c r="H382" s="1531"/>
      <c r="I382" s="1531"/>
      <c r="J382" s="1531"/>
      <c r="K382" s="1531"/>
      <c r="L382" s="1531"/>
      <c r="M382" s="1531"/>
      <c r="N382" s="1531"/>
      <c r="O382" s="1531"/>
      <c r="P382" s="1531"/>
      <c r="Q382" s="1532"/>
      <c r="R382" s="10"/>
      <c r="S382" s="1530"/>
      <c r="T382" s="1531"/>
      <c r="U382" s="1531"/>
      <c r="V382" s="1531"/>
      <c r="W382" s="1531"/>
      <c r="X382" s="1531"/>
      <c r="Y382" s="1531"/>
      <c r="Z382" s="1531"/>
      <c r="AA382" s="1531"/>
      <c r="AB382" s="1531"/>
      <c r="AC382" s="1531"/>
      <c r="AD382" s="1531"/>
      <c r="AE382" s="1531"/>
      <c r="AF382" s="1531"/>
      <c r="AG382" s="1532"/>
    </row>
    <row r="383" spans="3:69" ht="15" customHeight="1">
      <c r="C383" s="1530"/>
      <c r="D383" s="1531"/>
      <c r="E383" s="1531"/>
      <c r="F383" s="1531"/>
      <c r="G383" s="1531"/>
      <c r="H383" s="1531"/>
      <c r="I383" s="1531"/>
      <c r="J383" s="1531"/>
      <c r="K383" s="1531"/>
      <c r="L383" s="1531"/>
      <c r="M383" s="1531"/>
      <c r="N383" s="1531"/>
      <c r="O383" s="1531"/>
      <c r="P383" s="1531"/>
      <c r="Q383" s="1532"/>
      <c r="R383" s="10"/>
      <c r="S383" s="1530"/>
      <c r="T383" s="1531"/>
      <c r="U383" s="1531"/>
      <c r="V383" s="1531"/>
      <c r="W383" s="1531"/>
      <c r="X383" s="1531"/>
      <c r="Y383" s="1531"/>
      <c r="Z383" s="1531"/>
      <c r="AA383" s="1531"/>
      <c r="AB383" s="1531"/>
      <c r="AC383" s="1531"/>
      <c r="AD383" s="1531"/>
      <c r="AE383" s="1531"/>
      <c r="AF383" s="1531"/>
      <c r="AG383" s="1532"/>
    </row>
    <row r="384" spans="3:69" ht="15" customHeight="1">
      <c r="C384" s="1530"/>
      <c r="D384" s="1531"/>
      <c r="E384" s="1531"/>
      <c r="F384" s="1531"/>
      <c r="G384" s="1531"/>
      <c r="H384" s="1531"/>
      <c r="I384" s="1531"/>
      <c r="J384" s="1531"/>
      <c r="K384" s="1531"/>
      <c r="L384" s="1531"/>
      <c r="M384" s="1531"/>
      <c r="N384" s="1531"/>
      <c r="O384" s="1531"/>
      <c r="P384" s="1531"/>
      <c r="Q384" s="1532"/>
      <c r="R384" s="10"/>
      <c r="S384" s="1530"/>
      <c r="T384" s="1531"/>
      <c r="U384" s="1531"/>
      <c r="V384" s="1531"/>
      <c r="W384" s="1531"/>
      <c r="X384" s="1531"/>
      <c r="Y384" s="1531"/>
      <c r="Z384" s="1531"/>
      <c r="AA384" s="1531"/>
      <c r="AB384" s="1531"/>
      <c r="AC384" s="1531"/>
      <c r="AD384" s="1531"/>
      <c r="AE384" s="1531"/>
      <c r="AF384" s="1531"/>
      <c r="AG384" s="1532"/>
    </row>
    <row r="385" spans="3:38" ht="15" customHeight="1">
      <c r="C385" s="1530"/>
      <c r="D385" s="1531"/>
      <c r="E385" s="1531"/>
      <c r="F385" s="1531"/>
      <c r="G385" s="1531"/>
      <c r="H385" s="1531"/>
      <c r="I385" s="1531"/>
      <c r="J385" s="1531"/>
      <c r="K385" s="1531"/>
      <c r="L385" s="1531"/>
      <c r="M385" s="1531"/>
      <c r="N385" s="1531"/>
      <c r="O385" s="1531"/>
      <c r="P385" s="1531"/>
      <c r="Q385" s="1532"/>
      <c r="R385" s="10"/>
      <c r="S385" s="1530"/>
      <c r="T385" s="1531"/>
      <c r="U385" s="1531"/>
      <c r="V385" s="1531"/>
      <c r="W385" s="1531"/>
      <c r="X385" s="1531"/>
      <c r="Y385" s="1531"/>
      <c r="Z385" s="1531"/>
      <c r="AA385" s="1531"/>
      <c r="AB385" s="1531"/>
      <c r="AC385" s="1531"/>
      <c r="AD385" s="1531"/>
      <c r="AE385" s="1531"/>
      <c r="AF385" s="1531"/>
      <c r="AG385" s="1532"/>
    </row>
    <row r="386" spans="3:38" ht="15" customHeight="1">
      <c r="C386" s="1530"/>
      <c r="D386" s="1531"/>
      <c r="E386" s="1531"/>
      <c r="F386" s="1531"/>
      <c r="G386" s="1531"/>
      <c r="H386" s="1531"/>
      <c r="I386" s="1531"/>
      <c r="J386" s="1531"/>
      <c r="K386" s="1531"/>
      <c r="L386" s="1531"/>
      <c r="M386" s="1531"/>
      <c r="N386" s="1531"/>
      <c r="O386" s="1531"/>
      <c r="P386" s="1531"/>
      <c r="Q386" s="1532"/>
      <c r="R386" s="10"/>
      <c r="S386" s="1530"/>
      <c r="T386" s="1531"/>
      <c r="U386" s="1531"/>
      <c r="V386" s="1531"/>
      <c r="W386" s="1531"/>
      <c r="X386" s="1531"/>
      <c r="Y386" s="1531"/>
      <c r="Z386" s="1531"/>
      <c r="AA386" s="1531"/>
      <c r="AB386" s="1531"/>
      <c r="AC386" s="1531"/>
      <c r="AD386" s="1531"/>
      <c r="AE386" s="1531"/>
      <c r="AF386" s="1531"/>
      <c r="AG386" s="1532"/>
      <c r="AL386"/>
    </row>
    <row r="387" spans="3:38" ht="15" customHeight="1">
      <c r="C387" s="1530"/>
      <c r="D387" s="1531"/>
      <c r="E387" s="1531"/>
      <c r="F387" s="1531"/>
      <c r="G387" s="1531"/>
      <c r="H387" s="1531"/>
      <c r="I387" s="1531"/>
      <c r="J387" s="1531"/>
      <c r="K387" s="1531"/>
      <c r="L387" s="1531"/>
      <c r="M387" s="1531"/>
      <c r="N387" s="1531"/>
      <c r="O387" s="1531"/>
      <c r="P387" s="1531"/>
      <c r="Q387" s="1532"/>
      <c r="R387" s="10"/>
      <c r="S387" s="1530"/>
      <c r="T387" s="1531"/>
      <c r="U387" s="1531"/>
      <c r="V387" s="1531"/>
      <c r="W387" s="1531"/>
      <c r="X387" s="1531"/>
      <c r="Y387" s="1531"/>
      <c r="Z387" s="1531"/>
      <c r="AA387" s="1531"/>
      <c r="AB387" s="1531"/>
      <c r="AC387" s="1531"/>
      <c r="AD387" s="1531"/>
      <c r="AE387" s="1531"/>
      <c r="AF387" s="1531"/>
      <c r="AG387" s="1532"/>
    </row>
    <row r="388" spans="3:38" ht="15" customHeight="1">
      <c r="C388" s="1530"/>
      <c r="D388" s="1531"/>
      <c r="E388" s="1531"/>
      <c r="F388" s="1531"/>
      <c r="G388" s="1531"/>
      <c r="H388" s="1531"/>
      <c r="I388" s="1531"/>
      <c r="J388" s="1531"/>
      <c r="K388" s="1531"/>
      <c r="L388" s="1531"/>
      <c r="M388" s="1531"/>
      <c r="N388" s="1531"/>
      <c r="O388" s="1531"/>
      <c r="P388" s="1531"/>
      <c r="Q388" s="1532"/>
      <c r="R388" s="10"/>
      <c r="S388" s="1530"/>
      <c r="T388" s="1531"/>
      <c r="U388" s="1531"/>
      <c r="V388" s="1531"/>
      <c r="W388" s="1531"/>
      <c r="X388" s="1531"/>
      <c r="Y388" s="1531"/>
      <c r="Z388" s="1531"/>
      <c r="AA388" s="1531"/>
      <c r="AB388" s="1531"/>
      <c r="AC388" s="1531"/>
      <c r="AD388" s="1531"/>
      <c r="AE388" s="1531"/>
      <c r="AF388" s="1531"/>
      <c r="AG388" s="1532"/>
    </row>
    <row r="389" spans="3:38" ht="15" customHeight="1">
      <c r="C389" s="1530"/>
      <c r="D389" s="1531"/>
      <c r="E389" s="1531"/>
      <c r="F389" s="1531"/>
      <c r="G389" s="1531"/>
      <c r="H389" s="1531"/>
      <c r="I389" s="1531"/>
      <c r="J389" s="1531"/>
      <c r="K389" s="1531"/>
      <c r="L389" s="1531"/>
      <c r="M389" s="1531"/>
      <c r="N389" s="1531"/>
      <c r="O389" s="1531"/>
      <c r="P389" s="1531"/>
      <c r="Q389" s="1532"/>
      <c r="R389" s="10"/>
      <c r="S389" s="1530"/>
      <c r="T389" s="1531"/>
      <c r="U389" s="1531"/>
      <c r="V389" s="1531"/>
      <c r="W389" s="1531"/>
      <c r="X389" s="1531"/>
      <c r="Y389" s="1531"/>
      <c r="Z389" s="1531"/>
      <c r="AA389" s="1531"/>
      <c r="AB389" s="1531"/>
      <c r="AC389" s="1531"/>
      <c r="AD389" s="1531"/>
      <c r="AE389" s="1531"/>
      <c r="AF389" s="1531"/>
      <c r="AG389" s="1532"/>
    </row>
    <row r="390" spans="3:38" ht="15" customHeight="1">
      <c r="C390" s="1530"/>
      <c r="D390" s="1531"/>
      <c r="E390" s="1531"/>
      <c r="F390" s="1531"/>
      <c r="G390" s="1531"/>
      <c r="H390" s="1531"/>
      <c r="I390" s="1531"/>
      <c r="J390" s="1531"/>
      <c r="K390" s="1531"/>
      <c r="L390" s="1531"/>
      <c r="M390" s="1531"/>
      <c r="N390" s="1531"/>
      <c r="O390" s="1531"/>
      <c r="P390" s="1531"/>
      <c r="Q390" s="1532"/>
      <c r="R390" s="10"/>
      <c r="S390" s="1530"/>
      <c r="T390" s="1531"/>
      <c r="U390" s="1531"/>
      <c r="V390" s="1531"/>
      <c r="W390" s="1531"/>
      <c r="X390" s="1531"/>
      <c r="Y390" s="1531"/>
      <c r="Z390" s="1531"/>
      <c r="AA390" s="1531"/>
      <c r="AB390" s="1531"/>
      <c r="AC390" s="1531"/>
      <c r="AD390" s="1531"/>
      <c r="AE390" s="1531"/>
      <c r="AF390" s="1531"/>
      <c r="AG390" s="1532"/>
    </row>
    <row r="391" spans="3:38" ht="15" customHeight="1">
      <c r="C391" s="1533"/>
      <c r="D391" s="1534"/>
      <c r="E391" s="1534"/>
      <c r="F391" s="1534"/>
      <c r="G391" s="1534"/>
      <c r="H391" s="1534"/>
      <c r="I391" s="1534"/>
      <c r="J391" s="1534"/>
      <c r="K391" s="1534"/>
      <c r="L391" s="1534"/>
      <c r="M391" s="1534"/>
      <c r="N391" s="1534"/>
      <c r="O391" s="1534"/>
      <c r="P391" s="1534"/>
      <c r="Q391" s="1535"/>
      <c r="R391" s="10"/>
      <c r="S391" s="1533"/>
      <c r="T391" s="1534"/>
      <c r="U391" s="1534"/>
      <c r="V391" s="1534"/>
      <c r="W391" s="1534"/>
      <c r="X391" s="1534"/>
      <c r="Y391" s="1534"/>
      <c r="Z391" s="1534"/>
      <c r="AA391" s="1534"/>
      <c r="AB391" s="1534"/>
      <c r="AC391" s="1534"/>
      <c r="AD391" s="1534"/>
      <c r="AE391" s="1534"/>
      <c r="AF391" s="1534"/>
      <c r="AG391" s="1535"/>
    </row>
    <row r="392" spans="3:38" ht="15" customHeight="1"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</row>
    <row r="393" spans="3:38" ht="15" customHeight="1">
      <c r="C393" s="1510" t="s">
        <v>163</v>
      </c>
      <c r="D393" s="1511"/>
      <c r="E393" s="1511"/>
      <c r="F393" s="1511"/>
      <c r="G393" s="1511"/>
      <c r="H393" s="1511"/>
      <c r="I393" s="1511"/>
      <c r="J393" s="1511"/>
      <c r="K393" s="1511"/>
      <c r="L393" s="1511"/>
      <c r="M393" s="1511"/>
      <c r="N393" s="1511"/>
      <c r="O393" s="1511"/>
      <c r="P393" s="1511"/>
      <c r="Q393" s="1512"/>
      <c r="R393" s="148"/>
      <c r="S393" s="1510" t="s">
        <v>164</v>
      </c>
      <c r="T393" s="1511"/>
      <c r="U393" s="1511"/>
      <c r="V393" s="1511"/>
      <c r="W393" s="1511"/>
      <c r="X393" s="1511"/>
      <c r="Y393" s="1511"/>
      <c r="Z393" s="1511"/>
      <c r="AA393" s="1511"/>
      <c r="AB393" s="1511"/>
      <c r="AC393" s="1511"/>
      <c r="AD393" s="1511"/>
      <c r="AE393" s="1511"/>
      <c r="AF393" s="1511"/>
      <c r="AG393" s="1512"/>
    </row>
    <row r="394" spans="3:38" ht="15" customHeight="1">
      <c r="C394" s="1513"/>
      <c r="D394" s="1514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5"/>
      <c r="R394" s="148"/>
      <c r="S394" s="1513"/>
      <c r="T394" s="1514"/>
      <c r="U394" s="1514"/>
      <c r="V394" s="1514"/>
      <c r="W394" s="1514"/>
      <c r="X394" s="1514"/>
      <c r="Y394" s="1514"/>
      <c r="Z394" s="1514"/>
      <c r="AA394" s="1514"/>
      <c r="AB394" s="1514"/>
      <c r="AC394" s="1514"/>
      <c r="AD394" s="1514"/>
      <c r="AE394" s="1514"/>
      <c r="AF394" s="1514"/>
      <c r="AG394" s="1515"/>
    </row>
    <row r="395" spans="3:38" ht="15" customHeight="1">
      <c r="C395" s="170"/>
      <c r="D395" s="170"/>
      <c r="E395" s="170"/>
      <c r="F395" s="170"/>
      <c r="G395" s="170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48"/>
      <c r="S395" s="170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</row>
    <row r="396" spans="3:38" ht="15" customHeight="1">
      <c r="C396" s="170"/>
      <c r="D396" s="170"/>
      <c r="E396" s="170"/>
      <c r="F396" s="170"/>
      <c r="G396" s="170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48"/>
      <c r="S396" s="170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</row>
    <row r="397" spans="3:38" ht="15" customHeight="1">
      <c r="C397" s="170"/>
      <c r="D397" s="170"/>
      <c r="E397" s="170"/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48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</row>
    <row r="398" spans="3:38" ht="15" customHeight="1"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</row>
    <row r="399" spans="3:38" ht="15" customHeight="1">
      <c r="C399" s="1527" t="s">
        <v>153</v>
      </c>
      <c r="D399" s="1528"/>
      <c r="E399" s="1528"/>
      <c r="F399" s="1528"/>
      <c r="G399" s="1528"/>
      <c r="H399" s="1528"/>
      <c r="I399" s="1528"/>
      <c r="J399" s="1528"/>
      <c r="K399" s="1528"/>
      <c r="L399" s="1528"/>
      <c r="M399" s="1528"/>
      <c r="N399" s="1528"/>
      <c r="O399" s="1528"/>
      <c r="P399" s="1528"/>
      <c r="Q399" s="1529"/>
      <c r="R399" s="10"/>
      <c r="S399" s="1527" t="s">
        <v>154</v>
      </c>
      <c r="T399" s="1528"/>
      <c r="U399" s="1528"/>
      <c r="V399" s="1528"/>
      <c r="W399" s="1528"/>
      <c r="X399" s="1528"/>
      <c r="Y399" s="1528"/>
      <c r="Z399" s="1528"/>
      <c r="AA399" s="1528"/>
      <c r="AB399" s="1528"/>
      <c r="AC399" s="1528"/>
      <c r="AD399" s="1528"/>
      <c r="AE399" s="1528"/>
      <c r="AF399" s="1528"/>
      <c r="AG399" s="1529"/>
      <c r="AL399"/>
    </row>
    <row r="400" spans="3:38" ht="15" customHeight="1">
      <c r="C400" s="1530"/>
      <c r="D400" s="1531"/>
      <c r="E400" s="1531"/>
      <c r="F400" s="1531"/>
      <c r="G400" s="1531"/>
      <c r="H400" s="1531"/>
      <c r="I400" s="1531"/>
      <c r="J400" s="1531"/>
      <c r="K400" s="1531"/>
      <c r="L400" s="1531"/>
      <c r="M400" s="1531"/>
      <c r="N400" s="1531"/>
      <c r="O400" s="1531"/>
      <c r="P400" s="1531"/>
      <c r="Q400" s="1532"/>
      <c r="R400" s="10"/>
      <c r="S400" s="1530"/>
      <c r="T400" s="1531"/>
      <c r="U400" s="1531"/>
      <c r="V400" s="1531"/>
      <c r="W400" s="1531"/>
      <c r="X400" s="1531"/>
      <c r="Y400" s="1531"/>
      <c r="Z400" s="1531"/>
      <c r="AA400" s="1531"/>
      <c r="AB400" s="1531"/>
      <c r="AC400" s="1531"/>
      <c r="AD400" s="1531"/>
      <c r="AE400" s="1531"/>
      <c r="AF400" s="1531"/>
      <c r="AG400" s="1532"/>
    </row>
    <row r="401" spans="3:38" ht="15" customHeight="1">
      <c r="C401" s="1530"/>
      <c r="D401" s="1531"/>
      <c r="E401" s="1531"/>
      <c r="F401" s="1531"/>
      <c r="G401" s="1531"/>
      <c r="H401" s="1531"/>
      <c r="I401" s="1531"/>
      <c r="J401" s="1531"/>
      <c r="K401" s="1531"/>
      <c r="L401" s="1531"/>
      <c r="M401" s="1531"/>
      <c r="N401" s="1531"/>
      <c r="O401" s="1531"/>
      <c r="P401" s="1531"/>
      <c r="Q401" s="1532"/>
      <c r="R401" s="10"/>
      <c r="S401" s="1530"/>
      <c r="T401" s="1531"/>
      <c r="U401" s="1531"/>
      <c r="V401" s="1531"/>
      <c r="W401" s="1531"/>
      <c r="X401" s="1531"/>
      <c r="Y401" s="1531"/>
      <c r="Z401" s="1531"/>
      <c r="AA401" s="1531"/>
      <c r="AB401" s="1531"/>
      <c r="AC401" s="1531"/>
      <c r="AD401" s="1531"/>
      <c r="AE401" s="1531"/>
      <c r="AF401" s="1531"/>
      <c r="AG401" s="1532"/>
    </row>
    <row r="402" spans="3:38" ht="15" customHeight="1">
      <c r="C402" s="1530"/>
      <c r="D402" s="1531"/>
      <c r="E402" s="1531"/>
      <c r="F402" s="1531"/>
      <c r="G402" s="1531"/>
      <c r="H402" s="1531"/>
      <c r="I402" s="1531"/>
      <c r="J402" s="1531"/>
      <c r="K402" s="1531"/>
      <c r="L402" s="1531"/>
      <c r="M402" s="1531"/>
      <c r="N402" s="1531"/>
      <c r="O402" s="1531"/>
      <c r="P402" s="1531"/>
      <c r="Q402" s="1532"/>
      <c r="R402" s="10"/>
      <c r="S402" s="1530"/>
      <c r="T402" s="1531"/>
      <c r="U402" s="1531"/>
      <c r="V402" s="1531"/>
      <c r="W402" s="1531"/>
      <c r="X402" s="1531"/>
      <c r="Y402" s="1531"/>
      <c r="Z402" s="1531"/>
      <c r="AA402" s="1531"/>
      <c r="AB402" s="1531"/>
      <c r="AC402" s="1531"/>
      <c r="AD402" s="1531"/>
      <c r="AE402" s="1531"/>
      <c r="AF402" s="1531"/>
      <c r="AG402" s="1532"/>
    </row>
    <row r="403" spans="3:38" ht="15" customHeight="1">
      <c r="C403" s="1530"/>
      <c r="D403" s="1531"/>
      <c r="E403" s="1531"/>
      <c r="F403" s="1531"/>
      <c r="G403" s="1531"/>
      <c r="H403" s="1531"/>
      <c r="I403" s="1531"/>
      <c r="J403" s="1531"/>
      <c r="K403" s="1531"/>
      <c r="L403" s="1531"/>
      <c r="M403" s="1531"/>
      <c r="N403" s="1531"/>
      <c r="O403" s="1531"/>
      <c r="P403" s="1531"/>
      <c r="Q403" s="1532"/>
      <c r="R403" s="10"/>
      <c r="S403" s="1530"/>
      <c r="T403" s="1531"/>
      <c r="U403" s="1531"/>
      <c r="V403" s="1531"/>
      <c r="W403" s="1531"/>
      <c r="X403" s="1531"/>
      <c r="Y403" s="1531"/>
      <c r="Z403" s="1531"/>
      <c r="AA403" s="1531"/>
      <c r="AB403" s="1531"/>
      <c r="AC403" s="1531"/>
      <c r="AD403" s="1531"/>
      <c r="AE403" s="1531"/>
      <c r="AF403" s="1531"/>
      <c r="AG403" s="1532"/>
    </row>
    <row r="404" spans="3:38" ht="15" customHeight="1">
      <c r="C404" s="1530"/>
      <c r="D404" s="1531"/>
      <c r="E404" s="1531"/>
      <c r="F404" s="1531"/>
      <c r="G404" s="1531"/>
      <c r="H404" s="1531"/>
      <c r="I404" s="1531"/>
      <c r="J404" s="1531"/>
      <c r="K404" s="1531"/>
      <c r="L404" s="1531"/>
      <c r="M404" s="1531"/>
      <c r="N404" s="1531"/>
      <c r="O404" s="1531"/>
      <c r="P404" s="1531"/>
      <c r="Q404" s="1532"/>
      <c r="R404" s="10"/>
      <c r="S404" s="1530"/>
      <c r="T404" s="1531"/>
      <c r="U404" s="1531"/>
      <c r="V404" s="1531"/>
      <c r="W404" s="1531"/>
      <c r="X404" s="1531"/>
      <c r="Y404" s="1531"/>
      <c r="Z404" s="1531"/>
      <c r="AA404" s="1531"/>
      <c r="AB404" s="1531"/>
      <c r="AC404" s="1531"/>
      <c r="AD404" s="1531"/>
      <c r="AE404" s="1531"/>
      <c r="AF404" s="1531"/>
      <c r="AG404" s="1532"/>
    </row>
    <row r="405" spans="3:38" ht="15" customHeight="1">
      <c r="C405" s="1530"/>
      <c r="D405" s="1531"/>
      <c r="E405" s="1531"/>
      <c r="F405" s="1531"/>
      <c r="G405" s="1531"/>
      <c r="H405" s="1531"/>
      <c r="I405" s="1531"/>
      <c r="J405" s="1531"/>
      <c r="K405" s="1531"/>
      <c r="L405" s="1531"/>
      <c r="M405" s="1531"/>
      <c r="N405" s="1531"/>
      <c r="O405" s="1531"/>
      <c r="P405" s="1531"/>
      <c r="Q405" s="1532"/>
      <c r="R405" s="10"/>
      <c r="S405" s="1530"/>
      <c r="T405" s="1531"/>
      <c r="U405" s="1531"/>
      <c r="V405" s="1531"/>
      <c r="W405" s="1531"/>
      <c r="X405" s="1531"/>
      <c r="Y405" s="1531"/>
      <c r="Z405" s="1531"/>
      <c r="AA405" s="1531"/>
      <c r="AB405" s="1531"/>
      <c r="AC405" s="1531"/>
      <c r="AD405" s="1531"/>
      <c r="AE405" s="1531"/>
      <c r="AF405" s="1531"/>
      <c r="AG405" s="1532"/>
      <c r="AL405"/>
    </row>
    <row r="406" spans="3:38" ht="15" customHeight="1">
      <c r="C406" s="1530"/>
      <c r="D406" s="1531"/>
      <c r="E406" s="1531"/>
      <c r="F406" s="1531"/>
      <c r="G406" s="1531"/>
      <c r="H406" s="1531"/>
      <c r="I406" s="1531"/>
      <c r="J406" s="1531"/>
      <c r="K406" s="1531"/>
      <c r="L406" s="1531"/>
      <c r="M406" s="1531"/>
      <c r="N406" s="1531"/>
      <c r="O406" s="1531"/>
      <c r="P406" s="1531"/>
      <c r="Q406" s="1532"/>
      <c r="R406" s="10"/>
      <c r="S406" s="1530"/>
      <c r="T406" s="1531"/>
      <c r="U406" s="1531"/>
      <c r="V406" s="1531"/>
      <c r="W406" s="1531"/>
      <c r="X406" s="1531"/>
      <c r="Y406" s="1531"/>
      <c r="Z406" s="1531"/>
      <c r="AA406" s="1531"/>
      <c r="AB406" s="1531"/>
      <c r="AC406" s="1531"/>
      <c r="AD406" s="1531"/>
      <c r="AE406" s="1531"/>
      <c r="AF406" s="1531"/>
      <c r="AG406" s="1532"/>
    </row>
    <row r="407" spans="3:38" ht="15" customHeight="1">
      <c r="C407" s="1530"/>
      <c r="D407" s="1531"/>
      <c r="E407" s="1531"/>
      <c r="F407" s="1531"/>
      <c r="G407" s="1531"/>
      <c r="H407" s="1531"/>
      <c r="I407" s="1531"/>
      <c r="J407" s="1531"/>
      <c r="K407" s="1531"/>
      <c r="L407" s="1531"/>
      <c r="M407" s="1531"/>
      <c r="N407" s="1531"/>
      <c r="O407" s="1531"/>
      <c r="P407" s="1531"/>
      <c r="Q407" s="1532"/>
      <c r="R407" s="10"/>
      <c r="S407" s="1530"/>
      <c r="T407" s="1531"/>
      <c r="U407" s="1531"/>
      <c r="V407" s="1531"/>
      <c r="W407" s="1531"/>
      <c r="X407" s="1531"/>
      <c r="Y407" s="1531"/>
      <c r="Z407" s="1531"/>
      <c r="AA407" s="1531"/>
      <c r="AB407" s="1531"/>
      <c r="AC407" s="1531"/>
      <c r="AD407" s="1531"/>
      <c r="AE407" s="1531"/>
      <c r="AF407" s="1531"/>
      <c r="AG407" s="1532"/>
    </row>
    <row r="408" spans="3:38" ht="15" customHeight="1">
      <c r="C408" s="1530"/>
      <c r="D408" s="1531"/>
      <c r="E408" s="1531"/>
      <c r="F408" s="1531"/>
      <c r="G408" s="1531"/>
      <c r="H408" s="1531"/>
      <c r="I408" s="1531"/>
      <c r="J408" s="1531"/>
      <c r="K408" s="1531"/>
      <c r="L408" s="1531"/>
      <c r="M408" s="1531"/>
      <c r="N408" s="1531"/>
      <c r="O408" s="1531"/>
      <c r="P408" s="1531"/>
      <c r="Q408" s="1532"/>
      <c r="R408" s="10"/>
      <c r="S408" s="1530"/>
      <c r="T408" s="1531"/>
      <c r="U408" s="1531"/>
      <c r="V408" s="1531"/>
      <c r="W408" s="1531"/>
      <c r="X408" s="1531"/>
      <c r="Y408" s="1531"/>
      <c r="Z408" s="1531"/>
      <c r="AA408" s="1531"/>
      <c r="AB408" s="1531"/>
      <c r="AC408" s="1531"/>
      <c r="AD408" s="1531"/>
      <c r="AE408" s="1531"/>
      <c r="AF408" s="1531"/>
      <c r="AG408" s="1532"/>
    </row>
    <row r="409" spans="3:38" ht="15" customHeight="1">
      <c r="C409" s="1530"/>
      <c r="D409" s="1531"/>
      <c r="E409" s="1531"/>
      <c r="F409" s="1531"/>
      <c r="G409" s="1531"/>
      <c r="H409" s="1531"/>
      <c r="I409" s="1531"/>
      <c r="J409" s="1531"/>
      <c r="K409" s="1531"/>
      <c r="L409" s="1531"/>
      <c r="M409" s="1531"/>
      <c r="N409" s="1531"/>
      <c r="O409" s="1531"/>
      <c r="P409" s="1531"/>
      <c r="Q409" s="1532"/>
      <c r="R409" s="10"/>
      <c r="S409" s="1530"/>
      <c r="T409" s="1531"/>
      <c r="U409" s="1531"/>
      <c r="V409" s="1531"/>
      <c r="W409" s="1531"/>
      <c r="X409" s="1531"/>
      <c r="Y409" s="1531"/>
      <c r="Z409" s="1531"/>
      <c r="AA409" s="1531"/>
      <c r="AB409" s="1531"/>
      <c r="AC409" s="1531"/>
      <c r="AD409" s="1531"/>
      <c r="AE409" s="1531"/>
      <c r="AF409" s="1531"/>
      <c r="AG409" s="1532"/>
    </row>
    <row r="410" spans="3:38" ht="15" customHeight="1">
      <c r="C410" s="1533"/>
      <c r="D410" s="1534"/>
      <c r="E410" s="1534"/>
      <c r="F410" s="1534"/>
      <c r="G410" s="1534"/>
      <c r="H410" s="1534"/>
      <c r="I410" s="1534"/>
      <c r="J410" s="1534"/>
      <c r="K410" s="1534"/>
      <c r="L410" s="1534"/>
      <c r="M410" s="1534"/>
      <c r="N410" s="1534"/>
      <c r="O410" s="1534"/>
      <c r="P410" s="1534"/>
      <c r="Q410" s="1535"/>
      <c r="R410" s="10"/>
      <c r="S410" s="1533"/>
      <c r="T410" s="1534"/>
      <c r="U410" s="1534"/>
      <c r="V410" s="1534"/>
      <c r="W410" s="1534"/>
      <c r="X410" s="1534"/>
      <c r="Y410" s="1534"/>
      <c r="Z410" s="1534"/>
      <c r="AA410" s="1534"/>
      <c r="AB410" s="1534"/>
      <c r="AC410" s="1534"/>
      <c r="AD410" s="1534"/>
      <c r="AE410" s="1534"/>
      <c r="AF410" s="1534"/>
      <c r="AG410" s="1535"/>
    </row>
    <row r="411" spans="3:38" ht="15" customHeight="1"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</row>
    <row r="412" spans="3:38" ht="15" customHeight="1">
      <c r="C412" s="1510" t="s">
        <v>165</v>
      </c>
      <c r="D412" s="1511"/>
      <c r="E412" s="1511"/>
      <c r="F412" s="1511"/>
      <c r="G412" s="1511"/>
      <c r="H412" s="1511"/>
      <c r="I412" s="1511"/>
      <c r="J412" s="1511"/>
      <c r="K412" s="1511"/>
      <c r="L412" s="1511"/>
      <c r="M412" s="1511"/>
      <c r="N412" s="1511"/>
      <c r="O412" s="1511"/>
      <c r="P412" s="1511"/>
      <c r="Q412" s="1512"/>
      <c r="R412" s="148"/>
      <c r="S412" s="1510" t="s">
        <v>166</v>
      </c>
      <c r="T412" s="1511"/>
      <c r="U412" s="1511"/>
      <c r="V412" s="1511"/>
      <c r="W412" s="1511"/>
      <c r="X412" s="1511"/>
      <c r="Y412" s="1511"/>
      <c r="Z412" s="1511"/>
      <c r="AA412" s="1511"/>
      <c r="AB412" s="1511"/>
      <c r="AC412" s="1511"/>
      <c r="AD412" s="1511"/>
      <c r="AE412" s="1511"/>
      <c r="AF412" s="1511"/>
      <c r="AG412" s="1512"/>
    </row>
    <row r="413" spans="3:38" ht="15" customHeight="1">
      <c r="C413" s="1513"/>
      <c r="D413" s="1514"/>
      <c r="E413" s="1514"/>
      <c r="F413" s="1514"/>
      <c r="G413" s="1514"/>
      <c r="H413" s="1514"/>
      <c r="I413" s="1514"/>
      <c r="J413" s="1514"/>
      <c r="K413" s="1514"/>
      <c r="L413" s="1514"/>
      <c r="M413" s="1514"/>
      <c r="N413" s="1514"/>
      <c r="O413" s="1514"/>
      <c r="P413" s="1514"/>
      <c r="Q413" s="1515"/>
      <c r="R413" s="148"/>
      <c r="S413" s="1513"/>
      <c r="T413" s="1514"/>
      <c r="U413" s="1514"/>
      <c r="V413" s="1514"/>
      <c r="W413" s="1514"/>
      <c r="X413" s="1514"/>
      <c r="Y413" s="1514"/>
      <c r="Z413" s="1514"/>
      <c r="AA413" s="1514"/>
      <c r="AB413" s="1514"/>
      <c r="AC413" s="1514"/>
      <c r="AD413" s="1514"/>
      <c r="AE413" s="1514"/>
      <c r="AF413" s="1514"/>
      <c r="AG413" s="1515"/>
    </row>
    <row r="414" spans="3:38" ht="15" customHeight="1">
      <c r="C414" s="170"/>
      <c r="D414" s="170"/>
      <c r="E414" s="170"/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48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</row>
    <row r="415" spans="3:38" ht="15" customHeight="1">
      <c r="C415" s="170"/>
      <c r="D415" s="170"/>
      <c r="E415" s="170"/>
      <c r="F415" s="170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48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</row>
    <row r="416" spans="3:38" ht="15" customHeight="1">
      <c r="C416" s="170"/>
      <c r="D416" s="170"/>
      <c r="E416" s="170"/>
      <c r="F416" s="170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48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</row>
    <row r="417" spans="3:69" ht="15" customHeight="1" thickBot="1"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123"/>
      <c r="AE417" s="76"/>
      <c r="AF417" s="76"/>
      <c r="AG417" s="76"/>
    </row>
    <row r="418" spans="3:69" s="3" customFormat="1" ht="24.9" customHeight="1" thickTop="1">
      <c r="C418" s="1560" t="str">
        <f>$C$90</f>
        <v>Construção da Estação de Bombeamento de Águas Pluviais Laranja, Vila Velha/ES</v>
      </c>
      <c r="D418" s="1560"/>
      <c r="E418" s="1560"/>
      <c r="F418" s="1560"/>
      <c r="G418" s="1560"/>
      <c r="H418" s="1560"/>
      <c r="I418" s="1560"/>
      <c r="J418" s="1560"/>
      <c r="K418" s="1560"/>
      <c r="L418" s="1560"/>
      <c r="M418" s="1560"/>
      <c r="N418" s="1560"/>
      <c r="O418" s="1560"/>
      <c r="P418" s="1560"/>
      <c r="Q418" s="1560"/>
      <c r="R418" s="1560"/>
      <c r="S418" s="1560"/>
      <c r="T418" s="1560"/>
      <c r="U418" s="1560"/>
      <c r="V418" s="1560"/>
      <c r="W418" s="1560"/>
      <c r="X418" s="1560"/>
      <c r="Y418" s="1560"/>
      <c r="Z418" s="1560"/>
      <c r="AA418" s="1560"/>
      <c r="AB418" s="1560"/>
      <c r="AC418" s="1560"/>
      <c r="AD418" s="1516">
        <f>AD353+1</f>
        <v>27</v>
      </c>
      <c r="AE418" s="1523"/>
      <c r="AF418" s="1523"/>
      <c r="AG418" s="1523"/>
      <c r="AM418" s="2"/>
      <c r="AN418" s="2"/>
      <c r="AO418" s="2"/>
      <c r="AP418" s="2"/>
      <c r="AT418" s="2"/>
      <c r="AU418" s="2"/>
      <c r="AV418" s="2"/>
      <c r="AW418" s="2"/>
      <c r="BA418" s="2"/>
      <c r="BB418" s="2"/>
      <c r="BC418" s="2"/>
      <c r="BD418" s="2"/>
      <c r="BH418" s="2"/>
      <c r="BI418" s="2"/>
      <c r="BJ418" s="2"/>
      <c r="BK418" s="2"/>
      <c r="BO418" s="2"/>
      <c r="BP418" s="2"/>
    </row>
    <row r="419" spans="3:69" s="145" customFormat="1" ht="20.100000000000001" customHeight="1" thickBot="1">
      <c r="C419" s="1524" t="str">
        <f>$C$1</f>
        <v xml:space="preserve">Relatório Técnico Permanente de Engenharia 		                                                                         </v>
      </c>
      <c r="D419" s="1524"/>
      <c r="E419" s="1524"/>
      <c r="F419" s="1524"/>
      <c r="G419" s="1524"/>
      <c r="H419" s="1524"/>
      <c r="I419" s="1524"/>
      <c r="J419" s="1524"/>
      <c r="K419" s="1524"/>
      <c r="L419" s="1524"/>
      <c r="M419" s="1524"/>
      <c r="N419" s="1524"/>
      <c r="O419" s="1524"/>
      <c r="P419" s="1524"/>
      <c r="Q419" s="1524"/>
      <c r="R419" s="1524"/>
      <c r="S419" s="1524"/>
      <c r="T419" s="1524"/>
      <c r="U419" s="1524"/>
      <c r="V419" s="1524"/>
      <c r="W419" s="1524"/>
      <c r="X419" s="1524"/>
      <c r="Y419" s="1524"/>
      <c r="Z419" s="1524"/>
      <c r="AA419" s="1525" t="str">
        <f>$AB$1</f>
        <v>RTPE 524-11</v>
      </c>
      <c r="AB419" s="1525"/>
      <c r="AC419" s="1525"/>
      <c r="AD419" s="1525"/>
      <c r="AE419" s="1525"/>
      <c r="AF419" s="1525"/>
      <c r="AG419" s="1525"/>
      <c r="AM419" s="147"/>
      <c r="AN419" s="147"/>
      <c r="AO419" s="147"/>
      <c r="AP419" s="147"/>
      <c r="AQ419" s="146"/>
      <c r="AR419" s="146"/>
      <c r="AS419" s="146"/>
      <c r="AT419" s="147"/>
      <c r="AU419" s="147"/>
      <c r="AV419" s="147"/>
      <c r="AW419" s="147"/>
      <c r="AX419" s="146"/>
      <c r="AY419" s="146"/>
      <c r="AZ419" s="146"/>
      <c r="BA419" s="147"/>
      <c r="BB419" s="147"/>
      <c r="BC419" s="147"/>
      <c r="BD419" s="147"/>
      <c r="BE419" s="146"/>
      <c r="BF419" s="146"/>
      <c r="BG419" s="146"/>
      <c r="BH419" s="147"/>
      <c r="BI419" s="147"/>
      <c r="BJ419" s="147"/>
      <c r="BK419" s="147"/>
      <c r="BL419" s="146"/>
      <c r="BM419" s="146"/>
      <c r="BN419" s="146"/>
      <c r="BO419" s="147"/>
      <c r="BP419" s="147"/>
      <c r="BQ419" s="146"/>
    </row>
    <row r="420" spans="3:69" ht="15" customHeight="1" thickTop="1"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</row>
    <row r="421" spans="3:69" ht="15" customHeight="1">
      <c r="C421" s="1517" t="s">
        <v>152</v>
      </c>
      <c r="D421" s="1518"/>
      <c r="E421" s="1518"/>
      <c r="F421" s="1518"/>
      <c r="G421" s="1518"/>
      <c r="H421" s="1518"/>
      <c r="I421" s="1518"/>
      <c r="J421" s="1518"/>
      <c r="K421" s="1518"/>
      <c r="L421" s="1518"/>
      <c r="M421" s="1518"/>
      <c r="N421" s="1518"/>
      <c r="O421" s="1518"/>
      <c r="P421" s="1518"/>
      <c r="Q421" s="1518"/>
      <c r="R421" s="1518"/>
      <c r="S421" s="1518"/>
      <c r="T421" s="1518"/>
      <c r="U421" s="1518"/>
      <c r="V421" s="1518"/>
      <c r="W421" s="1518"/>
      <c r="X421" s="1518"/>
      <c r="Y421" s="1518"/>
      <c r="Z421" s="1518"/>
      <c r="AA421" s="1518"/>
      <c r="AB421" s="1518"/>
      <c r="AC421" s="1518"/>
      <c r="AD421" s="1518"/>
      <c r="AE421" s="1518"/>
      <c r="AF421" s="1518"/>
      <c r="AG421" s="1519"/>
    </row>
    <row r="422" spans="3:69" ht="15" customHeight="1">
      <c r="C422" s="1520"/>
      <c r="D422" s="1521"/>
      <c r="E422" s="1521"/>
      <c r="F422" s="1521"/>
      <c r="G422" s="1521"/>
      <c r="H422" s="1521"/>
      <c r="I422" s="1521"/>
      <c r="J422" s="1521"/>
      <c r="K422" s="1521"/>
      <c r="L422" s="1521"/>
      <c r="M422" s="1521"/>
      <c r="N422" s="1521"/>
      <c r="O422" s="1521"/>
      <c r="P422" s="1521"/>
      <c r="Q422" s="1521"/>
      <c r="R422" s="1521"/>
      <c r="S422" s="1521"/>
      <c r="T422" s="1521"/>
      <c r="U422" s="1521"/>
      <c r="V422" s="1521"/>
      <c r="W422" s="1521"/>
      <c r="X422" s="1521"/>
      <c r="Y422" s="1521"/>
      <c r="Z422" s="1521"/>
      <c r="AA422" s="1521"/>
      <c r="AB422" s="1521"/>
      <c r="AC422" s="1521"/>
      <c r="AD422" s="1521"/>
      <c r="AE422" s="1521"/>
      <c r="AF422" s="1521"/>
      <c r="AG422" s="1522"/>
    </row>
    <row r="423" spans="3:69" ht="15" customHeight="1"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  <c r="AA423" s="171"/>
      <c r="AB423" s="171"/>
      <c r="AC423" s="171"/>
      <c r="AD423" s="171"/>
      <c r="AE423" s="171"/>
      <c r="AF423" s="171"/>
      <c r="AG423" s="171"/>
    </row>
    <row r="424" spans="3:69" ht="15" customHeight="1"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  <c r="AA424" s="171"/>
      <c r="AB424" s="171"/>
      <c r="AC424" s="171"/>
      <c r="AD424" s="171"/>
      <c r="AE424" s="171"/>
      <c r="AF424" s="171"/>
      <c r="AG424" s="171"/>
    </row>
    <row r="425" spans="3:69" ht="15" customHeight="1"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  <c r="AA425" s="171"/>
      <c r="AB425" s="171"/>
      <c r="AC425" s="171"/>
      <c r="AD425" s="171"/>
      <c r="AE425" s="171"/>
      <c r="AF425" s="171"/>
      <c r="AG425" s="171"/>
    </row>
    <row r="426" spans="3:69" ht="15" customHeight="1"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L426" s="1467"/>
      <c r="AM426" s="1467"/>
      <c r="AN426" s="1467"/>
      <c r="AO426" s="1467"/>
      <c r="AP426" s="1467"/>
      <c r="AQ426" s="1467"/>
      <c r="AR426" s="1467"/>
      <c r="AS426" s="1467"/>
      <c r="AT426" s="1467"/>
      <c r="AU426" s="1467"/>
      <c r="AV426" s="1467"/>
      <c r="AW426" s="1467"/>
      <c r="AX426" s="1467"/>
      <c r="AY426" s="1467"/>
      <c r="AZ426" s="1467"/>
      <c r="BA426" s="1467"/>
      <c r="BB426" s="1467"/>
      <c r="BC426" s="1467"/>
      <c r="BD426" s="1467"/>
      <c r="BE426" s="1467"/>
      <c r="BF426" s="1467"/>
      <c r="BG426" s="1467"/>
      <c r="BH426" s="1467"/>
      <c r="BI426" s="1467"/>
      <c r="BJ426" s="1467"/>
      <c r="BK426" s="1467"/>
      <c r="BL426" s="1467"/>
      <c r="BM426" s="1467"/>
      <c r="BN426" s="1467"/>
      <c r="BO426" s="1467"/>
      <c r="BP426" s="1467"/>
      <c r="BQ426" s="1467"/>
    </row>
    <row r="427" spans="3:69" ht="15" customHeight="1">
      <c r="C427" s="1527" t="s">
        <v>153</v>
      </c>
      <c r="D427" s="1528"/>
      <c r="E427" s="1528"/>
      <c r="F427" s="1528"/>
      <c r="G427" s="1528"/>
      <c r="H427" s="1528"/>
      <c r="I427" s="1528"/>
      <c r="J427" s="1528"/>
      <c r="K427" s="1528"/>
      <c r="L427" s="1528"/>
      <c r="M427" s="1528"/>
      <c r="N427" s="1528"/>
      <c r="O427" s="1528"/>
      <c r="P427" s="1528"/>
      <c r="Q427" s="1529"/>
      <c r="R427" s="10"/>
      <c r="S427" s="1527" t="s">
        <v>154</v>
      </c>
      <c r="T427" s="1528"/>
      <c r="U427" s="1528"/>
      <c r="V427" s="1528"/>
      <c r="W427" s="1528"/>
      <c r="X427" s="1528"/>
      <c r="Y427" s="1528"/>
      <c r="Z427" s="1528"/>
      <c r="AA427" s="1528"/>
      <c r="AB427" s="1528"/>
      <c r="AC427" s="1528"/>
      <c r="AD427" s="1528"/>
      <c r="AE427" s="1528"/>
      <c r="AF427" s="1528"/>
      <c r="AG427" s="1529"/>
      <c r="AL427" s="1467"/>
      <c r="AM427" s="1467"/>
      <c r="AN427" s="1467"/>
      <c r="AO427" s="1467"/>
      <c r="AP427" s="1467"/>
      <c r="AQ427" s="1467"/>
      <c r="AR427" s="1467"/>
      <c r="AS427" s="1467"/>
      <c r="AT427" s="1467"/>
      <c r="AU427" s="1467"/>
      <c r="AV427" s="1467"/>
      <c r="AW427" s="1467"/>
      <c r="AX427" s="1467"/>
      <c r="AY427" s="1467"/>
      <c r="AZ427" s="1467"/>
      <c r="BA427" s="1467"/>
      <c r="BB427" s="1467"/>
      <c r="BC427" s="1467"/>
      <c r="BD427" s="1467"/>
      <c r="BE427" s="1467"/>
      <c r="BF427" s="1467"/>
      <c r="BG427" s="1467"/>
      <c r="BH427" s="1467"/>
      <c r="BI427" s="1467"/>
      <c r="BJ427" s="1467"/>
      <c r="BK427" s="1467"/>
      <c r="BL427" s="1467"/>
      <c r="BM427" s="1467"/>
      <c r="BN427" s="1467"/>
      <c r="BO427" s="1467"/>
      <c r="BP427" s="1467"/>
      <c r="BQ427" s="1467"/>
    </row>
    <row r="428" spans="3:69" ht="15" customHeight="1">
      <c r="C428" s="1530"/>
      <c r="D428" s="1531"/>
      <c r="E428" s="1531"/>
      <c r="F428" s="1531"/>
      <c r="G428" s="1531"/>
      <c r="H428" s="1531"/>
      <c r="I428" s="1531"/>
      <c r="J428" s="1531"/>
      <c r="K428" s="1531"/>
      <c r="L428" s="1531"/>
      <c r="M428" s="1531"/>
      <c r="N428" s="1531"/>
      <c r="O428" s="1531"/>
      <c r="P428" s="1531"/>
      <c r="Q428" s="1532"/>
      <c r="R428" s="10"/>
      <c r="S428" s="1530"/>
      <c r="T428" s="1531"/>
      <c r="U428" s="1531"/>
      <c r="V428" s="1531"/>
      <c r="W428" s="1531"/>
      <c r="X428" s="1531"/>
      <c r="Y428" s="1531"/>
      <c r="Z428" s="1531"/>
      <c r="AA428" s="1531"/>
      <c r="AB428" s="1531"/>
      <c r="AC428" s="1531"/>
      <c r="AD428" s="1531"/>
      <c r="AE428" s="1531"/>
      <c r="AF428" s="1531"/>
      <c r="AG428" s="1532"/>
    </row>
    <row r="429" spans="3:69" ht="15" customHeight="1">
      <c r="C429" s="1530"/>
      <c r="D429" s="1531"/>
      <c r="E429" s="1531"/>
      <c r="F429" s="1531"/>
      <c r="G429" s="1531"/>
      <c r="H429" s="1531"/>
      <c r="I429" s="1531"/>
      <c r="J429" s="1531"/>
      <c r="K429" s="1531"/>
      <c r="L429" s="1531"/>
      <c r="M429" s="1531"/>
      <c r="N429" s="1531"/>
      <c r="O429" s="1531"/>
      <c r="P429" s="1531"/>
      <c r="Q429" s="1532"/>
      <c r="R429" s="10"/>
      <c r="S429" s="1530"/>
      <c r="T429" s="1531"/>
      <c r="U429" s="1531"/>
      <c r="V429" s="1531"/>
      <c r="W429" s="1531"/>
      <c r="X429" s="1531"/>
      <c r="Y429" s="1531"/>
      <c r="Z429" s="1531"/>
      <c r="AA429" s="1531"/>
      <c r="AB429" s="1531"/>
      <c r="AC429" s="1531"/>
      <c r="AD429" s="1531"/>
      <c r="AE429" s="1531"/>
      <c r="AF429" s="1531"/>
      <c r="AG429" s="1532"/>
    </row>
    <row r="430" spans="3:69" ht="15" customHeight="1">
      <c r="C430" s="1530"/>
      <c r="D430" s="1531"/>
      <c r="E430" s="1531"/>
      <c r="F430" s="1531"/>
      <c r="G430" s="1531"/>
      <c r="H430" s="1531"/>
      <c r="I430" s="1531"/>
      <c r="J430" s="1531"/>
      <c r="K430" s="1531"/>
      <c r="L430" s="1531"/>
      <c r="M430" s="1531"/>
      <c r="N430" s="1531"/>
      <c r="O430" s="1531"/>
      <c r="P430" s="1531"/>
      <c r="Q430" s="1532"/>
      <c r="R430" s="10"/>
      <c r="S430" s="1530"/>
      <c r="T430" s="1531"/>
      <c r="U430" s="1531"/>
      <c r="V430" s="1531"/>
      <c r="W430" s="1531"/>
      <c r="X430" s="1531"/>
      <c r="Y430" s="1531"/>
      <c r="Z430" s="1531"/>
      <c r="AA430" s="1531"/>
      <c r="AB430" s="1531"/>
      <c r="AC430" s="1531"/>
      <c r="AD430" s="1531"/>
      <c r="AE430" s="1531"/>
      <c r="AF430" s="1531"/>
      <c r="AG430" s="1532"/>
    </row>
    <row r="431" spans="3:69" ht="15" customHeight="1">
      <c r="C431" s="1530"/>
      <c r="D431" s="1531"/>
      <c r="E431" s="1531"/>
      <c r="F431" s="1531"/>
      <c r="G431" s="1531"/>
      <c r="H431" s="1531"/>
      <c r="I431" s="1531"/>
      <c r="J431" s="1531"/>
      <c r="K431" s="1531"/>
      <c r="L431" s="1531"/>
      <c r="M431" s="1531"/>
      <c r="N431" s="1531"/>
      <c r="O431" s="1531"/>
      <c r="P431" s="1531"/>
      <c r="Q431" s="1532"/>
      <c r="R431" s="10"/>
      <c r="S431" s="1530"/>
      <c r="T431" s="1531"/>
      <c r="U431" s="1531"/>
      <c r="V431" s="1531"/>
      <c r="W431" s="1531"/>
      <c r="X431" s="1531"/>
      <c r="Y431" s="1531"/>
      <c r="Z431" s="1531"/>
      <c r="AA431" s="1531"/>
      <c r="AB431" s="1531"/>
      <c r="AC431" s="1531"/>
      <c r="AD431" s="1531"/>
      <c r="AE431" s="1531"/>
      <c r="AF431" s="1531"/>
      <c r="AG431" s="1532"/>
    </row>
    <row r="432" spans="3:69" ht="15" customHeight="1">
      <c r="C432" s="1530"/>
      <c r="D432" s="1531"/>
      <c r="E432" s="1531"/>
      <c r="F432" s="1531"/>
      <c r="G432" s="1531"/>
      <c r="H432" s="1531"/>
      <c r="I432" s="1531"/>
      <c r="J432" s="1531"/>
      <c r="K432" s="1531"/>
      <c r="L432" s="1531"/>
      <c r="M432" s="1531"/>
      <c r="N432" s="1531"/>
      <c r="O432" s="1531"/>
      <c r="P432" s="1531"/>
      <c r="Q432" s="1532"/>
      <c r="R432" s="10"/>
      <c r="S432" s="1530"/>
      <c r="T432" s="1531"/>
      <c r="U432" s="1531"/>
      <c r="V432" s="1531"/>
      <c r="W432" s="1531"/>
      <c r="X432" s="1531"/>
      <c r="Y432" s="1531"/>
      <c r="Z432" s="1531"/>
      <c r="AA432" s="1531"/>
      <c r="AB432" s="1531"/>
      <c r="AC432" s="1531"/>
      <c r="AD432" s="1531"/>
      <c r="AE432" s="1531"/>
      <c r="AF432" s="1531"/>
      <c r="AG432" s="1532"/>
      <c r="AL432" s="1" t="s">
        <v>167</v>
      </c>
    </row>
    <row r="433" spans="3:69" ht="15" customHeight="1">
      <c r="C433" s="1530"/>
      <c r="D433" s="1531"/>
      <c r="E433" s="1531"/>
      <c r="F433" s="1531"/>
      <c r="G433" s="1531"/>
      <c r="H433" s="1531"/>
      <c r="I433" s="1531"/>
      <c r="J433" s="1531"/>
      <c r="K433" s="1531"/>
      <c r="L433" s="1531"/>
      <c r="M433" s="1531"/>
      <c r="N433" s="1531"/>
      <c r="O433" s="1531"/>
      <c r="P433" s="1531"/>
      <c r="Q433" s="1532"/>
      <c r="R433" s="10"/>
      <c r="S433" s="1530"/>
      <c r="T433" s="1531"/>
      <c r="U433" s="1531"/>
      <c r="V433" s="1531"/>
      <c r="W433" s="1531"/>
      <c r="X433" s="1531"/>
      <c r="Y433" s="1531"/>
      <c r="Z433" s="1531"/>
      <c r="AA433" s="1531"/>
      <c r="AB433" s="1531"/>
      <c r="AC433" s="1531"/>
      <c r="AD433" s="1531"/>
      <c r="AE433" s="1531"/>
      <c r="AF433" s="1531"/>
      <c r="AG433" s="1532"/>
    </row>
    <row r="434" spans="3:69" ht="15" customHeight="1">
      <c r="C434" s="1530"/>
      <c r="D434" s="1531"/>
      <c r="E434" s="1531"/>
      <c r="F434" s="1531"/>
      <c r="G434" s="1531"/>
      <c r="H434" s="1531"/>
      <c r="I434" s="1531"/>
      <c r="J434" s="1531"/>
      <c r="K434" s="1531"/>
      <c r="L434" s="1531"/>
      <c r="M434" s="1531"/>
      <c r="N434" s="1531"/>
      <c r="O434" s="1531"/>
      <c r="P434" s="1531"/>
      <c r="Q434" s="1532"/>
      <c r="R434" s="10"/>
      <c r="S434" s="1530"/>
      <c r="T434" s="1531"/>
      <c r="U434" s="1531"/>
      <c r="V434" s="1531"/>
      <c r="W434" s="1531"/>
      <c r="X434" s="1531"/>
      <c r="Y434" s="1531"/>
      <c r="Z434" s="1531"/>
      <c r="AA434" s="1531"/>
      <c r="AB434" s="1531"/>
      <c r="AC434" s="1531"/>
      <c r="AD434" s="1531"/>
      <c r="AE434" s="1531"/>
      <c r="AF434" s="1531"/>
      <c r="AG434" s="1532"/>
    </row>
    <row r="435" spans="3:69" ht="15" customHeight="1">
      <c r="C435" s="1530"/>
      <c r="D435" s="1531"/>
      <c r="E435" s="1531"/>
      <c r="F435" s="1531"/>
      <c r="G435" s="1531"/>
      <c r="H435" s="1531"/>
      <c r="I435" s="1531"/>
      <c r="J435" s="1531"/>
      <c r="K435" s="1531"/>
      <c r="L435" s="1531"/>
      <c r="M435" s="1531"/>
      <c r="N435" s="1531"/>
      <c r="O435" s="1531"/>
      <c r="P435" s="1531"/>
      <c r="Q435" s="1532"/>
      <c r="R435" s="10"/>
      <c r="S435" s="1530"/>
      <c r="T435" s="1531"/>
      <c r="U435" s="1531"/>
      <c r="V435" s="1531"/>
      <c r="W435" s="1531"/>
      <c r="X435" s="1531"/>
      <c r="Y435" s="1531"/>
      <c r="Z435" s="1531"/>
      <c r="AA435" s="1531"/>
      <c r="AB435" s="1531"/>
      <c r="AC435" s="1531"/>
      <c r="AD435" s="1531"/>
      <c r="AE435" s="1531"/>
      <c r="AF435" s="1531"/>
      <c r="AG435" s="1532"/>
    </row>
    <row r="436" spans="3:69" ht="15" customHeight="1">
      <c r="C436" s="1530"/>
      <c r="D436" s="1531"/>
      <c r="E436" s="1531"/>
      <c r="F436" s="1531"/>
      <c r="G436" s="1531"/>
      <c r="H436" s="1531"/>
      <c r="I436" s="1531"/>
      <c r="J436" s="1531"/>
      <c r="K436" s="1531"/>
      <c r="L436" s="1531"/>
      <c r="M436" s="1531"/>
      <c r="N436" s="1531"/>
      <c r="O436" s="1531"/>
      <c r="P436" s="1531"/>
      <c r="Q436" s="1532"/>
      <c r="R436" s="10"/>
      <c r="S436" s="1530"/>
      <c r="T436" s="1531"/>
      <c r="U436" s="1531"/>
      <c r="V436" s="1531"/>
      <c r="W436" s="1531"/>
      <c r="X436" s="1531"/>
      <c r="Y436" s="1531"/>
      <c r="Z436" s="1531"/>
      <c r="AA436" s="1531"/>
      <c r="AB436" s="1531"/>
      <c r="AC436" s="1531"/>
      <c r="AD436" s="1531"/>
      <c r="AE436" s="1531"/>
      <c r="AF436" s="1531"/>
      <c r="AG436" s="1532"/>
    </row>
    <row r="437" spans="3:69" ht="15" customHeight="1">
      <c r="C437" s="1530"/>
      <c r="D437" s="1531"/>
      <c r="E437" s="1531"/>
      <c r="F437" s="1531"/>
      <c r="G437" s="1531"/>
      <c r="H437" s="1531"/>
      <c r="I437" s="1531"/>
      <c r="J437" s="1531"/>
      <c r="K437" s="1531"/>
      <c r="L437" s="1531"/>
      <c r="M437" s="1531"/>
      <c r="N437" s="1531"/>
      <c r="O437" s="1531"/>
      <c r="P437" s="1531"/>
      <c r="Q437" s="1532"/>
      <c r="R437" s="10"/>
      <c r="S437" s="1530"/>
      <c r="T437" s="1531"/>
      <c r="U437" s="1531"/>
      <c r="V437" s="1531"/>
      <c r="W437" s="1531"/>
      <c r="X437" s="1531"/>
      <c r="Y437" s="1531"/>
      <c r="Z437" s="1531"/>
      <c r="AA437" s="1531"/>
      <c r="AB437" s="1531"/>
      <c r="AC437" s="1531"/>
      <c r="AD437" s="1531"/>
      <c r="AE437" s="1531"/>
      <c r="AF437" s="1531"/>
      <c r="AG437" s="1532"/>
    </row>
    <row r="438" spans="3:69" ht="15" customHeight="1">
      <c r="C438" s="1533"/>
      <c r="D438" s="1534"/>
      <c r="E438" s="1534"/>
      <c r="F438" s="1534"/>
      <c r="G438" s="1534"/>
      <c r="H438" s="1534"/>
      <c r="I438" s="1534"/>
      <c r="J438" s="1534"/>
      <c r="K438" s="1534"/>
      <c r="L438" s="1534"/>
      <c r="M438" s="1534"/>
      <c r="N438" s="1534"/>
      <c r="O438" s="1534"/>
      <c r="P438" s="1534"/>
      <c r="Q438" s="1535"/>
      <c r="R438" s="10"/>
      <c r="S438" s="1533"/>
      <c r="T438" s="1534"/>
      <c r="U438" s="1534"/>
      <c r="V438" s="1534"/>
      <c r="W438" s="1534"/>
      <c r="X438" s="1534"/>
      <c r="Y438" s="1534"/>
      <c r="Z438" s="1534"/>
      <c r="AA438" s="1534"/>
      <c r="AB438" s="1534"/>
      <c r="AC438" s="1534"/>
      <c r="AD438" s="1534"/>
      <c r="AE438" s="1534"/>
      <c r="AF438" s="1534"/>
      <c r="AG438" s="1535"/>
    </row>
    <row r="439" spans="3:69" ht="15" customHeight="1"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</row>
    <row r="440" spans="3:69" ht="15" customHeight="1">
      <c r="C440" s="1510" t="s">
        <v>168</v>
      </c>
      <c r="D440" s="1511"/>
      <c r="E440" s="1511"/>
      <c r="F440" s="1511"/>
      <c r="G440" s="1511"/>
      <c r="H440" s="1511"/>
      <c r="I440" s="1511"/>
      <c r="J440" s="1511"/>
      <c r="K440" s="1511"/>
      <c r="L440" s="1511"/>
      <c r="M440" s="1511"/>
      <c r="N440" s="1511"/>
      <c r="O440" s="1511"/>
      <c r="P440" s="1511"/>
      <c r="Q440" s="1512"/>
      <c r="R440" s="148"/>
      <c r="S440" s="1510" t="s">
        <v>169</v>
      </c>
      <c r="T440" s="1511"/>
      <c r="U440" s="1511"/>
      <c r="V440" s="1511"/>
      <c r="W440" s="1511"/>
      <c r="X440" s="1511"/>
      <c r="Y440" s="1511"/>
      <c r="Z440" s="1511"/>
      <c r="AA440" s="1511"/>
      <c r="AB440" s="1511"/>
      <c r="AC440" s="1511"/>
      <c r="AD440" s="1511"/>
      <c r="AE440" s="1511"/>
      <c r="AF440" s="1511"/>
      <c r="AG440" s="1512"/>
    </row>
    <row r="441" spans="3:69" ht="15" customHeight="1">
      <c r="C441" s="1513"/>
      <c r="D441" s="1514"/>
      <c r="E441" s="1514"/>
      <c r="F441" s="1514"/>
      <c r="G441" s="1514"/>
      <c r="H441" s="1514"/>
      <c r="I441" s="1514"/>
      <c r="J441" s="1514"/>
      <c r="K441" s="1514"/>
      <c r="L441" s="1514"/>
      <c r="M441" s="1514"/>
      <c r="N441" s="1514"/>
      <c r="O441" s="1514"/>
      <c r="P441" s="1514"/>
      <c r="Q441" s="1515"/>
      <c r="R441" s="148"/>
      <c r="S441" s="1513"/>
      <c r="T441" s="1514"/>
      <c r="U441" s="1514"/>
      <c r="V441" s="1514"/>
      <c r="W441" s="1514"/>
      <c r="X441" s="1514"/>
      <c r="Y441" s="1514"/>
      <c r="Z441" s="1514"/>
      <c r="AA441" s="1514"/>
      <c r="AB441" s="1514"/>
      <c r="AC441" s="1514"/>
      <c r="AD441" s="1514"/>
      <c r="AE441" s="1514"/>
      <c r="AF441" s="1514"/>
      <c r="AG441" s="1515"/>
    </row>
    <row r="442" spans="3:69" ht="15" customHeight="1">
      <c r="C442" s="170"/>
      <c r="D442" s="170"/>
      <c r="E442" s="170"/>
      <c r="F442" s="170"/>
      <c r="G442" s="170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48"/>
      <c r="S442" s="170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</row>
    <row r="443" spans="3:69" ht="15" customHeight="1">
      <c r="C443" s="170"/>
      <c r="D443" s="170"/>
      <c r="E443" s="170"/>
      <c r="F443" s="170"/>
      <c r="G443" s="170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48"/>
      <c r="S443" s="170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</row>
    <row r="444" spans="3:69" ht="15" customHeight="1">
      <c r="C444" s="170"/>
      <c r="D444" s="170"/>
      <c r="E444" s="170"/>
      <c r="F444" s="170"/>
      <c r="G444" s="170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48"/>
      <c r="S444" s="170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</row>
    <row r="445" spans="3:69" ht="15" customHeight="1"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</row>
    <row r="446" spans="3:69" ht="15" customHeight="1">
      <c r="C446" s="1527" t="s">
        <v>153</v>
      </c>
      <c r="D446" s="1528"/>
      <c r="E446" s="1528"/>
      <c r="F446" s="1528"/>
      <c r="G446" s="1528"/>
      <c r="H446" s="1528"/>
      <c r="I446" s="1528"/>
      <c r="J446" s="1528"/>
      <c r="K446" s="1528"/>
      <c r="L446" s="1528"/>
      <c r="M446" s="1528"/>
      <c r="N446" s="1528"/>
      <c r="O446" s="1528"/>
      <c r="P446" s="1528"/>
      <c r="Q446" s="1529"/>
      <c r="R446" s="10"/>
      <c r="S446" s="1527" t="s">
        <v>154</v>
      </c>
      <c r="T446" s="1528"/>
      <c r="U446" s="1528"/>
      <c r="V446" s="1528"/>
      <c r="W446" s="1528"/>
      <c r="X446" s="1528"/>
      <c r="Y446" s="1528"/>
      <c r="Z446" s="1528"/>
      <c r="AA446" s="1528"/>
      <c r="AB446" s="1528"/>
      <c r="AC446" s="1528"/>
      <c r="AD446" s="1528"/>
      <c r="AE446" s="1528"/>
      <c r="AF446" s="1528"/>
      <c r="AG446" s="1529"/>
    </row>
    <row r="447" spans="3:69" ht="15" customHeight="1">
      <c r="C447" s="1530"/>
      <c r="D447" s="1531"/>
      <c r="E447" s="1531"/>
      <c r="F447" s="1531"/>
      <c r="G447" s="1531"/>
      <c r="H447" s="1531"/>
      <c r="I447" s="1531"/>
      <c r="J447" s="1531"/>
      <c r="K447" s="1531"/>
      <c r="L447" s="1531"/>
      <c r="M447" s="1531"/>
      <c r="N447" s="1531"/>
      <c r="O447" s="1531"/>
      <c r="P447" s="1531"/>
      <c r="Q447" s="1532"/>
      <c r="R447" s="10"/>
      <c r="S447" s="1530"/>
      <c r="T447" s="1531"/>
      <c r="U447" s="1531"/>
      <c r="V447" s="1531"/>
      <c r="W447" s="1531"/>
      <c r="X447" s="1531"/>
      <c r="Y447" s="1531"/>
      <c r="Z447" s="1531"/>
      <c r="AA447" s="1531"/>
      <c r="AB447" s="1531"/>
      <c r="AC447" s="1531"/>
      <c r="AD447" s="1531"/>
      <c r="AE447" s="1531"/>
      <c r="AF447" s="1531"/>
      <c r="AG447" s="1532"/>
      <c r="AM447" s="1474"/>
      <c r="AN447" s="1474"/>
      <c r="AO447" s="1474"/>
      <c r="AP447" s="1474"/>
      <c r="AQ447" s="1474"/>
      <c r="AR447" s="1474"/>
      <c r="AS447" s="1474"/>
      <c r="AT447" s="1474"/>
      <c r="AU447" s="1474"/>
      <c r="AV447" s="1474"/>
      <c r="AW447" s="1474"/>
      <c r="AX447" s="1474"/>
      <c r="AY447" s="1474"/>
      <c r="AZ447" s="1474"/>
      <c r="BA447" s="1474"/>
      <c r="BB447" s="1474"/>
      <c r="BC447" s="1474"/>
      <c r="BD447" s="1474"/>
      <c r="BE447" s="1474"/>
      <c r="BF447" s="1474"/>
      <c r="BG447" s="1474"/>
      <c r="BH447" s="1474"/>
      <c r="BI447" s="1474"/>
      <c r="BJ447" s="1474"/>
      <c r="BK447" s="1474"/>
      <c r="BL447" s="1474"/>
      <c r="BM447" s="1474"/>
      <c r="BN447" s="1474"/>
      <c r="BO447" s="1474"/>
      <c r="BP447" s="1474"/>
      <c r="BQ447" s="1474"/>
    </row>
    <row r="448" spans="3:69" ht="15" customHeight="1">
      <c r="C448" s="1530"/>
      <c r="D448" s="1531"/>
      <c r="E448" s="1531"/>
      <c r="F448" s="1531"/>
      <c r="G448" s="1531"/>
      <c r="H448" s="1531"/>
      <c r="I448" s="1531"/>
      <c r="J448" s="1531"/>
      <c r="K448" s="1531"/>
      <c r="L448" s="1531"/>
      <c r="M448" s="1531"/>
      <c r="N448" s="1531"/>
      <c r="O448" s="1531"/>
      <c r="P448" s="1531"/>
      <c r="Q448" s="1532"/>
      <c r="R448" s="10"/>
      <c r="S448" s="1530"/>
      <c r="T448" s="1531"/>
      <c r="U448" s="1531"/>
      <c r="V448" s="1531"/>
      <c r="W448" s="1531"/>
      <c r="X448" s="1531"/>
      <c r="Y448" s="1531"/>
      <c r="Z448" s="1531"/>
      <c r="AA448" s="1531"/>
      <c r="AB448" s="1531"/>
      <c r="AC448" s="1531"/>
      <c r="AD448" s="1531"/>
      <c r="AE448" s="1531"/>
      <c r="AF448" s="1531"/>
      <c r="AG448" s="1532"/>
      <c r="AM448" s="1473"/>
      <c r="AN448" s="1473"/>
      <c r="AO448" s="1473"/>
      <c r="AP448" s="1473"/>
      <c r="AQ448" s="1473"/>
      <c r="AR448" s="1473"/>
      <c r="AS448" s="1473"/>
      <c r="AT448" s="1473"/>
      <c r="AU448" s="1473"/>
      <c r="AV448" s="1473"/>
      <c r="AW448" s="1473"/>
      <c r="AX448" s="1473"/>
      <c r="AY448" s="1473"/>
      <c r="AZ448" s="1473"/>
      <c r="BA448" s="1473"/>
      <c r="BB448" s="1473"/>
      <c r="BC448" s="1473"/>
      <c r="BD448" s="1473"/>
      <c r="BE448" s="1473"/>
      <c r="BF448" s="1473"/>
      <c r="BG448" s="1473"/>
      <c r="BH448" s="1473"/>
      <c r="BI448" s="1473"/>
      <c r="BJ448" s="1473"/>
      <c r="BK448" s="1473"/>
      <c r="BL448" s="1473"/>
      <c r="BM448" s="1473"/>
      <c r="BN448" s="1473"/>
      <c r="BO448" s="1473"/>
      <c r="BP448" s="1473"/>
      <c r="BQ448" s="1473"/>
    </row>
    <row r="449" spans="3:69" ht="15" customHeight="1">
      <c r="C449" s="1530"/>
      <c r="D449" s="1531"/>
      <c r="E449" s="1531"/>
      <c r="F449" s="1531"/>
      <c r="G449" s="1531"/>
      <c r="H449" s="1531"/>
      <c r="I449" s="1531"/>
      <c r="J449" s="1531"/>
      <c r="K449" s="1531"/>
      <c r="L449" s="1531"/>
      <c r="M449" s="1531"/>
      <c r="N449" s="1531"/>
      <c r="O449" s="1531"/>
      <c r="P449" s="1531"/>
      <c r="Q449" s="1532"/>
      <c r="R449" s="10"/>
      <c r="S449" s="1530"/>
      <c r="T449" s="1531"/>
      <c r="U449" s="1531"/>
      <c r="V449" s="1531"/>
      <c r="W449" s="1531"/>
      <c r="X449" s="1531"/>
      <c r="Y449" s="1531"/>
      <c r="Z449" s="1531"/>
      <c r="AA449" s="1531"/>
      <c r="AB449" s="1531"/>
      <c r="AC449" s="1531"/>
      <c r="AD449" s="1531"/>
      <c r="AE449" s="1531"/>
      <c r="AF449" s="1531"/>
      <c r="AG449" s="1532"/>
      <c r="AM449" s="1473"/>
      <c r="AN449" s="1473"/>
      <c r="AO449" s="1473"/>
      <c r="AP449" s="1473"/>
      <c r="AQ449" s="1473"/>
      <c r="AR449" s="1473"/>
      <c r="AS449" s="1473"/>
      <c r="AT449" s="1473"/>
      <c r="AU449" s="1473"/>
      <c r="AV449" s="1473"/>
      <c r="AW449" s="1473"/>
      <c r="AX449" s="1473"/>
      <c r="AY449" s="1473"/>
      <c r="AZ449" s="1473"/>
      <c r="BA449" s="1473"/>
      <c r="BB449" s="1473"/>
      <c r="BC449" s="1473"/>
      <c r="BD449" s="1473"/>
      <c r="BE449" s="1473"/>
      <c r="BF449" s="1473"/>
      <c r="BG449" s="1473"/>
      <c r="BH449" s="1473"/>
      <c r="BI449" s="1473"/>
      <c r="BJ449" s="1473"/>
      <c r="BK449" s="1473"/>
      <c r="BL449" s="1473"/>
      <c r="BM449" s="1473"/>
      <c r="BN449" s="1473"/>
      <c r="BO449" s="1473"/>
      <c r="BP449" s="1473"/>
      <c r="BQ449" s="1473"/>
    </row>
    <row r="450" spans="3:69" ht="15" customHeight="1">
      <c r="C450" s="1530"/>
      <c r="D450" s="1531"/>
      <c r="E450" s="1531"/>
      <c r="F450" s="1531"/>
      <c r="G450" s="1531"/>
      <c r="H450" s="1531"/>
      <c r="I450" s="1531"/>
      <c r="J450" s="1531"/>
      <c r="K450" s="1531"/>
      <c r="L450" s="1531"/>
      <c r="M450" s="1531"/>
      <c r="N450" s="1531"/>
      <c r="O450" s="1531"/>
      <c r="P450" s="1531"/>
      <c r="Q450" s="1532"/>
      <c r="R450" s="10"/>
      <c r="S450" s="1530"/>
      <c r="T450" s="1531"/>
      <c r="U450" s="1531"/>
      <c r="V450" s="1531"/>
      <c r="W450" s="1531"/>
      <c r="X450" s="1531"/>
      <c r="Y450" s="1531"/>
      <c r="Z450" s="1531"/>
      <c r="AA450" s="1531"/>
      <c r="AB450" s="1531"/>
      <c r="AC450" s="1531"/>
      <c r="AD450" s="1531"/>
      <c r="AE450" s="1531"/>
      <c r="AF450" s="1531"/>
      <c r="AG450" s="1532"/>
      <c r="AM450" s="1474"/>
      <c r="AN450" s="1474"/>
      <c r="AO450" s="1474"/>
      <c r="AP450" s="1474"/>
      <c r="AQ450" s="1474"/>
      <c r="AR450" s="1474"/>
      <c r="AS450" s="1474"/>
      <c r="AT450" s="1474"/>
      <c r="AU450" s="1474"/>
      <c r="AV450" s="1474"/>
      <c r="AW450" s="1474"/>
      <c r="AX450" s="1474"/>
      <c r="AY450" s="1474"/>
      <c r="AZ450" s="1474"/>
      <c r="BA450" s="1474"/>
      <c r="BB450" s="1474"/>
      <c r="BC450" s="1474"/>
      <c r="BD450" s="1474"/>
      <c r="BE450" s="1474"/>
      <c r="BF450" s="1474"/>
      <c r="BG450" s="1474"/>
      <c r="BH450" s="1474"/>
      <c r="BI450" s="1474"/>
      <c r="BJ450" s="1474"/>
      <c r="BK450" s="1474"/>
      <c r="BL450" s="1474"/>
      <c r="BM450" s="1474"/>
      <c r="BN450" s="1474"/>
      <c r="BO450" s="1474"/>
      <c r="BP450" s="1474"/>
      <c r="BQ450" s="1474"/>
    </row>
    <row r="451" spans="3:69" ht="15" customHeight="1">
      <c r="C451" s="1530"/>
      <c r="D451" s="1531"/>
      <c r="E451" s="1531"/>
      <c r="F451" s="1531"/>
      <c r="G451" s="1531"/>
      <c r="H451" s="1531"/>
      <c r="I451" s="1531"/>
      <c r="J451" s="1531"/>
      <c r="K451" s="1531"/>
      <c r="L451" s="1531"/>
      <c r="M451" s="1531"/>
      <c r="N451" s="1531"/>
      <c r="O451" s="1531"/>
      <c r="P451" s="1531"/>
      <c r="Q451" s="1532"/>
      <c r="R451" s="10"/>
      <c r="S451" s="1530"/>
      <c r="T451" s="1531"/>
      <c r="U451" s="1531"/>
      <c r="V451" s="1531"/>
      <c r="W451" s="1531"/>
      <c r="X451" s="1531"/>
      <c r="Y451" s="1531"/>
      <c r="Z451" s="1531"/>
      <c r="AA451" s="1531"/>
      <c r="AB451" s="1531"/>
      <c r="AC451" s="1531"/>
      <c r="AD451" s="1531"/>
      <c r="AE451" s="1531"/>
      <c r="AF451" s="1531"/>
      <c r="AG451" s="1532"/>
      <c r="AM451" s="1473"/>
      <c r="AN451" s="1473"/>
      <c r="AO451" s="1473"/>
      <c r="AP451" s="1473"/>
      <c r="AQ451" s="1473"/>
      <c r="AR451" s="1473"/>
      <c r="AS451" s="1473"/>
      <c r="AT451" s="1473"/>
      <c r="AU451" s="1473"/>
      <c r="AV451" s="1473"/>
      <c r="AW451" s="1473"/>
      <c r="AX451" s="1473"/>
      <c r="AY451" s="1473"/>
      <c r="AZ451" s="1473"/>
      <c r="BA451" s="1473"/>
      <c r="BB451" s="1473"/>
      <c r="BC451" s="1473"/>
      <c r="BD451" s="1473"/>
      <c r="BE451" s="1473"/>
      <c r="BF451" s="1473"/>
      <c r="BG451" s="1473"/>
      <c r="BH451" s="1473"/>
      <c r="BI451" s="1473"/>
      <c r="BJ451" s="1473"/>
      <c r="BK451" s="1473"/>
      <c r="BL451" s="1473"/>
      <c r="BM451" s="1473"/>
      <c r="BN451" s="1473"/>
      <c r="BO451" s="1473"/>
      <c r="BP451" s="1473"/>
      <c r="BQ451" s="1473"/>
    </row>
    <row r="452" spans="3:69" ht="15" customHeight="1">
      <c r="C452" s="1530"/>
      <c r="D452" s="1531"/>
      <c r="E452" s="1531"/>
      <c r="F452" s="1531"/>
      <c r="G452" s="1531"/>
      <c r="H452" s="1531"/>
      <c r="I452" s="1531"/>
      <c r="J452" s="1531"/>
      <c r="K452" s="1531"/>
      <c r="L452" s="1531"/>
      <c r="M452" s="1531"/>
      <c r="N452" s="1531"/>
      <c r="O452" s="1531"/>
      <c r="P452" s="1531"/>
      <c r="Q452" s="1532"/>
      <c r="R452" s="10"/>
      <c r="S452" s="1530"/>
      <c r="T452" s="1531"/>
      <c r="U452" s="1531"/>
      <c r="V452" s="1531"/>
      <c r="W452" s="1531"/>
      <c r="X452" s="1531"/>
      <c r="Y452" s="1531"/>
      <c r="Z452" s="1531"/>
      <c r="AA452" s="1531"/>
      <c r="AB452" s="1531"/>
      <c r="AC452" s="1531"/>
      <c r="AD452" s="1531"/>
      <c r="AE452" s="1531"/>
      <c r="AF452" s="1531"/>
      <c r="AG452" s="1532"/>
      <c r="AM452" s="1473"/>
      <c r="AN452" s="1473"/>
      <c r="AO452" s="1473"/>
      <c r="AP452" s="1473"/>
      <c r="AQ452" s="1473"/>
      <c r="AR452" s="1473"/>
      <c r="AS452" s="1473"/>
      <c r="AT452" s="1473"/>
      <c r="AU452" s="1473"/>
      <c r="AV452" s="1473"/>
      <c r="AW452" s="1473"/>
      <c r="AX452" s="1473"/>
      <c r="AY452" s="1473"/>
      <c r="AZ452" s="1473"/>
      <c r="BA452" s="1473"/>
      <c r="BB452" s="1473"/>
      <c r="BC452" s="1473"/>
      <c r="BD452" s="1473"/>
      <c r="BE452" s="1473"/>
      <c r="BF452" s="1473"/>
      <c r="BG452" s="1473"/>
      <c r="BH452" s="1473"/>
      <c r="BI452" s="1473"/>
      <c r="BJ452" s="1473"/>
      <c r="BK452" s="1473"/>
      <c r="BL452" s="1473"/>
      <c r="BM452" s="1473"/>
      <c r="BN452" s="1473"/>
      <c r="BO452" s="1473"/>
      <c r="BP452" s="1473"/>
      <c r="BQ452" s="1473"/>
    </row>
    <row r="453" spans="3:69" ht="15" customHeight="1">
      <c r="C453" s="1530"/>
      <c r="D453" s="1531"/>
      <c r="E453" s="1531"/>
      <c r="F453" s="1531"/>
      <c r="G453" s="1531"/>
      <c r="H453" s="1531"/>
      <c r="I453" s="1531"/>
      <c r="J453" s="1531"/>
      <c r="K453" s="1531"/>
      <c r="L453" s="1531"/>
      <c r="M453" s="1531"/>
      <c r="N453" s="1531"/>
      <c r="O453" s="1531"/>
      <c r="P453" s="1531"/>
      <c r="Q453" s="1532"/>
      <c r="R453" s="10"/>
      <c r="S453" s="1530"/>
      <c r="T453" s="1531"/>
      <c r="U453" s="1531"/>
      <c r="V453" s="1531"/>
      <c r="W453" s="1531"/>
      <c r="X453" s="1531"/>
      <c r="Y453" s="1531"/>
      <c r="Z453" s="1531"/>
      <c r="AA453" s="1531"/>
      <c r="AB453" s="1531"/>
      <c r="AC453" s="1531"/>
      <c r="AD453" s="1531"/>
      <c r="AE453" s="1531"/>
      <c r="AF453" s="1531"/>
      <c r="AG453" s="1532"/>
      <c r="AM453" s="1473"/>
      <c r="AN453" s="1473"/>
      <c r="AO453" s="1473"/>
      <c r="AP453" s="1473"/>
      <c r="AQ453" s="1473"/>
      <c r="AR453" s="1473"/>
      <c r="AS453" s="1473"/>
      <c r="AT453" s="1473"/>
      <c r="AU453" s="1473"/>
      <c r="AV453" s="1473"/>
      <c r="AW453" s="1473"/>
      <c r="AX453" s="1473"/>
      <c r="AY453" s="1473"/>
      <c r="AZ453" s="1473"/>
      <c r="BA453" s="1473"/>
      <c r="BB453" s="1473"/>
      <c r="BC453" s="1473"/>
      <c r="BD453" s="1473"/>
      <c r="BE453" s="1473"/>
      <c r="BF453" s="1473"/>
      <c r="BG453" s="1473"/>
      <c r="BH453" s="1473"/>
      <c r="BI453" s="1473"/>
      <c r="BJ453" s="1473"/>
      <c r="BK453" s="1473"/>
      <c r="BL453" s="1473"/>
      <c r="BM453" s="1473"/>
      <c r="BN453" s="1473"/>
      <c r="BO453" s="1473"/>
      <c r="BP453" s="1473"/>
      <c r="BQ453" s="1473"/>
    </row>
    <row r="454" spans="3:69" ht="15" customHeight="1">
      <c r="C454" s="1530"/>
      <c r="D454" s="1531"/>
      <c r="E454" s="1531"/>
      <c r="F454" s="1531"/>
      <c r="G454" s="1531"/>
      <c r="H454" s="1531"/>
      <c r="I454" s="1531"/>
      <c r="J454" s="1531"/>
      <c r="K454" s="1531"/>
      <c r="L454" s="1531"/>
      <c r="M454" s="1531"/>
      <c r="N454" s="1531"/>
      <c r="O454" s="1531"/>
      <c r="P454" s="1531"/>
      <c r="Q454" s="1532"/>
      <c r="R454" s="10"/>
      <c r="S454" s="1530"/>
      <c r="T454" s="1531"/>
      <c r="U454" s="1531"/>
      <c r="V454" s="1531"/>
      <c r="W454" s="1531"/>
      <c r="X454" s="1531"/>
      <c r="Y454" s="1531"/>
      <c r="Z454" s="1531"/>
      <c r="AA454" s="1531"/>
      <c r="AB454" s="1531"/>
      <c r="AC454" s="1531"/>
      <c r="AD454" s="1531"/>
      <c r="AE454" s="1531"/>
      <c r="AF454" s="1531"/>
      <c r="AG454" s="1532"/>
      <c r="AM454" s="1473"/>
      <c r="AN454" s="1473"/>
      <c r="AO454" s="1473"/>
      <c r="AP454" s="1473"/>
      <c r="AQ454" s="1473"/>
      <c r="AR454" s="1473"/>
      <c r="AS454" s="1473"/>
      <c r="AT454" s="1473"/>
      <c r="AU454" s="1473"/>
      <c r="AV454" s="1473"/>
      <c r="AW454" s="1473"/>
      <c r="AX454" s="1473"/>
      <c r="AY454" s="1473"/>
      <c r="AZ454" s="1473"/>
      <c r="BA454" s="1473"/>
      <c r="BB454" s="1473"/>
      <c r="BC454" s="1473"/>
      <c r="BD454" s="1473"/>
      <c r="BE454" s="1473"/>
      <c r="BF454" s="1473"/>
      <c r="BG454" s="1473"/>
      <c r="BH454" s="1473"/>
      <c r="BI454" s="1473"/>
      <c r="BJ454" s="1473"/>
      <c r="BK454" s="1473"/>
      <c r="BL454" s="1473"/>
      <c r="BM454" s="1473"/>
      <c r="BN454" s="1473"/>
      <c r="BO454" s="1473"/>
      <c r="BP454" s="1473"/>
      <c r="BQ454" s="1473"/>
    </row>
    <row r="455" spans="3:69" ht="15" customHeight="1">
      <c r="C455" s="1530"/>
      <c r="D455" s="1531"/>
      <c r="E455" s="1531"/>
      <c r="F455" s="1531"/>
      <c r="G455" s="1531"/>
      <c r="H455" s="1531"/>
      <c r="I455" s="1531"/>
      <c r="J455" s="1531"/>
      <c r="K455" s="1531"/>
      <c r="L455" s="1531"/>
      <c r="M455" s="1531"/>
      <c r="N455" s="1531"/>
      <c r="O455" s="1531"/>
      <c r="P455" s="1531"/>
      <c r="Q455" s="1532"/>
      <c r="R455" s="10"/>
      <c r="S455" s="1530"/>
      <c r="T455" s="1531"/>
      <c r="U455" s="1531"/>
      <c r="V455" s="1531"/>
      <c r="W455" s="1531"/>
      <c r="X455" s="1531"/>
      <c r="Y455" s="1531"/>
      <c r="Z455" s="1531"/>
      <c r="AA455" s="1531"/>
      <c r="AB455" s="1531"/>
      <c r="AC455" s="1531"/>
      <c r="AD455" s="1531"/>
      <c r="AE455" s="1531"/>
      <c r="AF455" s="1531"/>
      <c r="AG455" s="1532"/>
      <c r="AM455" s="1473"/>
      <c r="AN455" s="1473"/>
      <c r="AO455" s="1473"/>
      <c r="AP455" s="1473"/>
      <c r="AQ455" s="1473"/>
      <c r="AR455" s="1473"/>
      <c r="AS455" s="1473"/>
      <c r="AT455" s="1473"/>
      <c r="AU455" s="1473"/>
      <c r="AV455" s="1473"/>
      <c r="AW455" s="1473"/>
      <c r="AX455" s="1473"/>
      <c r="AY455" s="1473"/>
      <c r="AZ455" s="1473"/>
      <c r="BA455" s="1473"/>
      <c r="BB455" s="1473"/>
      <c r="BC455" s="1473"/>
      <c r="BD455" s="1473"/>
      <c r="BE455" s="1473"/>
      <c r="BF455" s="1473"/>
      <c r="BG455" s="1473"/>
      <c r="BH455" s="1473"/>
      <c r="BI455" s="1473"/>
      <c r="BJ455" s="1473"/>
      <c r="BK455" s="1473"/>
      <c r="BL455" s="1473"/>
      <c r="BM455" s="1473"/>
      <c r="BN455" s="1473"/>
      <c r="BO455" s="1473"/>
      <c r="BP455" s="1473"/>
      <c r="BQ455" s="1473"/>
    </row>
    <row r="456" spans="3:69" ht="15" customHeight="1">
      <c r="C456" s="1530"/>
      <c r="D456" s="1531"/>
      <c r="E456" s="1531"/>
      <c r="F456" s="1531"/>
      <c r="G456" s="1531"/>
      <c r="H456" s="1531"/>
      <c r="I456" s="1531"/>
      <c r="J456" s="1531"/>
      <c r="K456" s="1531"/>
      <c r="L456" s="1531"/>
      <c r="M456" s="1531"/>
      <c r="N456" s="1531"/>
      <c r="O456" s="1531"/>
      <c r="P456" s="1531"/>
      <c r="Q456" s="1532"/>
      <c r="R456" s="10"/>
      <c r="S456" s="1530"/>
      <c r="T456" s="1531"/>
      <c r="U456" s="1531"/>
      <c r="V456" s="1531"/>
      <c r="W456" s="1531"/>
      <c r="X456" s="1531"/>
      <c r="Y456" s="1531"/>
      <c r="Z456" s="1531"/>
      <c r="AA456" s="1531"/>
      <c r="AB456" s="1531"/>
      <c r="AC456" s="1531"/>
      <c r="AD456" s="1531"/>
      <c r="AE456" s="1531"/>
      <c r="AF456" s="1531"/>
      <c r="AG456" s="1532"/>
      <c r="AM456" s="1474"/>
      <c r="AN456" s="1474"/>
      <c r="AO456" s="1474"/>
      <c r="AP456" s="1474"/>
      <c r="AQ456" s="1474"/>
      <c r="AR456" s="1474"/>
      <c r="AS456" s="1474"/>
      <c r="AT456" s="1474"/>
      <c r="AU456" s="1474"/>
      <c r="AV456" s="1474"/>
      <c r="AW456" s="1474"/>
      <c r="AX456" s="1474"/>
      <c r="AY456" s="1474"/>
      <c r="AZ456" s="1474"/>
      <c r="BA456" s="1474"/>
      <c r="BB456" s="1474"/>
      <c r="BC456" s="1474"/>
      <c r="BD456" s="1474"/>
      <c r="BE456" s="1474"/>
      <c r="BF456" s="1474"/>
      <c r="BG456" s="1474"/>
      <c r="BH456" s="1474"/>
      <c r="BI456" s="1474"/>
      <c r="BJ456" s="1474"/>
      <c r="BK456" s="1474"/>
      <c r="BL456" s="1474"/>
      <c r="BM456" s="1474"/>
      <c r="BN456" s="1474"/>
      <c r="BO456" s="1474"/>
      <c r="BP456" s="1474"/>
      <c r="BQ456" s="1474"/>
    </row>
    <row r="457" spans="3:69" ht="15" customHeight="1">
      <c r="C457" s="1533"/>
      <c r="D457" s="1534"/>
      <c r="E457" s="1534"/>
      <c r="F457" s="1534"/>
      <c r="G457" s="1534"/>
      <c r="H457" s="1534"/>
      <c r="I457" s="1534"/>
      <c r="J457" s="1534"/>
      <c r="K457" s="1534"/>
      <c r="L457" s="1534"/>
      <c r="M457" s="1534"/>
      <c r="N457" s="1534"/>
      <c r="O457" s="1534"/>
      <c r="P457" s="1534"/>
      <c r="Q457" s="1535"/>
      <c r="R457" s="10"/>
      <c r="S457" s="1533"/>
      <c r="T457" s="1534"/>
      <c r="U457" s="1534"/>
      <c r="V457" s="1534"/>
      <c r="W457" s="1534"/>
      <c r="X457" s="1534"/>
      <c r="Y457" s="1534"/>
      <c r="Z457" s="1534"/>
      <c r="AA457" s="1534"/>
      <c r="AB457" s="1534"/>
      <c r="AC457" s="1534"/>
      <c r="AD457" s="1534"/>
      <c r="AE457" s="1534"/>
      <c r="AF457" s="1534"/>
      <c r="AG457" s="1535"/>
      <c r="AM457" s="1473"/>
      <c r="AN457" s="1473"/>
      <c r="AO457" s="1473"/>
      <c r="AP457" s="1473"/>
      <c r="AQ457" s="1473"/>
      <c r="AR457" s="1473"/>
      <c r="AS457" s="1473"/>
      <c r="AT457" s="1473"/>
      <c r="AU457" s="1473"/>
      <c r="AV457" s="1473"/>
      <c r="AW457" s="1473"/>
      <c r="AX457" s="1473"/>
      <c r="AY457" s="1473"/>
      <c r="AZ457" s="1473"/>
      <c r="BA457" s="1473"/>
      <c r="BB457" s="1473"/>
      <c r="BC457" s="1473"/>
      <c r="BD457" s="1473"/>
      <c r="BE457" s="1473"/>
      <c r="BF457" s="1473"/>
      <c r="BG457" s="1473"/>
      <c r="BH457" s="1473"/>
      <c r="BI457" s="1473"/>
      <c r="BJ457" s="1473"/>
      <c r="BK457" s="1473"/>
      <c r="BL457" s="1473"/>
      <c r="BM457" s="1473"/>
      <c r="BN457" s="1473"/>
      <c r="BO457" s="1473"/>
      <c r="BP457" s="1473"/>
      <c r="BQ457" s="1473"/>
    </row>
    <row r="458" spans="3:69" ht="15" customHeight="1"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M458" s="1473"/>
      <c r="AN458" s="1473"/>
      <c r="AO458" s="1473"/>
      <c r="AP458" s="1473"/>
      <c r="AQ458" s="1473"/>
      <c r="AR458" s="1473"/>
      <c r="AS458" s="1473"/>
      <c r="AT458" s="1473"/>
      <c r="AU458" s="1473"/>
      <c r="AV458" s="1473"/>
      <c r="AW458" s="1473"/>
      <c r="AX458" s="1473"/>
      <c r="AY458" s="1473"/>
      <c r="AZ458" s="1473"/>
      <c r="BA458" s="1473"/>
      <c r="BB458" s="1473"/>
      <c r="BC458" s="1473"/>
      <c r="BD458" s="1473"/>
      <c r="BE458" s="1473"/>
      <c r="BF458" s="1473"/>
      <c r="BG458" s="1473"/>
      <c r="BH458" s="1473"/>
      <c r="BI458" s="1473"/>
      <c r="BJ458" s="1473"/>
      <c r="BK458" s="1473"/>
      <c r="BL458" s="1473"/>
      <c r="BM458" s="1473"/>
      <c r="BN458" s="1473"/>
      <c r="BO458" s="1473"/>
      <c r="BP458" s="1473"/>
      <c r="BQ458" s="1473"/>
    </row>
    <row r="459" spans="3:69" ht="15" customHeight="1">
      <c r="C459" s="1510" t="s">
        <v>170</v>
      </c>
      <c r="D459" s="1511"/>
      <c r="E459" s="1511"/>
      <c r="F459" s="1511"/>
      <c r="G459" s="1511"/>
      <c r="H459" s="1511"/>
      <c r="I459" s="1511"/>
      <c r="J459" s="1511"/>
      <c r="K459" s="1511"/>
      <c r="L459" s="1511"/>
      <c r="M459" s="1511"/>
      <c r="N459" s="1511"/>
      <c r="O459" s="1511"/>
      <c r="P459" s="1511"/>
      <c r="Q459" s="1512"/>
      <c r="R459" s="148"/>
      <c r="S459" s="1510" t="s">
        <v>170</v>
      </c>
      <c r="T459" s="1511"/>
      <c r="U459" s="1511"/>
      <c r="V459" s="1511"/>
      <c r="W459" s="1511"/>
      <c r="X459" s="1511"/>
      <c r="Y459" s="1511"/>
      <c r="Z459" s="1511"/>
      <c r="AA459" s="1511"/>
      <c r="AB459" s="1511"/>
      <c r="AC459" s="1511"/>
      <c r="AD459" s="1511"/>
      <c r="AE459" s="1511"/>
      <c r="AF459" s="1511"/>
      <c r="AG459" s="1512"/>
      <c r="AM459" s="1473"/>
      <c r="AN459" s="1473"/>
      <c r="AO459" s="1473"/>
      <c r="AP459" s="1473"/>
      <c r="AQ459" s="1473"/>
      <c r="AR459" s="1473"/>
      <c r="AS459" s="1473"/>
      <c r="AT459" s="1473"/>
      <c r="AU459" s="1473"/>
      <c r="AV459" s="1473"/>
      <c r="AW459" s="1473"/>
      <c r="AX459" s="1473"/>
      <c r="AY459" s="1473"/>
      <c r="AZ459" s="1473"/>
      <c r="BA459" s="1473"/>
      <c r="BB459" s="1473"/>
      <c r="BC459" s="1473"/>
      <c r="BD459" s="1473"/>
      <c r="BE459" s="1473"/>
      <c r="BF459" s="1473"/>
      <c r="BG459" s="1473"/>
      <c r="BH459" s="1473"/>
      <c r="BI459" s="1473"/>
      <c r="BJ459" s="1473"/>
      <c r="BK459" s="1473"/>
      <c r="BL459" s="1473"/>
      <c r="BM459" s="1473"/>
      <c r="BN459" s="1473"/>
      <c r="BO459" s="1473"/>
      <c r="BP459" s="1473"/>
      <c r="BQ459" s="1473"/>
    </row>
    <row r="460" spans="3:69" ht="15" customHeight="1">
      <c r="C460" s="1513"/>
      <c r="D460" s="1514"/>
      <c r="E460" s="1514"/>
      <c r="F460" s="1514"/>
      <c r="G460" s="1514"/>
      <c r="H460" s="1514"/>
      <c r="I460" s="1514"/>
      <c r="J460" s="1514"/>
      <c r="K460" s="1514"/>
      <c r="L460" s="1514"/>
      <c r="M460" s="1514"/>
      <c r="N460" s="1514"/>
      <c r="O460" s="1514"/>
      <c r="P460" s="1514"/>
      <c r="Q460" s="1515"/>
      <c r="R460" s="148"/>
      <c r="S460" s="1513"/>
      <c r="T460" s="1514"/>
      <c r="U460" s="1514"/>
      <c r="V460" s="1514"/>
      <c r="W460" s="1514"/>
      <c r="X460" s="1514"/>
      <c r="Y460" s="1514"/>
      <c r="Z460" s="1514"/>
      <c r="AA460" s="1514"/>
      <c r="AB460" s="1514"/>
      <c r="AC460" s="1514"/>
      <c r="AD460" s="1514"/>
      <c r="AE460" s="1514"/>
      <c r="AF460" s="1514"/>
      <c r="AG460" s="1515"/>
    </row>
    <row r="461" spans="3:69" ht="15" customHeight="1"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48"/>
      <c r="S461" s="170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</row>
    <row r="462" spans="3:69" ht="15" customHeight="1"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48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</row>
    <row r="463" spans="3:69" ht="15" customHeight="1">
      <c r="C463" s="170"/>
      <c r="D463" s="170"/>
      <c r="E463" s="170"/>
      <c r="F463" s="170"/>
      <c r="G463" s="170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48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</row>
    <row r="464" spans="3:69" ht="15" customHeight="1"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</row>
    <row r="465" spans="3:38" ht="15" customHeight="1">
      <c r="C465" s="1527" t="s">
        <v>153</v>
      </c>
      <c r="D465" s="1528"/>
      <c r="E465" s="1528"/>
      <c r="F465" s="1528"/>
      <c r="G465" s="1528"/>
      <c r="H465" s="1528"/>
      <c r="I465" s="1528"/>
      <c r="J465" s="1528"/>
      <c r="K465" s="1528"/>
      <c r="L465" s="1528"/>
      <c r="M465" s="1528"/>
      <c r="N465" s="1528"/>
      <c r="O465" s="1528"/>
      <c r="P465" s="1528"/>
      <c r="Q465" s="1529"/>
      <c r="R465" s="10"/>
      <c r="S465" s="1527" t="s">
        <v>154</v>
      </c>
      <c r="T465" s="1528"/>
      <c r="U465" s="1528"/>
      <c r="V465" s="1528"/>
      <c r="W465" s="1528"/>
      <c r="X465" s="1528"/>
      <c r="Y465" s="1528"/>
      <c r="Z465" s="1528"/>
      <c r="AA465" s="1528"/>
      <c r="AB465" s="1528"/>
      <c r="AC465" s="1528"/>
      <c r="AD465" s="1528"/>
      <c r="AE465" s="1528"/>
      <c r="AF465" s="1528"/>
      <c r="AG465" s="1529"/>
      <c r="AL465"/>
    </row>
    <row r="466" spans="3:38" ht="15" customHeight="1">
      <c r="C466" s="1530"/>
      <c r="D466" s="1531"/>
      <c r="E466" s="1531"/>
      <c r="F466" s="1531"/>
      <c r="G466" s="1531"/>
      <c r="H466" s="1531"/>
      <c r="I466" s="1531"/>
      <c r="J466" s="1531"/>
      <c r="K466" s="1531"/>
      <c r="L466" s="1531"/>
      <c r="M466" s="1531"/>
      <c r="N466" s="1531"/>
      <c r="O466" s="1531"/>
      <c r="P466" s="1531"/>
      <c r="Q466" s="1532"/>
      <c r="R466" s="10"/>
      <c r="S466" s="1530"/>
      <c r="T466" s="1531"/>
      <c r="U466" s="1531"/>
      <c r="V466" s="1531"/>
      <c r="W466" s="1531"/>
      <c r="X466" s="1531"/>
      <c r="Y466" s="1531"/>
      <c r="Z466" s="1531"/>
      <c r="AA466" s="1531"/>
      <c r="AB466" s="1531"/>
      <c r="AC466" s="1531"/>
      <c r="AD466" s="1531"/>
      <c r="AE466" s="1531"/>
      <c r="AF466" s="1531"/>
      <c r="AG466" s="1532"/>
    </row>
    <row r="467" spans="3:38" ht="15" customHeight="1">
      <c r="C467" s="1530"/>
      <c r="D467" s="1531"/>
      <c r="E467" s="1531"/>
      <c r="F467" s="1531"/>
      <c r="G467" s="1531"/>
      <c r="H467" s="1531"/>
      <c r="I467" s="1531"/>
      <c r="J467" s="1531"/>
      <c r="K467" s="1531"/>
      <c r="L467" s="1531"/>
      <c r="M467" s="1531"/>
      <c r="N467" s="1531"/>
      <c r="O467" s="1531"/>
      <c r="P467" s="1531"/>
      <c r="Q467" s="1532"/>
      <c r="R467" s="10"/>
      <c r="S467" s="1530"/>
      <c r="T467" s="1531"/>
      <c r="U467" s="1531"/>
      <c r="V467" s="1531"/>
      <c r="W467" s="1531"/>
      <c r="X467" s="1531"/>
      <c r="Y467" s="1531"/>
      <c r="Z467" s="1531"/>
      <c r="AA467" s="1531"/>
      <c r="AB467" s="1531"/>
      <c r="AC467" s="1531"/>
      <c r="AD467" s="1531"/>
      <c r="AE467" s="1531"/>
      <c r="AF467" s="1531"/>
      <c r="AG467" s="1532"/>
    </row>
    <row r="468" spans="3:38" ht="15" customHeight="1">
      <c r="C468" s="1530"/>
      <c r="D468" s="1531"/>
      <c r="E468" s="1531"/>
      <c r="F468" s="1531"/>
      <c r="G468" s="1531"/>
      <c r="H468" s="1531"/>
      <c r="I468" s="1531"/>
      <c r="J468" s="1531"/>
      <c r="K468" s="1531"/>
      <c r="L468" s="1531"/>
      <c r="M468" s="1531"/>
      <c r="N468" s="1531"/>
      <c r="O468" s="1531"/>
      <c r="P468" s="1531"/>
      <c r="Q468" s="1532"/>
      <c r="R468" s="10"/>
      <c r="S468" s="1530"/>
      <c r="T468" s="1531"/>
      <c r="U468" s="1531"/>
      <c r="V468" s="1531"/>
      <c r="W468" s="1531"/>
      <c r="X468" s="1531"/>
      <c r="Y468" s="1531"/>
      <c r="Z468" s="1531"/>
      <c r="AA468" s="1531"/>
      <c r="AB468" s="1531"/>
      <c r="AC468" s="1531"/>
      <c r="AD468" s="1531"/>
      <c r="AE468" s="1531"/>
      <c r="AF468" s="1531"/>
      <c r="AG468" s="1532"/>
    </row>
    <row r="469" spans="3:38" ht="15" customHeight="1">
      <c r="C469" s="1530"/>
      <c r="D469" s="1531"/>
      <c r="E469" s="1531"/>
      <c r="F469" s="1531"/>
      <c r="G469" s="1531"/>
      <c r="H469" s="1531"/>
      <c r="I469" s="1531"/>
      <c r="J469" s="1531"/>
      <c r="K469" s="1531"/>
      <c r="L469" s="1531"/>
      <c r="M469" s="1531"/>
      <c r="N469" s="1531"/>
      <c r="O469" s="1531"/>
      <c r="P469" s="1531"/>
      <c r="Q469" s="1532"/>
      <c r="R469" s="10"/>
      <c r="S469" s="1530"/>
      <c r="T469" s="1531"/>
      <c r="U469" s="1531"/>
      <c r="V469" s="1531"/>
      <c r="W469" s="1531"/>
      <c r="X469" s="1531"/>
      <c r="Y469" s="1531"/>
      <c r="Z469" s="1531"/>
      <c r="AA469" s="1531"/>
      <c r="AB469" s="1531"/>
      <c r="AC469" s="1531"/>
      <c r="AD469" s="1531"/>
      <c r="AE469" s="1531"/>
      <c r="AF469" s="1531"/>
      <c r="AG469" s="1532"/>
    </row>
    <row r="470" spans="3:38" ht="15" customHeight="1">
      <c r="C470" s="1530"/>
      <c r="D470" s="1531"/>
      <c r="E470" s="1531"/>
      <c r="F470" s="1531"/>
      <c r="G470" s="1531"/>
      <c r="H470" s="1531"/>
      <c r="I470" s="1531"/>
      <c r="J470" s="1531"/>
      <c r="K470" s="1531"/>
      <c r="L470" s="1531"/>
      <c r="M470" s="1531"/>
      <c r="N470" s="1531"/>
      <c r="O470" s="1531"/>
      <c r="P470" s="1531"/>
      <c r="Q470" s="1532"/>
      <c r="R470" s="10"/>
      <c r="S470" s="1530"/>
      <c r="T470" s="1531"/>
      <c r="U470" s="1531"/>
      <c r="V470" s="1531"/>
      <c r="W470" s="1531"/>
      <c r="X470" s="1531"/>
      <c r="Y470" s="1531"/>
      <c r="Z470" s="1531"/>
      <c r="AA470" s="1531"/>
      <c r="AB470" s="1531"/>
      <c r="AC470" s="1531"/>
      <c r="AD470" s="1531"/>
      <c r="AE470" s="1531"/>
      <c r="AF470" s="1531"/>
      <c r="AG470" s="1532"/>
    </row>
    <row r="471" spans="3:38" ht="15" customHeight="1">
      <c r="C471" s="1530"/>
      <c r="D471" s="1531"/>
      <c r="E471" s="1531"/>
      <c r="F471" s="1531"/>
      <c r="G471" s="1531"/>
      <c r="H471" s="1531"/>
      <c r="I471" s="1531"/>
      <c r="J471" s="1531"/>
      <c r="K471" s="1531"/>
      <c r="L471" s="1531"/>
      <c r="M471" s="1531"/>
      <c r="N471" s="1531"/>
      <c r="O471" s="1531"/>
      <c r="P471" s="1531"/>
      <c r="Q471" s="1532"/>
      <c r="R471" s="10"/>
      <c r="S471" s="1530"/>
      <c r="T471" s="1531"/>
      <c r="U471" s="1531"/>
      <c r="V471" s="1531"/>
      <c r="W471" s="1531"/>
      <c r="X471" s="1531"/>
      <c r="Y471" s="1531"/>
      <c r="Z471" s="1531"/>
      <c r="AA471" s="1531"/>
      <c r="AB471" s="1531"/>
      <c r="AC471" s="1531"/>
      <c r="AD471" s="1531"/>
      <c r="AE471" s="1531"/>
      <c r="AF471" s="1531"/>
      <c r="AG471" s="1532"/>
      <c r="AL471"/>
    </row>
    <row r="472" spans="3:38" ht="15" customHeight="1">
      <c r="C472" s="1530"/>
      <c r="D472" s="1531"/>
      <c r="E472" s="1531"/>
      <c r="F472" s="1531"/>
      <c r="G472" s="1531"/>
      <c r="H472" s="1531"/>
      <c r="I472" s="1531"/>
      <c r="J472" s="1531"/>
      <c r="K472" s="1531"/>
      <c r="L472" s="1531"/>
      <c r="M472" s="1531"/>
      <c r="N472" s="1531"/>
      <c r="O472" s="1531"/>
      <c r="P472" s="1531"/>
      <c r="Q472" s="1532"/>
      <c r="R472" s="10"/>
      <c r="S472" s="1530"/>
      <c r="T472" s="1531"/>
      <c r="U472" s="1531"/>
      <c r="V472" s="1531"/>
      <c r="W472" s="1531"/>
      <c r="X472" s="1531"/>
      <c r="Y472" s="1531"/>
      <c r="Z472" s="1531"/>
      <c r="AA472" s="1531"/>
      <c r="AB472" s="1531"/>
      <c r="AC472" s="1531"/>
      <c r="AD472" s="1531"/>
      <c r="AE472" s="1531"/>
      <c r="AF472" s="1531"/>
      <c r="AG472" s="1532"/>
    </row>
    <row r="473" spans="3:38" ht="15" customHeight="1">
      <c r="C473" s="1530"/>
      <c r="D473" s="1531"/>
      <c r="E473" s="1531"/>
      <c r="F473" s="1531"/>
      <c r="G473" s="1531"/>
      <c r="H473" s="1531"/>
      <c r="I473" s="1531"/>
      <c r="J473" s="1531"/>
      <c r="K473" s="1531"/>
      <c r="L473" s="1531"/>
      <c r="M473" s="1531"/>
      <c r="N473" s="1531"/>
      <c r="O473" s="1531"/>
      <c r="P473" s="1531"/>
      <c r="Q473" s="1532"/>
      <c r="R473" s="10"/>
      <c r="S473" s="1530"/>
      <c r="T473" s="1531"/>
      <c r="U473" s="1531"/>
      <c r="V473" s="1531"/>
      <c r="W473" s="1531"/>
      <c r="X473" s="1531"/>
      <c r="Y473" s="1531"/>
      <c r="Z473" s="1531"/>
      <c r="AA473" s="1531"/>
      <c r="AB473" s="1531"/>
      <c r="AC473" s="1531"/>
      <c r="AD473" s="1531"/>
      <c r="AE473" s="1531"/>
      <c r="AF473" s="1531"/>
      <c r="AG473" s="1532"/>
    </row>
    <row r="474" spans="3:38" ht="15" customHeight="1">
      <c r="C474" s="1530"/>
      <c r="D474" s="1531"/>
      <c r="E474" s="1531"/>
      <c r="F474" s="1531"/>
      <c r="G474" s="1531"/>
      <c r="H474" s="1531"/>
      <c r="I474" s="1531"/>
      <c r="J474" s="1531"/>
      <c r="K474" s="1531"/>
      <c r="L474" s="1531"/>
      <c r="M474" s="1531"/>
      <c r="N474" s="1531"/>
      <c r="O474" s="1531"/>
      <c r="P474" s="1531"/>
      <c r="Q474" s="1532"/>
      <c r="R474" s="10"/>
      <c r="S474" s="1530"/>
      <c r="T474" s="1531"/>
      <c r="U474" s="1531"/>
      <c r="V474" s="1531"/>
      <c r="W474" s="1531"/>
      <c r="X474" s="1531"/>
      <c r="Y474" s="1531"/>
      <c r="Z474" s="1531"/>
      <c r="AA474" s="1531"/>
      <c r="AB474" s="1531"/>
      <c r="AC474" s="1531"/>
      <c r="AD474" s="1531"/>
      <c r="AE474" s="1531"/>
      <c r="AF474" s="1531"/>
      <c r="AG474" s="1532"/>
    </row>
    <row r="475" spans="3:38" ht="15" customHeight="1">
      <c r="C475" s="1530"/>
      <c r="D475" s="1531"/>
      <c r="E475" s="1531"/>
      <c r="F475" s="1531"/>
      <c r="G475" s="1531"/>
      <c r="H475" s="1531"/>
      <c r="I475" s="1531"/>
      <c r="J475" s="1531"/>
      <c r="K475" s="1531"/>
      <c r="L475" s="1531"/>
      <c r="M475" s="1531"/>
      <c r="N475" s="1531"/>
      <c r="O475" s="1531"/>
      <c r="P475" s="1531"/>
      <c r="Q475" s="1532"/>
      <c r="R475" s="10"/>
      <c r="S475" s="1530"/>
      <c r="T475" s="1531"/>
      <c r="U475" s="1531"/>
      <c r="V475" s="1531"/>
      <c r="W475" s="1531"/>
      <c r="X475" s="1531"/>
      <c r="Y475" s="1531"/>
      <c r="Z475" s="1531"/>
      <c r="AA475" s="1531"/>
      <c r="AB475" s="1531"/>
      <c r="AC475" s="1531"/>
      <c r="AD475" s="1531"/>
      <c r="AE475" s="1531"/>
      <c r="AF475" s="1531"/>
      <c r="AG475" s="1532"/>
    </row>
    <row r="476" spans="3:38" ht="15" customHeight="1">
      <c r="C476" s="1533"/>
      <c r="D476" s="1534"/>
      <c r="E476" s="1534"/>
      <c r="F476" s="1534"/>
      <c r="G476" s="1534"/>
      <c r="H476" s="1534"/>
      <c r="I476" s="1534"/>
      <c r="J476" s="1534"/>
      <c r="K476" s="1534"/>
      <c r="L476" s="1534"/>
      <c r="M476" s="1534"/>
      <c r="N476" s="1534"/>
      <c r="O476" s="1534"/>
      <c r="P476" s="1534"/>
      <c r="Q476" s="1535"/>
      <c r="R476" s="10"/>
      <c r="S476" s="1533"/>
      <c r="T476" s="1534"/>
      <c r="U476" s="1534"/>
      <c r="V476" s="1534"/>
      <c r="W476" s="1534"/>
      <c r="X476" s="1534"/>
      <c r="Y476" s="1534"/>
      <c r="Z476" s="1534"/>
      <c r="AA476" s="1534"/>
      <c r="AB476" s="1534"/>
      <c r="AC476" s="1534"/>
      <c r="AD476" s="1534"/>
      <c r="AE476" s="1534"/>
      <c r="AF476" s="1534"/>
      <c r="AG476" s="1535"/>
    </row>
    <row r="477" spans="3:38" ht="15" customHeight="1"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</row>
    <row r="478" spans="3:38" ht="15" customHeight="1">
      <c r="C478" s="1510" t="s">
        <v>171</v>
      </c>
      <c r="D478" s="1511"/>
      <c r="E478" s="1511"/>
      <c r="F478" s="1511"/>
      <c r="G478" s="1511"/>
      <c r="H478" s="1511"/>
      <c r="I478" s="1511"/>
      <c r="J478" s="1511"/>
      <c r="K478" s="1511"/>
      <c r="L478" s="1511"/>
      <c r="M478" s="1511"/>
      <c r="N478" s="1511"/>
      <c r="O478" s="1511"/>
      <c r="P478" s="1511"/>
      <c r="Q478" s="1512"/>
      <c r="R478" s="148"/>
      <c r="S478" s="1510" t="s">
        <v>172</v>
      </c>
      <c r="T478" s="1511"/>
      <c r="U478" s="1511"/>
      <c r="V478" s="1511"/>
      <c r="W478" s="1511"/>
      <c r="X478" s="1511"/>
      <c r="Y478" s="1511"/>
      <c r="Z478" s="1511"/>
      <c r="AA478" s="1511"/>
      <c r="AB478" s="1511"/>
      <c r="AC478" s="1511"/>
      <c r="AD478" s="1511"/>
      <c r="AE478" s="1511"/>
      <c r="AF478" s="1511"/>
      <c r="AG478" s="1512"/>
    </row>
    <row r="479" spans="3:38" ht="15" customHeight="1">
      <c r="C479" s="1513"/>
      <c r="D479" s="1514"/>
      <c r="E479" s="1514"/>
      <c r="F479" s="1514"/>
      <c r="G479" s="1514"/>
      <c r="H479" s="1514"/>
      <c r="I479" s="1514"/>
      <c r="J479" s="1514"/>
      <c r="K479" s="1514"/>
      <c r="L479" s="1514"/>
      <c r="M479" s="1514"/>
      <c r="N479" s="1514"/>
      <c r="O479" s="1514"/>
      <c r="P479" s="1514"/>
      <c r="Q479" s="1515"/>
      <c r="R479" s="148"/>
      <c r="S479" s="1513"/>
      <c r="T479" s="1514"/>
      <c r="U479" s="1514"/>
      <c r="V479" s="1514"/>
      <c r="W479" s="1514"/>
      <c r="X479" s="1514"/>
      <c r="Y479" s="1514"/>
      <c r="Z479" s="1514"/>
      <c r="AA479" s="1514"/>
      <c r="AB479" s="1514"/>
      <c r="AC479" s="1514"/>
      <c r="AD479" s="1514"/>
      <c r="AE479" s="1514"/>
      <c r="AF479" s="1514"/>
      <c r="AG479" s="1515"/>
      <c r="AL479" s="273" t="s">
        <v>172</v>
      </c>
    </row>
    <row r="480" spans="3:38" ht="15" customHeight="1"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48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</row>
    <row r="481" spans="3:69" ht="15" customHeight="1"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48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</row>
    <row r="482" spans="3:69" ht="15" customHeight="1"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48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</row>
    <row r="483" spans="3:69" ht="15" customHeight="1" thickBot="1"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48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</row>
    <row r="484" spans="3:69" ht="24.9" customHeight="1" thickTop="1">
      <c r="C484" s="1560" t="str">
        <f>$C$90</f>
        <v>Construção da Estação de Bombeamento de Águas Pluviais Laranja, Vila Velha/ES</v>
      </c>
      <c r="D484" s="1560"/>
      <c r="E484" s="1560"/>
      <c r="F484" s="1560"/>
      <c r="G484" s="1560"/>
      <c r="H484" s="1560"/>
      <c r="I484" s="1560"/>
      <c r="J484" s="1560"/>
      <c r="K484" s="1560"/>
      <c r="L484" s="1560"/>
      <c r="M484" s="1560"/>
      <c r="N484" s="1560"/>
      <c r="O484" s="1560"/>
      <c r="P484" s="1560"/>
      <c r="Q484" s="1560"/>
      <c r="R484" s="1560"/>
      <c r="S484" s="1560"/>
      <c r="T484" s="1560"/>
      <c r="U484" s="1560"/>
      <c r="V484" s="1560"/>
      <c r="W484" s="1560"/>
      <c r="X484" s="1560"/>
      <c r="Y484" s="1560"/>
      <c r="Z484" s="1560"/>
      <c r="AA484" s="1560"/>
      <c r="AB484" s="1560"/>
      <c r="AC484" s="1560"/>
      <c r="AD484" s="1516">
        <f>AD418+1</f>
        <v>28</v>
      </c>
      <c r="AE484" s="1523"/>
      <c r="AF484" s="1523"/>
      <c r="AG484" s="1523"/>
    </row>
    <row r="485" spans="3:69" s="145" customFormat="1" ht="20.100000000000001" customHeight="1" thickBot="1">
      <c r="C485" s="1524" t="str">
        <f>$C$1</f>
        <v xml:space="preserve">Relatório Técnico Permanente de Engenharia 		                                                                         </v>
      </c>
      <c r="D485" s="1524"/>
      <c r="E485" s="1524"/>
      <c r="F485" s="1524"/>
      <c r="G485" s="1524"/>
      <c r="H485" s="1524"/>
      <c r="I485" s="1524"/>
      <c r="J485" s="1524"/>
      <c r="K485" s="1524"/>
      <c r="L485" s="1524"/>
      <c r="M485" s="1524"/>
      <c r="N485" s="1524"/>
      <c r="O485" s="1524"/>
      <c r="P485" s="1524"/>
      <c r="Q485" s="1524"/>
      <c r="R485" s="1524"/>
      <c r="S485" s="1524"/>
      <c r="T485" s="1524"/>
      <c r="U485" s="1524"/>
      <c r="V485" s="1524"/>
      <c r="W485" s="1524"/>
      <c r="X485" s="1524"/>
      <c r="Y485" s="1524"/>
      <c r="Z485" s="1524"/>
      <c r="AA485" s="1525" t="str">
        <f>$AB$1</f>
        <v>RTPE 524-11</v>
      </c>
      <c r="AB485" s="1525"/>
      <c r="AC485" s="1525"/>
      <c r="AD485" s="1525"/>
      <c r="AE485" s="1525"/>
      <c r="AF485" s="1525"/>
      <c r="AG485" s="1525"/>
      <c r="AM485" s="147"/>
      <c r="AN485" s="147"/>
      <c r="AO485" s="147"/>
      <c r="AP485" s="147"/>
      <c r="AQ485" s="146"/>
      <c r="AR485" s="146"/>
      <c r="AS485" s="146"/>
      <c r="AT485" s="147"/>
      <c r="AU485" s="147"/>
      <c r="AV485" s="147"/>
      <c r="AW485" s="147"/>
      <c r="AX485" s="146"/>
      <c r="AY485" s="146"/>
      <c r="AZ485" s="146"/>
      <c r="BA485" s="147"/>
      <c r="BB485" s="147"/>
      <c r="BC485" s="147"/>
      <c r="BD485" s="147"/>
      <c r="BE485" s="146"/>
      <c r="BF485" s="146"/>
      <c r="BG485" s="146"/>
      <c r="BH485" s="147"/>
      <c r="BI485" s="147"/>
      <c r="BJ485" s="147"/>
      <c r="BK485" s="147"/>
      <c r="BL485" s="146"/>
      <c r="BM485" s="146"/>
      <c r="BN485" s="146"/>
      <c r="BO485" s="147"/>
      <c r="BP485" s="147"/>
      <c r="BQ485" s="146"/>
    </row>
    <row r="486" spans="3:69" ht="15" customHeight="1" thickTop="1"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</row>
    <row r="487" spans="3:69" ht="15" customHeight="1">
      <c r="C487" s="1517" t="s">
        <v>152</v>
      </c>
      <c r="D487" s="1518"/>
      <c r="E487" s="1518"/>
      <c r="F487" s="1518"/>
      <c r="G487" s="1518"/>
      <c r="H487" s="1518"/>
      <c r="I487" s="1518"/>
      <c r="J487" s="1518"/>
      <c r="K487" s="1518"/>
      <c r="L487" s="1518"/>
      <c r="M487" s="1518"/>
      <c r="N487" s="1518"/>
      <c r="O487" s="1518"/>
      <c r="P487" s="1518"/>
      <c r="Q487" s="1518"/>
      <c r="R487" s="1518"/>
      <c r="S487" s="1518"/>
      <c r="T487" s="1518"/>
      <c r="U487" s="1518"/>
      <c r="V487" s="1518"/>
      <c r="W487" s="1518"/>
      <c r="X487" s="1518"/>
      <c r="Y487" s="1518"/>
      <c r="Z487" s="1518"/>
      <c r="AA487" s="1518"/>
      <c r="AB487" s="1518"/>
      <c r="AC487" s="1518"/>
      <c r="AD487" s="1518"/>
      <c r="AE487" s="1518"/>
      <c r="AF487" s="1518"/>
      <c r="AG487" s="1519"/>
    </row>
    <row r="488" spans="3:69" ht="15" customHeight="1">
      <c r="C488" s="1520"/>
      <c r="D488" s="1521"/>
      <c r="E488" s="1521"/>
      <c r="F488" s="1521"/>
      <c r="G488" s="1521"/>
      <c r="H488" s="1521"/>
      <c r="I488" s="1521"/>
      <c r="J488" s="1521"/>
      <c r="K488" s="1521"/>
      <c r="L488" s="1521"/>
      <c r="M488" s="1521"/>
      <c r="N488" s="1521"/>
      <c r="O488" s="1521"/>
      <c r="P488" s="1521"/>
      <c r="Q488" s="1521"/>
      <c r="R488" s="1521"/>
      <c r="S488" s="1521"/>
      <c r="T488" s="1521"/>
      <c r="U488" s="1521"/>
      <c r="V488" s="1521"/>
      <c r="W488" s="1521"/>
      <c r="X488" s="1521"/>
      <c r="Y488" s="1521"/>
      <c r="Z488" s="1521"/>
      <c r="AA488" s="1521"/>
      <c r="AB488" s="1521"/>
      <c r="AC488" s="1521"/>
      <c r="AD488" s="1521"/>
      <c r="AE488" s="1521"/>
      <c r="AF488" s="1521"/>
      <c r="AG488" s="1522"/>
    </row>
    <row r="489" spans="3:69" ht="15" customHeight="1"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  <c r="AA489" s="171"/>
      <c r="AB489" s="171"/>
      <c r="AC489" s="171"/>
      <c r="AD489" s="171"/>
      <c r="AE489" s="171"/>
      <c r="AF489" s="171"/>
      <c r="AG489" s="171"/>
    </row>
    <row r="490" spans="3:69" ht="15" customHeight="1"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  <c r="AA490" s="171"/>
      <c r="AB490" s="171"/>
      <c r="AC490" s="171"/>
      <c r="AD490" s="171"/>
      <c r="AE490" s="171"/>
      <c r="AF490" s="171"/>
      <c r="AG490" s="171"/>
    </row>
    <row r="491" spans="3:69" ht="15" customHeight="1"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  <c r="AA491" s="171"/>
      <c r="AB491" s="171"/>
      <c r="AC491" s="171"/>
      <c r="AD491" s="171"/>
      <c r="AE491" s="171"/>
      <c r="AF491" s="171"/>
      <c r="AG491" s="171"/>
    </row>
    <row r="492" spans="3:69" ht="15" customHeight="1"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</row>
    <row r="493" spans="3:69" ht="15" customHeight="1">
      <c r="C493" s="1527" t="s">
        <v>153</v>
      </c>
      <c r="D493" s="1528"/>
      <c r="E493" s="1528"/>
      <c r="F493" s="1528"/>
      <c r="G493" s="1528"/>
      <c r="H493" s="1528"/>
      <c r="I493" s="1528"/>
      <c r="J493" s="1528"/>
      <c r="K493" s="1528"/>
      <c r="L493" s="1528"/>
      <c r="M493" s="1528"/>
      <c r="N493" s="1528"/>
      <c r="O493" s="1528"/>
      <c r="P493" s="1528"/>
      <c r="Q493" s="1529"/>
      <c r="R493" s="10"/>
      <c r="S493" s="1527" t="s">
        <v>154</v>
      </c>
      <c r="T493" s="1528"/>
      <c r="U493" s="1528"/>
      <c r="V493" s="1528"/>
      <c r="W493" s="1528"/>
      <c r="X493" s="1528"/>
      <c r="Y493" s="1528"/>
      <c r="Z493" s="1528"/>
      <c r="AA493" s="1528"/>
      <c r="AB493" s="1528"/>
      <c r="AC493" s="1528"/>
      <c r="AD493" s="1528"/>
      <c r="AE493" s="1528"/>
      <c r="AF493" s="1528"/>
      <c r="AG493" s="1529"/>
    </row>
    <row r="494" spans="3:69" ht="15" customHeight="1">
      <c r="C494" s="1530"/>
      <c r="D494" s="1531"/>
      <c r="E494" s="1531"/>
      <c r="F494" s="1531"/>
      <c r="G494" s="1531"/>
      <c r="H494" s="1531"/>
      <c r="I494" s="1531"/>
      <c r="J494" s="1531"/>
      <c r="K494" s="1531"/>
      <c r="L494" s="1531"/>
      <c r="M494" s="1531"/>
      <c r="N494" s="1531"/>
      <c r="O494" s="1531"/>
      <c r="P494" s="1531"/>
      <c r="Q494" s="1532"/>
      <c r="R494" s="10"/>
      <c r="S494" s="1530"/>
      <c r="T494" s="1531"/>
      <c r="U494" s="1531"/>
      <c r="V494" s="1531"/>
      <c r="W494" s="1531"/>
      <c r="X494" s="1531"/>
      <c r="Y494" s="1531"/>
      <c r="Z494" s="1531"/>
      <c r="AA494" s="1531"/>
      <c r="AB494" s="1531"/>
      <c r="AC494" s="1531"/>
      <c r="AD494" s="1531"/>
      <c r="AE494" s="1531"/>
      <c r="AF494" s="1531"/>
      <c r="AG494" s="1532"/>
    </row>
    <row r="495" spans="3:69" ht="15" customHeight="1">
      <c r="C495" s="1530"/>
      <c r="D495" s="1531"/>
      <c r="E495" s="1531"/>
      <c r="F495" s="1531"/>
      <c r="G495" s="1531"/>
      <c r="H495" s="1531"/>
      <c r="I495" s="1531"/>
      <c r="J495" s="1531"/>
      <c r="K495" s="1531"/>
      <c r="L495" s="1531"/>
      <c r="M495" s="1531"/>
      <c r="N495" s="1531"/>
      <c r="O495" s="1531"/>
      <c r="P495" s="1531"/>
      <c r="Q495" s="1532"/>
      <c r="R495" s="10"/>
      <c r="S495" s="1530"/>
      <c r="T495" s="1531"/>
      <c r="U495" s="1531"/>
      <c r="V495" s="1531"/>
      <c r="W495" s="1531"/>
      <c r="X495" s="1531"/>
      <c r="Y495" s="1531"/>
      <c r="Z495" s="1531"/>
      <c r="AA495" s="1531"/>
      <c r="AB495" s="1531"/>
      <c r="AC495" s="1531"/>
      <c r="AD495" s="1531"/>
      <c r="AE495" s="1531"/>
      <c r="AF495" s="1531"/>
      <c r="AG495" s="1532"/>
    </row>
    <row r="496" spans="3:69" ht="15" customHeight="1">
      <c r="C496" s="1530"/>
      <c r="D496" s="1531"/>
      <c r="E496" s="1531"/>
      <c r="F496" s="1531"/>
      <c r="G496" s="1531"/>
      <c r="H496" s="1531"/>
      <c r="I496" s="1531"/>
      <c r="J496" s="1531"/>
      <c r="K496" s="1531"/>
      <c r="L496" s="1531"/>
      <c r="M496" s="1531"/>
      <c r="N496" s="1531"/>
      <c r="O496" s="1531"/>
      <c r="P496" s="1531"/>
      <c r="Q496" s="1532"/>
      <c r="R496" s="10"/>
      <c r="S496" s="1530"/>
      <c r="T496" s="1531"/>
      <c r="U496" s="1531"/>
      <c r="V496" s="1531"/>
      <c r="W496" s="1531"/>
      <c r="X496" s="1531"/>
      <c r="Y496" s="1531"/>
      <c r="Z496" s="1531"/>
      <c r="AA496" s="1531"/>
      <c r="AB496" s="1531"/>
      <c r="AC496" s="1531"/>
      <c r="AD496" s="1531"/>
      <c r="AE496" s="1531"/>
      <c r="AF496" s="1531"/>
      <c r="AG496" s="1532"/>
    </row>
    <row r="497" spans="3:33" ht="15" customHeight="1">
      <c r="C497" s="1530"/>
      <c r="D497" s="1531"/>
      <c r="E497" s="1531"/>
      <c r="F497" s="1531"/>
      <c r="G497" s="1531"/>
      <c r="H497" s="1531"/>
      <c r="I497" s="1531"/>
      <c r="J497" s="1531"/>
      <c r="K497" s="1531"/>
      <c r="L497" s="1531"/>
      <c r="M497" s="1531"/>
      <c r="N497" s="1531"/>
      <c r="O497" s="1531"/>
      <c r="P497" s="1531"/>
      <c r="Q497" s="1532"/>
      <c r="R497" s="10"/>
      <c r="S497" s="1530"/>
      <c r="T497" s="1531"/>
      <c r="U497" s="1531"/>
      <c r="V497" s="1531"/>
      <c r="W497" s="1531"/>
      <c r="X497" s="1531"/>
      <c r="Y497" s="1531"/>
      <c r="Z497" s="1531"/>
      <c r="AA497" s="1531"/>
      <c r="AB497" s="1531"/>
      <c r="AC497" s="1531"/>
      <c r="AD497" s="1531"/>
      <c r="AE497" s="1531"/>
      <c r="AF497" s="1531"/>
      <c r="AG497" s="1532"/>
    </row>
    <row r="498" spans="3:33" ht="15" customHeight="1">
      <c r="C498" s="1530"/>
      <c r="D498" s="1531"/>
      <c r="E498" s="1531"/>
      <c r="F498" s="1531"/>
      <c r="G498" s="1531"/>
      <c r="H498" s="1531"/>
      <c r="I498" s="1531"/>
      <c r="J498" s="1531"/>
      <c r="K498" s="1531"/>
      <c r="L498" s="1531"/>
      <c r="M498" s="1531"/>
      <c r="N498" s="1531"/>
      <c r="O498" s="1531"/>
      <c r="P498" s="1531"/>
      <c r="Q498" s="1532"/>
      <c r="R498" s="10"/>
      <c r="S498" s="1530"/>
      <c r="T498" s="1531"/>
      <c r="U498" s="1531"/>
      <c r="V498" s="1531"/>
      <c r="W498" s="1531"/>
      <c r="X498" s="1531"/>
      <c r="Y498" s="1531"/>
      <c r="Z498" s="1531"/>
      <c r="AA498" s="1531"/>
      <c r="AB498" s="1531"/>
      <c r="AC498" s="1531"/>
      <c r="AD498" s="1531"/>
      <c r="AE498" s="1531"/>
      <c r="AF498" s="1531"/>
      <c r="AG498" s="1532"/>
    </row>
    <row r="499" spans="3:33" ht="15" customHeight="1">
      <c r="C499" s="1530"/>
      <c r="D499" s="1531"/>
      <c r="E499" s="1531"/>
      <c r="F499" s="1531"/>
      <c r="G499" s="1531"/>
      <c r="H499" s="1531"/>
      <c r="I499" s="1531"/>
      <c r="J499" s="1531"/>
      <c r="K499" s="1531"/>
      <c r="L499" s="1531"/>
      <c r="M499" s="1531"/>
      <c r="N499" s="1531"/>
      <c r="O499" s="1531"/>
      <c r="P499" s="1531"/>
      <c r="Q499" s="1532"/>
      <c r="R499" s="10"/>
      <c r="S499" s="1530"/>
      <c r="T499" s="1531"/>
      <c r="U499" s="1531"/>
      <c r="V499" s="1531"/>
      <c r="W499" s="1531"/>
      <c r="X499" s="1531"/>
      <c r="Y499" s="1531"/>
      <c r="Z499" s="1531"/>
      <c r="AA499" s="1531"/>
      <c r="AB499" s="1531"/>
      <c r="AC499" s="1531"/>
      <c r="AD499" s="1531"/>
      <c r="AE499" s="1531"/>
      <c r="AF499" s="1531"/>
      <c r="AG499" s="1532"/>
    </row>
    <row r="500" spans="3:33" ht="15" customHeight="1">
      <c r="C500" s="1530"/>
      <c r="D500" s="1531"/>
      <c r="E500" s="1531"/>
      <c r="F500" s="1531"/>
      <c r="G500" s="1531"/>
      <c r="H500" s="1531"/>
      <c r="I500" s="1531"/>
      <c r="J500" s="1531"/>
      <c r="K500" s="1531"/>
      <c r="L500" s="1531"/>
      <c r="M500" s="1531"/>
      <c r="N500" s="1531"/>
      <c r="O500" s="1531"/>
      <c r="P500" s="1531"/>
      <c r="Q500" s="1532"/>
      <c r="R500" s="10"/>
      <c r="S500" s="1530"/>
      <c r="T500" s="1531"/>
      <c r="U500" s="1531"/>
      <c r="V500" s="1531"/>
      <c r="W500" s="1531"/>
      <c r="X500" s="1531"/>
      <c r="Y500" s="1531"/>
      <c r="Z500" s="1531"/>
      <c r="AA500" s="1531"/>
      <c r="AB500" s="1531"/>
      <c r="AC500" s="1531"/>
      <c r="AD500" s="1531"/>
      <c r="AE500" s="1531"/>
      <c r="AF500" s="1531"/>
      <c r="AG500" s="1532"/>
    </row>
    <row r="501" spans="3:33" ht="15" customHeight="1">
      <c r="C501" s="1530"/>
      <c r="D501" s="1531"/>
      <c r="E501" s="1531"/>
      <c r="F501" s="1531"/>
      <c r="G501" s="1531"/>
      <c r="H501" s="1531"/>
      <c r="I501" s="1531"/>
      <c r="J501" s="1531"/>
      <c r="K501" s="1531"/>
      <c r="L501" s="1531"/>
      <c r="M501" s="1531"/>
      <c r="N501" s="1531"/>
      <c r="O501" s="1531"/>
      <c r="P501" s="1531"/>
      <c r="Q501" s="1532"/>
      <c r="R501" s="10"/>
      <c r="S501" s="1530"/>
      <c r="T501" s="1531"/>
      <c r="U501" s="1531"/>
      <c r="V501" s="1531"/>
      <c r="W501" s="1531"/>
      <c r="X501" s="1531"/>
      <c r="Y501" s="1531"/>
      <c r="Z501" s="1531"/>
      <c r="AA501" s="1531"/>
      <c r="AB501" s="1531"/>
      <c r="AC501" s="1531"/>
      <c r="AD501" s="1531"/>
      <c r="AE501" s="1531"/>
      <c r="AF501" s="1531"/>
      <c r="AG501" s="1532"/>
    </row>
    <row r="502" spans="3:33" ht="15" customHeight="1">
      <c r="C502" s="1530"/>
      <c r="D502" s="1531"/>
      <c r="E502" s="1531"/>
      <c r="F502" s="1531"/>
      <c r="G502" s="1531"/>
      <c r="H502" s="1531"/>
      <c r="I502" s="1531"/>
      <c r="J502" s="1531"/>
      <c r="K502" s="1531"/>
      <c r="L502" s="1531"/>
      <c r="M502" s="1531"/>
      <c r="N502" s="1531"/>
      <c r="O502" s="1531"/>
      <c r="P502" s="1531"/>
      <c r="Q502" s="1532"/>
      <c r="R502" s="10"/>
      <c r="S502" s="1530"/>
      <c r="T502" s="1531"/>
      <c r="U502" s="1531"/>
      <c r="V502" s="1531"/>
      <c r="W502" s="1531"/>
      <c r="X502" s="1531"/>
      <c r="Y502" s="1531"/>
      <c r="Z502" s="1531"/>
      <c r="AA502" s="1531"/>
      <c r="AB502" s="1531"/>
      <c r="AC502" s="1531"/>
      <c r="AD502" s="1531"/>
      <c r="AE502" s="1531"/>
      <c r="AF502" s="1531"/>
      <c r="AG502" s="1532"/>
    </row>
    <row r="503" spans="3:33" ht="15" customHeight="1">
      <c r="C503" s="1530"/>
      <c r="D503" s="1531"/>
      <c r="E503" s="1531"/>
      <c r="F503" s="1531"/>
      <c r="G503" s="1531"/>
      <c r="H503" s="1531"/>
      <c r="I503" s="1531"/>
      <c r="J503" s="1531"/>
      <c r="K503" s="1531"/>
      <c r="L503" s="1531"/>
      <c r="M503" s="1531"/>
      <c r="N503" s="1531"/>
      <c r="O503" s="1531"/>
      <c r="P503" s="1531"/>
      <c r="Q503" s="1532"/>
      <c r="R503" s="10"/>
      <c r="S503" s="1530"/>
      <c r="T503" s="1531"/>
      <c r="U503" s="1531"/>
      <c r="V503" s="1531"/>
      <c r="W503" s="1531"/>
      <c r="X503" s="1531"/>
      <c r="Y503" s="1531"/>
      <c r="Z503" s="1531"/>
      <c r="AA503" s="1531"/>
      <c r="AB503" s="1531"/>
      <c r="AC503" s="1531"/>
      <c r="AD503" s="1531"/>
      <c r="AE503" s="1531"/>
      <c r="AF503" s="1531"/>
      <c r="AG503" s="1532"/>
    </row>
    <row r="504" spans="3:33" ht="15" customHeight="1">
      <c r="C504" s="1533"/>
      <c r="D504" s="1534"/>
      <c r="E504" s="1534"/>
      <c r="F504" s="1534"/>
      <c r="G504" s="1534"/>
      <c r="H504" s="1534"/>
      <c r="I504" s="1534"/>
      <c r="J504" s="1534"/>
      <c r="K504" s="1534"/>
      <c r="L504" s="1534"/>
      <c r="M504" s="1534"/>
      <c r="N504" s="1534"/>
      <c r="O504" s="1534"/>
      <c r="P504" s="1534"/>
      <c r="Q504" s="1535"/>
      <c r="R504" s="10"/>
      <c r="S504" s="1533"/>
      <c r="T504" s="1534"/>
      <c r="U504" s="1534"/>
      <c r="V504" s="1534"/>
      <c r="W504" s="1534"/>
      <c r="X504" s="1534"/>
      <c r="Y504" s="1534"/>
      <c r="Z504" s="1534"/>
      <c r="AA504" s="1534"/>
      <c r="AB504" s="1534"/>
      <c r="AC504" s="1534"/>
      <c r="AD504" s="1534"/>
      <c r="AE504" s="1534"/>
      <c r="AF504" s="1534"/>
      <c r="AG504" s="1535"/>
    </row>
    <row r="505" spans="3:33" ht="15" customHeight="1"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</row>
    <row r="506" spans="3:33" ht="15" customHeight="1">
      <c r="C506" s="1510" t="s">
        <v>173</v>
      </c>
      <c r="D506" s="1511"/>
      <c r="E506" s="1511"/>
      <c r="F506" s="1511"/>
      <c r="G506" s="1511"/>
      <c r="H506" s="1511"/>
      <c r="I506" s="1511"/>
      <c r="J506" s="1511"/>
      <c r="K506" s="1511"/>
      <c r="L506" s="1511"/>
      <c r="M506" s="1511"/>
      <c r="N506" s="1511"/>
      <c r="O506" s="1511"/>
      <c r="P506" s="1511"/>
      <c r="Q506" s="1512"/>
      <c r="R506" s="148"/>
      <c r="S506" s="1510" t="s">
        <v>173</v>
      </c>
      <c r="T506" s="1511"/>
      <c r="U506" s="1511"/>
      <c r="V506" s="1511"/>
      <c r="W506" s="1511"/>
      <c r="X506" s="1511"/>
      <c r="Y506" s="1511"/>
      <c r="Z506" s="1511"/>
      <c r="AA506" s="1511"/>
      <c r="AB506" s="1511"/>
      <c r="AC506" s="1511"/>
      <c r="AD506" s="1511"/>
      <c r="AE506" s="1511"/>
      <c r="AF506" s="1511"/>
      <c r="AG506" s="1512"/>
    </row>
    <row r="507" spans="3:33" ht="15" customHeight="1">
      <c r="C507" s="1513"/>
      <c r="D507" s="1514"/>
      <c r="E507" s="1514"/>
      <c r="F507" s="1514"/>
      <c r="G507" s="1514"/>
      <c r="H507" s="1514"/>
      <c r="I507" s="1514"/>
      <c r="J507" s="1514"/>
      <c r="K507" s="1514"/>
      <c r="L507" s="1514"/>
      <c r="M507" s="1514"/>
      <c r="N507" s="1514"/>
      <c r="O507" s="1514"/>
      <c r="P507" s="1514"/>
      <c r="Q507" s="1515"/>
      <c r="R507" s="148"/>
      <c r="S507" s="1513"/>
      <c r="T507" s="1514"/>
      <c r="U507" s="1514"/>
      <c r="V507" s="1514"/>
      <c r="W507" s="1514"/>
      <c r="X507" s="1514"/>
      <c r="Y507" s="1514"/>
      <c r="Z507" s="1514"/>
      <c r="AA507" s="1514"/>
      <c r="AB507" s="1514"/>
      <c r="AC507" s="1514"/>
      <c r="AD507" s="1514"/>
      <c r="AE507" s="1514"/>
      <c r="AF507" s="1514"/>
      <c r="AG507" s="1515"/>
    </row>
    <row r="508" spans="3:33" ht="15" customHeight="1"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48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</row>
    <row r="509" spans="3:33" ht="15" customHeight="1"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48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</row>
    <row r="510" spans="3:33" ht="15" customHeight="1"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48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</row>
    <row r="511" spans="3:33" ht="15" customHeight="1"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</row>
    <row r="512" spans="3:33" ht="15" customHeight="1">
      <c r="C512" s="1527" t="s">
        <v>153</v>
      </c>
      <c r="D512" s="1528"/>
      <c r="E512" s="1528"/>
      <c r="F512" s="1528"/>
      <c r="G512" s="1528"/>
      <c r="H512" s="1528"/>
      <c r="I512" s="1528"/>
      <c r="J512" s="1528"/>
      <c r="K512" s="1528"/>
      <c r="L512" s="1528"/>
      <c r="M512" s="1528"/>
      <c r="N512" s="1528"/>
      <c r="O512" s="1528"/>
      <c r="P512" s="1528"/>
      <c r="Q512" s="1529"/>
      <c r="R512" s="10"/>
      <c r="S512" s="1527" t="s">
        <v>154</v>
      </c>
      <c r="T512" s="1528"/>
      <c r="U512" s="1528"/>
      <c r="V512" s="1528"/>
      <c r="W512" s="1528"/>
      <c r="X512" s="1528"/>
      <c r="Y512" s="1528"/>
      <c r="Z512" s="1528"/>
      <c r="AA512" s="1528"/>
      <c r="AB512" s="1528"/>
      <c r="AC512" s="1528"/>
      <c r="AD512" s="1528"/>
      <c r="AE512" s="1528"/>
      <c r="AF512" s="1528"/>
      <c r="AG512" s="1529"/>
    </row>
    <row r="513" spans="3:69" ht="15" customHeight="1">
      <c r="C513" s="1530"/>
      <c r="D513" s="1531"/>
      <c r="E513" s="1531"/>
      <c r="F513" s="1531"/>
      <c r="G513" s="1531"/>
      <c r="H513" s="1531"/>
      <c r="I513" s="1531"/>
      <c r="J513" s="1531"/>
      <c r="K513" s="1531"/>
      <c r="L513" s="1531"/>
      <c r="M513" s="1531"/>
      <c r="N513" s="1531"/>
      <c r="O513" s="1531"/>
      <c r="P513" s="1531"/>
      <c r="Q513" s="1532"/>
      <c r="R513" s="10"/>
      <c r="S513" s="1530"/>
      <c r="T513" s="1531"/>
      <c r="U513" s="1531"/>
      <c r="V513" s="1531"/>
      <c r="W513" s="1531"/>
      <c r="X513" s="1531"/>
      <c r="Y513" s="1531"/>
      <c r="Z513" s="1531"/>
      <c r="AA513" s="1531"/>
      <c r="AB513" s="1531"/>
      <c r="AC513" s="1531"/>
      <c r="AD513" s="1531"/>
      <c r="AE513" s="1531"/>
      <c r="AF513" s="1531"/>
      <c r="AG513" s="1532"/>
      <c r="AM513" s="1474"/>
      <c r="AN513" s="1474"/>
      <c r="AO513" s="1474"/>
      <c r="AP513" s="1474"/>
      <c r="AQ513" s="1474"/>
      <c r="AR513" s="1474"/>
      <c r="AS513" s="1474"/>
      <c r="AT513" s="1474"/>
      <c r="AU513" s="1474"/>
      <c r="AV513" s="1474"/>
      <c r="AW513" s="1474"/>
      <c r="AX513" s="1474"/>
      <c r="AY513" s="1474"/>
      <c r="AZ513" s="1474"/>
      <c r="BA513" s="1474"/>
      <c r="BB513" s="1474"/>
      <c r="BC513" s="1474"/>
      <c r="BD513" s="1474"/>
      <c r="BE513" s="1474"/>
      <c r="BF513" s="1474"/>
      <c r="BG513" s="1474"/>
      <c r="BH513" s="1474"/>
      <c r="BI513" s="1474"/>
      <c r="BJ513" s="1474"/>
      <c r="BK513" s="1474"/>
      <c r="BL513" s="1474"/>
      <c r="BM513" s="1474"/>
      <c r="BN513" s="1474"/>
      <c r="BO513" s="1474"/>
      <c r="BP513" s="1474"/>
      <c r="BQ513" s="1474"/>
    </row>
    <row r="514" spans="3:69" ht="15" customHeight="1">
      <c r="C514" s="1530"/>
      <c r="D514" s="1531"/>
      <c r="E514" s="1531"/>
      <c r="F514" s="1531"/>
      <c r="G514" s="1531"/>
      <c r="H514" s="1531"/>
      <c r="I514" s="1531"/>
      <c r="J514" s="1531"/>
      <c r="K514" s="1531"/>
      <c r="L514" s="1531"/>
      <c r="M514" s="1531"/>
      <c r="N514" s="1531"/>
      <c r="O514" s="1531"/>
      <c r="P514" s="1531"/>
      <c r="Q514" s="1532"/>
      <c r="R514" s="10"/>
      <c r="S514" s="1530"/>
      <c r="T514" s="1531"/>
      <c r="U514" s="1531"/>
      <c r="V514" s="1531"/>
      <c r="W514" s="1531"/>
      <c r="X514" s="1531"/>
      <c r="Y514" s="1531"/>
      <c r="Z514" s="1531"/>
      <c r="AA514" s="1531"/>
      <c r="AB514" s="1531"/>
      <c r="AC514" s="1531"/>
      <c r="AD514" s="1531"/>
      <c r="AE514" s="1531"/>
      <c r="AF514" s="1531"/>
      <c r="AG514" s="1532"/>
      <c r="AM514" s="1473"/>
      <c r="AN514" s="1473"/>
      <c r="AO514" s="1473"/>
      <c r="AP514" s="1473"/>
      <c r="AQ514" s="1473"/>
      <c r="AR514" s="1473"/>
      <c r="AS514" s="1473"/>
      <c r="AT514" s="1473"/>
      <c r="AU514" s="1473"/>
      <c r="AV514" s="1473"/>
      <c r="AW514" s="1473"/>
      <c r="AX514" s="1473"/>
      <c r="AY514" s="1473"/>
      <c r="AZ514" s="1473"/>
      <c r="BA514" s="1473"/>
      <c r="BB514" s="1473"/>
      <c r="BC514" s="1473"/>
      <c r="BD514" s="1473"/>
      <c r="BE514" s="1473"/>
      <c r="BF514" s="1473"/>
      <c r="BG514" s="1473"/>
      <c r="BH514" s="1473"/>
      <c r="BI514" s="1473"/>
      <c r="BJ514" s="1473"/>
      <c r="BK514" s="1473"/>
      <c r="BL514" s="1473"/>
      <c r="BM514" s="1473"/>
      <c r="BN514" s="1473"/>
      <c r="BO514" s="1473"/>
      <c r="BP514" s="1473"/>
      <c r="BQ514" s="1473"/>
    </row>
    <row r="515" spans="3:69" ht="15" customHeight="1">
      <c r="C515" s="1530"/>
      <c r="D515" s="1531"/>
      <c r="E515" s="1531"/>
      <c r="F515" s="1531"/>
      <c r="G515" s="1531"/>
      <c r="H515" s="1531"/>
      <c r="I515" s="1531"/>
      <c r="J515" s="1531"/>
      <c r="K515" s="1531"/>
      <c r="L515" s="1531"/>
      <c r="M515" s="1531"/>
      <c r="N515" s="1531"/>
      <c r="O515" s="1531"/>
      <c r="P515" s="1531"/>
      <c r="Q515" s="1532"/>
      <c r="R515" s="10"/>
      <c r="S515" s="1530"/>
      <c r="T515" s="1531"/>
      <c r="U515" s="1531"/>
      <c r="V515" s="1531"/>
      <c r="W515" s="1531"/>
      <c r="X515" s="1531"/>
      <c r="Y515" s="1531"/>
      <c r="Z515" s="1531"/>
      <c r="AA515" s="1531"/>
      <c r="AB515" s="1531"/>
      <c r="AC515" s="1531"/>
      <c r="AD515" s="1531"/>
      <c r="AE515" s="1531"/>
      <c r="AF515" s="1531"/>
      <c r="AG515" s="1532"/>
      <c r="AM515" s="1473"/>
      <c r="AN515" s="1473"/>
      <c r="AO515" s="1473"/>
      <c r="AP515" s="1473"/>
      <c r="AQ515" s="1473"/>
      <c r="AR515" s="1473"/>
      <c r="AS515" s="1473"/>
      <c r="AT515" s="1473"/>
      <c r="AU515" s="1473"/>
      <c r="AV515" s="1473"/>
      <c r="AW515" s="1473"/>
      <c r="AX515" s="1473"/>
      <c r="AY515" s="1473"/>
      <c r="AZ515" s="1473"/>
      <c r="BA515" s="1473"/>
      <c r="BB515" s="1473"/>
      <c r="BC515" s="1473"/>
      <c r="BD515" s="1473"/>
      <c r="BE515" s="1473"/>
      <c r="BF515" s="1473"/>
      <c r="BG515" s="1473"/>
      <c r="BH515" s="1473"/>
      <c r="BI515" s="1473"/>
      <c r="BJ515" s="1473"/>
      <c r="BK515" s="1473"/>
      <c r="BL515" s="1473"/>
      <c r="BM515" s="1473"/>
      <c r="BN515" s="1473"/>
      <c r="BO515" s="1473"/>
      <c r="BP515" s="1473"/>
      <c r="BQ515" s="1473"/>
    </row>
    <row r="516" spans="3:69" ht="15" customHeight="1">
      <c r="C516" s="1530"/>
      <c r="D516" s="1531"/>
      <c r="E516" s="1531"/>
      <c r="F516" s="1531"/>
      <c r="G516" s="1531"/>
      <c r="H516" s="1531"/>
      <c r="I516" s="1531"/>
      <c r="J516" s="1531"/>
      <c r="K516" s="1531"/>
      <c r="L516" s="1531"/>
      <c r="M516" s="1531"/>
      <c r="N516" s="1531"/>
      <c r="O516" s="1531"/>
      <c r="P516" s="1531"/>
      <c r="Q516" s="1532"/>
      <c r="R516" s="10"/>
      <c r="S516" s="1530"/>
      <c r="T516" s="1531"/>
      <c r="U516" s="1531"/>
      <c r="V516" s="1531"/>
      <c r="W516" s="1531"/>
      <c r="X516" s="1531"/>
      <c r="Y516" s="1531"/>
      <c r="Z516" s="1531"/>
      <c r="AA516" s="1531"/>
      <c r="AB516" s="1531"/>
      <c r="AC516" s="1531"/>
      <c r="AD516" s="1531"/>
      <c r="AE516" s="1531"/>
      <c r="AF516" s="1531"/>
      <c r="AG516" s="1532"/>
      <c r="AM516" s="1474"/>
      <c r="AN516" s="1474"/>
      <c r="AO516" s="1474"/>
      <c r="AP516" s="1474"/>
      <c r="AQ516" s="1474"/>
      <c r="AR516" s="1474"/>
      <c r="AS516" s="1474"/>
      <c r="AT516" s="1474"/>
      <c r="AU516" s="1474"/>
      <c r="AV516" s="1474"/>
      <c r="AW516" s="1474"/>
      <c r="AX516" s="1474"/>
      <c r="AY516" s="1474"/>
      <c r="AZ516" s="1474"/>
      <c r="BA516" s="1474"/>
      <c r="BB516" s="1474"/>
      <c r="BC516" s="1474"/>
      <c r="BD516" s="1474"/>
      <c r="BE516" s="1474"/>
      <c r="BF516" s="1474"/>
      <c r="BG516" s="1474"/>
      <c r="BH516" s="1474"/>
      <c r="BI516" s="1474"/>
      <c r="BJ516" s="1474"/>
      <c r="BK516" s="1474"/>
      <c r="BL516" s="1474"/>
      <c r="BM516" s="1474"/>
      <c r="BN516" s="1474"/>
      <c r="BO516" s="1474"/>
      <c r="BP516" s="1474"/>
      <c r="BQ516" s="1474"/>
    </row>
    <row r="517" spans="3:69" ht="15" customHeight="1">
      <c r="C517" s="1530"/>
      <c r="D517" s="1531"/>
      <c r="E517" s="1531"/>
      <c r="F517" s="1531"/>
      <c r="G517" s="1531"/>
      <c r="H517" s="1531"/>
      <c r="I517" s="1531"/>
      <c r="J517" s="1531"/>
      <c r="K517" s="1531"/>
      <c r="L517" s="1531"/>
      <c r="M517" s="1531"/>
      <c r="N517" s="1531"/>
      <c r="O517" s="1531"/>
      <c r="P517" s="1531"/>
      <c r="Q517" s="1532"/>
      <c r="R517" s="10"/>
      <c r="S517" s="1530"/>
      <c r="T517" s="1531"/>
      <c r="U517" s="1531"/>
      <c r="V517" s="1531"/>
      <c r="W517" s="1531"/>
      <c r="X517" s="1531"/>
      <c r="Y517" s="1531"/>
      <c r="Z517" s="1531"/>
      <c r="AA517" s="1531"/>
      <c r="AB517" s="1531"/>
      <c r="AC517" s="1531"/>
      <c r="AD517" s="1531"/>
      <c r="AE517" s="1531"/>
      <c r="AF517" s="1531"/>
      <c r="AG517" s="1532"/>
      <c r="AM517" s="1473"/>
      <c r="AN517" s="1473"/>
      <c r="AO517" s="1473"/>
      <c r="AP517" s="1473"/>
      <c r="AQ517" s="1473"/>
      <c r="AR517" s="1473"/>
      <c r="AS517" s="1473"/>
      <c r="AT517" s="1473"/>
      <c r="AU517" s="1473"/>
      <c r="AV517" s="1473"/>
      <c r="AW517" s="1473"/>
      <c r="AX517" s="1473"/>
      <c r="AY517" s="1473"/>
      <c r="AZ517" s="1473"/>
      <c r="BA517" s="1473"/>
      <c r="BB517" s="1473"/>
      <c r="BC517" s="1473"/>
      <c r="BD517" s="1473"/>
      <c r="BE517" s="1473"/>
      <c r="BF517" s="1473"/>
      <c r="BG517" s="1473"/>
      <c r="BH517" s="1473"/>
      <c r="BI517" s="1473"/>
      <c r="BJ517" s="1473"/>
      <c r="BK517" s="1473"/>
      <c r="BL517" s="1473"/>
      <c r="BM517" s="1473"/>
      <c r="BN517" s="1473"/>
      <c r="BO517" s="1473"/>
      <c r="BP517" s="1473"/>
      <c r="BQ517" s="1473"/>
    </row>
    <row r="518" spans="3:69" ht="15" customHeight="1">
      <c r="C518" s="1530"/>
      <c r="D518" s="1531"/>
      <c r="E518" s="1531"/>
      <c r="F518" s="1531"/>
      <c r="G518" s="1531"/>
      <c r="H518" s="1531"/>
      <c r="I518" s="1531"/>
      <c r="J518" s="1531"/>
      <c r="K518" s="1531"/>
      <c r="L518" s="1531"/>
      <c r="M518" s="1531"/>
      <c r="N518" s="1531"/>
      <c r="O518" s="1531"/>
      <c r="P518" s="1531"/>
      <c r="Q518" s="1532"/>
      <c r="R518" s="10"/>
      <c r="S518" s="1530"/>
      <c r="T518" s="1531"/>
      <c r="U518" s="1531"/>
      <c r="V518" s="1531"/>
      <c r="W518" s="1531"/>
      <c r="X518" s="1531"/>
      <c r="Y518" s="1531"/>
      <c r="Z518" s="1531"/>
      <c r="AA518" s="1531"/>
      <c r="AB518" s="1531"/>
      <c r="AC518" s="1531"/>
      <c r="AD518" s="1531"/>
      <c r="AE518" s="1531"/>
      <c r="AF518" s="1531"/>
      <c r="AG518" s="1532"/>
      <c r="AM518" s="1473"/>
      <c r="AN518" s="1473"/>
      <c r="AO518" s="1473"/>
      <c r="AP518" s="1473"/>
      <c r="AQ518" s="1473"/>
      <c r="AR518" s="1473"/>
      <c r="AS518" s="1473"/>
      <c r="AT518" s="1473"/>
      <c r="AU518" s="1473"/>
      <c r="AV518" s="1473"/>
      <c r="AW518" s="1473"/>
      <c r="AX518" s="1473"/>
      <c r="AY518" s="1473"/>
      <c r="AZ518" s="1473"/>
      <c r="BA518" s="1473"/>
      <c r="BB518" s="1473"/>
      <c r="BC518" s="1473"/>
      <c r="BD518" s="1473"/>
      <c r="BE518" s="1473"/>
      <c r="BF518" s="1473"/>
      <c r="BG518" s="1473"/>
      <c r="BH518" s="1473"/>
      <c r="BI518" s="1473"/>
      <c r="BJ518" s="1473"/>
      <c r="BK518" s="1473"/>
      <c r="BL518" s="1473"/>
      <c r="BM518" s="1473"/>
      <c r="BN518" s="1473"/>
      <c r="BO518" s="1473"/>
      <c r="BP518" s="1473"/>
      <c r="BQ518" s="1473"/>
    </row>
    <row r="519" spans="3:69" ht="15" customHeight="1">
      <c r="C519" s="1530"/>
      <c r="D519" s="1531"/>
      <c r="E519" s="1531"/>
      <c r="F519" s="1531"/>
      <c r="G519" s="1531"/>
      <c r="H519" s="1531"/>
      <c r="I519" s="1531"/>
      <c r="J519" s="1531"/>
      <c r="K519" s="1531"/>
      <c r="L519" s="1531"/>
      <c r="M519" s="1531"/>
      <c r="N519" s="1531"/>
      <c r="O519" s="1531"/>
      <c r="P519" s="1531"/>
      <c r="Q519" s="1532"/>
      <c r="R519" s="10"/>
      <c r="S519" s="1530"/>
      <c r="T519" s="1531"/>
      <c r="U519" s="1531"/>
      <c r="V519" s="1531"/>
      <c r="W519" s="1531"/>
      <c r="X519" s="1531"/>
      <c r="Y519" s="1531"/>
      <c r="Z519" s="1531"/>
      <c r="AA519" s="1531"/>
      <c r="AB519" s="1531"/>
      <c r="AC519" s="1531"/>
      <c r="AD519" s="1531"/>
      <c r="AE519" s="1531"/>
      <c r="AF519" s="1531"/>
      <c r="AG519" s="1532"/>
      <c r="AM519" s="1473"/>
      <c r="AN519" s="1473"/>
      <c r="AO519" s="1473"/>
      <c r="AP519" s="1473"/>
      <c r="AQ519" s="1473"/>
      <c r="AR519" s="1473"/>
      <c r="AS519" s="1473"/>
      <c r="AT519" s="1473"/>
      <c r="AU519" s="1473"/>
      <c r="AV519" s="1473"/>
      <c r="AW519" s="1473"/>
      <c r="AX519" s="1473"/>
      <c r="AY519" s="1473"/>
      <c r="AZ519" s="1473"/>
      <c r="BA519" s="1473"/>
      <c r="BB519" s="1473"/>
      <c r="BC519" s="1473"/>
      <c r="BD519" s="1473"/>
      <c r="BE519" s="1473"/>
      <c r="BF519" s="1473"/>
      <c r="BG519" s="1473"/>
      <c r="BH519" s="1473"/>
      <c r="BI519" s="1473"/>
      <c r="BJ519" s="1473"/>
      <c r="BK519" s="1473"/>
      <c r="BL519" s="1473"/>
      <c r="BM519" s="1473"/>
      <c r="BN519" s="1473"/>
      <c r="BO519" s="1473"/>
      <c r="BP519" s="1473"/>
      <c r="BQ519" s="1473"/>
    </row>
    <row r="520" spans="3:69" ht="15" customHeight="1">
      <c r="C520" s="1530"/>
      <c r="D520" s="1531"/>
      <c r="E520" s="1531"/>
      <c r="F520" s="1531"/>
      <c r="G520" s="1531"/>
      <c r="H520" s="1531"/>
      <c r="I520" s="1531"/>
      <c r="J520" s="1531"/>
      <c r="K520" s="1531"/>
      <c r="L520" s="1531"/>
      <c r="M520" s="1531"/>
      <c r="N520" s="1531"/>
      <c r="O520" s="1531"/>
      <c r="P520" s="1531"/>
      <c r="Q520" s="1532"/>
      <c r="R520" s="10"/>
      <c r="S520" s="1530"/>
      <c r="T520" s="1531"/>
      <c r="U520" s="1531"/>
      <c r="V520" s="1531"/>
      <c r="W520" s="1531"/>
      <c r="X520" s="1531"/>
      <c r="Y520" s="1531"/>
      <c r="Z520" s="1531"/>
      <c r="AA520" s="1531"/>
      <c r="AB520" s="1531"/>
      <c r="AC520" s="1531"/>
      <c r="AD520" s="1531"/>
      <c r="AE520" s="1531"/>
      <c r="AF520" s="1531"/>
      <c r="AG520" s="1532"/>
      <c r="AM520" s="1473"/>
      <c r="AN520" s="1473"/>
      <c r="AO520" s="1473"/>
      <c r="AP520" s="1473"/>
      <c r="AQ520" s="1473"/>
      <c r="AR520" s="1473"/>
      <c r="AS520" s="1473"/>
      <c r="AT520" s="1473"/>
      <c r="AU520" s="1473"/>
      <c r="AV520" s="1473"/>
      <c r="AW520" s="1473"/>
      <c r="AX520" s="1473"/>
      <c r="AY520" s="1473"/>
      <c r="AZ520" s="1473"/>
      <c r="BA520" s="1473"/>
      <c r="BB520" s="1473"/>
      <c r="BC520" s="1473"/>
      <c r="BD520" s="1473"/>
      <c r="BE520" s="1473"/>
      <c r="BF520" s="1473"/>
      <c r="BG520" s="1473"/>
      <c r="BH520" s="1473"/>
      <c r="BI520" s="1473"/>
      <c r="BJ520" s="1473"/>
      <c r="BK520" s="1473"/>
      <c r="BL520" s="1473"/>
      <c r="BM520" s="1473"/>
      <c r="BN520" s="1473"/>
      <c r="BO520" s="1473"/>
      <c r="BP520" s="1473"/>
      <c r="BQ520" s="1473"/>
    </row>
    <row r="521" spans="3:69" ht="15" customHeight="1">
      <c r="C521" s="1530"/>
      <c r="D521" s="1531"/>
      <c r="E521" s="1531"/>
      <c r="F521" s="1531"/>
      <c r="G521" s="1531"/>
      <c r="H521" s="1531"/>
      <c r="I521" s="1531"/>
      <c r="J521" s="1531"/>
      <c r="K521" s="1531"/>
      <c r="L521" s="1531"/>
      <c r="M521" s="1531"/>
      <c r="N521" s="1531"/>
      <c r="O521" s="1531"/>
      <c r="P521" s="1531"/>
      <c r="Q521" s="1532"/>
      <c r="R521" s="10"/>
      <c r="S521" s="1530"/>
      <c r="T521" s="1531"/>
      <c r="U521" s="1531"/>
      <c r="V521" s="1531"/>
      <c r="W521" s="1531"/>
      <c r="X521" s="1531"/>
      <c r="Y521" s="1531"/>
      <c r="Z521" s="1531"/>
      <c r="AA521" s="1531"/>
      <c r="AB521" s="1531"/>
      <c r="AC521" s="1531"/>
      <c r="AD521" s="1531"/>
      <c r="AE521" s="1531"/>
      <c r="AF521" s="1531"/>
      <c r="AG521" s="1532"/>
      <c r="AM521" s="1473"/>
      <c r="AN521" s="1473"/>
      <c r="AO521" s="1473"/>
      <c r="AP521" s="1473"/>
      <c r="AQ521" s="1473"/>
      <c r="AR521" s="1473"/>
      <c r="AS521" s="1473"/>
      <c r="AT521" s="1473"/>
      <c r="AU521" s="1473"/>
      <c r="AV521" s="1473"/>
      <c r="AW521" s="1473"/>
      <c r="AX521" s="1473"/>
      <c r="AY521" s="1473"/>
      <c r="AZ521" s="1473"/>
      <c r="BA521" s="1473"/>
      <c r="BB521" s="1473"/>
      <c r="BC521" s="1473"/>
      <c r="BD521" s="1473"/>
      <c r="BE521" s="1473"/>
      <c r="BF521" s="1473"/>
      <c r="BG521" s="1473"/>
      <c r="BH521" s="1473"/>
      <c r="BI521" s="1473"/>
      <c r="BJ521" s="1473"/>
      <c r="BK521" s="1473"/>
      <c r="BL521" s="1473"/>
      <c r="BM521" s="1473"/>
      <c r="BN521" s="1473"/>
      <c r="BO521" s="1473"/>
      <c r="BP521" s="1473"/>
      <c r="BQ521" s="1473"/>
    </row>
    <row r="522" spans="3:69" ht="15" customHeight="1">
      <c r="C522" s="1530"/>
      <c r="D522" s="1531"/>
      <c r="E522" s="1531"/>
      <c r="F522" s="1531"/>
      <c r="G522" s="1531"/>
      <c r="H522" s="1531"/>
      <c r="I522" s="1531"/>
      <c r="J522" s="1531"/>
      <c r="K522" s="1531"/>
      <c r="L522" s="1531"/>
      <c r="M522" s="1531"/>
      <c r="N522" s="1531"/>
      <c r="O522" s="1531"/>
      <c r="P522" s="1531"/>
      <c r="Q522" s="1532"/>
      <c r="R522" s="10"/>
      <c r="S522" s="1530"/>
      <c r="T522" s="1531"/>
      <c r="U522" s="1531"/>
      <c r="V522" s="1531"/>
      <c r="W522" s="1531"/>
      <c r="X522" s="1531"/>
      <c r="Y522" s="1531"/>
      <c r="Z522" s="1531"/>
      <c r="AA522" s="1531"/>
      <c r="AB522" s="1531"/>
      <c r="AC522" s="1531"/>
      <c r="AD522" s="1531"/>
      <c r="AE522" s="1531"/>
      <c r="AF522" s="1531"/>
      <c r="AG522" s="1532"/>
      <c r="AM522" s="1474"/>
      <c r="AN522" s="1474"/>
      <c r="AO522" s="1474"/>
      <c r="AP522" s="1474"/>
      <c r="AQ522" s="1474"/>
      <c r="AR522" s="1474"/>
      <c r="AS522" s="1474"/>
      <c r="AT522" s="1474"/>
      <c r="AU522" s="1474"/>
      <c r="AV522" s="1474"/>
      <c r="AW522" s="1474"/>
      <c r="AX522" s="1474"/>
      <c r="AY522" s="1474"/>
      <c r="AZ522" s="1474"/>
      <c r="BA522" s="1474"/>
      <c r="BB522" s="1474"/>
      <c r="BC522" s="1474"/>
      <c r="BD522" s="1474"/>
      <c r="BE522" s="1474"/>
      <c r="BF522" s="1474"/>
      <c r="BG522" s="1474"/>
      <c r="BH522" s="1474"/>
      <c r="BI522" s="1474"/>
      <c r="BJ522" s="1474"/>
      <c r="BK522" s="1474"/>
      <c r="BL522" s="1474"/>
      <c r="BM522" s="1474"/>
      <c r="BN522" s="1474"/>
      <c r="BO522" s="1474"/>
      <c r="BP522" s="1474"/>
      <c r="BQ522" s="1474"/>
    </row>
    <row r="523" spans="3:69" ht="15" customHeight="1">
      <c r="C523" s="1533"/>
      <c r="D523" s="1534"/>
      <c r="E523" s="1534"/>
      <c r="F523" s="1534"/>
      <c r="G523" s="1534"/>
      <c r="H523" s="1534"/>
      <c r="I523" s="1534"/>
      <c r="J523" s="1534"/>
      <c r="K523" s="1534"/>
      <c r="L523" s="1534"/>
      <c r="M523" s="1534"/>
      <c r="N523" s="1534"/>
      <c r="O523" s="1534"/>
      <c r="P523" s="1534"/>
      <c r="Q523" s="1535"/>
      <c r="R523" s="10"/>
      <c r="S523" s="1533"/>
      <c r="T523" s="1534"/>
      <c r="U523" s="1534"/>
      <c r="V523" s="1534"/>
      <c r="W523" s="1534"/>
      <c r="X523" s="1534"/>
      <c r="Y523" s="1534"/>
      <c r="Z523" s="1534"/>
      <c r="AA523" s="1534"/>
      <c r="AB523" s="1534"/>
      <c r="AC523" s="1534"/>
      <c r="AD523" s="1534"/>
      <c r="AE523" s="1534"/>
      <c r="AF523" s="1534"/>
      <c r="AG523" s="1535"/>
      <c r="AM523" s="1473"/>
      <c r="AN523" s="1473"/>
      <c r="AO523" s="1473"/>
      <c r="AP523" s="1473"/>
      <c r="AQ523" s="1473"/>
      <c r="AR523" s="1473"/>
      <c r="AS523" s="1473"/>
      <c r="AT523" s="1473"/>
      <c r="AU523" s="1473"/>
      <c r="AV523" s="1473"/>
      <c r="AW523" s="1473"/>
      <c r="AX523" s="1473"/>
      <c r="AY523" s="1473"/>
      <c r="AZ523" s="1473"/>
      <c r="BA523" s="1473"/>
      <c r="BB523" s="1473"/>
      <c r="BC523" s="1473"/>
      <c r="BD523" s="1473"/>
      <c r="BE523" s="1473"/>
      <c r="BF523" s="1473"/>
      <c r="BG523" s="1473"/>
      <c r="BH523" s="1473"/>
      <c r="BI523" s="1473"/>
      <c r="BJ523" s="1473"/>
      <c r="BK523" s="1473"/>
      <c r="BL523" s="1473"/>
      <c r="BM523" s="1473"/>
      <c r="BN523" s="1473"/>
      <c r="BO523" s="1473"/>
      <c r="BP523" s="1473"/>
      <c r="BQ523" s="1473"/>
    </row>
    <row r="524" spans="3:69" ht="15" customHeight="1"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M524" s="1473"/>
      <c r="AN524" s="1473"/>
      <c r="AO524" s="1473"/>
      <c r="AP524" s="1473"/>
      <c r="AQ524" s="1473"/>
      <c r="AR524" s="1473"/>
      <c r="AS524" s="1473"/>
      <c r="AT524" s="1473"/>
      <c r="AU524" s="1473"/>
      <c r="AV524" s="1473"/>
      <c r="AW524" s="1473"/>
      <c r="AX524" s="1473"/>
      <c r="AY524" s="1473"/>
      <c r="AZ524" s="1473"/>
      <c r="BA524" s="1473"/>
      <c r="BB524" s="1473"/>
      <c r="BC524" s="1473"/>
      <c r="BD524" s="1473"/>
      <c r="BE524" s="1473"/>
      <c r="BF524" s="1473"/>
      <c r="BG524" s="1473"/>
      <c r="BH524" s="1473"/>
      <c r="BI524" s="1473"/>
      <c r="BJ524" s="1473"/>
      <c r="BK524" s="1473"/>
      <c r="BL524" s="1473"/>
      <c r="BM524" s="1473"/>
      <c r="BN524" s="1473"/>
      <c r="BO524" s="1473"/>
      <c r="BP524" s="1473"/>
      <c r="BQ524" s="1473"/>
    </row>
    <row r="525" spans="3:69" ht="15" customHeight="1">
      <c r="C525" s="1510" t="s">
        <v>173</v>
      </c>
      <c r="D525" s="1511"/>
      <c r="E525" s="1511"/>
      <c r="F525" s="1511"/>
      <c r="G525" s="1511"/>
      <c r="H525" s="1511"/>
      <c r="I525" s="1511"/>
      <c r="J525" s="1511"/>
      <c r="K525" s="1511"/>
      <c r="L525" s="1511"/>
      <c r="M525" s="1511"/>
      <c r="N525" s="1511"/>
      <c r="O525" s="1511"/>
      <c r="P525" s="1511"/>
      <c r="Q525" s="1512"/>
      <c r="R525" s="148"/>
      <c r="S525" s="1510" t="s">
        <v>173</v>
      </c>
      <c r="T525" s="1511"/>
      <c r="U525" s="1511"/>
      <c r="V525" s="1511"/>
      <c r="W525" s="1511"/>
      <c r="X525" s="1511"/>
      <c r="Y525" s="1511"/>
      <c r="Z525" s="1511"/>
      <c r="AA525" s="1511"/>
      <c r="AB525" s="1511"/>
      <c r="AC525" s="1511"/>
      <c r="AD525" s="1511"/>
      <c r="AE525" s="1511"/>
      <c r="AF525" s="1511"/>
      <c r="AG525" s="1512"/>
      <c r="AM525" s="1473"/>
      <c r="AN525" s="1473"/>
      <c r="AO525" s="1473"/>
      <c r="AP525" s="1473"/>
      <c r="AQ525" s="1473"/>
      <c r="AR525" s="1473"/>
      <c r="AS525" s="1473"/>
      <c r="AT525" s="1473"/>
      <c r="AU525" s="1473"/>
      <c r="AV525" s="1473"/>
      <c r="AW525" s="1473"/>
      <c r="AX525" s="1473"/>
      <c r="AY525" s="1473"/>
      <c r="AZ525" s="1473"/>
      <c r="BA525" s="1473"/>
      <c r="BB525" s="1473"/>
      <c r="BC525" s="1473"/>
      <c r="BD525" s="1473"/>
      <c r="BE525" s="1473"/>
      <c r="BF525" s="1473"/>
      <c r="BG525" s="1473"/>
      <c r="BH525" s="1473"/>
      <c r="BI525" s="1473"/>
      <c r="BJ525" s="1473"/>
      <c r="BK525" s="1473"/>
      <c r="BL525" s="1473"/>
      <c r="BM525" s="1473"/>
      <c r="BN525" s="1473"/>
      <c r="BO525" s="1473"/>
      <c r="BP525" s="1473"/>
      <c r="BQ525" s="1473"/>
    </row>
    <row r="526" spans="3:69" ht="15" customHeight="1">
      <c r="C526" s="1513"/>
      <c r="D526" s="1514"/>
      <c r="E526" s="1514"/>
      <c r="F526" s="1514"/>
      <c r="G526" s="1514"/>
      <c r="H526" s="1514"/>
      <c r="I526" s="1514"/>
      <c r="J526" s="1514"/>
      <c r="K526" s="1514"/>
      <c r="L526" s="1514"/>
      <c r="M526" s="1514"/>
      <c r="N526" s="1514"/>
      <c r="O526" s="1514"/>
      <c r="P526" s="1514"/>
      <c r="Q526" s="1515"/>
      <c r="R526" s="148"/>
      <c r="S526" s="1513"/>
      <c r="T526" s="1514"/>
      <c r="U526" s="1514"/>
      <c r="V526" s="1514"/>
      <c r="W526" s="1514"/>
      <c r="X526" s="1514"/>
      <c r="Y526" s="1514"/>
      <c r="Z526" s="1514"/>
      <c r="AA526" s="1514"/>
      <c r="AB526" s="1514"/>
      <c r="AC526" s="1514"/>
      <c r="AD526" s="1514"/>
      <c r="AE526" s="1514"/>
      <c r="AF526" s="1514"/>
      <c r="AG526" s="1515"/>
    </row>
    <row r="527" spans="3:69" ht="15" customHeight="1"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48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</row>
    <row r="528" spans="3:69" ht="15" customHeight="1"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48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</row>
    <row r="529" spans="3:38" ht="15" customHeight="1"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48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</row>
    <row r="530" spans="3:38" ht="15" customHeight="1"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</row>
    <row r="531" spans="3:38" ht="15" customHeight="1">
      <c r="C531" s="1527" t="s">
        <v>153</v>
      </c>
      <c r="D531" s="1528"/>
      <c r="E531" s="1528"/>
      <c r="F531" s="1528"/>
      <c r="G531" s="1528"/>
      <c r="H531" s="1528"/>
      <c r="I531" s="1528"/>
      <c r="J531" s="1528"/>
      <c r="K531" s="1528"/>
      <c r="L531" s="1528"/>
      <c r="M531" s="1528"/>
      <c r="N531" s="1528"/>
      <c r="O531" s="1528"/>
      <c r="P531" s="1528"/>
      <c r="Q531" s="1529"/>
      <c r="R531" s="10"/>
      <c r="S531" s="1527" t="s">
        <v>154</v>
      </c>
      <c r="T531" s="1528"/>
      <c r="U531" s="1528"/>
      <c r="V531" s="1528"/>
      <c r="W531" s="1528"/>
      <c r="X531" s="1528"/>
      <c r="Y531" s="1528"/>
      <c r="Z531" s="1528"/>
      <c r="AA531" s="1528"/>
      <c r="AB531" s="1528"/>
      <c r="AC531" s="1528"/>
      <c r="AD531" s="1528"/>
      <c r="AE531" s="1528"/>
      <c r="AF531" s="1528"/>
      <c r="AG531" s="1529"/>
      <c r="AL531"/>
    </row>
    <row r="532" spans="3:38" ht="15" customHeight="1">
      <c r="C532" s="1530"/>
      <c r="D532" s="1531"/>
      <c r="E532" s="1531"/>
      <c r="F532" s="1531"/>
      <c r="G532" s="1531"/>
      <c r="H532" s="1531"/>
      <c r="I532" s="1531"/>
      <c r="J532" s="1531"/>
      <c r="K532" s="1531"/>
      <c r="L532" s="1531"/>
      <c r="M532" s="1531"/>
      <c r="N532" s="1531"/>
      <c r="O532" s="1531"/>
      <c r="P532" s="1531"/>
      <c r="Q532" s="1532"/>
      <c r="R532" s="10"/>
      <c r="S532" s="1530"/>
      <c r="T532" s="1531"/>
      <c r="U532" s="1531"/>
      <c r="V532" s="1531"/>
      <c r="W532" s="1531"/>
      <c r="X532" s="1531"/>
      <c r="Y532" s="1531"/>
      <c r="Z532" s="1531"/>
      <c r="AA532" s="1531"/>
      <c r="AB532" s="1531"/>
      <c r="AC532" s="1531"/>
      <c r="AD532" s="1531"/>
      <c r="AE532" s="1531"/>
      <c r="AF532" s="1531"/>
      <c r="AG532" s="1532"/>
    </row>
    <row r="533" spans="3:38" ht="15" customHeight="1">
      <c r="C533" s="1530"/>
      <c r="D533" s="1531"/>
      <c r="E533" s="1531"/>
      <c r="F533" s="1531"/>
      <c r="G533" s="1531"/>
      <c r="H533" s="1531"/>
      <c r="I533" s="1531"/>
      <c r="J533" s="1531"/>
      <c r="K533" s="1531"/>
      <c r="L533" s="1531"/>
      <c r="M533" s="1531"/>
      <c r="N533" s="1531"/>
      <c r="O533" s="1531"/>
      <c r="P533" s="1531"/>
      <c r="Q533" s="1532"/>
      <c r="R533" s="10"/>
      <c r="S533" s="1530"/>
      <c r="T533" s="1531"/>
      <c r="U533" s="1531"/>
      <c r="V533" s="1531"/>
      <c r="W533" s="1531"/>
      <c r="X533" s="1531"/>
      <c r="Y533" s="1531"/>
      <c r="Z533" s="1531"/>
      <c r="AA533" s="1531"/>
      <c r="AB533" s="1531"/>
      <c r="AC533" s="1531"/>
      <c r="AD533" s="1531"/>
      <c r="AE533" s="1531"/>
      <c r="AF533" s="1531"/>
      <c r="AG533" s="1532"/>
    </row>
    <row r="534" spans="3:38" ht="15" customHeight="1">
      <c r="C534" s="1530"/>
      <c r="D534" s="1531"/>
      <c r="E534" s="1531"/>
      <c r="F534" s="1531"/>
      <c r="G534" s="1531"/>
      <c r="H534" s="1531"/>
      <c r="I534" s="1531"/>
      <c r="J534" s="1531"/>
      <c r="K534" s="1531"/>
      <c r="L534" s="1531"/>
      <c r="M534" s="1531"/>
      <c r="N534" s="1531"/>
      <c r="O534" s="1531"/>
      <c r="P534" s="1531"/>
      <c r="Q534" s="1532"/>
      <c r="R534" s="10"/>
      <c r="S534" s="1530"/>
      <c r="T534" s="1531"/>
      <c r="U534" s="1531"/>
      <c r="V534" s="1531"/>
      <c r="W534" s="1531"/>
      <c r="X534" s="1531"/>
      <c r="Y534" s="1531"/>
      <c r="Z534" s="1531"/>
      <c r="AA534" s="1531"/>
      <c r="AB534" s="1531"/>
      <c r="AC534" s="1531"/>
      <c r="AD534" s="1531"/>
      <c r="AE534" s="1531"/>
      <c r="AF534" s="1531"/>
      <c r="AG534" s="1532"/>
    </row>
    <row r="535" spans="3:38" ht="15" customHeight="1">
      <c r="C535" s="1530"/>
      <c r="D535" s="1531"/>
      <c r="E535" s="1531"/>
      <c r="F535" s="1531"/>
      <c r="G535" s="1531"/>
      <c r="H535" s="1531"/>
      <c r="I535" s="1531"/>
      <c r="J535" s="1531"/>
      <c r="K535" s="1531"/>
      <c r="L535" s="1531"/>
      <c r="M535" s="1531"/>
      <c r="N535" s="1531"/>
      <c r="O535" s="1531"/>
      <c r="P535" s="1531"/>
      <c r="Q535" s="1532"/>
      <c r="R535" s="10"/>
      <c r="S535" s="1530"/>
      <c r="T535" s="1531"/>
      <c r="U535" s="1531"/>
      <c r="V535" s="1531"/>
      <c r="W535" s="1531"/>
      <c r="X535" s="1531"/>
      <c r="Y535" s="1531"/>
      <c r="Z535" s="1531"/>
      <c r="AA535" s="1531"/>
      <c r="AB535" s="1531"/>
      <c r="AC535" s="1531"/>
      <c r="AD535" s="1531"/>
      <c r="AE535" s="1531"/>
      <c r="AF535" s="1531"/>
      <c r="AG535" s="1532"/>
    </row>
    <row r="536" spans="3:38" ht="15" customHeight="1">
      <c r="C536" s="1530"/>
      <c r="D536" s="1531"/>
      <c r="E536" s="1531"/>
      <c r="F536" s="1531"/>
      <c r="G536" s="1531"/>
      <c r="H536" s="1531"/>
      <c r="I536" s="1531"/>
      <c r="J536" s="1531"/>
      <c r="K536" s="1531"/>
      <c r="L536" s="1531"/>
      <c r="M536" s="1531"/>
      <c r="N536" s="1531"/>
      <c r="O536" s="1531"/>
      <c r="P536" s="1531"/>
      <c r="Q536" s="1532"/>
      <c r="R536" s="10"/>
      <c r="S536" s="1530"/>
      <c r="T536" s="1531"/>
      <c r="U536" s="1531"/>
      <c r="V536" s="1531"/>
      <c r="W536" s="1531"/>
      <c r="X536" s="1531"/>
      <c r="Y536" s="1531"/>
      <c r="Z536" s="1531"/>
      <c r="AA536" s="1531"/>
      <c r="AB536" s="1531"/>
      <c r="AC536" s="1531"/>
      <c r="AD536" s="1531"/>
      <c r="AE536" s="1531"/>
      <c r="AF536" s="1531"/>
      <c r="AG536" s="1532"/>
    </row>
    <row r="537" spans="3:38" ht="15" customHeight="1">
      <c r="C537" s="1530"/>
      <c r="D537" s="1531"/>
      <c r="E537" s="1531"/>
      <c r="F537" s="1531"/>
      <c r="G537" s="1531"/>
      <c r="H537" s="1531"/>
      <c r="I537" s="1531"/>
      <c r="J537" s="1531"/>
      <c r="K537" s="1531"/>
      <c r="L537" s="1531"/>
      <c r="M537" s="1531"/>
      <c r="N537" s="1531"/>
      <c r="O537" s="1531"/>
      <c r="P537" s="1531"/>
      <c r="Q537" s="1532"/>
      <c r="R537" s="10"/>
      <c r="S537" s="1530"/>
      <c r="T537" s="1531"/>
      <c r="U537" s="1531"/>
      <c r="V537" s="1531"/>
      <c r="W537" s="1531"/>
      <c r="X537" s="1531"/>
      <c r="Y537" s="1531"/>
      <c r="Z537" s="1531"/>
      <c r="AA537" s="1531"/>
      <c r="AB537" s="1531"/>
      <c r="AC537" s="1531"/>
      <c r="AD537" s="1531"/>
      <c r="AE537" s="1531"/>
      <c r="AF537" s="1531"/>
      <c r="AG537" s="1532"/>
      <c r="AL537"/>
    </row>
    <row r="538" spans="3:38" ht="15" customHeight="1">
      <c r="C538" s="1530"/>
      <c r="D538" s="1531"/>
      <c r="E538" s="1531"/>
      <c r="F538" s="1531"/>
      <c r="G538" s="1531"/>
      <c r="H538" s="1531"/>
      <c r="I538" s="1531"/>
      <c r="J538" s="1531"/>
      <c r="K538" s="1531"/>
      <c r="L538" s="1531"/>
      <c r="M538" s="1531"/>
      <c r="N538" s="1531"/>
      <c r="O538" s="1531"/>
      <c r="P538" s="1531"/>
      <c r="Q538" s="1532"/>
      <c r="R538" s="10"/>
      <c r="S538" s="1530"/>
      <c r="T538" s="1531"/>
      <c r="U538" s="1531"/>
      <c r="V538" s="1531"/>
      <c r="W538" s="1531"/>
      <c r="X538" s="1531"/>
      <c r="Y538" s="1531"/>
      <c r="Z538" s="1531"/>
      <c r="AA538" s="1531"/>
      <c r="AB538" s="1531"/>
      <c r="AC538" s="1531"/>
      <c r="AD538" s="1531"/>
      <c r="AE538" s="1531"/>
      <c r="AF538" s="1531"/>
      <c r="AG538" s="1532"/>
    </row>
    <row r="539" spans="3:38" ht="15" customHeight="1">
      <c r="C539" s="1530"/>
      <c r="D539" s="1531"/>
      <c r="E539" s="1531"/>
      <c r="F539" s="1531"/>
      <c r="G539" s="1531"/>
      <c r="H539" s="1531"/>
      <c r="I539" s="1531"/>
      <c r="J539" s="1531"/>
      <c r="K539" s="1531"/>
      <c r="L539" s="1531"/>
      <c r="M539" s="1531"/>
      <c r="N539" s="1531"/>
      <c r="O539" s="1531"/>
      <c r="P539" s="1531"/>
      <c r="Q539" s="1532"/>
      <c r="R539" s="10"/>
      <c r="S539" s="1530"/>
      <c r="T539" s="1531"/>
      <c r="U539" s="1531"/>
      <c r="V539" s="1531"/>
      <c r="W539" s="1531"/>
      <c r="X539" s="1531"/>
      <c r="Y539" s="1531"/>
      <c r="Z539" s="1531"/>
      <c r="AA539" s="1531"/>
      <c r="AB539" s="1531"/>
      <c r="AC539" s="1531"/>
      <c r="AD539" s="1531"/>
      <c r="AE539" s="1531"/>
      <c r="AF539" s="1531"/>
      <c r="AG539" s="1532"/>
    </row>
    <row r="540" spans="3:38" ht="15" customHeight="1">
      <c r="C540" s="1530"/>
      <c r="D540" s="1531"/>
      <c r="E540" s="1531"/>
      <c r="F540" s="1531"/>
      <c r="G540" s="1531"/>
      <c r="H540" s="1531"/>
      <c r="I540" s="1531"/>
      <c r="J540" s="1531"/>
      <c r="K540" s="1531"/>
      <c r="L540" s="1531"/>
      <c r="M540" s="1531"/>
      <c r="N540" s="1531"/>
      <c r="O540" s="1531"/>
      <c r="P540" s="1531"/>
      <c r="Q540" s="1532"/>
      <c r="R540" s="10"/>
      <c r="S540" s="1530"/>
      <c r="T540" s="1531"/>
      <c r="U540" s="1531"/>
      <c r="V540" s="1531"/>
      <c r="W540" s="1531"/>
      <c r="X540" s="1531"/>
      <c r="Y540" s="1531"/>
      <c r="Z540" s="1531"/>
      <c r="AA540" s="1531"/>
      <c r="AB540" s="1531"/>
      <c r="AC540" s="1531"/>
      <c r="AD540" s="1531"/>
      <c r="AE540" s="1531"/>
      <c r="AF540" s="1531"/>
      <c r="AG540" s="1532"/>
    </row>
    <row r="541" spans="3:38" ht="15" customHeight="1">
      <c r="C541" s="1530"/>
      <c r="D541" s="1531"/>
      <c r="E541" s="1531"/>
      <c r="F541" s="1531"/>
      <c r="G541" s="1531"/>
      <c r="H541" s="1531"/>
      <c r="I541" s="1531"/>
      <c r="J541" s="1531"/>
      <c r="K541" s="1531"/>
      <c r="L541" s="1531"/>
      <c r="M541" s="1531"/>
      <c r="N541" s="1531"/>
      <c r="O541" s="1531"/>
      <c r="P541" s="1531"/>
      <c r="Q541" s="1532"/>
      <c r="R541" s="10"/>
      <c r="S541" s="1530"/>
      <c r="T541" s="1531"/>
      <c r="U541" s="1531"/>
      <c r="V541" s="1531"/>
      <c r="W541" s="1531"/>
      <c r="X541" s="1531"/>
      <c r="Y541" s="1531"/>
      <c r="Z541" s="1531"/>
      <c r="AA541" s="1531"/>
      <c r="AB541" s="1531"/>
      <c r="AC541" s="1531"/>
      <c r="AD541" s="1531"/>
      <c r="AE541" s="1531"/>
      <c r="AF541" s="1531"/>
      <c r="AG541" s="1532"/>
    </row>
    <row r="542" spans="3:38" ht="15" customHeight="1">
      <c r="C542" s="1533"/>
      <c r="D542" s="1534"/>
      <c r="E542" s="1534"/>
      <c r="F542" s="1534"/>
      <c r="G542" s="1534"/>
      <c r="H542" s="1534"/>
      <c r="I542" s="1534"/>
      <c r="J542" s="1534"/>
      <c r="K542" s="1534"/>
      <c r="L542" s="1534"/>
      <c r="M542" s="1534"/>
      <c r="N542" s="1534"/>
      <c r="O542" s="1534"/>
      <c r="P542" s="1534"/>
      <c r="Q542" s="1535"/>
      <c r="R542" s="10"/>
      <c r="S542" s="1533"/>
      <c r="T542" s="1534"/>
      <c r="U542" s="1534"/>
      <c r="V542" s="1534"/>
      <c r="W542" s="1534"/>
      <c r="X542" s="1534"/>
      <c r="Y542" s="1534"/>
      <c r="Z542" s="1534"/>
      <c r="AA542" s="1534"/>
      <c r="AB542" s="1534"/>
      <c r="AC542" s="1534"/>
      <c r="AD542" s="1534"/>
      <c r="AE542" s="1534"/>
      <c r="AF542" s="1534"/>
      <c r="AG542" s="1535"/>
    </row>
    <row r="543" spans="3:38" ht="15" customHeight="1"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</row>
    <row r="544" spans="3:38" ht="15" customHeight="1">
      <c r="C544" s="1510" t="s">
        <v>174</v>
      </c>
      <c r="D544" s="1511"/>
      <c r="E544" s="1511"/>
      <c r="F544" s="1511"/>
      <c r="G544" s="1511"/>
      <c r="H544" s="1511"/>
      <c r="I544" s="1511"/>
      <c r="J544" s="1511"/>
      <c r="K544" s="1511"/>
      <c r="L544" s="1511"/>
      <c r="M544" s="1511"/>
      <c r="N544" s="1511"/>
      <c r="O544" s="1511"/>
      <c r="P544" s="1511"/>
      <c r="Q544" s="1512"/>
      <c r="R544" s="148"/>
      <c r="S544" s="1510" t="s">
        <v>174</v>
      </c>
      <c r="T544" s="1511"/>
      <c r="U544" s="1511"/>
      <c r="V544" s="1511"/>
      <c r="W544" s="1511"/>
      <c r="X544" s="1511"/>
      <c r="Y544" s="1511"/>
      <c r="Z544" s="1511"/>
      <c r="AA544" s="1511"/>
      <c r="AB544" s="1511"/>
      <c r="AC544" s="1511"/>
      <c r="AD544" s="1511"/>
      <c r="AE544" s="1511"/>
      <c r="AF544" s="1511"/>
      <c r="AG544" s="1512"/>
    </row>
    <row r="545" spans="3:68" ht="15" customHeight="1">
      <c r="C545" s="1513"/>
      <c r="D545" s="1514"/>
      <c r="E545" s="1514"/>
      <c r="F545" s="1514"/>
      <c r="G545" s="1514"/>
      <c r="H545" s="1514"/>
      <c r="I545" s="1514"/>
      <c r="J545" s="1514"/>
      <c r="K545" s="1514"/>
      <c r="L545" s="1514"/>
      <c r="M545" s="1514"/>
      <c r="N545" s="1514"/>
      <c r="O545" s="1514"/>
      <c r="P545" s="1514"/>
      <c r="Q545" s="1515"/>
      <c r="R545" s="148"/>
      <c r="S545" s="1513"/>
      <c r="T545" s="1514"/>
      <c r="U545" s="1514"/>
      <c r="V545" s="1514"/>
      <c r="W545" s="1514"/>
      <c r="X545" s="1514"/>
      <c r="Y545" s="1514"/>
      <c r="Z545" s="1514"/>
      <c r="AA545" s="1514"/>
      <c r="AB545" s="1514"/>
      <c r="AC545" s="1514"/>
      <c r="AD545" s="1514"/>
      <c r="AE545" s="1514"/>
      <c r="AF545" s="1514"/>
      <c r="AG545" s="1515"/>
    </row>
    <row r="546" spans="3:68" ht="15" customHeight="1"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48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</row>
    <row r="547" spans="3:68" ht="15" customHeight="1"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48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</row>
    <row r="548" spans="3:68" ht="15" customHeight="1"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48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</row>
    <row r="549" spans="3:68" ht="15" customHeight="1" thickBot="1"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48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</row>
    <row r="550" spans="3:68" ht="15" customHeight="1" thickTop="1">
      <c r="C550" s="1560" t="str">
        <f>$C$90</f>
        <v>Construção da Estação de Bombeamento de Águas Pluviais Laranja, Vila Velha/ES</v>
      </c>
      <c r="D550" s="1560"/>
      <c r="E550" s="1560"/>
      <c r="F550" s="1560"/>
      <c r="G550" s="1560"/>
      <c r="H550" s="1560"/>
      <c r="I550" s="1560"/>
      <c r="J550" s="1560"/>
      <c r="K550" s="1560"/>
      <c r="L550" s="1560"/>
      <c r="M550" s="1560"/>
      <c r="N550" s="1560"/>
      <c r="O550" s="1560"/>
      <c r="P550" s="1560"/>
      <c r="Q550" s="1560"/>
      <c r="R550" s="1560"/>
      <c r="S550" s="1560"/>
      <c r="T550" s="1560"/>
      <c r="U550" s="1560"/>
      <c r="V550" s="1560"/>
      <c r="W550" s="1560"/>
      <c r="X550" s="1560"/>
      <c r="Y550" s="1560"/>
      <c r="Z550" s="1560"/>
      <c r="AA550" s="175"/>
      <c r="AB550" s="175"/>
      <c r="AC550" s="175"/>
      <c r="AD550" s="1744">
        <f>AD484+1</f>
        <v>29</v>
      </c>
      <c r="AE550" s="1745"/>
      <c r="AF550" s="1745"/>
      <c r="AG550" s="1745"/>
    </row>
    <row r="551" spans="3:68" s="3" customFormat="1" ht="24.9" customHeight="1" thickBot="1">
      <c r="C551" s="174" t="str">
        <f>$C$1</f>
        <v xml:space="preserve">Relatório Técnico Permanente de Engenharia 		                                                                         </v>
      </c>
      <c r="D551" s="174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  <c r="AA551" s="1525" t="str">
        <f>$AB$1</f>
        <v>RTPE 524-11</v>
      </c>
      <c r="AB551" s="1525"/>
      <c r="AC551" s="1525"/>
      <c r="AD551" s="1525"/>
      <c r="AE551" s="1525"/>
      <c r="AF551" s="1525"/>
      <c r="AG551" s="1525"/>
      <c r="AM551" s="2"/>
      <c r="AN551" s="2"/>
      <c r="AO551" s="2"/>
      <c r="AP551" s="2"/>
      <c r="AT551" s="2"/>
      <c r="AU551" s="2"/>
      <c r="AV551" s="2"/>
      <c r="AW551" s="2"/>
      <c r="BA551" s="2"/>
      <c r="BB551" s="2"/>
      <c r="BC551" s="2"/>
      <c r="BD551" s="2"/>
      <c r="BH551" s="2"/>
      <c r="BI551" s="2"/>
      <c r="BJ551" s="2"/>
      <c r="BK551" s="2"/>
      <c r="BO551" s="2"/>
      <c r="BP551" s="2"/>
    </row>
    <row r="552" spans="3:68" ht="15" customHeight="1" thickTop="1"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</row>
    <row r="553" spans="3:68" ht="15" customHeight="1">
      <c r="C553" s="1517" t="s">
        <v>152</v>
      </c>
      <c r="D553" s="1518"/>
      <c r="E553" s="1518"/>
      <c r="F553" s="1518"/>
      <c r="G553" s="1518"/>
      <c r="H553" s="1518"/>
      <c r="I553" s="1518"/>
      <c r="J553" s="1518"/>
      <c r="K553" s="1518"/>
      <c r="L553" s="1518"/>
      <c r="M553" s="1518"/>
      <c r="N553" s="1518"/>
      <c r="O553" s="1518"/>
      <c r="P553" s="1518"/>
      <c r="Q553" s="1518"/>
      <c r="R553" s="1518"/>
      <c r="S553" s="1518"/>
      <c r="T553" s="1518"/>
      <c r="U553" s="1518"/>
      <c r="V553" s="1518"/>
      <c r="W553" s="1518"/>
      <c r="X553" s="1518"/>
      <c r="Y553" s="1518"/>
      <c r="Z553" s="1518"/>
      <c r="AA553" s="1518"/>
      <c r="AB553" s="1518"/>
      <c r="AC553" s="1518"/>
      <c r="AD553" s="1518"/>
      <c r="AE553" s="1518"/>
      <c r="AF553" s="1518"/>
      <c r="AG553" s="1519"/>
    </row>
    <row r="554" spans="3:68" ht="15" customHeight="1">
      <c r="C554" s="1520"/>
      <c r="D554" s="1521"/>
      <c r="E554" s="1521"/>
      <c r="F554" s="1521"/>
      <c r="G554" s="1521"/>
      <c r="H554" s="1521"/>
      <c r="I554" s="1521"/>
      <c r="J554" s="1521"/>
      <c r="K554" s="1521"/>
      <c r="L554" s="1521"/>
      <c r="M554" s="1521"/>
      <c r="N554" s="1521"/>
      <c r="O554" s="1521"/>
      <c r="P554" s="1521"/>
      <c r="Q554" s="1521"/>
      <c r="R554" s="1521"/>
      <c r="S554" s="1521"/>
      <c r="T554" s="1521"/>
      <c r="U554" s="1521"/>
      <c r="V554" s="1521"/>
      <c r="W554" s="1521"/>
      <c r="X554" s="1521"/>
      <c r="Y554" s="1521"/>
      <c r="Z554" s="1521"/>
      <c r="AA554" s="1521"/>
      <c r="AB554" s="1521"/>
      <c r="AC554" s="1521"/>
      <c r="AD554" s="1521"/>
      <c r="AE554" s="1521"/>
      <c r="AF554" s="1521"/>
      <c r="AG554" s="1522"/>
    </row>
    <row r="555" spans="3:68" ht="15" customHeight="1"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  <c r="AA555" s="171"/>
      <c r="AB555" s="171"/>
      <c r="AC555" s="171"/>
      <c r="AD555" s="171"/>
      <c r="AE555" s="171"/>
      <c r="AF555" s="171"/>
      <c r="AG555" s="171"/>
    </row>
    <row r="556" spans="3:68" ht="15" customHeight="1"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  <c r="AA556" s="171"/>
      <c r="AB556" s="171"/>
      <c r="AC556" s="171"/>
      <c r="AD556" s="171"/>
      <c r="AE556" s="171"/>
      <c r="AF556" s="171"/>
      <c r="AG556" s="171"/>
    </row>
    <row r="557" spans="3:68" ht="15" customHeight="1"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  <c r="AA557" s="171"/>
      <c r="AB557" s="171"/>
      <c r="AC557" s="171"/>
      <c r="AD557" s="171"/>
      <c r="AE557" s="171"/>
      <c r="AF557" s="171"/>
      <c r="AG557" s="171"/>
    </row>
    <row r="558" spans="3:68" ht="15" customHeight="1"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</row>
    <row r="559" spans="3:68" ht="15" customHeight="1">
      <c r="C559" s="1527" t="s">
        <v>153</v>
      </c>
      <c r="D559" s="1528"/>
      <c r="E559" s="1528"/>
      <c r="F559" s="1528"/>
      <c r="G559" s="1528"/>
      <c r="H559" s="1528"/>
      <c r="I559" s="1528"/>
      <c r="J559" s="1528"/>
      <c r="K559" s="1528"/>
      <c r="L559" s="1528"/>
      <c r="M559" s="1528"/>
      <c r="N559" s="1528"/>
      <c r="O559" s="1528"/>
      <c r="P559" s="1528"/>
      <c r="Q559" s="1529"/>
      <c r="R559" s="10"/>
      <c r="S559" s="1527" t="s">
        <v>154</v>
      </c>
      <c r="T559" s="1528"/>
      <c r="U559" s="1528"/>
      <c r="V559" s="1528"/>
      <c r="W559" s="1528"/>
      <c r="X559" s="1528"/>
      <c r="Y559" s="1528"/>
      <c r="Z559" s="1528"/>
      <c r="AA559" s="1528"/>
      <c r="AB559" s="1528"/>
      <c r="AC559" s="1528"/>
      <c r="AD559" s="1528"/>
      <c r="AE559" s="1528"/>
      <c r="AF559" s="1528"/>
      <c r="AG559" s="1529"/>
    </row>
    <row r="560" spans="3:68" ht="15" customHeight="1">
      <c r="C560" s="1530"/>
      <c r="D560" s="1531"/>
      <c r="E560" s="1531"/>
      <c r="F560" s="1531"/>
      <c r="G560" s="1531"/>
      <c r="H560" s="1531"/>
      <c r="I560" s="1531"/>
      <c r="J560" s="1531"/>
      <c r="K560" s="1531"/>
      <c r="L560" s="1531"/>
      <c r="M560" s="1531"/>
      <c r="N560" s="1531"/>
      <c r="O560" s="1531"/>
      <c r="P560" s="1531"/>
      <c r="Q560" s="1532"/>
      <c r="R560" s="10"/>
      <c r="S560" s="1530"/>
      <c r="T560" s="1531"/>
      <c r="U560" s="1531"/>
      <c r="V560" s="1531"/>
      <c r="W560" s="1531"/>
      <c r="X560" s="1531"/>
      <c r="Y560" s="1531"/>
      <c r="Z560" s="1531"/>
      <c r="AA560" s="1531"/>
      <c r="AB560" s="1531"/>
      <c r="AC560" s="1531"/>
      <c r="AD560" s="1531"/>
      <c r="AE560" s="1531"/>
      <c r="AF560" s="1531"/>
      <c r="AG560" s="1532"/>
    </row>
    <row r="561" spans="3:39" ht="15" customHeight="1">
      <c r="C561" s="1530"/>
      <c r="D561" s="1531"/>
      <c r="E561" s="1531"/>
      <c r="F561" s="1531"/>
      <c r="G561" s="1531"/>
      <c r="H561" s="1531"/>
      <c r="I561" s="1531"/>
      <c r="J561" s="1531"/>
      <c r="K561" s="1531"/>
      <c r="L561" s="1531"/>
      <c r="M561" s="1531"/>
      <c r="N561" s="1531"/>
      <c r="O561" s="1531"/>
      <c r="P561" s="1531"/>
      <c r="Q561" s="1532"/>
      <c r="R561" s="10"/>
      <c r="S561" s="1530"/>
      <c r="T561" s="1531"/>
      <c r="U561" s="1531"/>
      <c r="V561" s="1531"/>
      <c r="W561" s="1531"/>
      <c r="X561" s="1531"/>
      <c r="Y561" s="1531"/>
      <c r="Z561" s="1531"/>
      <c r="AA561" s="1531"/>
      <c r="AB561" s="1531"/>
      <c r="AC561" s="1531"/>
      <c r="AD561" s="1531"/>
      <c r="AE561" s="1531"/>
      <c r="AF561" s="1531"/>
      <c r="AG561" s="1532"/>
    </row>
    <row r="562" spans="3:39" ht="15" customHeight="1">
      <c r="C562" s="1530"/>
      <c r="D562" s="1531"/>
      <c r="E562" s="1531"/>
      <c r="F562" s="1531"/>
      <c r="G562" s="1531"/>
      <c r="H562" s="1531"/>
      <c r="I562" s="1531"/>
      <c r="J562" s="1531"/>
      <c r="K562" s="1531"/>
      <c r="L562" s="1531"/>
      <c r="M562" s="1531"/>
      <c r="N562" s="1531"/>
      <c r="O562" s="1531"/>
      <c r="P562" s="1531"/>
      <c r="Q562" s="1532"/>
      <c r="R562" s="10"/>
      <c r="S562" s="1530"/>
      <c r="T562" s="1531"/>
      <c r="U562" s="1531"/>
      <c r="V562" s="1531"/>
      <c r="W562" s="1531"/>
      <c r="X562" s="1531"/>
      <c r="Y562" s="1531"/>
      <c r="Z562" s="1531"/>
      <c r="AA562" s="1531"/>
      <c r="AB562" s="1531"/>
      <c r="AC562" s="1531"/>
      <c r="AD562" s="1531"/>
      <c r="AE562" s="1531"/>
      <c r="AF562" s="1531"/>
      <c r="AG562" s="1532"/>
    </row>
    <row r="563" spans="3:39" ht="15" customHeight="1">
      <c r="C563" s="1530"/>
      <c r="D563" s="1531"/>
      <c r="E563" s="1531"/>
      <c r="F563" s="1531"/>
      <c r="G563" s="1531"/>
      <c r="H563" s="1531"/>
      <c r="I563" s="1531"/>
      <c r="J563" s="1531"/>
      <c r="K563" s="1531"/>
      <c r="L563" s="1531"/>
      <c r="M563" s="1531"/>
      <c r="N563" s="1531"/>
      <c r="O563" s="1531"/>
      <c r="P563" s="1531"/>
      <c r="Q563" s="1532"/>
      <c r="R563" s="10"/>
      <c r="S563" s="1530"/>
      <c r="T563" s="1531"/>
      <c r="U563" s="1531"/>
      <c r="V563" s="1531"/>
      <c r="W563" s="1531"/>
      <c r="X563" s="1531"/>
      <c r="Y563" s="1531"/>
      <c r="Z563" s="1531"/>
      <c r="AA563" s="1531"/>
      <c r="AB563" s="1531"/>
      <c r="AC563" s="1531"/>
      <c r="AD563" s="1531"/>
      <c r="AE563" s="1531"/>
      <c r="AF563" s="1531"/>
      <c r="AG563" s="1532"/>
    </row>
    <row r="564" spans="3:39" ht="15" customHeight="1">
      <c r="C564" s="1530"/>
      <c r="D564" s="1531"/>
      <c r="E564" s="1531"/>
      <c r="F564" s="1531"/>
      <c r="G564" s="1531"/>
      <c r="H564" s="1531"/>
      <c r="I564" s="1531"/>
      <c r="J564" s="1531"/>
      <c r="K564" s="1531"/>
      <c r="L564" s="1531"/>
      <c r="M564" s="1531"/>
      <c r="N564" s="1531"/>
      <c r="O564" s="1531"/>
      <c r="P564" s="1531"/>
      <c r="Q564" s="1532"/>
      <c r="R564" s="10"/>
      <c r="S564" s="1530"/>
      <c r="T564" s="1531"/>
      <c r="U564" s="1531"/>
      <c r="V564" s="1531"/>
      <c r="W564" s="1531"/>
      <c r="X564" s="1531"/>
      <c r="Y564" s="1531"/>
      <c r="Z564" s="1531"/>
      <c r="AA564" s="1531"/>
      <c r="AB564" s="1531"/>
      <c r="AC564" s="1531"/>
      <c r="AD564" s="1531"/>
      <c r="AE564" s="1531"/>
      <c r="AF564" s="1531"/>
      <c r="AG564" s="1532"/>
    </row>
    <row r="565" spans="3:39" ht="15" customHeight="1">
      <c r="C565" s="1530"/>
      <c r="D565" s="1531"/>
      <c r="E565" s="1531"/>
      <c r="F565" s="1531"/>
      <c r="G565" s="1531"/>
      <c r="H565" s="1531"/>
      <c r="I565" s="1531"/>
      <c r="J565" s="1531"/>
      <c r="K565" s="1531"/>
      <c r="L565" s="1531"/>
      <c r="M565" s="1531"/>
      <c r="N565" s="1531"/>
      <c r="O565" s="1531"/>
      <c r="P565" s="1531"/>
      <c r="Q565" s="1532"/>
      <c r="R565" s="10"/>
      <c r="S565" s="1530"/>
      <c r="T565" s="1531"/>
      <c r="U565" s="1531"/>
      <c r="V565" s="1531"/>
      <c r="W565" s="1531"/>
      <c r="X565" s="1531"/>
      <c r="Y565" s="1531"/>
      <c r="Z565" s="1531"/>
      <c r="AA565" s="1531"/>
      <c r="AB565" s="1531"/>
      <c r="AC565" s="1531"/>
      <c r="AD565" s="1531"/>
      <c r="AE565" s="1531"/>
      <c r="AF565" s="1531"/>
      <c r="AG565" s="1532"/>
    </row>
    <row r="566" spans="3:39" ht="15" customHeight="1">
      <c r="C566" s="1530"/>
      <c r="D566" s="1531"/>
      <c r="E566" s="1531"/>
      <c r="F566" s="1531"/>
      <c r="G566" s="1531"/>
      <c r="H566" s="1531"/>
      <c r="I566" s="1531"/>
      <c r="J566" s="1531"/>
      <c r="K566" s="1531"/>
      <c r="L566" s="1531"/>
      <c r="M566" s="1531"/>
      <c r="N566" s="1531"/>
      <c r="O566" s="1531"/>
      <c r="P566" s="1531"/>
      <c r="Q566" s="1532"/>
      <c r="R566" s="10"/>
      <c r="S566" s="1530"/>
      <c r="T566" s="1531"/>
      <c r="U566" s="1531"/>
      <c r="V566" s="1531"/>
      <c r="W566" s="1531"/>
      <c r="X566" s="1531"/>
      <c r="Y566" s="1531"/>
      <c r="Z566" s="1531"/>
      <c r="AA566" s="1531"/>
      <c r="AB566" s="1531"/>
      <c r="AC566" s="1531"/>
      <c r="AD566" s="1531"/>
      <c r="AE566" s="1531"/>
      <c r="AF566" s="1531"/>
      <c r="AG566" s="1532"/>
    </row>
    <row r="567" spans="3:39" ht="15" customHeight="1">
      <c r="C567" s="1530"/>
      <c r="D567" s="1531"/>
      <c r="E567" s="1531"/>
      <c r="F567" s="1531"/>
      <c r="G567" s="1531"/>
      <c r="H567" s="1531"/>
      <c r="I567" s="1531"/>
      <c r="J567" s="1531"/>
      <c r="K567" s="1531"/>
      <c r="L567" s="1531"/>
      <c r="M567" s="1531"/>
      <c r="N567" s="1531"/>
      <c r="O567" s="1531"/>
      <c r="P567" s="1531"/>
      <c r="Q567" s="1532"/>
      <c r="R567" s="10"/>
      <c r="S567" s="1530"/>
      <c r="T567" s="1531"/>
      <c r="U567" s="1531"/>
      <c r="V567" s="1531"/>
      <c r="W567" s="1531"/>
      <c r="X567" s="1531"/>
      <c r="Y567" s="1531"/>
      <c r="Z567" s="1531"/>
      <c r="AA567" s="1531"/>
      <c r="AB567" s="1531"/>
      <c r="AC567" s="1531"/>
      <c r="AD567" s="1531"/>
      <c r="AE567" s="1531"/>
      <c r="AF567" s="1531"/>
      <c r="AG567" s="1532"/>
    </row>
    <row r="568" spans="3:39" ht="15" customHeight="1">
      <c r="C568" s="1530"/>
      <c r="D568" s="1531"/>
      <c r="E568" s="1531"/>
      <c r="F568" s="1531"/>
      <c r="G568" s="1531"/>
      <c r="H568" s="1531"/>
      <c r="I568" s="1531"/>
      <c r="J568" s="1531"/>
      <c r="K568" s="1531"/>
      <c r="L568" s="1531"/>
      <c r="M568" s="1531"/>
      <c r="N568" s="1531"/>
      <c r="O568" s="1531"/>
      <c r="P568" s="1531"/>
      <c r="Q568" s="1532"/>
      <c r="R568" s="10"/>
      <c r="S568" s="1530"/>
      <c r="T568" s="1531"/>
      <c r="U568" s="1531"/>
      <c r="V568" s="1531"/>
      <c r="W568" s="1531"/>
      <c r="X568" s="1531"/>
      <c r="Y568" s="1531"/>
      <c r="Z568" s="1531"/>
      <c r="AA568" s="1531"/>
      <c r="AB568" s="1531"/>
      <c r="AC568" s="1531"/>
      <c r="AD568" s="1531"/>
      <c r="AE568" s="1531"/>
      <c r="AF568" s="1531"/>
      <c r="AG568" s="1532"/>
    </row>
    <row r="569" spans="3:39" ht="15" customHeight="1">
      <c r="C569" s="1530"/>
      <c r="D569" s="1531"/>
      <c r="E569" s="1531"/>
      <c r="F569" s="1531"/>
      <c r="G569" s="1531"/>
      <c r="H569" s="1531"/>
      <c r="I569" s="1531"/>
      <c r="J569" s="1531"/>
      <c r="K569" s="1531"/>
      <c r="L569" s="1531"/>
      <c r="M569" s="1531"/>
      <c r="N569" s="1531"/>
      <c r="O569" s="1531"/>
      <c r="P569" s="1531"/>
      <c r="Q569" s="1532"/>
      <c r="R569" s="10"/>
      <c r="S569" s="1530"/>
      <c r="T569" s="1531"/>
      <c r="U569" s="1531"/>
      <c r="V569" s="1531"/>
      <c r="W569" s="1531"/>
      <c r="X569" s="1531"/>
      <c r="Y569" s="1531"/>
      <c r="Z569" s="1531"/>
      <c r="AA569" s="1531"/>
      <c r="AB569" s="1531"/>
      <c r="AC569" s="1531"/>
      <c r="AD569" s="1531"/>
      <c r="AE569" s="1531"/>
      <c r="AF569" s="1531"/>
      <c r="AG569" s="1532"/>
    </row>
    <row r="570" spans="3:39" ht="15" customHeight="1">
      <c r="C570" s="1533"/>
      <c r="D570" s="1534"/>
      <c r="E570" s="1534"/>
      <c r="F570" s="1534"/>
      <c r="G570" s="1534"/>
      <c r="H570" s="1534"/>
      <c r="I570" s="1534"/>
      <c r="J570" s="1534"/>
      <c r="K570" s="1534"/>
      <c r="L570" s="1534"/>
      <c r="M570" s="1534"/>
      <c r="N570" s="1534"/>
      <c r="O570" s="1534"/>
      <c r="P570" s="1534"/>
      <c r="Q570" s="1535"/>
      <c r="R570" s="10"/>
      <c r="S570" s="1533"/>
      <c r="T570" s="1534"/>
      <c r="U570" s="1534"/>
      <c r="V570" s="1534"/>
      <c r="W570" s="1534"/>
      <c r="X570" s="1534"/>
      <c r="Y570" s="1534"/>
      <c r="Z570" s="1534"/>
      <c r="AA570" s="1534"/>
      <c r="AB570" s="1534"/>
      <c r="AC570" s="1534"/>
      <c r="AD570" s="1534"/>
      <c r="AE570" s="1534"/>
      <c r="AF570" s="1534"/>
      <c r="AG570" s="1535"/>
    </row>
    <row r="571" spans="3:39" ht="15" customHeight="1"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</row>
    <row r="572" spans="3:39" ht="15" customHeight="1">
      <c r="C572" s="1510" t="s">
        <v>175</v>
      </c>
      <c r="D572" s="1511"/>
      <c r="E572" s="1511"/>
      <c r="F572" s="1511"/>
      <c r="G572" s="1511"/>
      <c r="H572" s="1511"/>
      <c r="I572" s="1511"/>
      <c r="J572" s="1511"/>
      <c r="K572" s="1511"/>
      <c r="L572" s="1511"/>
      <c r="M572" s="1511"/>
      <c r="N572" s="1511"/>
      <c r="O572" s="1511"/>
      <c r="P572" s="1511"/>
      <c r="Q572" s="1512"/>
      <c r="R572" s="148"/>
      <c r="S572" s="1510" t="s">
        <v>175</v>
      </c>
      <c r="T572" s="1511"/>
      <c r="U572" s="1511"/>
      <c r="V572" s="1511"/>
      <c r="W572" s="1511"/>
      <c r="X572" s="1511"/>
      <c r="Y572" s="1511"/>
      <c r="Z572" s="1511"/>
      <c r="AA572" s="1511"/>
      <c r="AB572" s="1511"/>
      <c r="AC572" s="1511"/>
      <c r="AD572" s="1511"/>
      <c r="AE572" s="1511"/>
      <c r="AF572" s="1511"/>
      <c r="AG572" s="1512"/>
    </row>
    <row r="573" spans="3:39" ht="15" customHeight="1">
      <c r="C573" s="1513"/>
      <c r="D573" s="1514"/>
      <c r="E573" s="1514"/>
      <c r="F573" s="1514"/>
      <c r="G573" s="1514"/>
      <c r="H573" s="1514"/>
      <c r="I573" s="1514"/>
      <c r="J573" s="1514"/>
      <c r="K573" s="1514"/>
      <c r="L573" s="1514"/>
      <c r="M573" s="1514"/>
      <c r="N573" s="1514"/>
      <c r="O573" s="1514"/>
      <c r="P573" s="1514"/>
      <c r="Q573" s="1515"/>
      <c r="R573" s="148"/>
      <c r="S573" s="1513"/>
      <c r="T573" s="1514"/>
      <c r="U573" s="1514"/>
      <c r="V573" s="1514"/>
      <c r="W573" s="1514"/>
      <c r="X573" s="1514"/>
      <c r="Y573" s="1514"/>
      <c r="Z573" s="1514"/>
      <c r="AA573" s="1514"/>
      <c r="AB573" s="1514"/>
      <c r="AC573" s="1514"/>
      <c r="AD573" s="1514"/>
      <c r="AE573" s="1514"/>
      <c r="AF573" s="1514"/>
      <c r="AG573" s="1515"/>
    </row>
    <row r="574" spans="3:39" ht="15" customHeight="1"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48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3:39" ht="15" customHeight="1"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48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3:39" ht="15" customHeight="1"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48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M576" s="555"/>
    </row>
    <row r="577" spans="3:39" ht="15" customHeight="1"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M577" s="555"/>
    </row>
    <row r="578" spans="3:39" ht="15" customHeight="1">
      <c r="C578" s="1527" t="s">
        <v>153</v>
      </c>
      <c r="D578" s="1528"/>
      <c r="E578" s="1528"/>
      <c r="F578" s="1528"/>
      <c r="G578" s="1528"/>
      <c r="H578" s="1528"/>
      <c r="I578" s="1528"/>
      <c r="J578" s="1528"/>
      <c r="K578" s="1528"/>
      <c r="L578" s="1528"/>
      <c r="M578" s="1528"/>
      <c r="N578" s="1528"/>
      <c r="O578" s="1528"/>
      <c r="P578" s="1528"/>
      <c r="Q578" s="1529"/>
      <c r="R578" s="10"/>
      <c r="S578" s="1527" t="s">
        <v>154</v>
      </c>
      <c r="T578" s="1528"/>
      <c r="U578" s="1528"/>
      <c r="V578" s="1528"/>
      <c r="W578" s="1528"/>
      <c r="X578" s="1528"/>
      <c r="Y578" s="1528"/>
      <c r="Z578" s="1528"/>
      <c r="AA578" s="1528"/>
      <c r="AB578" s="1528"/>
      <c r="AC578" s="1528"/>
      <c r="AD578" s="1528"/>
      <c r="AE578" s="1528"/>
      <c r="AF578" s="1528"/>
      <c r="AG578" s="1529"/>
    </row>
    <row r="579" spans="3:39" ht="15" customHeight="1">
      <c r="C579" s="1530"/>
      <c r="D579" s="1531"/>
      <c r="E579" s="1531"/>
      <c r="F579" s="1531"/>
      <c r="G579" s="1531"/>
      <c r="H579" s="1531"/>
      <c r="I579" s="1531"/>
      <c r="J579" s="1531"/>
      <c r="K579" s="1531"/>
      <c r="L579" s="1531"/>
      <c r="M579" s="1531"/>
      <c r="N579" s="1531"/>
      <c r="O579" s="1531"/>
      <c r="P579" s="1531"/>
      <c r="Q579" s="1532"/>
      <c r="R579" s="10"/>
      <c r="S579" s="1530"/>
      <c r="T579" s="1531"/>
      <c r="U579" s="1531"/>
      <c r="V579" s="1531"/>
      <c r="W579" s="1531"/>
      <c r="X579" s="1531"/>
      <c r="Y579" s="1531"/>
      <c r="Z579" s="1531"/>
      <c r="AA579" s="1531"/>
      <c r="AB579" s="1531"/>
      <c r="AC579" s="1531"/>
      <c r="AD579" s="1531"/>
      <c r="AE579" s="1531"/>
      <c r="AF579" s="1531"/>
      <c r="AG579" s="1532"/>
    </row>
    <row r="580" spans="3:39" ht="15" customHeight="1">
      <c r="C580" s="1530"/>
      <c r="D580" s="1531"/>
      <c r="E580" s="1531"/>
      <c r="F580" s="1531"/>
      <c r="G580" s="1531"/>
      <c r="H580" s="1531"/>
      <c r="I580" s="1531"/>
      <c r="J580" s="1531"/>
      <c r="K580" s="1531"/>
      <c r="L580" s="1531"/>
      <c r="M580" s="1531"/>
      <c r="N580" s="1531"/>
      <c r="O580" s="1531"/>
      <c r="P580" s="1531"/>
      <c r="Q580" s="1532"/>
      <c r="R580" s="10"/>
      <c r="S580" s="1530"/>
      <c r="T580" s="1531"/>
      <c r="U580" s="1531"/>
      <c r="V580" s="1531"/>
      <c r="W580" s="1531"/>
      <c r="X580" s="1531"/>
      <c r="Y580" s="1531"/>
      <c r="Z580" s="1531"/>
      <c r="AA580" s="1531"/>
      <c r="AB580" s="1531"/>
      <c r="AC580" s="1531"/>
      <c r="AD580" s="1531"/>
      <c r="AE580" s="1531"/>
      <c r="AF580" s="1531"/>
      <c r="AG580" s="1532"/>
    </row>
    <row r="581" spans="3:39" ht="15" customHeight="1">
      <c r="C581" s="1530"/>
      <c r="D581" s="1531"/>
      <c r="E581" s="1531"/>
      <c r="F581" s="1531"/>
      <c r="G581" s="1531"/>
      <c r="H581" s="1531"/>
      <c r="I581" s="1531"/>
      <c r="J581" s="1531"/>
      <c r="K581" s="1531"/>
      <c r="L581" s="1531"/>
      <c r="M581" s="1531"/>
      <c r="N581" s="1531"/>
      <c r="O581" s="1531"/>
      <c r="P581" s="1531"/>
      <c r="Q581" s="1532"/>
      <c r="R581" s="10"/>
      <c r="S581" s="1530"/>
      <c r="T581" s="1531"/>
      <c r="U581" s="1531"/>
      <c r="V581" s="1531"/>
      <c r="W581" s="1531"/>
      <c r="X581" s="1531"/>
      <c r="Y581" s="1531"/>
      <c r="Z581" s="1531"/>
      <c r="AA581" s="1531"/>
      <c r="AB581" s="1531"/>
      <c r="AC581" s="1531"/>
      <c r="AD581" s="1531"/>
      <c r="AE581" s="1531"/>
      <c r="AF581" s="1531"/>
      <c r="AG581" s="1532"/>
    </row>
    <row r="582" spans="3:39" ht="15" customHeight="1">
      <c r="C582" s="1530"/>
      <c r="D582" s="1531"/>
      <c r="E582" s="1531"/>
      <c r="F582" s="1531"/>
      <c r="G582" s="1531"/>
      <c r="H582" s="1531"/>
      <c r="I582" s="1531"/>
      <c r="J582" s="1531"/>
      <c r="K582" s="1531"/>
      <c r="L582" s="1531"/>
      <c r="M582" s="1531"/>
      <c r="N582" s="1531"/>
      <c r="O582" s="1531"/>
      <c r="P582" s="1531"/>
      <c r="Q582" s="1532"/>
      <c r="R582" s="10"/>
      <c r="S582" s="1530"/>
      <c r="T582" s="1531"/>
      <c r="U582" s="1531"/>
      <c r="V582" s="1531"/>
      <c r="W582" s="1531"/>
      <c r="X582" s="1531"/>
      <c r="Y582" s="1531"/>
      <c r="Z582" s="1531"/>
      <c r="AA582" s="1531"/>
      <c r="AB582" s="1531"/>
      <c r="AC582" s="1531"/>
      <c r="AD582" s="1531"/>
      <c r="AE582" s="1531"/>
      <c r="AF582" s="1531"/>
      <c r="AG582" s="1532"/>
    </row>
    <row r="583" spans="3:39" ht="15" customHeight="1">
      <c r="C583" s="1530"/>
      <c r="D583" s="1531"/>
      <c r="E583" s="1531"/>
      <c r="F583" s="1531"/>
      <c r="G583" s="1531"/>
      <c r="H583" s="1531"/>
      <c r="I583" s="1531"/>
      <c r="J583" s="1531"/>
      <c r="K583" s="1531"/>
      <c r="L583" s="1531"/>
      <c r="M583" s="1531"/>
      <c r="N583" s="1531"/>
      <c r="O583" s="1531"/>
      <c r="P583" s="1531"/>
      <c r="Q583" s="1532"/>
      <c r="R583" s="10"/>
      <c r="S583" s="1530"/>
      <c r="T583" s="1531"/>
      <c r="U583" s="1531"/>
      <c r="V583" s="1531"/>
      <c r="W583" s="1531"/>
      <c r="X583" s="1531"/>
      <c r="Y583" s="1531"/>
      <c r="Z583" s="1531"/>
      <c r="AA583" s="1531"/>
      <c r="AB583" s="1531"/>
      <c r="AC583" s="1531"/>
      <c r="AD583" s="1531"/>
      <c r="AE583" s="1531"/>
      <c r="AF583" s="1531"/>
      <c r="AG583" s="1532"/>
    </row>
    <row r="584" spans="3:39" ht="15" customHeight="1">
      <c r="C584" s="1530"/>
      <c r="D584" s="1531"/>
      <c r="E584" s="1531"/>
      <c r="F584" s="1531"/>
      <c r="G584" s="1531"/>
      <c r="H584" s="1531"/>
      <c r="I584" s="1531"/>
      <c r="J584" s="1531"/>
      <c r="K584" s="1531"/>
      <c r="L584" s="1531"/>
      <c r="M584" s="1531"/>
      <c r="N584" s="1531"/>
      <c r="O584" s="1531"/>
      <c r="P584" s="1531"/>
      <c r="Q584" s="1532"/>
      <c r="R584" s="10"/>
      <c r="S584" s="1530"/>
      <c r="T584" s="1531"/>
      <c r="U584" s="1531"/>
      <c r="V584" s="1531"/>
      <c r="W584" s="1531"/>
      <c r="X584" s="1531"/>
      <c r="Y584" s="1531"/>
      <c r="Z584" s="1531"/>
      <c r="AA584" s="1531"/>
      <c r="AB584" s="1531"/>
      <c r="AC584" s="1531"/>
      <c r="AD584" s="1531"/>
      <c r="AE584" s="1531"/>
      <c r="AF584" s="1531"/>
      <c r="AG584" s="1532"/>
    </row>
    <row r="585" spans="3:39" ht="15" customHeight="1">
      <c r="C585" s="1530"/>
      <c r="D585" s="1531"/>
      <c r="E585" s="1531"/>
      <c r="F585" s="1531"/>
      <c r="G585" s="1531"/>
      <c r="H585" s="1531"/>
      <c r="I585" s="1531"/>
      <c r="J585" s="1531"/>
      <c r="K585" s="1531"/>
      <c r="L585" s="1531"/>
      <c r="M585" s="1531"/>
      <c r="N585" s="1531"/>
      <c r="O585" s="1531"/>
      <c r="P585" s="1531"/>
      <c r="Q585" s="1532"/>
      <c r="R585" s="10"/>
      <c r="S585" s="1530"/>
      <c r="T585" s="1531"/>
      <c r="U585" s="1531"/>
      <c r="V585" s="1531"/>
      <c r="W585" s="1531"/>
      <c r="X585" s="1531"/>
      <c r="Y585" s="1531"/>
      <c r="Z585" s="1531"/>
      <c r="AA585" s="1531"/>
      <c r="AB585" s="1531"/>
      <c r="AC585" s="1531"/>
      <c r="AD585" s="1531"/>
      <c r="AE585" s="1531"/>
      <c r="AF585" s="1531"/>
      <c r="AG585" s="1532"/>
    </row>
    <row r="586" spans="3:39" ht="15" customHeight="1">
      <c r="C586" s="1530"/>
      <c r="D586" s="1531"/>
      <c r="E586" s="1531"/>
      <c r="F586" s="1531"/>
      <c r="G586" s="1531"/>
      <c r="H586" s="1531"/>
      <c r="I586" s="1531"/>
      <c r="J586" s="1531"/>
      <c r="K586" s="1531"/>
      <c r="L586" s="1531"/>
      <c r="M586" s="1531"/>
      <c r="N586" s="1531"/>
      <c r="O586" s="1531"/>
      <c r="P586" s="1531"/>
      <c r="Q586" s="1532"/>
      <c r="R586" s="10"/>
      <c r="S586" s="1530"/>
      <c r="T586" s="1531"/>
      <c r="U586" s="1531"/>
      <c r="V586" s="1531"/>
      <c r="W586" s="1531"/>
      <c r="X586" s="1531"/>
      <c r="Y586" s="1531"/>
      <c r="Z586" s="1531"/>
      <c r="AA586" s="1531"/>
      <c r="AB586" s="1531"/>
      <c r="AC586" s="1531"/>
      <c r="AD586" s="1531"/>
      <c r="AE586" s="1531"/>
      <c r="AF586" s="1531"/>
      <c r="AG586" s="1532"/>
    </row>
    <row r="587" spans="3:39" ht="15" customHeight="1">
      <c r="C587" s="1530"/>
      <c r="D587" s="1531"/>
      <c r="E587" s="1531"/>
      <c r="F587" s="1531"/>
      <c r="G587" s="1531"/>
      <c r="H587" s="1531"/>
      <c r="I587" s="1531"/>
      <c r="J587" s="1531"/>
      <c r="K587" s="1531"/>
      <c r="L587" s="1531"/>
      <c r="M587" s="1531"/>
      <c r="N587" s="1531"/>
      <c r="O587" s="1531"/>
      <c r="P587" s="1531"/>
      <c r="Q587" s="1532"/>
      <c r="R587" s="10"/>
      <c r="S587" s="1530"/>
      <c r="T587" s="1531"/>
      <c r="U587" s="1531"/>
      <c r="V587" s="1531"/>
      <c r="W587" s="1531"/>
      <c r="X587" s="1531"/>
      <c r="Y587" s="1531"/>
      <c r="Z587" s="1531"/>
      <c r="AA587" s="1531"/>
      <c r="AB587" s="1531"/>
      <c r="AC587" s="1531"/>
      <c r="AD587" s="1531"/>
      <c r="AE587" s="1531"/>
      <c r="AF587" s="1531"/>
      <c r="AG587" s="1532"/>
    </row>
    <row r="588" spans="3:39" ht="15" customHeight="1">
      <c r="C588" s="1530"/>
      <c r="D588" s="1531"/>
      <c r="E588" s="1531"/>
      <c r="F588" s="1531"/>
      <c r="G588" s="1531"/>
      <c r="H588" s="1531"/>
      <c r="I588" s="1531"/>
      <c r="J588" s="1531"/>
      <c r="K588" s="1531"/>
      <c r="L588" s="1531"/>
      <c r="M588" s="1531"/>
      <c r="N588" s="1531"/>
      <c r="O588" s="1531"/>
      <c r="P588" s="1531"/>
      <c r="Q588" s="1532"/>
      <c r="R588" s="10"/>
      <c r="S588" s="1530"/>
      <c r="T588" s="1531"/>
      <c r="U588" s="1531"/>
      <c r="V588" s="1531"/>
      <c r="W588" s="1531"/>
      <c r="X588" s="1531"/>
      <c r="Y588" s="1531"/>
      <c r="Z588" s="1531"/>
      <c r="AA588" s="1531"/>
      <c r="AB588" s="1531"/>
      <c r="AC588" s="1531"/>
      <c r="AD588" s="1531"/>
      <c r="AE588" s="1531"/>
      <c r="AF588" s="1531"/>
      <c r="AG588" s="1532"/>
    </row>
    <row r="589" spans="3:39" ht="15" customHeight="1">
      <c r="C589" s="1533"/>
      <c r="D589" s="1534"/>
      <c r="E589" s="1534"/>
      <c r="F589" s="1534"/>
      <c r="G589" s="1534"/>
      <c r="H589" s="1534"/>
      <c r="I589" s="1534"/>
      <c r="J589" s="1534"/>
      <c r="K589" s="1534"/>
      <c r="L589" s="1534"/>
      <c r="M589" s="1534"/>
      <c r="N589" s="1534"/>
      <c r="O589" s="1534"/>
      <c r="P589" s="1534"/>
      <c r="Q589" s="1535"/>
      <c r="R589" s="10"/>
      <c r="S589" s="1533"/>
      <c r="T589" s="1534"/>
      <c r="U589" s="1534"/>
      <c r="V589" s="1534"/>
      <c r="W589" s="1534"/>
      <c r="X589" s="1534"/>
      <c r="Y589" s="1534"/>
      <c r="Z589" s="1534"/>
      <c r="AA589" s="1534"/>
      <c r="AB589" s="1534"/>
      <c r="AC589" s="1534"/>
      <c r="AD589" s="1534"/>
      <c r="AE589" s="1534"/>
      <c r="AF589" s="1534"/>
      <c r="AG589" s="1535"/>
    </row>
    <row r="590" spans="3:39" ht="15" customHeight="1"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</row>
    <row r="591" spans="3:39" ht="15" customHeight="1">
      <c r="C591" s="1510" t="s">
        <v>176</v>
      </c>
      <c r="D591" s="1511"/>
      <c r="E591" s="1511"/>
      <c r="F591" s="1511"/>
      <c r="G591" s="1511"/>
      <c r="H591" s="1511"/>
      <c r="I591" s="1511"/>
      <c r="J591" s="1511"/>
      <c r="K591" s="1511"/>
      <c r="L591" s="1511"/>
      <c r="M591" s="1511"/>
      <c r="N591" s="1511"/>
      <c r="O591" s="1511"/>
      <c r="P591" s="1511"/>
      <c r="Q591" s="1512"/>
      <c r="R591" s="148"/>
      <c r="S591" s="1510" t="s">
        <v>177</v>
      </c>
      <c r="T591" s="1511"/>
      <c r="U591" s="1511"/>
      <c r="V591" s="1511"/>
      <c r="W591" s="1511"/>
      <c r="X591" s="1511"/>
      <c r="Y591" s="1511"/>
      <c r="Z591" s="1511"/>
      <c r="AA591" s="1511"/>
      <c r="AB591" s="1511"/>
      <c r="AC591" s="1511"/>
      <c r="AD591" s="1511"/>
      <c r="AE591" s="1511"/>
      <c r="AF591" s="1511"/>
      <c r="AG591" s="1512"/>
    </row>
    <row r="592" spans="3:39" ht="15" customHeight="1">
      <c r="C592" s="1513"/>
      <c r="D592" s="1514"/>
      <c r="E592" s="1514"/>
      <c r="F592" s="1514"/>
      <c r="G592" s="1514"/>
      <c r="H592" s="1514"/>
      <c r="I592" s="1514"/>
      <c r="J592" s="1514"/>
      <c r="K592" s="1514"/>
      <c r="L592" s="1514"/>
      <c r="M592" s="1514"/>
      <c r="N592" s="1514"/>
      <c r="O592" s="1514"/>
      <c r="P592" s="1514"/>
      <c r="Q592" s="1515"/>
      <c r="R592" s="148"/>
      <c r="S592" s="1513"/>
      <c r="T592" s="1514"/>
      <c r="U592" s="1514"/>
      <c r="V592" s="1514"/>
      <c r="W592" s="1514"/>
      <c r="X592" s="1514"/>
      <c r="Y592" s="1514"/>
      <c r="Z592" s="1514"/>
      <c r="AA592" s="1514"/>
      <c r="AB592" s="1514"/>
      <c r="AC592" s="1514"/>
      <c r="AD592" s="1514"/>
      <c r="AE592" s="1514"/>
      <c r="AF592" s="1514"/>
      <c r="AG592" s="1515"/>
    </row>
    <row r="593" spans="3:39" ht="15" customHeight="1"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48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3:39" ht="15" customHeight="1"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48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3:39" ht="15" customHeight="1"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48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3:39" ht="15" customHeight="1"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</row>
    <row r="597" spans="3:39" ht="15" customHeight="1">
      <c r="C597" s="1527" t="s">
        <v>153</v>
      </c>
      <c r="D597" s="1528"/>
      <c r="E597" s="1528"/>
      <c r="F597" s="1528"/>
      <c r="G597" s="1528"/>
      <c r="H597" s="1528"/>
      <c r="I597" s="1528"/>
      <c r="J597" s="1528"/>
      <c r="K597" s="1528"/>
      <c r="L597" s="1528"/>
      <c r="M597" s="1528"/>
      <c r="N597" s="1528"/>
      <c r="O597" s="1528"/>
      <c r="P597" s="1528"/>
      <c r="Q597" s="1529"/>
      <c r="R597" s="10"/>
      <c r="S597" s="1527" t="s">
        <v>154</v>
      </c>
      <c r="T597" s="1528"/>
      <c r="U597" s="1528"/>
      <c r="V597" s="1528"/>
      <c r="W597" s="1528"/>
      <c r="X597" s="1528"/>
      <c r="Y597" s="1528"/>
      <c r="Z597" s="1528"/>
      <c r="AA597" s="1528"/>
      <c r="AB597" s="1528"/>
      <c r="AC597" s="1528"/>
      <c r="AD597" s="1528"/>
      <c r="AE597" s="1528"/>
      <c r="AF597" s="1528"/>
      <c r="AG597" s="1529"/>
      <c r="AM597" s="555"/>
    </row>
    <row r="598" spans="3:39" ht="15" customHeight="1">
      <c r="C598" s="1530"/>
      <c r="D598" s="1531"/>
      <c r="E598" s="1531"/>
      <c r="F598" s="1531"/>
      <c r="G598" s="1531"/>
      <c r="H598" s="1531"/>
      <c r="I598" s="1531"/>
      <c r="J598" s="1531"/>
      <c r="K598" s="1531"/>
      <c r="L598" s="1531"/>
      <c r="M598" s="1531"/>
      <c r="N598" s="1531"/>
      <c r="O598" s="1531"/>
      <c r="P598" s="1531"/>
      <c r="Q598" s="1532"/>
      <c r="R598" s="10"/>
      <c r="S598" s="1530"/>
      <c r="T598" s="1531"/>
      <c r="U598" s="1531"/>
      <c r="V598" s="1531"/>
      <c r="W598" s="1531"/>
      <c r="X598" s="1531"/>
      <c r="Y598" s="1531"/>
      <c r="Z598" s="1531"/>
      <c r="AA598" s="1531"/>
      <c r="AB598" s="1531"/>
      <c r="AC598" s="1531"/>
      <c r="AD598" s="1531"/>
      <c r="AE598" s="1531"/>
      <c r="AF598" s="1531"/>
      <c r="AG598" s="1532"/>
      <c r="AM598" s="555"/>
    </row>
    <row r="599" spans="3:39" ht="15" customHeight="1">
      <c r="C599" s="1530"/>
      <c r="D599" s="1531"/>
      <c r="E599" s="1531"/>
      <c r="F599" s="1531"/>
      <c r="G599" s="1531"/>
      <c r="H599" s="1531"/>
      <c r="I599" s="1531"/>
      <c r="J599" s="1531"/>
      <c r="K599" s="1531"/>
      <c r="L599" s="1531"/>
      <c r="M599" s="1531"/>
      <c r="N599" s="1531"/>
      <c r="O599" s="1531"/>
      <c r="P599" s="1531"/>
      <c r="Q599" s="1532"/>
      <c r="R599" s="10"/>
      <c r="S599" s="1530"/>
      <c r="T599" s="1531"/>
      <c r="U599" s="1531"/>
      <c r="V599" s="1531"/>
      <c r="W599" s="1531"/>
      <c r="X599" s="1531"/>
      <c r="Y599" s="1531"/>
      <c r="Z599" s="1531"/>
      <c r="AA599" s="1531"/>
      <c r="AB599" s="1531"/>
      <c r="AC599" s="1531"/>
      <c r="AD599" s="1531"/>
      <c r="AE599" s="1531"/>
      <c r="AF599" s="1531"/>
      <c r="AG599" s="1532"/>
      <c r="AM599" s="555"/>
    </row>
    <row r="600" spans="3:39" ht="15" customHeight="1">
      <c r="C600" s="1530"/>
      <c r="D600" s="1531"/>
      <c r="E600" s="1531"/>
      <c r="F600" s="1531"/>
      <c r="G600" s="1531"/>
      <c r="H600" s="1531"/>
      <c r="I600" s="1531"/>
      <c r="J600" s="1531"/>
      <c r="K600" s="1531"/>
      <c r="L600" s="1531"/>
      <c r="M600" s="1531"/>
      <c r="N600" s="1531"/>
      <c r="O600" s="1531"/>
      <c r="P600" s="1531"/>
      <c r="Q600" s="1532"/>
      <c r="R600" s="10"/>
      <c r="S600" s="1530"/>
      <c r="T600" s="1531"/>
      <c r="U600" s="1531"/>
      <c r="V600" s="1531"/>
      <c r="W600" s="1531"/>
      <c r="X600" s="1531"/>
      <c r="Y600" s="1531"/>
      <c r="Z600" s="1531"/>
      <c r="AA600" s="1531"/>
      <c r="AB600" s="1531"/>
      <c r="AC600" s="1531"/>
      <c r="AD600" s="1531"/>
      <c r="AE600" s="1531"/>
      <c r="AF600" s="1531"/>
      <c r="AG600" s="1532"/>
      <c r="AM600" s="555"/>
    </row>
    <row r="601" spans="3:39" ht="15" customHeight="1">
      <c r="C601" s="1530"/>
      <c r="D601" s="1531"/>
      <c r="E601" s="1531"/>
      <c r="F601" s="1531"/>
      <c r="G601" s="1531"/>
      <c r="H601" s="1531"/>
      <c r="I601" s="1531"/>
      <c r="J601" s="1531"/>
      <c r="K601" s="1531"/>
      <c r="L601" s="1531"/>
      <c r="M601" s="1531"/>
      <c r="N601" s="1531"/>
      <c r="O601" s="1531"/>
      <c r="P601" s="1531"/>
      <c r="Q601" s="1532"/>
      <c r="R601" s="10"/>
      <c r="S601" s="1530"/>
      <c r="T601" s="1531"/>
      <c r="U601" s="1531"/>
      <c r="V601" s="1531"/>
      <c r="W601" s="1531"/>
      <c r="X601" s="1531"/>
      <c r="Y601" s="1531"/>
      <c r="Z601" s="1531"/>
      <c r="AA601" s="1531"/>
      <c r="AB601" s="1531"/>
      <c r="AC601" s="1531"/>
      <c r="AD601" s="1531"/>
      <c r="AE601" s="1531"/>
      <c r="AF601" s="1531"/>
      <c r="AG601" s="1532"/>
      <c r="AM601" s="555"/>
    </row>
    <row r="602" spans="3:39" ht="15" customHeight="1">
      <c r="C602" s="1530"/>
      <c r="D602" s="1531"/>
      <c r="E602" s="1531"/>
      <c r="F602" s="1531"/>
      <c r="G602" s="1531"/>
      <c r="H602" s="1531"/>
      <c r="I602" s="1531"/>
      <c r="J602" s="1531"/>
      <c r="K602" s="1531"/>
      <c r="L602" s="1531"/>
      <c r="M602" s="1531"/>
      <c r="N602" s="1531"/>
      <c r="O602" s="1531"/>
      <c r="P602" s="1531"/>
      <c r="Q602" s="1532"/>
      <c r="R602" s="10"/>
      <c r="S602" s="1530"/>
      <c r="T602" s="1531"/>
      <c r="U602" s="1531"/>
      <c r="V602" s="1531"/>
      <c r="W602" s="1531"/>
      <c r="X602" s="1531"/>
      <c r="Y602" s="1531"/>
      <c r="Z602" s="1531"/>
      <c r="AA602" s="1531"/>
      <c r="AB602" s="1531"/>
      <c r="AC602" s="1531"/>
      <c r="AD602" s="1531"/>
      <c r="AE602" s="1531"/>
      <c r="AF602" s="1531"/>
      <c r="AG602" s="1532"/>
      <c r="AM602" s="555"/>
    </row>
    <row r="603" spans="3:39" ht="15" customHeight="1">
      <c r="C603" s="1530"/>
      <c r="D603" s="1531"/>
      <c r="E603" s="1531"/>
      <c r="F603" s="1531"/>
      <c r="G603" s="1531"/>
      <c r="H603" s="1531"/>
      <c r="I603" s="1531"/>
      <c r="J603" s="1531"/>
      <c r="K603" s="1531"/>
      <c r="L603" s="1531"/>
      <c r="M603" s="1531"/>
      <c r="N603" s="1531"/>
      <c r="O603" s="1531"/>
      <c r="P603" s="1531"/>
      <c r="Q603" s="1532"/>
      <c r="R603" s="10"/>
      <c r="S603" s="1530"/>
      <c r="T603" s="1531"/>
      <c r="U603" s="1531"/>
      <c r="V603" s="1531"/>
      <c r="W603" s="1531"/>
      <c r="X603" s="1531"/>
      <c r="Y603" s="1531"/>
      <c r="Z603" s="1531"/>
      <c r="AA603" s="1531"/>
      <c r="AB603" s="1531"/>
      <c r="AC603" s="1531"/>
      <c r="AD603" s="1531"/>
      <c r="AE603" s="1531"/>
      <c r="AF603" s="1531"/>
      <c r="AG603" s="1532"/>
    </row>
    <row r="604" spans="3:39" ht="15" customHeight="1">
      <c r="C604" s="1530"/>
      <c r="D604" s="1531"/>
      <c r="E604" s="1531"/>
      <c r="F604" s="1531"/>
      <c r="G604" s="1531"/>
      <c r="H604" s="1531"/>
      <c r="I604" s="1531"/>
      <c r="J604" s="1531"/>
      <c r="K604" s="1531"/>
      <c r="L604" s="1531"/>
      <c r="M604" s="1531"/>
      <c r="N604" s="1531"/>
      <c r="O604" s="1531"/>
      <c r="P604" s="1531"/>
      <c r="Q604" s="1532"/>
      <c r="R604" s="10"/>
      <c r="S604" s="1530"/>
      <c r="T604" s="1531"/>
      <c r="U604" s="1531"/>
      <c r="V604" s="1531"/>
      <c r="W604" s="1531"/>
      <c r="X604" s="1531"/>
      <c r="Y604" s="1531"/>
      <c r="Z604" s="1531"/>
      <c r="AA604" s="1531"/>
      <c r="AB604" s="1531"/>
      <c r="AC604" s="1531"/>
      <c r="AD604" s="1531"/>
      <c r="AE604" s="1531"/>
      <c r="AF604" s="1531"/>
      <c r="AG604" s="1532"/>
    </row>
    <row r="605" spans="3:39" ht="15" customHeight="1">
      <c r="C605" s="1530"/>
      <c r="D605" s="1531"/>
      <c r="E605" s="1531"/>
      <c r="F605" s="1531"/>
      <c r="G605" s="1531"/>
      <c r="H605" s="1531"/>
      <c r="I605" s="1531"/>
      <c r="J605" s="1531"/>
      <c r="K605" s="1531"/>
      <c r="L605" s="1531"/>
      <c r="M605" s="1531"/>
      <c r="N605" s="1531"/>
      <c r="O605" s="1531"/>
      <c r="P605" s="1531"/>
      <c r="Q605" s="1532"/>
      <c r="R605" s="10"/>
      <c r="S605" s="1530"/>
      <c r="T605" s="1531"/>
      <c r="U605" s="1531"/>
      <c r="V605" s="1531"/>
      <c r="W605" s="1531"/>
      <c r="X605" s="1531"/>
      <c r="Y605" s="1531"/>
      <c r="Z605" s="1531"/>
      <c r="AA605" s="1531"/>
      <c r="AB605" s="1531"/>
      <c r="AC605" s="1531"/>
      <c r="AD605" s="1531"/>
      <c r="AE605" s="1531"/>
      <c r="AF605" s="1531"/>
      <c r="AG605" s="1532"/>
    </row>
    <row r="606" spans="3:39" ht="15" customHeight="1">
      <c r="C606" s="1530"/>
      <c r="D606" s="1531"/>
      <c r="E606" s="1531"/>
      <c r="F606" s="1531"/>
      <c r="G606" s="1531"/>
      <c r="H606" s="1531"/>
      <c r="I606" s="1531"/>
      <c r="J606" s="1531"/>
      <c r="K606" s="1531"/>
      <c r="L606" s="1531"/>
      <c r="M606" s="1531"/>
      <c r="N606" s="1531"/>
      <c r="O606" s="1531"/>
      <c r="P606" s="1531"/>
      <c r="Q606" s="1532"/>
      <c r="R606" s="10"/>
      <c r="S606" s="1530"/>
      <c r="T606" s="1531"/>
      <c r="U606" s="1531"/>
      <c r="V606" s="1531"/>
      <c r="W606" s="1531"/>
      <c r="X606" s="1531"/>
      <c r="Y606" s="1531"/>
      <c r="Z606" s="1531"/>
      <c r="AA606" s="1531"/>
      <c r="AB606" s="1531"/>
      <c r="AC606" s="1531"/>
      <c r="AD606" s="1531"/>
      <c r="AE606" s="1531"/>
      <c r="AF606" s="1531"/>
      <c r="AG606" s="1532"/>
    </row>
    <row r="607" spans="3:39" ht="15" customHeight="1">
      <c r="C607" s="1530"/>
      <c r="D607" s="1531"/>
      <c r="E607" s="1531"/>
      <c r="F607" s="1531"/>
      <c r="G607" s="1531"/>
      <c r="H607" s="1531"/>
      <c r="I607" s="1531"/>
      <c r="J607" s="1531"/>
      <c r="K607" s="1531"/>
      <c r="L607" s="1531"/>
      <c r="M607" s="1531"/>
      <c r="N607" s="1531"/>
      <c r="O607" s="1531"/>
      <c r="P607" s="1531"/>
      <c r="Q607" s="1532"/>
      <c r="R607" s="10"/>
      <c r="S607" s="1530"/>
      <c r="T607" s="1531"/>
      <c r="U607" s="1531"/>
      <c r="V607" s="1531"/>
      <c r="W607" s="1531"/>
      <c r="X607" s="1531"/>
      <c r="Y607" s="1531"/>
      <c r="Z607" s="1531"/>
      <c r="AA607" s="1531"/>
      <c r="AB607" s="1531"/>
      <c r="AC607" s="1531"/>
      <c r="AD607" s="1531"/>
      <c r="AE607" s="1531"/>
      <c r="AF607" s="1531"/>
      <c r="AG607" s="1532"/>
    </row>
    <row r="608" spans="3:39" ht="15" customHeight="1">
      <c r="C608" s="1533"/>
      <c r="D608" s="1534"/>
      <c r="E608" s="1534"/>
      <c r="F608" s="1534"/>
      <c r="G608" s="1534"/>
      <c r="H608" s="1534"/>
      <c r="I608" s="1534"/>
      <c r="J608" s="1534"/>
      <c r="K608" s="1534"/>
      <c r="L608" s="1534"/>
      <c r="M608" s="1534"/>
      <c r="N608" s="1534"/>
      <c r="O608" s="1534"/>
      <c r="P608" s="1534"/>
      <c r="Q608" s="1535"/>
      <c r="R608" s="10"/>
      <c r="S608" s="1533"/>
      <c r="T608" s="1534"/>
      <c r="U608" s="1534"/>
      <c r="V608" s="1534"/>
      <c r="W608" s="1534"/>
      <c r="X608" s="1534"/>
      <c r="Y608" s="1534"/>
      <c r="Z608" s="1534"/>
      <c r="AA608" s="1534"/>
      <c r="AB608" s="1534"/>
      <c r="AC608" s="1534"/>
      <c r="AD608" s="1534"/>
      <c r="AE608" s="1534"/>
      <c r="AF608" s="1534"/>
      <c r="AG608" s="1535"/>
    </row>
    <row r="609" spans="3:68" ht="15" customHeight="1"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</row>
    <row r="610" spans="3:68" ht="15" customHeight="1">
      <c r="C610" s="1510" t="s">
        <v>178</v>
      </c>
      <c r="D610" s="1511"/>
      <c r="E610" s="1511"/>
      <c r="F610" s="1511"/>
      <c r="G610" s="1511"/>
      <c r="H610" s="1511"/>
      <c r="I610" s="1511"/>
      <c r="J610" s="1511"/>
      <c r="K610" s="1511"/>
      <c r="L610" s="1511"/>
      <c r="M610" s="1511"/>
      <c r="N610" s="1511"/>
      <c r="O610" s="1511"/>
      <c r="P610" s="1511"/>
      <c r="Q610" s="1512"/>
      <c r="R610" s="148"/>
      <c r="S610" s="1510" t="s">
        <v>178</v>
      </c>
      <c r="T610" s="1511"/>
      <c r="U610" s="1511"/>
      <c r="V610" s="1511"/>
      <c r="W610" s="1511"/>
      <c r="X610" s="1511"/>
      <c r="Y610" s="1511"/>
      <c r="Z610" s="1511"/>
      <c r="AA610" s="1511"/>
      <c r="AB610" s="1511"/>
      <c r="AC610" s="1511"/>
      <c r="AD610" s="1511"/>
      <c r="AE610" s="1511"/>
      <c r="AF610" s="1511"/>
      <c r="AG610" s="1512"/>
    </row>
    <row r="611" spans="3:68" ht="15" customHeight="1">
      <c r="C611" s="1513"/>
      <c r="D611" s="1514"/>
      <c r="E611" s="1514"/>
      <c r="F611" s="1514"/>
      <c r="G611" s="1514"/>
      <c r="H611" s="1514"/>
      <c r="I611" s="1514"/>
      <c r="J611" s="1514"/>
      <c r="K611" s="1514"/>
      <c r="L611" s="1514"/>
      <c r="M611" s="1514"/>
      <c r="N611" s="1514"/>
      <c r="O611" s="1514"/>
      <c r="P611" s="1514"/>
      <c r="Q611" s="1515"/>
      <c r="R611" s="148"/>
      <c r="S611" s="1513"/>
      <c r="T611" s="1514"/>
      <c r="U611" s="1514"/>
      <c r="V611" s="1514"/>
      <c r="W611" s="1514"/>
      <c r="X611" s="1514"/>
      <c r="Y611" s="1514"/>
      <c r="Z611" s="1514"/>
      <c r="AA611" s="1514"/>
      <c r="AB611" s="1514"/>
      <c r="AC611" s="1514"/>
      <c r="AD611" s="1514"/>
      <c r="AE611" s="1514"/>
      <c r="AF611" s="1514"/>
      <c r="AG611" s="1515"/>
    </row>
    <row r="612" spans="3:68" ht="15" customHeight="1"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48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3:68" ht="15" customHeight="1"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48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3:68" ht="15" customHeight="1"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48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3:68" ht="15" customHeight="1" thickBot="1"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48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3:68" ht="15" customHeight="1" thickTop="1">
      <c r="C616" s="1560" t="str">
        <f>$C$90</f>
        <v>Construção da Estação de Bombeamento de Águas Pluviais Laranja, Vila Velha/ES</v>
      </c>
      <c r="D616" s="1560"/>
      <c r="E616" s="1560"/>
      <c r="F616" s="1560"/>
      <c r="G616" s="1560"/>
      <c r="H616" s="1560"/>
      <c r="I616" s="1560"/>
      <c r="J616" s="1560"/>
      <c r="K616" s="1560"/>
      <c r="L616" s="1560"/>
      <c r="M616" s="1560"/>
      <c r="N616" s="1560"/>
      <c r="O616" s="1560"/>
      <c r="P616" s="1560"/>
      <c r="Q616" s="1560"/>
      <c r="R616" s="1560"/>
      <c r="S616" s="1560"/>
      <c r="T616" s="1560"/>
      <c r="U616" s="1560"/>
      <c r="V616" s="1560"/>
      <c r="W616" s="1560"/>
      <c r="X616" s="1560"/>
      <c r="Y616" s="1560"/>
      <c r="Z616" s="1560"/>
      <c r="AA616" s="175"/>
      <c r="AB616" s="175"/>
      <c r="AC616" s="175"/>
      <c r="AD616" s="1744">
        <f>AD550+1</f>
        <v>30</v>
      </c>
      <c r="AE616" s="1745"/>
      <c r="AF616" s="1745"/>
      <c r="AG616" s="1745"/>
    </row>
    <row r="617" spans="3:68" s="3" customFormat="1" ht="24.9" customHeight="1" thickBot="1">
      <c r="C617" s="174" t="str">
        <f>$C$1</f>
        <v xml:space="preserve">Relatório Técnico Permanente de Engenharia 		                                                                         </v>
      </c>
      <c r="D617" s="174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/>
      <c r="V617" s="174"/>
      <c r="W617" s="174"/>
      <c r="X617" s="174"/>
      <c r="Y617" s="174"/>
      <c r="Z617" s="174"/>
      <c r="AA617" s="1525" t="str">
        <f>$AB$1</f>
        <v>RTPE 524-11</v>
      </c>
      <c r="AB617" s="1525"/>
      <c r="AC617" s="1525"/>
      <c r="AD617" s="1525"/>
      <c r="AE617" s="1525"/>
      <c r="AF617" s="1525"/>
      <c r="AG617" s="1525"/>
      <c r="AM617" s="2"/>
      <c r="AN617" s="2"/>
      <c r="AO617" s="2"/>
      <c r="AP617" s="2"/>
      <c r="AT617" s="2"/>
      <c r="AU617" s="2"/>
      <c r="AV617" s="2"/>
      <c r="AW617" s="2"/>
      <c r="BA617" s="2"/>
      <c r="BB617" s="2"/>
      <c r="BC617" s="2"/>
      <c r="BD617" s="2"/>
      <c r="BH617" s="2"/>
      <c r="BI617" s="2"/>
      <c r="BJ617" s="2"/>
      <c r="BK617" s="2"/>
      <c r="BO617" s="2"/>
      <c r="BP617" s="2"/>
    </row>
    <row r="618" spans="3:68" s="3" customFormat="1" ht="16.8" thickTop="1">
      <c r="C618" s="437"/>
      <c r="D618" s="437"/>
      <c r="E618" s="437"/>
      <c r="F618" s="437"/>
      <c r="G618" s="437"/>
      <c r="H618" s="437"/>
      <c r="I618" s="437"/>
      <c r="J618" s="437"/>
      <c r="K618" s="437"/>
      <c r="L618" s="437"/>
      <c r="M618" s="437"/>
      <c r="N618" s="437"/>
      <c r="O618" s="437"/>
      <c r="P618" s="437"/>
      <c r="Q618" s="437"/>
      <c r="R618" s="437"/>
      <c r="S618" s="437"/>
      <c r="T618" s="437"/>
      <c r="U618" s="437"/>
      <c r="V618" s="437"/>
      <c r="W618" s="437"/>
      <c r="X618" s="437"/>
      <c r="Y618" s="437"/>
      <c r="Z618" s="437"/>
      <c r="AA618" s="549"/>
      <c r="AB618" s="549"/>
      <c r="AC618" s="549"/>
      <c r="AD618" s="549"/>
      <c r="AE618" s="549"/>
      <c r="AF618" s="549"/>
      <c r="AG618" s="549"/>
      <c r="AM618" s="2"/>
      <c r="AN618" s="2"/>
      <c r="AO618" s="2"/>
      <c r="AP618" s="2"/>
      <c r="AT618" s="2"/>
      <c r="AU618" s="2"/>
      <c r="AV618" s="2"/>
      <c r="AW618" s="2"/>
      <c r="BA618" s="2"/>
      <c r="BB618" s="2"/>
      <c r="BC618" s="2"/>
      <c r="BD618" s="2"/>
      <c r="BH618" s="2"/>
      <c r="BI618" s="2"/>
      <c r="BJ618" s="2"/>
      <c r="BK618" s="2"/>
      <c r="BO618" s="2"/>
      <c r="BP618" s="2"/>
    </row>
    <row r="619" spans="3:68" ht="15" customHeight="1">
      <c r="C619" s="1517" t="s">
        <v>152</v>
      </c>
      <c r="D619" s="1518"/>
      <c r="E619" s="1518"/>
      <c r="F619" s="1518"/>
      <c r="G619" s="1518"/>
      <c r="H619" s="1518"/>
      <c r="I619" s="1518"/>
      <c r="J619" s="1518"/>
      <c r="K619" s="1518"/>
      <c r="L619" s="1518"/>
      <c r="M619" s="1518"/>
      <c r="N619" s="1518"/>
      <c r="O619" s="1518"/>
      <c r="P619" s="1518"/>
      <c r="Q619" s="1518"/>
      <c r="R619" s="1518"/>
      <c r="S619" s="1518"/>
      <c r="T619" s="1518"/>
      <c r="U619" s="1518"/>
      <c r="V619" s="1518"/>
      <c r="W619" s="1518"/>
      <c r="X619" s="1518"/>
      <c r="Y619" s="1518"/>
      <c r="Z619" s="1518"/>
      <c r="AA619" s="1518"/>
      <c r="AB619" s="1518"/>
      <c r="AC619" s="1518"/>
      <c r="AD619" s="1518"/>
      <c r="AE619" s="1518"/>
      <c r="AF619" s="1518"/>
      <c r="AG619" s="1519"/>
    </row>
    <row r="620" spans="3:68" ht="15" customHeight="1">
      <c r="C620" s="1520"/>
      <c r="D620" s="1521"/>
      <c r="E620" s="1521"/>
      <c r="F620" s="1521"/>
      <c r="G620" s="1521"/>
      <c r="H620" s="1521"/>
      <c r="I620" s="1521"/>
      <c r="J620" s="1521"/>
      <c r="K620" s="1521"/>
      <c r="L620" s="1521"/>
      <c r="M620" s="1521"/>
      <c r="N620" s="1521"/>
      <c r="O620" s="1521"/>
      <c r="P620" s="1521"/>
      <c r="Q620" s="1521"/>
      <c r="R620" s="1521"/>
      <c r="S620" s="1521"/>
      <c r="T620" s="1521"/>
      <c r="U620" s="1521"/>
      <c r="V620" s="1521"/>
      <c r="W620" s="1521"/>
      <c r="X620" s="1521"/>
      <c r="Y620" s="1521"/>
      <c r="Z620" s="1521"/>
      <c r="AA620" s="1521"/>
      <c r="AB620" s="1521"/>
      <c r="AC620" s="1521"/>
      <c r="AD620" s="1521"/>
      <c r="AE620" s="1521"/>
      <c r="AF620" s="1521"/>
      <c r="AG620" s="1522"/>
    </row>
    <row r="621" spans="3:68" ht="15" customHeight="1"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  <c r="AA621" s="171"/>
      <c r="AB621" s="171"/>
      <c r="AC621" s="171"/>
      <c r="AD621" s="171"/>
      <c r="AE621" s="171"/>
      <c r="AF621" s="171"/>
      <c r="AG621" s="171"/>
    </row>
    <row r="622" spans="3:68" ht="15" customHeight="1"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  <c r="AA622" s="171"/>
      <c r="AB622" s="171"/>
      <c r="AC622" s="171"/>
      <c r="AD622" s="171"/>
      <c r="AE622" s="171"/>
      <c r="AF622" s="171"/>
      <c r="AG622" s="171"/>
    </row>
    <row r="623" spans="3:68" ht="15" customHeight="1"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  <c r="AA623" s="171"/>
      <c r="AB623" s="171"/>
      <c r="AC623" s="171"/>
      <c r="AD623" s="171"/>
      <c r="AE623" s="171"/>
      <c r="AF623" s="171"/>
      <c r="AG623" s="171"/>
    </row>
    <row r="624" spans="3:68" ht="15" customHeight="1"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</row>
    <row r="625" spans="3:33" ht="15" customHeight="1">
      <c r="C625" s="1527" t="s">
        <v>153</v>
      </c>
      <c r="D625" s="1528"/>
      <c r="E625" s="1528"/>
      <c r="F625" s="1528"/>
      <c r="G625" s="1528"/>
      <c r="H625" s="1528"/>
      <c r="I625" s="1528"/>
      <c r="J625" s="1528"/>
      <c r="K625" s="1528"/>
      <c r="L625" s="1528"/>
      <c r="M625" s="1528"/>
      <c r="N625" s="1528"/>
      <c r="O625" s="1528"/>
      <c r="P625" s="1528"/>
      <c r="Q625" s="1529"/>
      <c r="R625" s="10"/>
      <c r="S625" s="1527"/>
      <c r="T625" s="1528"/>
      <c r="U625" s="1528"/>
      <c r="V625" s="1528"/>
      <c r="W625" s="1528"/>
      <c r="X625" s="1528"/>
      <c r="Y625" s="1528"/>
      <c r="Z625" s="1528"/>
      <c r="AA625" s="1528"/>
      <c r="AB625" s="1528"/>
      <c r="AC625" s="1528"/>
      <c r="AD625" s="1528"/>
      <c r="AE625" s="1528"/>
      <c r="AF625" s="1528"/>
      <c r="AG625" s="1529"/>
    </row>
    <row r="626" spans="3:33" ht="15" customHeight="1">
      <c r="C626" s="1530"/>
      <c r="D626" s="1531"/>
      <c r="E626" s="1531"/>
      <c r="F626" s="1531"/>
      <c r="G626" s="1531"/>
      <c r="H626" s="1531"/>
      <c r="I626" s="1531"/>
      <c r="J626" s="1531"/>
      <c r="K626" s="1531"/>
      <c r="L626" s="1531"/>
      <c r="M626" s="1531"/>
      <c r="N626" s="1531"/>
      <c r="O626" s="1531"/>
      <c r="P626" s="1531"/>
      <c r="Q626" s="1532"/>
      <c r="R626" s="10"/>
      <c r="S626" s="1530"/>
      <c r="T626" s="1531"/>
      <c r="U626" s="1531"/>
      <c r="V626" s="1531"/>
      <c r="W626" s="1531"/>
      <c r="X626" s="1531"/>
      <c r="Y626" s="1531"/>
      <c r="Z626" s="1531"/>
      <c r="AA626" s="1531"/>
      <c r="AB626" s="1531"/>
      <c r="AC626" s="1531"/>
      <c r="AD626" s="1531"/>
      <c r="AE626" s="1531"/>
      <c r="AF626" s="1531"/>
      <c r="AG626" s="1532"/>
    </row>
    <row r="627" spans="3:33" ht="15" customHeight="1">
      <c r="C627" s="1530"/>
      <c r="D627" s="1531"/>
      <c r="E627" s="1531"/>
      <c r="F627" s="1531"/>
      <c r="G627" s="1531"/>
      <c r="H627" s="1531"/>
      <c r="I627" s="1531"/>
      <c r="J627" s="1531"/>
      <c r="K627" s="1531"/>
      <c r="L627" s="1531"/>
      <c r="M627" s="1531"/>
      <c r="N627" s="1531"/>
      <c r="O627" s="1531"/>
      <c r="P627" s="1531"/>
      <c r="Q627" s="1532"/>
      <c r="R627" s="10"/>
      <c r="S627" s="1530"/>
      <c r="T627" s="1531"/>
      <c r="U627" s="1531"/>
      <c r="V627" s="1531"/>
      <c r="W627" s="1531"/>
      <c r="X627" s="1531"/>
      <c r="Y627" s="1531"/>
      <c r="Z627" s="1531"/>
      <c r="AA627" s="1531"/>
      <c r="AB627" s="1531"/>
      <c r="AC627" s="1531"/>
      <c r="AD627" s="1531"/>
      <c r="AE627" s="1531"/>
      <c r="AF627" s="1531"/>
      <c r="AG627" s="1532"/>
    </row>
    <row r="628" spans="3:33" ht="15" customHeight="1">
      <c r="C628" s="1530"/>
      <c r="D628" s="1531"/>
      <c r="E628" s="1531"/>
      <c r="F628" s="1531"/>
      <c r="G628" s="1531"/>
      <c r="H628" s="1531"/>
      <c r="I628" s="1531"/>
      <c r="J628" s="1531"/>
      <c r="K628" s="1531"/>
      <c r="L628" s="1531"/>
      <c r="M628" s="1531"/>
      <c r="N628" s="1531"/>
      <c r="O628" s="1531"/>
      <c r="P628" s="1531"/>
      <c r="Q628" s="1532"/>
      <c r="R628" s="10"/>
      <c r="S628" s="1530"/>
      <c r="T628" s="1531"/>
      <c r="U628" s="1531"/>
      <c r="V628" s="1531"/>
      <c r="W628" s="1531"/>
      <c r="X628" s="1531"/>
      <c r="Y628" s="1531"/>
      <c r="Z628" s="1531"/>
      <c r="AA628" s="1531"/>
      <c r="AB628" s="1531"/>
      <c r="AC628" s="1531"/>
      <c r="AD628" s="1531"/>
      <c r="AE628" s="1531"/>
      <c r="AF628" s="1531"/>
      <c r="AG628" s="1532"/>
    </row>
    <row r="629" spans="3:33" ht="15" customHeight="1">
      <c r="C629" s="1530"/>
      <c r="D629" s="1531"/>
      <c r="E629" s="1531"/>
      <c r="F629" s="1531"/>
      <c r="G629" s="1531"/>
      <c r="H629" s="1531"/>
      <c r="I629" s="1531"/>
      <c r="J629" s="1531"/>
      <c r="K629" s="1531"/>
      <c r="L629" s="1531"/>
      <c r="M629" s="1531"/>
      <c r="N629" s="1531"/>
      <c r="O629" s="1531"/>
      <c r="P629" s="1531"/>
      <c r="Q629" s="1532"/>
      <c r="R629" s="10"/>
      <c r="S629" s="1530"/>
      <c r="T629" s="1531"/>
      <c r="U629" s="1531"/>
      <c r="V629" s="1531"/>
      <c r="W629" s="1531"/>
      <c r="X629" s="1531"/>
      <c r="Y629" s="1531"/>
      <c r="Z629" s="1531"/>
      <c r="AA629" s="1531"/>
      <c r="AB629" s="1531"/>
      <c r="AC629" s="1531"/>
      <c r="AD629" s="1531"/>
      <c r="AE629" s="1531"/>
      <c r="AF629" s="1531"/>
      <c r="AG629" s="1532"/>
    </row>
    <row r="630" spans="3:33" ht="15" customHeight="1">
      <c r="C630" s="1530"/>
      <c r="D630" s="1531"/>
      <c r="E630" s="1531"/>
      <c r="F630" s="1531"/>
      <c r="G630" s="1531"/>
      <c r="H630" s="1531"/>
      <c r="I630" s="1531"/>
      <c r="J630" s="1531"/>
      <c r="K630" s="1531"/>
      <c r="L630" s="1531"/>
      <c r="M630" s="1531"/>
      <c r="N630" s="1531"/>
      <c r="O630" s="1531"/>
      <c r="P630" s="1531"/>
      <c r="Q630" s="1532"/>
      <c r="R630" s="10"/>
      <c r="S630" s="1530"/>
      <c r="T630" s="1531"/>
      <c r="U630" s="1531"/>
      <c r="V630" s="1531"/>
      <c r="W630" s="1531"/>
      <c r="X630" s="1531"/>
      <c r="Y630" s="1531"/>
      <c r="Z630" s="1531"/>
      <c r="AA630" s="1531"/>
      <c r="AB630" s="1531"/>
      <c r="AC630" s="1531"/>
      <c r="AD630" s="1531"/>
      <c r="AE630" s="1531"/>
      <c r="AF630" s="1531"/>
      <c r="AG630" s="1532"/>
    </row>
    <row r="631" spans="3:33" ht="15" customHeight="1">
      <c r="C631" s="1530"/>
      <c r="D631" s="1531"/>
      <c r="E631" s="1531"/>
      <c r="F631" s="1531"/>
      <c r="G631" s="1531"/>
      <c r="H631" s="1531"/>
      <c r="I631" s="1531"/>
      <c r="J631" s="1531"/>
      <c r="K631" s="1531"/>
      <c r="L631" s="1531"/>
      <c r="M631" s="1531"/>
      <c r="N631" s="1531"/>
      <c r="O631" s="1531"/>
      <c r="P631" s="1531"/>
      <c r="Q631" s="1532"/>
      <c r="R631" s="10"/>
      <c r="S631" s="1530"/>
      <c r="T631" s="1531"/>
      <c r="U631" s="1531"/>
      <c r="V631" s="1531"/>
      <c r="W631" s="1531"/>
      <c r="X631" s="1531"/>
      <c r="Y631" s="1531"/>
      <c r="Z631" s="1531"/>
      <c r="AA631" s="1531"/>
      <c r="AB631" s="1531"/>
      <c r="AC631" s="1531"/>
      <c r="AD631" s="1531"/>
      <c r="AE631" s="1531"/>
      <c r="AF631" s="1531"/>
      <c r="AG631" s="1532"/>
    </row>
    <row r="632" spans="3:33" ht="15" customHeight="1">
      <c r="C632" s="1530"/>
      <c r="D632" s="1531"/>
      <c r="E632" s="1531"/>
      <c r="F632" s="1531"/>
      <c r="G632" s="1531"/>
      <c r="H632" s="1531"/>
      <c r="I632" s="1531"/>
      <c r="J632" s="1531"/>
      <c r="K632" s="1531"/>
      <c r="L632" s="1531"/>
      <c r="M632" s="1531"/>
      <c r="N632" s="1531"/>
      <c r="O632" s="1531"/>
      <c r="P632" s="1531"/>
      <c r="Q632" s="1532"/>
      <c r="R632" s="10"/>
      <c r="S632" s="1530"/>
      <c r="T632" s="1531"/>
      <c r="U632" s="1531"/>
      <c r="V632" s="1531"/>
      <c r="W632" s="1531"/>
      <c r="X632" s="1531"/>
      <c r="Y632" s="1531"/>
      <c r="Z632" s="1531"/>
      <c r="AA632" s="1531"/>
      <c r="AB632" s="1531"/>
      <c r="AC632" s="1531"/>
      <c r="AD632" s="1531"/>
      <c r="AE632" s="1531"/>
      <c r="AF632" s="1531"/>
      <c r="AG632" s="1532"/>
    </row>
    <row r="633" spans="3:33" ht="15" customHeight="1">
      <c r="C633" s="1530"/>
      <c r="D633" s="1531"/>
      <c r="E633" s="1531"/>
      <c r="F633" s="1531"/>
      <c r="G633" s="1531"/>
      <c r="H633" s="1531"/>
      <c r="I633" s="1531"/>
      <c r="J633" s="1531"/>
      <c r="K633" s="1531"/>
      <c r="L633" s="1531"/>
      <c r="M633" s="1531"/>
      <c r="N633" s="1531"/>
      <c r="O633" s="1531"/>
      <c r="P633" s="1531"/>
      <c r="Q633" s="1532"/>
      <c r="R633" s="10"/>
      <c r="S633" s="1530"/>
      <c r="T633" s="1531"/>
      <c r="U633" s="1531"/>
      <c r="V633" s="1531"/>
      <c r="W633" s="1531"/>
      <c r="X633" s="1531"/>
      <c r="Y633" s="1531"/>
      <c r="Z633" s="1531"/>
      <c r="AA633" s="1531"/>
      <c r="AB633" s="1531"/>
      <c r="AC633" s="1531"/>
      <c r="AD633" s="1531"/>
      <c r="AE633" s="1531"/>
      <c r="AF633" s="1531"/>
      <c r="AG633" s="1532"/>
    </row>
    <row r="634" spans="3:33" ht="15" customHeight="1">
      <c r="C634" s="1530"/>
      <c r="D634" s="1531"/>
      <c r="E634" s="1531"/>
      <c r="F634" s="1531"/>
      <c r="G634" s="1531"/>
      <c r="H634" s="1531"/>
      <c r="I634" s="1531"/>
      <c r="J634" s="1531"/>
      <c r="K634" s="1531"/>
      <c r="L634" s="1531"/>
      <c r="M634" s="1531"/>
      <c r="N634" s="1531"/>
      <c r="O634" s="1531"/>
      <c r="P634" s="1531"/>
      <c r="Q634" s="1532"/>
      <c r="R634" s="10"/>
      <c r="S634" s="1530"/>
      <c r="T634" s="1531"/>
      <c r="U634" s="1531"/>
      <c r="V634" s="1531"/>
      <c r="W634" s="1531"/>
      <c r="X634" s="1531"/>
      <c r="Y634" s="1531"/>
      <c r="Z634" s="1531"/>
      <c r="AA634" s="1531"/>
      <c r="AB634" s="1531"/>
      <c r="AC634" s="1531"/>
      <c r="AD634" s="1531"/>
      <c r="AE634" s="1531"/>
      <c r="AF634" s="1531"/>
      <c r="AG634" s="1532"/>
    </row>
    <row r="635" spans="3:33" ht="15" customHeight="1">
      <c r="C635" s="1530"/>
      <c r="D635" s="1531"/>
      <c r="E635" s="1531"/>
      <c r="F635" s="1531"/>
      <c r="G635" s="1531"/>
      <c r="H635" s="1531"/>
      <c r="I635" s="1531"/>
      <c r="J635" s="1531"/>
      <c r="K635" s="1531"/>
      <c r="L635" s="1531"/>
      <c r="M635" s="1531"/>
      <c r="N635" s="1531"/>
      <c r="O635" s="1531"/>
      <c r="P635" s="1531"/>
      <c r="Q635" s="1532"/>
      <c r="R635" s="10"/>
      <c r="S635" s="1530"/>
      <c r="T635" s="1531"/>
      <c r="U635" s="1531"/>
      <c r="V635" s="1531"/>
      <c r="W635" s="1531"/>
      <c r="X635" s="1531"/>
      <c r="Y635" s="1531"/>
      <c r="Z635" s="1531"/>
      <c r="AA635" s="1531"/>
      <c r="AB635" s="1531"/>
      <c r="AC635" s="1531"/>
      <c r="AD635" s="1531"/>
      <c r="AE635" s="1531"/>
      <c r="AF635" s="1531"/>
      <c r="AG635" s="1532"/>
    </row>
    <row r="636" spans="3:33" ht="15" customHeight="1">
      <c r="C636" s="1533"/>
      <c r="D636" s="1534"/>
      <c r="E636" s="1534"/>
      <c r="F636" s="1534"/>
      <c r="G636" s="1534"/>
      <c r="H636" s="1534"/>
      <c r="I636" s="1534"/>
      <c r="J636" s="1534"/>
      <c r="K636" s="1534"/>
      <c r="L636" s="1534"/>
      <c r="M636" s="1534"/>
      <c r="N636" s="1534"/>
      <c r="O636" s="1534"/>
      <c r="P636" s="1534"/>
      <c r="Q636" s="1535"/>
      <c r="R636" s="10"/>
      <c r="S636" s="1533"/>
      <c r="T636" s="1534"/>
      <c r="U636" s="1534"/>
      <c r="V636" s="1534"/>
      <c r="W636" s="1534"/>
      <c r="X636" s="1534"/>
      <c r="Y636" s="1534"/>
      <c r="Z636" s="1534"/>
      <c r="AA636" s="1534"/>
      <c r="AB636" s="1534"/>
      <c r="AC636" s="1534"/>
      <c r="AD636" s="1534"/>
      <c r="AE636" s="1534"/>
      <c r="AF636" s="1534"/>
      <c r="AG636" s="1535"/>
    </row>
    <row r="637" spans="3:33" ht="15" customHeight="1"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</row>
    <row r="638" spans="3:33" ht="15" customHeight="1">
      <c r="C638" s="1510" t="s">
        <v>178</v>
      </c>
      <c r="D638" s="1511"/>
      <c r="E638" s="1511"/>
      <c r="F638" s="1511"/>
      <c r="G638" s="1511"/>
      <c r="H638" s="1511"/>
      <c r="I638" s="1511"/>
      <c r="J638" s="1511"/>
      <c r="K638" s="1511"/>
      <c r="L638" s="1511"/>
      <c r="M638" s="1511"/>
      <c r="N638" s="1511"/>
      <c r="O638" s="1511"/>
      <c r="P638" s="1511"/>
      <c r="Q638" s="1512"/>
      <c r="R638" s="148"/>
      <c r="S638" s="1510" t="s">
        <v>179</v>
      </c>
      <c r="T638" s="1511"/>
      <c r="U638" s="1511"/>
      <c r="V638" s="1511"/>
      <c r="W638" s="1511"/>
      <c r="X638" s="1511"/>
      <c r="Y638" s="1511"/>
      <c r="Z638" s="1511"/>
      <c r="AA638" s="1511"/>
      <c r="AB638" s="1511"/>
      <c r="AC638" s="1511"/>
      <c r="AD638" s="1511"/>
      <c r="AE638" s="1511"/>
      <c r="AF638" s="1511"/>
      <c r="AG638" s="1512"/>
    </row>
    <row r="639" spans="3:33" ht="15" customHeight="1">
      <c r="C639" s="1513"/>
      <c r="D639" s="1514"/>
      <c r="E639" s="1514"/>
      <c r="F639" s="1514"/>
      <c r="G639" s="1514"/>
      <c r="H639" s="1514"/>
      <c r="I639" s="1514"/>
      <c r="J639" s="1514"/>
      <c r="K639" s="1514"/>
      <c r="L639" s="1514"/>
      <c r="M639" s="1514"/>
      <c r="N639" s="1514"/>
      <c r="O639" s="1514"/>
      <c r="P639" s="1514"/>
      <c r="Q639" s="1515"/>
      <c r="R639" s="148"/>
      <c r="S639" s="1513"/>
      <c r="T639" s="1514"/>
      <c r="U639" s="1514"/>
      <c r="V639" s="1514"/>
      <c r="W639" s="1514"/>
      <c r="X639" s="1514"/>
      <c r="Y639" s="1514"/>
      <c r="Z639" s="1514"/>
      <c r="AA639" s="1514"/>
      <c r="AB639" s="1514"/>
      <c r="AC639" s="1514"/>
      <c r="AD639" s="1514"/>
      <c r="AE639" s="1514"/>
      <c r="AF639" s="1514"/>
      <c r="AG639" s="1515"/>
    </row>
    <row r="640" spans="3:33" ht="15" customHeight="1"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48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3:39" ht="15" customHeight="1"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48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3:39" ht="15" customHeight="1"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48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M642" s="555"/>
    </row>
    <row r="643" spans="3:39" ht="15" customHeight="1"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M643" s="555"/>
    </row>
    <row r="644" spans="3:39" ht="15" customHeight="1">
      <c r="C644" s="1527" t="s">
        <v>153</v>
      </c>
      <c r="D644" s="1528"/>
      <c r="E644" s="1528"/>
      <c r="F644" s="1528"/>
      <c r="G644" s="1528"/>
      <c r="H644" s="1528"/>
      <c r="I644" s="1528"/>
      <c r="J644" s="1528"/>
      <c r="K644" s="1528"/>
      <c r="L644" s="1528"/>
      <c r="M644" s="1528"/>
      <c r="N644" s="1528"/>
      <c r="O644" s="1528"/>
      <c r="P644" s="1528"/>
      <c r="Q644" s="1529"/>
      <c r="R644" s="10"/>
      <c r="S644" s="1527" t="s">
        <v>154</v>
      </c>
      <c r="T644" s="1528"/>
      <c r="U644" s="1528"/>
      <c r="V644" s="1528"/>
      <c r="W644" s="1528"/>
      <c r="X644" s="1528"/>
      <c r="Y644" s="1528"/>
      <c r="Z644" s="1528"/>
      <c r="AA644" s="1528"/>
      <c r="AB644" s="1528"/>
      <c r="AC644" s="1528"/>
      <c r="AD644" s="1528"/>
      <c r="AE644" s="1528"/>
      <c r="AF644" s="1528"/>
      <c r="AG644" s="1529"/>
    </row>
    <row r="645" spans="3:39" ht="15" customHeight="1">
      <c r="C645" s="1530"/>
      <c r="D645" s="1531"/>
      <c r="E645" s="1531"/>
      <c r="F645" s="1531"/>
      <c r="G645" s="1531"/>
      <c r="H645" s="1531"/>
      <c r="I645" s="1531"/>
      <c r="J645" s="1531"/>
      <c r="K645" s="1531"/>
      <c r="L645" s="1531"/>
      <c r="M645" s="1531"/>
      <c r="N645" s="1531"/>
      <c r="O645" s="1531"/>
      <c r="P645" s="1531"/>
      <c r="Q645" s="1532"/>
      <c r="R645" s="10"/>
      <c r="S645" s="1530"/>
      <c r="T645" s="1531"/>
      <c r="U645" s="1531"/>
      <c r="V645" s="1531"/>
      <c r="W645" s="1531"/>
      <c r="X645" s="1531"/>
      <c r="Y645" s="1531"/>
      <c r="Z645" s="1531"/>
      <c r="AA645" s="1531"/>
      <c r="AB645" s="1531"/>
      <c r="AC645" s="1531"/>
      <c r="AD645" s="1531"/>
      <c r="AE645" s="1531"/>
      <c r="AF645" s="1531"/>
      <c r="AG645" s="1532"/>
    </row>
    <row r="646" spans="3:39" ht="15" customHeight="1">
      <c r="C646" s="1530"/>
      <c r="D646" s="1531"/>
      <c r="E646" s="1531"/>
      <c r="F646" s="1531"/>
      <c r="G646" s="1531"/>
      <c r="H646" s="1531"/>
      <c r="I646" s="1531"/>
      <c r="J646" s="1531"/>
      <c r="K646" s="1531"/>
      <c r="L646" s="1531"/>
      <c r="M646" s="1531"/>
      <c r="N646" s="1531"/>
      <c r="O646" s="1531"/>
      <c r="P646" s="1531"/>
      <c r="Q646" s="1532"/>
      <c r="R646" s="10"/>
      <c r="S646" s="1530"/>
      <c r="T646" s="1531"/>
      <c r="U646" s="1531"/>
      <c r="V646" s="1531"/>
      <c r="W646" s="1531"/>
      <c r="X646" s="1531"/>
      <c r="Y646" s="1531"/>
      <c r="Z646" s="1531"/>
      <c r="AA646" s="1531"/>
      <c r="AB646" s="1531"/>
      <c r="AC646" s="1531"/>
      <c r="AD646" s="1531"/>
      <c r="AE646" s="1531"/>
      <c r="AF646" s="1531"/>
      <c r="AG646" s="1532"/>
    </row>
    <row r="647" spans="3:39" ht="15" customHeight="1">
      <c r="C647" s="1530"/>
      <c r="D647" s="1531"/>
      <c r="E647" s="1531"/>
      <c r="F647" s="1531"/>
      <c r="G647" s="1531"/>
      <c r="H647" s="1531"/>
      <c r="I647" s="1531"/>
      <c r="J647" s="1531"/>
      <c r="K647" s="1531"/>
      <c r="L647" s="1531"/>
      <c r="M647" s="1531"/>
      <c r="N647" s="1531"/>
      <c r="O647" s="1531"/>
      <c r="P647" s="1531"/>
      <c r="Q647" s="1532"/>
      <c r="R647" s="10"/>
      <c r="S647" s="1530"/>
      <c r="T647" s="1531"/>
      <c r="U647" s="1531"/>
      <c r="V647" s="1531"/>
      <c r="W647" s="1531"/>
      <c r="X647" s="1531"/>
      <c r="Y647" s="1531"/>
      <c r="Z647" s="1531"/>
      <c r="AA647" s="1531"/>
      <c r="AB647" s="1531"/>
      <c r="AC647" s="1531"/>
      <c r="AD647" s="1531"/>
      <c r="AE647" s="1531"/>
      <c r="AF647" s="1531"/>
      <c r="AG647" s="1532"/>
    </row>
    <row r="648" spans="3:39" ht="15" customHeight="1">
      <c r="C648" s="1530"/>
      <c r="D648" s="1531"/>
      <c r="E648" s="1531"/>
      <c r="F648" s="1531"/>
      <c r="G648" s="1531"/>
      <c r="H648" s="1531"/>
      <c r="I648" s="1531"/>
      <c r="J648" s="1531"/>
      <c r="K648" s="1531"/>
      <c r="L648" s="1531"/>
      <c r="M648" s="1531"/>
      <c r="N648" s="1531"/>
      <c r="O648" s="1531"/>
      <c r="P648" s="1531"/>
      <c r="Q648" s="1532"/>
      <c r="R648" s="10"/>
      <c r="S648" s="1530"/>
      <c r="T648" s="1531"/>
      <c r="U648" s="1531"/>
      <c r="V648" s="1531"/>
      <c r="W648" s="1531"/>
      <c r="X648" s="1531"/>
      <c r="Y648" s="1531"/>
      <c r="Z648" s="1531"/>
      <c r="AA648" s="1531"/>
      <c r="AB648" s="1531"/>
      <c r="AC648" s="1531"/>
      <c r="AD648" s="1531"/>
      <c r="AE648" s="1531"/>
      <c r="AF648" s="1531"/>
      <c r="AG648" s="1532"/>
    </row>
    <row r="649" spans="3:39" ht="15" customHeight="1">
      <c r="C649" s="1530"/>
      <c r="D649" s="1531"/>
      <c r="E649" s="1531"/>
      <c r="F649" s="1531"/>
      <c r="G649" s="1531"/>
      <c r="H649" s="1531"/>
      <c r="I649" s="1531"/>
      <c r="J649" s="1531"/>
      <c r="K649" s="1531"/>
      <c r="L649" s="1531"/>
      <c r="M649" s="1531"/>
      <c r="N649" s="1531"/>
      <c r="O649" s="1531"/>
      <c r="P649" s="1531"/>
      <c r="Q649" s="1532"/>
      <c r="R649" s="10"/>
      <c r="S649" s="1530"/>
      <c r="T649" s="1531"/>
      <c r="U649" s="1531"/>
      <c r="V649" s="1531"/>
      <c r="W649" s="1531"/>
      <c r="X649" s="1531"/>
      <c r="Y649" s="1531"/>
      <c r="Z649" s="1531"/>
      <c r="AA649" s="1531"/>
      <c r="AB649" s="1531"/>
      <c r="AC649" s="1531"/>
      <c r="AD649" s="1531"/>
      <c r="AE649" s="1531"/>
      <c r="AF649" s="1531"/>
      <c r="AG649" s="1532"/>
    </row>
    <row r="650" spans="3:39" ht="15" customHeight="1">
      <c r="C650" s="1530"/>
      <c r="D650" s="1531"/>
      <c r="E650" s="1531"/>
      <c r="F650" s="1531"/>
      <c r="G650" s="1531"/>
      <c r="H650" s="1531"/>
      <c r="I650" s="1531"/>
      <c r="J650" s="1531"/>
      <c r="K650" s="1531"/>
      <c r="L650" s="1531"/>
      <c r="M650" s="1531"/>
      <c r="N650" s="1531"/>
      <c r="O650" s="1531"/>
      <c r="P650" s="1531"/>
      <c r="Q650" s="1532"/>
      <c r="R650" s="10"/>
      <c r="S650" s="1530"/>
      <c r="T650" s="1531"/>
      <c r="U650" s="1531"/>
      <c r="V650" s="1531"/>
      <c r="W650" s="1531"/>
      <c r="X650" s="1531"/>
      <c r="Y650" s="1531"/>
      <c r="Z650" s="1531"/>
      <c r="AA650" s="1531"/>
      <c r="AB650" s="1531"/>
      <c r="AC650" s="1531"/>
      <c r="AD650" s="1531"/>
      <c r="AE650" s="1531"/>
      <c r="AF650" s="1531"/>
      <c r="AG650" s="1532"/>
    </row>
    <row r="651" spans="3:39" ht="15" customHeight="1">
      <c r="C651" s="1530"/>
      <c r="D651" s="1531"/>
      <c r="E651" s="1531"/>
      <c r="F651" s="1531"/>
      <c r="G651" s="1531"/>
      <c r="H651" s="1531"/>
      <c r="I651" s="1531"/>
      <c r="J651" s="1531"/>
      <c r="K651" s="1531"/>
      <c r="L651" s="1531"/>
      <c r="M651" s="1531"/>
      <c r="N651" s="1531"/>
      <c r="O651" s="1531"/>
      <c r="P651" s="1531"/>
      <c r="Q651" s="1532"/>
      <c r="R651" s="10"/>
      <c r="S651" s="1530"/>
      <c r="T651" s="1531"/>
      <c r="U651" s="1531"/>
      <c r="V651" s="1531"/>
      <c r="W651" s="1531"/>
      <c r="X651" s="1531"/>
      <c r="Y651" s="1531"/>
      <c r="Z651" s="1531"/>
      <c r="AA651" s="1531"/>
      <c r="AB651" s="1531"/>
      <c r="AC651" s="1531"/>
      <c r="AD651" s="1531"/>
      <c r="AE651" s="1531"/>
      <c r="AF651" s="1531"/>
      <c r="AG651" s="1532"/>
    </row>
    <row r="652" spans="3:39" ht="15" customHeight="1">
      <c r="C652" s="1530"/>
      <c r="D652" s="1531"/>
      <c r="E652" s="1531"/>
      <c r="F652" s="1531"/>
      <c r="G652" s="1531"/>
      <c r="H652" s="1531"/>
      <c r="I652" s="1531"/>
      <c r="J652" s="1531"/>
      <c r="K652" s="1531"/>
      <c r="L652" s="1531"/>
      <c r="M652" s="1531"/>
      <c r="N652" s="1531"/>
      <c r="O652" s="1531"/>
      <c r="P652" s="1531"/>
      <c r="Q652" s="1532"/>
      <c r="R652" s="10"/>
      <c r="S652" s="1530"/>
      <c r="T652" s="1531"/>
      <c r="U652" s="1531"/>
      <c r="V652" s="1531"/>
      <c r="W652" s="1531"/>
      <c r="X652" s="1531"/>
      <c r="Y652" s="1531"/>
      <c r="Z652" s="1531"/>
      <c r="AA652" s="1531"/>
      <c r="AB652" s="1531"/>
      <c r="AC652" s="1531"/>
      <c r="AD652" s="1531"/>
      <c r="AE652" s="1531"/>
      <c r="AF652" s="1531"/>
      <c r="AG652" s="1532"/>
    </row>
    <row r="653" spans="3:39" ht="15" customHeight="1">
      <c r="C653" s="1530"/>
      <c r="D653" s="1531"/>
      <c r="E653" s="1531"/>
      <c r="F653" s="1531"/>
      <c r="G653" s="1531"/>
      <c r="H653" s="1531"/>
      <c r="I653" s="1531"/>
      <c r="J653" s="1531"/>
      <c r="K653" s="1531"/>
      <c r="L653" s="1531"/>
      <c r="M653" s="1531"/>
      <c r="N653" s="1531"/>
      <c r="O653" s="1531"/>
      <c r="P653" s="1531"/>
      <c r="Q653" s="1532"/>
      <c r="R653" s="10"/>
      <c r="S653" s="1530"/>
      <c r="T653" s="1531"/>
      <c r="U653" s="1531"/>
      <c r="V653" s="1531"/>
      <c r="W653" s="1531"/>
      <c r="X653" s="1531"/>
      <c r="Y653" s="1531"/>
      <c r="Z653" s="1531"/>
      <c r="AA653" s="1531"/>
      <c r="AB653" s="1531"/>
      <c r="AC653" s="1531"/>
      <c r="AD653" s="1531"/>
      <c r="AE653" s="1531"/>
      <c r="AF653" s="1531"/>
      <c r="AG653" s="1532"/>
    </row>
    <row r="654" spans="3:39" ht="15" customHeight="1">
      <c r="C654" s="1530"/>
      <c r="D654" s="1531"/>
      <c r="E654" s="1531"/>
      <c r="F654" s="1531"/>
      <c r="G654" s="1531"/>
      <c r="H654" s="1531"/>
      <c r="I654" s="1531"/>
      <c r="J654" s="1531"/>
      <c r="K654" s="1531"/>
      <c r="L654" s="1531"/>
      <c r="M654" s="1531"/>
      <c r="N654" s="1531"/>
      <c r="O654" s="1531"/>
      <c r="P654" s="1531"/>
      <c r="Q654" s="1532"/>
      <c r="R654" s="10"/>
      <c r="S654" s="1530"/>
      <c r="T654" s="1531"/>
      <c r="U654" s="1531"/>
      <c r="V654" s="1531"/>
      <c r="W654" s="1531"/>
      <c r="X654" s="1531"/>
      <c r="Y654" s="1531"/>
      <c r="Z654" s="1531"/>
      <c r="AA654" s="1531"/>
      <c r="AB654" s="1531"/>
      <c r="AC654" s="1531"/>
      <c r="AD654" s="1531"/>
      <c r="AE654" s="1531"/>
      <c r="AF654" s="1531"/>
      <c r="AG654" s="1532"/>
    </row>
    <row r="655" spans="3:39" ht="15" customHeight="1">
      <c r="C655" s="1533"/>
      <c r="D655" s="1534"/>
      <c r="E655" s="1534"/>
      <c r="F655" s="1534"/>
      <c r="G655" s="1534"/>
      <c r="H655" s="1534"/>
      <c r="I655" s="1534"/>
      <c r="J655" s="1534"/>
      <c r="K655" s="1534"/>
      <c r="L655" s="1534"/>
      <c r="M655" s="1534"/>
      <c r="N655" s="1534"/>
      <c r="O655" s="1534"/>
      <c r="P655" s="1534"/>
      <c r="Q655" s="1535"/>
      <c r="R655" s="10"/>
      <c r="S655" s="1533"/>
      <c r="T655" s="1534"/>
      <c r="U655" s="1534"/>
      <c r="V655" s="1534"/>
      <c r="W655" s="1534"/>
      <c r="X655" s="1534"/>
      <c r="Y655" s="1534"/>
      <c r="Z655" s="1534"/>
      <c r="AA655" s="1534"/>
      <c r="AB655" s="1534"/>
      <c r="AC655" s="1534"/>
      <c r="AD655" s="1534"/>
      <c r="AE655" s="1534"/>
      <c r="AF655" s="1534"/>
      <c r="AG655" s="1535"/>
    </row>
    <row r="656" spans="3:39" ht="15" customHeight="1"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</row>
    <row r="657" spans="3:39" ht="15" customHeight="1">
      <c r="C657" s="1510" t="s">
        <v>180</v>
      </c>
      <c r="D657" s="1511"/>
      <c r="E657" s="1511"/>
      <c r="F657" s="1511"/>
      <c r="G657" s="1511"/>
      <c r="H657" s="1511"/>
      <c r="I657" s="1511"/>
      <c r="J657" s="1511"/>
      <c r="K657" s="1511"/>
      <c r="L657" s="1511"/>
      <c r="M657" s="1511"/>
      <c r="N657" s="1511"/>
      <c r="O657" s="1511"/>
      <c r="P657" s="1511"/>
      <c r="Q657" s="1512"/>
      <c r="R657" s="148"/>
      <c r="S657" s="1510" t="s">
        <v>180</v>
      </c>
      <c r="T657" s="1511"/>
      <c r="U657" s="1511"/>
      <c r="V657" s="1511"/>
      <c r="W657" s="1511"/>
      <c r="X657" s="1511"/>
      <c r="Y657" s="1511"/>
      <c r="Z657" s="1511"/>
      <c r="AA657" s="1511"/>
      <c r="AB657" s="1511"/>
      <c r="AC657" s="1511"/>
      <c r="AD657" s="1511"/>
      <c r="AE657" s="1511"/>
      <c r="AF657" s="1511"/>
      <c r="AG657" s="1512"/>
    </row>
    <row r="658" spans="3:39" ht="15" customHeight="1">
      <c r="C658" s="1513"/>
      <c r="D658" s="1514"/>
      <c r="E658" s="1514"/>
      <c r="F658" s="1514"/>
      <c r="G658" s="1514"/>
      <c r="H658" s="1514"/>
      <c r="I658" s="1514"/>
      <c r="J658" s="1514"/>
      <c r="K658" s="1514"/>
      <c r="L658" s="1514"/>
      <c r="M658" s="1514"/>
      <c r="N658" s="1514"/>
      <c r="O658" s="1514"/>
      <c r="P658" s="1514"/>
      <c r="Q658" s="1515"/>
      <c r="R658" s="148"/>
      <c r="S658" s="1513"/>
      <c r="T658" s="1514"/>
      <c r="U658" s="1514"/>
      <c r="V658" s="1514"/>
      <c r="W658" s="1514"/>
      <c r="X658" s="1514"/>
      <c r="Y658" s="1514"/>
      <c r="Z658" s="1514"/>
      <c r="AA658" s="1514"/>
      <c r="AB658" s="1514"/>
      <c r="AC658" s="1514"/>
      <c r="AD658" s="1514"/>
      <c r="AE658" s="1514"/>
      <c r="AF658" s="1514"/>
      <c r="AG658" s="1515"/>
    </row>
    <row r="659" spans="3:39" ht="15" customHeight="1"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48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3:39" ht="15" customHeight="1"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48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3:39" ht="15" customHeight="1"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48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3:39" ht="15" customHeight="1"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</row>
    <row r="663" spans="3:39" ht="15" customHeight="1">
      <c r="C663" s="1527" t="s">
        <v>153</v>
      </c>
      <c r="D663" s="1528"/>
      <c r="E663" s="1528"/>
      <c r="F663" s="1528"/>
      <c r="G663" s="1528"/>
      <c r="H663" s="1528"/>
      <c r="I663" s="1528"/>
      <c r="J663" s="1528"/>
      <c r="K663" s="1528"/>
      <c r="L663" s="1528"/>
      <c r="M663" s="1528"/>
      <c r="N663" s="1528"/>
      <c r="O663" s="1528"/>
      <c r="P663" s="1528"/>
      <c r="Q663" s="1529"/>
      <c r="R663" s="10"/>
      <c r="S663" s="1527" t="s">
        <v>154</v>
      </c>
      <c r="T663" s="1528"/>
      <c r="U663" s="1528"/>
      <c r="V663" s="1528"/>
      <c r="W663" s="1528"/>
      <c r="X663" s="1528"/>
      <c r="Y663" s="1528"/>
      <c r="Z663" s="1528"/>
      <c r="AA663" s="1528"/>
      <c r="AB663" s="1528"/>
      <c r="AC663" s="1528"/>
      <c r="AD663" s="1528"/>
      <c r="AE663" s="1528"/>
      <c r="AF663" s="1528"/>
      <c r="AG663" s="1529"/>
      <c r="AM663" s="555"/>
    </row>
    <row r="664" spans="3:39" ht="15" customHeight="1">
      <c r="C664" s="1530"/>
      <c r="D664" s="1531"/>
      <c r="E664" s="1531"/>
      <c r="F664" s="1531"/>
      <c r="G664" s="1531"/>
      <c r="H664" s="1531"/>
      <c r="I664" s="1531"/>
      <c r="J664" s="1531"/>
      <c r="K664" s="1531"/>
      <c r="L664" s="1531"/>
      <c r="M664" s="1531"/>
      <c r="N664" s="1531"/>
      <c r="O664" s="1531"/>
      <c r="P664" s="1531"/>
      <c r="Q664" s="1532"/>
      <c r="R664" s="10"/>
      <c r="S664" s="1530"/>
      <c r="T664" s="1531"/>
      <c r="U664" s="1531"/>
      <c r="V664" s="1531"/>
      <c r="W664" s="1531"/>
      <c r="X664" s="1531"/>
      <c r="Y664" s="1531"/>
      <c r="Z664" s="1531"/>
      <c r="AA664" s="1531"/>
      <c r="AB664" s="1531"/>
      <c r="AC664" s="1531"/>
      <c r="AD664" s="1531"/>
      <c r="AE664" s="1531"/>
      <c r="AF664" s="1531"/>
      <c r="AG664" s="1532"/>
      <c r="AM664" s="555"/>
    </row>
    <row r="665" spans="3:39" ht="15" customHeight="1">
      <c r="C665" s="1530"/>
      <c r="D665" s="1531"/>
      <c r="E665" s="1531"/>
      <c r="F665" s="1531"/>
      <c r="G665" s="1531"/>
      <c r="H665" s="1531"/>
      <c r="I665" s="1531"/>
      <c r="J665" s="1531"/>
      <c r="K665" s="1531"/>
      <c r="L665" s="1531"/>
      <c r="M665" s="1531"/>
      <c r="N665" s="1531"/>
      <c r="O665" s="1531"/>
      <c r="P665" s="1531"/>
      <c r="Q665" s="1532"/>
      <c r="R665" s="10"/>
      <c r="S665" s="1530"/>
      <c r="T665" s="1531"/>
      <c r="U665" s="1531"/>
      <c r="V665" s="1531"/>
      <c r="W665" s="1531"/>
      <c r="X665" s="1531"/>
      <c r="Y665" s="1531"/>
      <c r="Z665" s="1531"/>
      <c r="AA665" s="1531"/>
      <c r="AB665" s="1531"/>
      <c r="AC665" s="1531"/>
      <c r="AD665" s="1531"/>
      <c r="AE665" s="1531"/>
      <c r="AF665" s="1531"/>
      <c r="AG665" s="1532"/>
      <c r="AM665" s="555"/>
    </row>
    <row r="666" spans="3:39" ht="15" customHeight="1">
      <c r="C666" s="1530"/>
      <c r="D666" s="1531"/>
      <c r="E666" s="1531"/>
      <c r="F666" s="1531"/>
      <c r="G666" s="1531"/>
      <c r="H666" s="1531"/>
      <c r="I666" s="1531"/>
      <c r="J666" s="1531"/>
      <c r="K666" s="1531"/>
      <c r="L666" s="1531"/>
      <c r="M666" s="1531"/>
      <c r="N666" s="1531"/>
      <c r="O666" s="1531"/>
      <c r="P666" s="1531"/>
      <c r="Q666" s="1532"/>
      <c r="R666" s="10"/>
      <c r="S666" s="1530"/>
      <c r="T666" s="1531"/>
      <c r="U666" s="1531"/>
      <c r="V666" s="1531"/>
      <c r="W666" s="1531"/>
      <c r="X666" s="1531"/>
      <c r="Y666" s="1531"/>
      <c r="Z666" s="1531"/>
      <c r="AA666" s="1531"/>
      <c r="AB666" s="1531"/>
      <c r="AC666" s="1531"/>
      <c r="AD666" s="1531"/>
      <c r="AE666" s="1531"/>
      <c r="AF666" s="1531"/>
      <c r="AG666" s="1532"/>
      <c r="AM666" s="555"/>
    </row>
    <row r="667" spans="3:39" ht="15" customHeight="1">
      <c r="C667" s="1530"/>
      <c r="D667" s="1531"/>
      <c r="E667" s="1531"/>
      <c r="F667" s="1531"/>
      <c r="G667" s="1531"/>
      <c r="H667" s="1531"/>
      <c r="I667" s="1531"/>
      <c r="J667" s="1531"/>
      <c r="K667" s="1531"/>
      <c r="L667" s="1531"/>
      <c r="M667" s="1531"/>
      <c r="N667" s="1531"/>
      <c r="O667" s="1531"/>
      <c r="P667" s="1531"/>
      <c r="Q667" s="1532"/>
      <c r="R667" s="10"/>
      <c r="S667" s="1530"/>
      <c r="T667" s="1531"/>
      <c r="U667" s="1531"/>
      <c r="V667" s="1531"/>
      <c r="W667" s="1531"/>
      <c r="X667" s="1531"/>
      <c r="Y667" s="1531"/>
      <c r="Z667" s="1531"/>
      <c r="AA667" s="1531"/>
      <c r="AB667" s="1531"/>
      <c r="AC667" s="1531"/>
      <c r="AD667" s="1531"/>
      <c r="AE667" s="1531"/>
      <c r="AF667" s="1531"/>
      <c r="AG667" s="1532"/>
      <c r="AM667" s="555"/>
    </row>
    <row r="668" spans="3:39" ht="15" customHeight="1">
      <c r="C668" s="1530"/>
      <c r="D668" s="1531"/>
      <c r="E668" s="1531"/>
      <c r="F668" s="1531"/>
      <c r="G668" s="1531"/>
      <c r="H668" s="1531"/>
      <c r="I668" s="1531"/>
      <c r="J668" s="1531"/>
      <c r="K668" s="1531"/>
      <c r="L668" s="1531"/>
      <c r="M668" s="1531"/>
      <c r="N668" s="1531"/>
      <c r="O668" s="1531"/>
      <c r="P668" s="1531"/>
      <c r="Q668" s="1532"/>
      <c r="R668" s="10"/>
      <c r="S668" s="1530"/>
      <c r="T668" s="1531"/>
      <c r="U668" s="1531"/>
      <c r="V668" s="1531"/>
      <c r="W668" s="1531"/>
      <c r="X668" s="1531"/>
      <c r="Y668" s="1531"/>
      <c r="Z668" s="1531"/>
      <c r="AA668" s="1531"/>
      <c r="AB668" s="1531"/>
      <c r="AC668" s="1531"/>
      <c r="AD668" s="1531"/>
      <c r="AE668" s="1531"/>
      <c r="AF668" s="1531"/>
      <c r="AG668" s="1532"/>
      <c r="AM668" s="555"/>
    </row>
    <row r="669" spans="3:39" ht="15" customHeight="1">
      <c r="C669" s="1530"/>
      <c r="D669" s="1531"/>
      <c r="E669" s="1531"/>
      <c r="F669" s="1531"/>
      <c r="G669" s="1531"/>
      <c r="H669" s="1531"/>
      <c r="I669" s="1531"/>
      <c r="J669" s="1531"/>
      <c r="K669" s="1531"/>
      <c r="L669" s="1531"/>
      <c r="M669" s="1531"/>
      <c r="N669" s="1531"/>
      <c r="O669" s="1531"/>
      <c r="P669" s="1531"/>
      <c r="Q669" s="1532"/>
      <c r="R669" s="10"/>
      <c r="S669" s="1530"/>
      <c r="T669" s="1531"/>
      <c r="U669" s="1531"/>
      <c r="V669" s="1531"/>
      <c r="W669" s="1531"/>
      <c r="X669" s="1531"/>
      <c r="Y669" s="1531"/>
      <c r="Z669" s="1531"/>
      <c r="AA669" s="1531"/>
      <c r="AB669" s="1531"/>
      <c r="AC669" s="1531"/>
      <c r="AD669" s="1531"/>
      <c r="AE669" s="1531"/>
      <c r="AF669" s="1531"/>
      <c r="AG669" s="1532"/>
    </row>
    <row r="670" spans="3:39" ht="15" customHeight="1">
      <c r="C670" s="1530"/>
      <c r="D670" s="1531"/>
      <c r="E670" s="1531"/>
      <c r="F670" s="1531"/>
      <c r="G670" s="1531"/>
      <c r="H670" s="1531"/>
      <c r="I670" s="1531"/>
      <c r="J670" s="1531"/>
      <c r="K670" s="1531"/>
      <c r="L670" s="1531"/>
      <c r="M670" s="1531"/>
      <c r="N670" s="1531"/>
      <c r="O670" s="1531"/>
      <c r="P670" s="1531"/>
      <c r="Q670" s="1532"/>
      <c r="R670" s="10"/>
      <c r="S670" s="1530"/>
      <c r="T670" s="1531"/>
      <c r="U670" s="1531"/>
      <c r="V670" s="1531"/>
      <c r="W670" s="1531"/>
      <c r="X670" s="1531"/>
      <c r="Y670" s="1531"/>
      <c r="Z670" s="1531"/>
      <c r="AA670" s="1531"/>
      <c r="AB670" s="1531"/>
      <c r="AC670" s="1531"/>
      <c r="AD670" s="1531"/>
      <c r="AE670" s="1531"/>
      <c r="AF670" s="1531"/>
      <c r="AG670" s="1532"/>
    </row>
    <row r="671" spans="3:39" ht="15" customHeight="1">
      <c r="C671" s="1530"/>
      <c r="D671" s="1531"/>
      <c r="E671" s="1531"/>
      <c r="F671" s="1531"/>
      <c r="G671" s="1531"/>
      <c r="H671" s="1531"/>
      <c r="I671" s="1531"/>
      <c r="J671" s="1531"/>
      <c r="K671" s="1531"/>
      <c r="L671" s="1531"/>
      <c r="M671" s="1531"/>
      <c r="N671" s="1531"/>
      <c r="O671" s="1531"/>
      <c r="P671" s="1531"/>
      <c r="Q671" s="1532"/>
      <c r="R671" s="10"/>
      <c r="S671" s="1530"/>
      <c r="T671" s="1531"/>
      <c r="U671" s="1531"/>
      <c r="V671" s="1531"/>
      <c r="W671" s="1531"/>
      <c r="X671" s="1531"/>
      <c r="Y671" s="1531"/>
      <c r="Z671" s="1531"/>
      <c r="AA671" s="1531"/>
      <c r="AB671" s="1531"/>
      <c r="AC671" s="1531"/>
      <c r="AD671" s="1531"/>
      <c r="AE671" s="1531"/>
      <c r="AF671" s="1531"/>
      <c r="AG671" s="1532"/>
    </row>
    <row r="672" spans="3:39" ht="15" customHeight="1">
      <c r="C672" s="1530"/>
      <c r="D672" s="1531"/>
      <c r="E672" s="1531"/>
      <c r="F672" s="1531"/>
      <c r="G672" s="1531"/>
      <c r="H672" s="1531"/>
      <c r="I672" s="1531"/>
      <c r="J672" s="1531"/>
      <c r="K672" s="1531"/>
      <c r="L672" s="1531"/>
      <c r="M672" s="1531"/>
      <c r="N672" s="1531"/>
      <c r="O672" s="1531"/>
      <c r="P672" s="1531"/>
      <c r="Q672" s="1532"/>
      <c r="R672" s="10"/>
      <c r="S672" s="1530"/>
      <c r="T672" s="1531"/>
      <c r="U672" s="1531"/>
      <c r="V672" s="1531"/>
      <c r="W672" s="1531"/>
      <c r="X672" s="1531"/>
      <c r="Y672" s="1531"/>
      <c r="Z672" s="1531"/>
      <c r="AA672" s="1531"/>
      <c r="AB672" s="1531"/>
      <c r="AC672" s="1531"/>
      <c r="AD672" s="1531"/>
      <c r="AE672" s="1531"/>
      <c r="AF672" s="1531"/>
      <c r="AG672" s="1532"/>
    </row>
    <row r="673" spans="3:33" ht="15" customHeight="1">
      <c r="C673" s="1530"/>
      <c r="D673" s="1531"/>
      <c r="E673" s="1531"/>
      <c r="F673" s="1531"/>
      <c r="G673" s="1531"/>
      <c r="H673" s="1531"/>
      <c r="I673" s="1531"/>
      <c r="J673" s="1531"/>
      <c r="K673" s="1531"/>
      <c r="L673" s="1531"/>
      <c r="M673" s="1531"/>
      <c r="N673" s="1531"/>
      <c r="O673" s="1531"/>
      <c r="P673" s="1531"/>
      <c r="Q673" s="1532"/>
      <c r="R673" s="10"/>
      <c r="S673" s="1530"/>
      <c r="T673" s="1531"/>
      <c r="U673" s="1531"/>
      <c r="V673" s="1531"/>
      <c r="W673" s="1531"/>
      <c r="X673" s="1531"/>
      <c r="Y673" s="1531"/>
      <c r="Z673" s="1531"/>
      <c r="AA673" s="1531"/>
      <c r="AB673" s="1531"/>
      <c r="AC673" s="1531"/>
      <c r="AD673" s="1531"/>
      <c r="AE673" s="1531"/>
      <c r="AF673" s="1531"/>
      <c r="AG673" s="1532"/>
    </row>
    <row r="674" spans="3:33" ht="15" customHeight="1">
      <c r="C674" s="1533"/>
      <c r="D674" s="1534"/>
      <c r="E674" s="1534"/>
      <c r="F674" s="1534"/>
      <c r="G674" s="1534"/>
      <c r="H674" s="1534"/>
      <c r="I674" s="1534"/>
      <c r="J674" s="1534"/>
      <c r="K674" s="1534"/>
      <c r="L674" s="1534"/>
      <c r="M674" s="1534"/>
      <c r="N674" s="1534"/>
      <c r="O674" s="1534"/>
      <c r="P674" s="1534"/>
      <c r="Q674" s="1535"/>
      <c r="R674" s="10"/>
      <c r="S674" s="1533"/>
      <c r="T674" s="1534"/>
      <c r="U674" s="1534"/>
      <c r="V674" s="1534"/>
      <c r="W674" s="1534"/>
      <c r="X674" s="1534"/>
      <c r="Y674" s="1534"/>
      <c r="Z674" s="1534"/>
      <c r="AA674" s="1534"/>
      <c r="AB674" s="1534"/>
      <c r="AC674" s="1534"/>
      <c r="AD674" s="1534"/>
      <c r="AE674" s="1534"/>
      <c r="AF674" s="1534"/>
      <c r="AG674" s="1535"/>
    </row>
    <row r="675" spans="3:33" ht="15" customHeight="1"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</row>
    <row r="676" spans="3:33" ht="15" customHeight="1">
      <c r="C676" s="1510" t="s">
        <v>181</v>
      </c>
      <c r="D676" s="1511"/>
      <c r="E676" s="1511"/>
      <c r="F676" s="1511"/>
      <c r="G676" s="1511"/>
      <c r="H676" s="1511"/>
      <c r="I676" s="1511"/>
      <c r="J676" s="1511"/>
      <c r="K676" s="1511"/>
      <c r="L676" s="1511"/>
      <c r="M676" s="1511"/>
      <c r="N676" s="1511"/>
      <c r="O676" s="1511"/>
      <c r="P676" s="1511"/>
      <c r="Q676" s="1512"/>
      <c r="R676" s="148"/>
      <c r="S676" s="1510" t="s">
        <v>181</v>
      </c>
      <c r="T676" s="1511"/>
      <c r="U676" s="1511"/>
      <c r="V676" s="1511"/>
      <c r="W676" s="1511"/>
      <c r="X676" s="1511"/>
      <c r="Y676" s="1511"/>
      <c r="Z676" s="1511"/>
      <c r="AA676" s="1511"/>
      <c r="AB676" s="1511"/>
      <c r="AC676" s="1511"/>
      <c r="AD676" s="1511"/>
      <c r="AE676" s="1511"/>
      <c r="AF676" s="1511"/>
      <c r="AG676" s="1512"/>
    </row>
    <row r="677" spans="3:33" ht="15" customHeight="1">
      <c r="C677" s="1513"/>
      <c r="D677" s="1514"/>
      <c r="E677" s="1514"/>
      <c r="F677" s="1514"/>
      <c r="G677" s="1514"/>
      <c r="H677" s="1514"/>
      <c r="I677" s="1514"/>
      <c r="J677" s="1514"/>
      <c r="K677" s="1514"/>
      <c r="L677" s="1514"/>
      <c r="M677" s="1514"/>
      <c r="N677" s="1514"/>
      <c r="O677" s="1514"/>
      <c r="P677" s="1514"/>
      <c r="Q677" s="1515"/>
      <c r="R677" s="148"/>
      <c r="S677" s="1513"/>
      <c r="T677" s="1514"/>
      <c r="U677" s="1514"/>
      <c r="V677" s="1514"/>
      <c r="W677" s="1514"/>
      <c r="X677" s="1514"/>
      <c r="Y677" s="1514"/>
      <c r="Z677" s="1514"/>
      <c r="AA677" s="1514"/>
      <c r="AB677" s="1514"/>
      <c r="AC677" s="1514"/>
      <c r="AD677" s="1514"/>
      <c r="AE677" s="1514"/>
      <c r="AF677" s="1514"/>
      <c r="AG677" s="1515"/>
    </row>
    <row r="678" spans="3:33" ht="15" customHeight="1"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48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3:33" ht="15" customHeight="1"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48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3:33" ht="15" customHeight="1"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48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3:33" ht="15" customHeight="1" thickBot="1"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48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3:33" ht="15" customHeight="1" thickTop="1">
      <c r="C682" s="1560" t="str">
        <f>$C$90</f>
        <v>Construção da Estação de Bombeamento de Águas Pluviais Laranja, Vila Velha/ES</v>
      </c>
      <c r="D682" s="1560"/>
      <c r="E682" s="1560"/>
      <c r="F682" s="1560"/>
      <c r="G682" s="1560"/>
      <c r="H682" s="1560"/>
      <c r="I682" s="1560"/>
      <c r="J682" s="1560"/>
      <c r="K682" s="1560"/>
      <c r="L682" s="1560"/>
      <c r="M682" s="1560"/>
      <c r="N682" s="1560"/>
      <c r="O682" s="1560"/>
      <c r="P682" s="1560"/>
      <c r="Q682" s="1560"/>
      <c r="R682" s="1560"/>
      <c r="S682" s="1560"/>
      <c r="T682" s="1560"/>
      <c r="U682" s="1560"/>
      <c r="V682" s="1560"/>
      <c r="W682" s="1560"/>
      <c r="X682" s="1560"/>
      <c r="Y682" s="1560"/>
      <c r="Z682" s="1560"/>
      <c r="AA682" s="175"/>
      <c r="AB682" s="175"/>
      <c r="AC682" s="175"/>
      <c r="AD682" s="1744">
        <f>AD616+1</f>
        <v>31</v>
      </c>
      <c r="AE682" s="1745"/>
      <c r="AF682" s="1745"/>
      <c r="AG682" s="1745"/>
    </row>
    <row r="683" spans="3:33" ht="15" customHeight="1">
      <c r="C683" s="441"/>
      <c r="D683" s="441"/>
      <c r="E683" s="441"/>
      <c r="F683" s="441"/>
      <c r="G683" s="441"/>
      <c r="H683" s="441"/>
      <c r="I683" s="441"/>
      <c r="J683" s="441"/>
      <c r="K683" s="441"/>
      <c r="L683" s="441"/>
      <c r="M683" s="441"/>
      <c r="N683" s="441"/>
      <c r="O683" s="441"/>
      <c r="P683" s="441"/>
      <c r="Q683" s="441"/>
      <c r="R683" s="441"/>
      <c r="S683" s="441"/>
      <c r="T683" s="441"/>
      <c r="U683" s="441"/>
      <c r="V683" s="441"/>
      <c r="W683" s="441"/>
      <c r="X683" s="441"/>
      <c r="Y683" s="441"/>
      <c r="Z683" s="441"/>
      <c r="AA683" s="436"/>
      <c r="AB683" s="436"/>
      <c r="AC683" s="436"/>
      <c r="AD683" s="442"/>
      <c r="AE683" s="443"/>
      <c r="AF683" s="443"/>
      <c r="AG683" s="443"/>
    </row>
    <row r="684" spans="3:33" ht="15" customHeight="1">
      <c r="C684" s="437"/>
      <c r="D684" s="437"/>
      <c r="E684" s="437"/>
      <c r="F684" s="437"/>
      <c r="G684" s="437"/>
      <c r="H684" s="437"/>
      <c r="I684" s="437"/>
      <c r="J684" s="437"/>
      <c r="K684" s="437"/>
      <c r="L684" s="437"/>
      <c r="M684" s="437"/>
      <c r="N684" s="437"/>
      <c r="O684" s="437"/>
      <c r="P684" s="437"/>
      <c r="Q684" s="437"/>
      <c r="R684" s="437"/>
      <c r="S684" s="437"/>
      <c r="T684" s="437"/>
      <c r="U684" s="437"/>
      <c r="V684" s="437"/>
      <c r="W684" s="437"/>
      <c r="X684" s="437"/>
      <c r="Y684" s="437"/>
      <c r="Z684" s="437"/>
      <c r="AA684" s="444"/>
      <c r="AB684" s="444"/>
      <c r="AC684" s="444"/>
      <c r="AD684" s="444"/>
      <c r="AE684" s="444"/>
      <c r="AF684" s="444"/>
      <c r="AG684" s="444"/>
    </row>
    <row r="685" spans="3:33" ht="15" customHeight="1"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</row>
    <row r="686" spans="3:33" ht="15" customHeight="1"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39"/>
      <c r="Z686" s="439"/>
      <c r="AA686" s="439"/>
      <c r="AB686" s="439"/>
      <c r="AC686" s="439"/>
      <c r="AD686" s="439"/>
      <c r="AE686" s="439"/>
      <c r="AF686" s="439"/>
      <c r="AG686" s="439"/>
    </row>
    <row r="687" spans="3:33" ht="15" customHeight="1"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  <c r="N687" s="439"/>
      <c r="O687" s="439"/>
      <c r="P687" s="439"/>
      <c r="Q687" s="439"/>
      <c r="R687" s="439"/>
      <c r="S687" s="439"/>
      <c r="T687" s="439"/>
      <c r="U687" s="439"/>
      <c r="V687" s="439"/>
      <c r="W687" s="439"/>
      <c r="X687" s="439"/>
      <c r="Y687" s="439"/>
      <c r="Z687" s="439"/>
      <c r="AA687" s="439"/>
      <c r="AB687" s="439"/>
      <c r="AC687" s="439"/>
      <c r="AD687" s="439"/>
      <c r="AE687" s="439"/>
      <c r="AF687" s="439"/>
      <c r="AG687" s="439"/>
    </row>
    <row r="688" spans="3:33" ht="15" customHeight="1"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  <c r="AA688" s="171"/>
      <c r="AB688" s="171"/>
      <c r="AC688" s="171"/>
      <c r="AD688" s="171"/>
      <c r="AE688" s="171"/>
      <c r="AF688" s="171"/>
      <c r="AG688" s="171"/>
    </row>
    <row r="689" spans="3:33" ht="15" customHeight="1"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  <c r="AA689" s="171"/>
      <c r="AB689" s="171"/>
      <c r="AC689" s="171"/>
      <c r="AD689" s="171"/>
      <c r="AE689" s="171"/>
      <c r="AF689" s="171"/>
      <c r="AG689" s="171"/>
    </row>
    <row r="690" spans="3:33" ht="15" customHeight="1"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  <c r="AA690" s="171"/>
      <c r="AB690" s="171"/>
      <c r="AC690" s="171"/>
      <c r="AD690" s="171"/>
      <c r="AE690" s="171"/>
      <c r="AF690" s="171"/>
      <c r="AG690" s="171"/>
    </row>
    <row r="691" spans="3:33" ht="15" customHeight="1"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</row>
    <row r="692" spans="3:33" ht="15" customHeight="1">
      <c r="C692" s="44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44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3:33" ht="15" customHeight="1"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3:33" ht="15" customHeight="1"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3:33" ht="15" customHeight="1"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3:33" ht="15" customHeight="1"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3:33" ht="15" customHeight="1"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3:33" ht="15" customHeight="1"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3:33" ht="15" customHeight="1"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3:33" ht="15" customHeight="1"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3:33" ht="15" customHeight="1"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3:33" ht="15" customHeight="1"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3:33" ht="15" customHeight="1"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3:33" ht="15" customHeight="1"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</row>
    <row r="705" spans="3:33" ht="15" customHeight="1"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148"/>
      <c r="S705" s="438"/>
      <c r="T705" s="438"/>
      <c r="U705" s="438"/>
      <c r="V705" s="438"/>
      <c r="W705" s="438"/>
      <c r="X705" s="438"/>
      <c r="Y705" s="438"/>
      <c r="Z705" s="438"/>
      <c r="AA705" s="438"/>
      <c r="AB705" s="438"/>
      <c r="AC705" s="438"/>
      <c r="AD705" s="438"/>
      <c r="AE705" s="438"/>
      <c r="AF705" s="438"/>
      <c r="AG705" s="438"/>
    </row>
    <row r="706" spans="3:33" ht="15" customHeight="1"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148"/>
      <c r="S706" s="438"/>
      <c r="T706" s="438"/>
      <c r="U706" s="438"/>
      <c r="V706" s="438"/>
      <c r="W706" s="438"/>
      <c r="X706" s="438"/>
      <c r="Y706" s="438"/>
      <c r="Z706" s="438"/>
      <c r="AA706" s="438"/>
      <c r="AB706" s="438"/>
      <c r="AC706" s="438"/>
      <c r="AD706" s="438"/>
      <c r="AE706" s="438"/>
      <c r="AF706" s="438"/>
      <c r="AG706" s="438"/>
    </row>
    <row r="707" spans="3:33" ht="15" customHeight="1"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48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3:33" ht="15" customHeight="1"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48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3:33" ht="15" customHeight="1"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48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3:33" ht="15" customHeight="1"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</row>
    <row r="711" spans="3:33" ht="15" customHeight="1">
      <c r="C711" s="44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44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3:33" ht="15" customHeight="1"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3:33" ht="15" customHeight="1"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3:33" ht="15" customHeight="1"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3:33" ht="15" customHeight="1"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3:33" ht="15" customHeight="1"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3:33" ht="15" customHeight="1"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3:33" ht="15" customHeight="1"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3:33" ht="15" customHeight="1"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3:33" ht="15" customHeight="1"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3:33" ht="15" customHeight="1"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3:33" ht="15" customHeight="1"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3:33" ht="15" customHeight="1"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</row>
    <row r="724" spans="3:33" ht="15" customHeight="1"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148"/>
      <c r="S724" s="438"/>
      <c r="T724" s="438"/>
      <c r="U724" s="438"/>
      <c r="V724" s="438"/>
      <c r="W724" s="438"/>
      <c r="X724" s="438"/>
      <c r="Y724" s="438"/>
      <c r="Z724" s="438"/>
      <c r="AA724" s="438"/>
      <c r="AB724" s="438"/>
      <c r="AC724" s="438"/>
      <c r="AD724" s="438"/>
      <c r="AE724" s="438"/>
      <c r="AF724" s="438"/>
      <c r="AG724" s="438"/>
    </row>
    <row r="725" spans="3:33" ht="15" customHeight="1"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148"/>
      <c r="S725" s="438"/>
      <c r="T725" s="438"/>
      <c r="U725" s="438"/>
      <c r="V725" s="438"/>
      <c r="W725" s="438"/>
      <c r="X725" s="438"/>
      <c r="Y725" s="438"/>
      <c r="Z725" s="438"/>
      <c r="AA725" s="438"/>
      <c r="AB725" s="438"/>
      <c r="AC725" s="438"/>
      <c r="AD725" s="438"/>
      <c r="AE725" s="438"/>
      <c r="AF725" s="438"/>
      <c r="AG725" s="438"/>
    </row>
    <row r="726" spans="3:33" ht="15" customHeight="1"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48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3:33" ht="15" customHeight="1"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48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3:33" ht="15" customHeight="1"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48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3:33" ht="15" customHeight="1"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</row>
    <row r="730" spans="3:33" ht="15" customHeight="1">
      <c r="C730" s="44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44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3:33" ht="15" customHeight="1"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3:33" ht="15" customHeight="1"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3:33" ht="15" customHeight="1"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3:33" ht="15" customHeight="1"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3:33" ht="15" customHeight="1"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3:33" ht="15" customHeight="1"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3:33" ht="15" customHeight="1"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3:33" ht="15" customHeight="1"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3:33" ht="15" customHeight="1"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3:33" ht="15" customHeight="1"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3:33" ht="15" customHeight="1"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3:33" ht="15" customHeight="1"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</row>
    <row r="743" spans="3:33" ht="15" customHeight="1"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148"/>
      <c r="S743" s="438"/>
      <c r="T743" s="438"/>
      <c r="U743" s="438"/>
      <c r="V743" s="438"/>
      <c r="W743" s="438"/>
      <c r="X743" s="438"/>
      <c r="Y743" s="438"/>
      <c r="Z743" s="438"/>
      <c r="AA743" s="438"/>
      <c r="AB743" s="438"/>
      <c r="AC743" s="438"/>
      <c r="AD743" s="438"/>
      <c r="AE743" s="438"/>
      <c r="AF743" s="438"/>
      <c r="AG743" s="438"/>
    </row>
    <row r="744" spans="3:33" ht="15" customHeight="1"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148"/>
      <c r="S744" s="438"/>
      <c r="T744" s="438"/>
      <c r="U744" s="438"/>
      <c r="V744" s="438"/>
      <c r="W744" s="438"/>
      <c r="X744" s="438"/>
      <c r="Y744" s="438"/>
      <c r="Z744" s="438"/>
      <c r="AA744" s="438"/>
      <c r="AB744" s="438"/>
      <c r="AC744" s="438"/>
      <c r="AD744" s="438"/>
      <c r="AE744" s="438"/>
      <c r="AF744" s="438"/>
      <c r="AG744" s="438"/>
    </row>
    <row r="745" spans="3:33" ht="15" customHeight="1"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48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3:33" ht="15" customHeight="1"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48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3:33" ht="15" customHeight="1"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48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9" spans="3:33" ht="15" customHeight="1">
      <c r="C749" s="441"/>
      <c r="D749" s="441"/>
      <c r="E749" s="441"/>
      <c r="F749" s="441"/>
      <c r="G749" s="441"/>
      <c r="H749" s="441"/>
      <c r="I749" s="441"/>
      <c r="J749" s="441"/>
      <c r="K749" s="441"/>
      <c r="L749" s="441"/>
      <c r="M749" s="441"/>
      <c r="N749" s="441"/>
      <c r="O749" s="441"/>
      <c r="P749" s="441"/>
      <c r="Q749" s="441"/>
      <c r="R749" s="441"/>
      <c r="S749" s="441"/>
      <c r="T749" s="441"/>
      <c r="U749" s="441"/>
      <c r="V749" s="441"/>
      <c r="W749" s="441"/>
      <c r="X749" s="441"/>
      <c r="Y749" s="441"/>
      <c r="Z749" s="441"/>
      <c r="AA749" s="436"/>
      <c r="AB749" s="436"/>
      <c r="AC749" s="436"/>
      <c r="AD749" s="442"/>
      <c r="AE749" s="443"/>
      <c r="AF749" s="443"/>
      <c r="AG749" s="443"/>
    </row>
    <row r="750" spans="3:33" ht="15" customHeight="1">
      <c r="C750" s="437"/>
      <c r="D750" s="437"/>
      <c r="E750" s="437"/>
      <c r="F750" s="437"/>
      <c r="G750" s="437"/>
      <c r="H750" s="437"/>
      <c r="I750" s="437"/>
      <c r="J750" s="437"/>
      <c r="K750" s="437"/>
      <c r="L750" s="437"/>
      <c r="M750" s="437"/>
      <c r="N750" s="437"/>
      <c r="O750" s="437"/>
      <c r="P750" s="437"/>
      <c r="Q750" s="437"/>
      <c r="R750" s="437"/>
      <c r="S750" s="437"/>
      <c r="T750" s="437"/>
      <c r="U750" s="437"/>
      <c r="V750" s="437"/>
      <c r="W750" s="437"/>
      <c r="X750" s="437"/>
      <c r="Y750" s="437"/>
      <c r="Z750" s="437"/>
      <c r="AA750" s="444"/>
      <c r="AB750" s="444"/>
      <c r="AC750" s="444"/>
      <c r="AD750" s="444"/>
      <c r="AE750" s="444"/>
      <c r="AF750" s="444"/>
      <c r="AG750" s="444"/>
    </row>
    <row r="751" spans="3:33" ht="15" customHeight="1"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</row>
    <row r="752" spans="3:33" ht="15" customHeight="1"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  <c r="N752" s="439"/>
      <c r="O752" s="439"/>
      <c r="P752" s="439"/>
      <c r="Q752" s="439"/>
      <c r="R752" s="439"/>
      <c r="S752" s="439"/>
      <c r="T752" s="439"/>
      <c r="U752" s="439"/>
      <c r="V752" s="439"/>
      <c r="W752" s="439"/>
      <c r="X752" s="439"/>
      <c r="Y752" s="439"/>
      <c r="Z752" s="439"/>
      <c r="AA752" s="439"/>
      <c r="AB752" s="439"/>
      <c r="AC752" s="439"/>
      <c r="AD752" s="439"/>
      <c r="AE752" s="439"/>
      <c r="AF752" s="439"/>
      <c r="AG752" s="439"/>
    </row>
    <row r="753" spans="3:33" ht="15" customHeight="1"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  <c r="N753" s="439"/>
      <c r="O753" s="439"/>
      <c r="P753" s="439"/>
      <c r="Q753" s="439"/>
      <c r="R753" s="439"/>
      <c r="S753" s="439"/>
      <c r="T753" s="439"/>
      <c r="U753" s="439"/>
      <c r="V753" s="439"/>
      <c r="W753" s="439"/>
      <c r="X753" s="439"/>
      <c r="Y753" s="439"/>
      <c r="Z753" s="439"/>
      <c r="AA753" s="439"/>
      <c r="AB753" s="439"/>
      <c r="AC753" s="439"/>
      <c r="AD753" s="439"/>
      <c r="AE753" s="439"/>
      <c r="AF753" s="439"/>
      <c r="AG753" s="439"/>
    </row>
    <row r="754" spans="3:33" ht="15" customHeight="1"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  <c r="AA754" s="171"/>
      <c r="AB754" s="171"/>
      <c r="AC754" s="171"/>
      <c r="AD754" s="171"/>
      <c r="AE754" s="171"/>
      <c r="AF754" s="171"/>
      <c r="AG754" s="171"/>
    </row>
    <row r="755" spans="3:33" ht="15" customHeight="1"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  <c r="AA755" s="171"/>
      <c r="AB755" s="171"/>
      <c r="AC755" s="171"/>
      <c r="AD755" s="171"/>
      <c r="AE755" s="171"/>
      <c r="AF755" s="171"/>
      <c r="AG755" s="171"/>
    </row>
    <row r="756" spans="3:33" ht="15" customHeight="1"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  <c r="AA756" s="171"/>
      <c r="AB756" s="171"/>
      <c r="AC756" s="171"/>
      <c r="AD756" s="171"/>
      <c r="AE756" s="171"/>
      <c r="AF756" s="171"/>
      <c r="AG756" s="171"/>
    </row>
    <row r="757" spans="3:33" ht="15" customHeight="1"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</row>
    <row r="758" spans="3:33" ht="15" customHeight="1">
      <c r="C758" s="44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44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3:33" ht="15" customHeight="1"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3:33" ht="15" customHeight="1"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3:33" ht="15" customHeight="1"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3:33" ht="15" customHeight="1"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3:33" ht="15" customHeight="1"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3:33" ht="15" customHeight="1"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3:33" ht="15" customHeight="1"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3:33" ht="15" customHeight="1"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3:33" ht="15" customHeight="1"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3:33" ht="15" customHeight="1"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3:33" ht="15" customHeight="1"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3:33" ht="15" customHeight="1"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</row>
    <row r="771" spans="3:33" ht="15" customHeight="1"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148"/>
      <c r="S771" s="438"/>
      <c r="T771" s="438"/>
      <c r="U771" s="438"/>
      <c r="V771" s="438"/>
      <c r="W771" s="438"/>
      <c r="X771" s="438"/>
      <c r="Y771" s="438"/>
      <c r="Z771" s="438"/>
      <c r="AA771" s="438"/>
      <c r="AB771" s="438"/>
      <c r="AC771" s="438"/>
      <c r="AD771" s="438"/>
      <c r="AE771" s="438"/>
      <c r="AF771" s="438"/>
      <c r="AG771" s="438"/>
    </row>
    <row r="772" spans="3:33" ht="15" customHeight="1"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148"/>
      <c r="S772" s="438"/>
      <c r="T772" s="438"/>
      <c r="U772" s="438"/>
      <c r="V772" s="438"/>
      <c r="W772" s="438"/>
      <c r="X772" s="438"/>
      <c r="Y772" s="438"/>
      <c r="Z772" s="438"/>
      <c r="AA772" s="438"/>
      <c r="AB772" s="438"/>
      <c r="AC772" s="438"/>
      <c r="AD772" s="438"/>
      <c r="AE772" s="438"/>
      <c r="AF772" s="438"/>
      <c r="AG772" s="438"/>
    </row>
    <row r="773" spans="3:33" ht="15" customHeight="1"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48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3:33" ht="15" customHeight="1"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48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3:33" ht="15" customHeight="1"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48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3:33" ht="15" customHeight="1"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</row>
    <row r="777" spans="3:33" ht="15" customHeight="1">
      <c r="C777" s="44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44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3:33" ht="15" customHeight="1"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3:33" ht="15" customHeight="1"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3:33" ht="15" customHeight="1"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3:33" ht="15" customHeight="1"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3:33" ht="15" customHeight="1"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3:33" ht="15" customHeight="1"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3:33" ht="15" customHeight="1"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3:33" ht="15" customHeight="1"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3:33" ht="15" customHeight="1"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3:33" ht="15" customHeight="1"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3:33" ht="15" customHeight="1"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3:33" ht="15" customHeight="1"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</row>
    <row r="790" spans="3:33" ht="15" customHeight="1"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148"/>
      <c r="S790" s="438"/>
      <c r="T790" s="438"/>
      <c r="U790" s="438"/>
      <c r="V790" s="438"/>
      <c r="W790" s="438"/>
      <c r="X790" s="438"/>
      <c r="Y790" s="438"/>
      <c r="Z790" s="438"/>
      <c r="AA790" s="438"/>
      <c r="AB790" s="438"/>
      <c r="AC790" s="438"/>
      <c r="AD790" s="438"/>
      <c r="AE790" s="438"/>
      <c r="AF790" s="438"/>
      <c r="AG790" s="438"/>
    </row>
    <row r="791" spans="3:33" ht="15" customHeight="1"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148"/>
      <c r="S791" s="438"/>
      <c r="T791" s="438"/>
      <c r="U791" s="438"/>
      <c r="V791" s="438"/>
      <c r="W791" s="438"/>
      <c r="X791" s="438"/>
      <c r="Y791" s="438"/>
      <c r="Z791" s="438"/>
      <c r="AA791" s="438"/>
      <c r="AB791" s="438"/>
      <c r="AC791" s="438"/>
      <c r="AD791" s="438"/>
      <c r="AE791" s="438"/>
      <c r="AF791" s="438"/>
      <c r="AG791" s="438"/>
    </row>
    <row r="792" spans="3:33" ht="15" customHeight="1"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48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3:33" ht="15" customHeight="1">
      <c r="C793" s="170"/>
      <c r="D793" s="170"/>
      <c r="E793" s="170"/>
      <c r="F793" s="170"/>
      <c r="G793" s="170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48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</row>
    <row r="794" spans="3:33" ht="15" customHeight="1">
      <c r="C794" s="170"/>
      <c r="D794" s="170"/>
      <c r="E794" s="170"/>
      <c r="F794" s="170"/>
      <c r="G794" s="170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48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</row>
    <row r="795" spans="3:33" ht="15" customHeight="1"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</row>
    <row r="796" spans="3:33" ht="15" customHeight="1">
      <c r="C796" s="44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44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3:33" ht="15" customHeight="1"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3:33" ht="15" customHeight="1"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3:33" ht="15" customHeight="1"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3:33" ht="15" customHeight="1"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3:33" ht="15" customHeight="1"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3:33" ht="15" customHeight="1"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3:33" ht="15" customHeight="1"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3:33" ht="15" customHeight="1"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3:33" ht="15" customHeight="1"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3:33" ht="15" customHeight="1"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3:33" ht="15" customHeight="1"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3:33" ht="15" customHeight="1"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</row>
    <row r="809" spans="3:33" ht="15" customHeight="1"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148"/>
      <c r="S809" s="438"/>
      <c r="T809" s="438"/>
      <c r="U809" s="438"/>
      <c r="V809" s="438"/>
      <c r="W809" s="438"/>
      <c r="X809" s="438"/>
      <c r="Y809" s="438"/>
      <c r="Z809" s="438"/>
      <c r="AA809" s="438"/>
      <c r="AB809" s="438"/>
      <c r="AC809" s="438"/>
      <c r="AD809" s="438"/>
      <c r="AE809" s="438"/>
      <c r="AF809" s="438"/>
      <c r="AG809" s="438"/>
    </row>
    <row r="810" spans="3:33" ht="15" customHeight="1"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148"/>
      <c r="S810" s="438"/>
      <c r="T810" s="438"/>
      <c r="U810" s="438"/>
      <c r="V810" s="438"/>
      <c r="W810" s="438"/>
      <c r="X810" s="438"/>
      <c r="Y810" s="438"/>
      <c r="Z810" s="438"/>
      <c r="AA810" s="438"/>
      <c r="AB810" s="438"/>
      <c r="AC810" s="438"/>
      <c r="AD810" s="438"/>
      <c r="AE810" s="438"/>
      <c r="AF810" s="438"/>
      <c r="AG810" s="438"/>
    </row>
    <row r="811" spans="3:33" ht="15" customHeight="1">
      <c r="C811" s="170"/>
      <c r="D811" s="170"/>
      <c r="E811" s="170"/>
      <c r="F811" s="170"/>
      <c r="G811" s="170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48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</row>
    <row r="812" spans="3:33" ht="15" customHeight="1">
      <c r="C812" s="170"/>
      <c r="D812" s="170"/>
      <c r="E812" s="170"/>
      <c r="F812" s="170"/>
      <c r="G812" s="170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48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</row>
    <row r="813" spans="3:33" ht="15" customHeight="1">
      <c r="C813" s="170"/>
      <c r="D813" s="170"/>
      <c r="E813" s="170"/>
      <c r="F813" s="170"/>
      <c r="G813" s="170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48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</row>
    <row r="815" spans="3:33" ht="15" customHeight="1">
      <c r="C815" s="441"/>
      <c r="D815" s="441"/>
      <c r="E815" s="441"/>
      <c r="F815" s="441"/>
      <c r="G815" s="441"/>
      <c r="H815" s="441"/>
      <c r="I815" s="441"/>
      <c r="J815" s="441"/>
      <c r="K815" s="441"/>
      <c r="L815" s="441"/>
      <c r="M815" s="441"/>
      <c r="N815" s="441"/>
      <c r="O815" s="441"/>
      <c r="P815" s="441"/>
      <c r="Q815" s="441"/>
      <c r="R815" s="441"/>
      <c r="S815" s="441"/>
      <c r="T815" s="441"/>
      <c r="U815" s="441"/>
      <c r="V815" s="441"/>
      <c r="W815" s="441"/>
      <c r="X815" s="441"/>
      <c r="Y815" s="441"/>
      <c r="Z815" s="441"/>
      <c r="AA815" s="436"/>
      <c r="AB815" s="436"/>
      <c r="AC815" s="436"/>
      <c r="AD815" s="442"/>
      <c r="AE815" s="443"/>
      <c r="AF815" s="443"/>
      <c r="AG815" s="443"/>
    </row>
    <row r="816" spans="3:33" ht="15" customHeight="1">
      <c r="C816" s="437"/>
      <c r="D816" s="437"/>
      <c r="E816" s="437"/>
      <c r="F816" s="437"/>
      <c r="G816" s="437"/>
      <c r="H816" s="437"/>
      <c r="I816" s="437"/>
      <c r="J816" s="437"/>
      <c r="K816" s="437"/>
      <c r="L816" s="437"/>
      <c r="M816" s="437"/>
      <c r="N816" s="437"/>
      <c r="O816" s="437"/>
      <c r="P816" s="437"/>
      <c r="Q816" s="437"/>
      <c r="R816" s="437"/>
      <c r="S816" s="437"/>
      <c r="T816" s="437"/>
      <c r="U816" s="437"/>
      <c r="V816" s="437"/>
      <c r="W816" s="437"/>
      <c r="X816" s="437"/>
      <c r="Y816" s="437"/>
      <c r="Z816" s="437"/>
      <c r="AA816" s="444"/>
      <c r="AB816" s="444"/>
      <c r="AC816" s="444"/>
      <c r="AD816" s="444"/>
      <c r="AE816" s="444"/>
      <c r="AF816" s="444"/>
      <c r="AG816" s="444"/>
    </row>
    <row r="817" spans="3:33" ht="15" customHeight="1"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</row>
    <row r="818" spans="3:33" ht="15" customHeight="1"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/>
      <c r="X818" s="439"/>
      <c r="Y818" s="439"/>
      <c r="Z818" s="439"/>
      <c r="AA818" s="439"/>
      <c r="AB818" s="439"/>
      <c r="AC818" s="439"/>
      <c r="AD818" s="439"/>
      <c r="AE818" s="439"/>
      <c r="AF818" s="439"/>
      <c r="AG818" s="439"/>
    </row>
    <row r="819" spans="3:33" ht="15" customHeight="1"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  <c r="Z819" s="439"/>
      <c r="AA819" s="439"/>
      <c r="AB819" s="439"/>
      <c r="AC819" s="439"/>
      <c r="AD819" s="439"/>
      <c r="AE819" s="439"/>
      <c r="AF819" s="439"/>
      <c r="AG819" s="439"/>
    </row>
    <row r="820" spans="3:33" ht="15" customHeight="1"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  <c r="AA820" s="171"/>
      <c r="AB820" s="171"/>
      <c r="AC820" s="171"/>
      <c r="AD820" s="171"/>
      <c r="AE820" s="171"/>
      <c r="AF820" s="171"/>
      <c r="AG820" s="171"/>
    </row>
    <row r="821" spans="3:33" ht="15" customHeight="1"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  <c r="AA821" s="171"/>
      <c r="AB821" s="171"/>
      <c r="AC821" s="171"/>
      <c r="AD821" s="171"/>
      <c r="AE821" s="171"/>
      <c r="AF821" s="171"/>
      <c r="AG821" s="171"/>
    </row>
    <row r="822" spans="3:33" ht="15" customHeight="1"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  <c r="AA822" s="171"/>
      <c r="AB822" s="171"/>
      <c r="AC822" s="171"/>
      <c r="AD822" s="171"/>
      <c r="AE822" s="171"/>
      <c r="AF822" s="171"/>
      <c r="AG822" s="171"/>
    </row>
    <row r="823" spans="3:33" ht="15" customHeight="1"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</row>
    <row r="824" spans="3:33" ht="15" customHeight="1">
      <c r="C824" s="44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44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3:33" ht="15" customHeight="1"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3:33" ht="15" customHeight="1"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3:33" ht="15" customHeight="1"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3:33" ht="15" customHeight="1"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3:33" ht="15" customHeight="1"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3:33" ht="15" customHeight="1"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3:33" ht="15" customHeight="1"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3:33" ht="15" customHeight="1"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3:33" ht="15" customHeight="1"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3:33" ht="15" customHeight="1"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3:33" ht="15" customHeight="1"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3:33" ht="15" customHeight="1"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</row>
    <row r="837" spans="3:33" ht="15" customHeight="1"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148"/>
      <c r="S837" s="438"/>
      <c r="T837" s="438"/>
      <c r="U837" s="438"/>
      <c r="V837" s="438"/>
      <c r="W837" s="438"/>
      <c r="X837" s="438"/>
      <c r="Y837" s="438"/>
      <c r="Z837" s="438"/>
      <c r="AA837" s="438"/>
      <c r="AB837" s="438"/>
      <c r="AC837" s="438"/>
      <c r="AD837" s="438"/>
      <c r="AE837" s="438"/>
      <c r="AF837" s="438"/>
      <c r="AG837" s="438"/>
    </row>
    <row r="838" spans="3:33" ht="15" customHeight="1"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148"/>
      <c r="S838" s="438"/>
      <c r="T838" s="438"/>
      <c r="U838" s="438"/>
      <c r="V838" s="438"/>
      <c r="W838" s="438"/>
      <c r="X838" s="438"/>
      <c r="Y838" s="438"/>
      <c r="Z838" s="438"/>
      <c r="AA838" s="438"/>
      <c r="AB838" s="438"/>
      <c r="AC838" s="438"/>
      <c r="AD838" s="438"/>
      <c r="AE838" s="438"/>
      <c r="AF838" s="438"/>
      <c r="AG838" s="438"/>
    </row>
    <row r="839" spans="3:33" ht="15" customHeight="1">
      <c r="C839" s="170"/>
      <c r="D839" s="170"/>
      <c r="E839" s="170"/>
      <c r="F839" s="170"/>
      <c r="G839" s="170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48"/>
      <c r="S839" s="170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</row>
    <row r="840" spans="3:33" ht="15" customHeight="1">
      <c r="C840" s="170"/>
      <c r="D840" s="170"/>
      <c r="E840" s="170"/>
      <c r="F840" s="170"/>
      <c r="G840" s="170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48"/>
      <c r="S840" s="170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</row>
    <row r="841" spans="3:33" ht="15" customHeight="1">
      <c r="C841" s="170"/>
      <c r="D841" s="170"/>
      <c r="E841" s="170"/>
      <c r="F841" s="170"/>
      <c r="G841" s="170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48"/>
      <c r="S841" s="170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</row>
    <row r="842" spans="3:33" ht="15" customHeight="1"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</row>
    <row r="843" spans="3:33" ht="15" customHeight="1">
      <c r="C843" s="44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44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3:33" ht="15" customHeight="1"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3:33" ht="15" customHeight="1"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3:33" ht="15" customHeight="1"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3:33" ht="15" customHeight="1"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3:33" ht="15" customHeight="1"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3:33" ht="15" customHeight="1"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3:33" ht="15" customHeight="1"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3:33" ht="15" customHeight="1"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3:33" ht="15" customHeight="1"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3:33" ht="15" customHeight="1"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3:33" ht="15" customHeight="1"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3:33" ht="15" customHeight="1"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</row>
    <row r="856" spans="3:33" ht="15" customHeight="1"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148"/>
      <c r="S856" s="438"/>
      <c r="T856" s="438"/>
      <c r="U856" s="438"/>
      <c r="V856" s="438"/>
      <c r="W856" s="438"/>
      <c r="X856" s="438"/>
      <c r="Y856" s="438"/>
      <c r="Z856" s="438"/>
      <c r="AA856" s="438"/>
      <c r="AB856" s="438"/>
      <c r="AC856" s="438"/>
      <c r="AD856" s="438"/>
      <c r="AE856" s="438"/>
      <c r="AF856" s="438"/>
      <c r="AG856" s="438"/>
    </row>
    <row r="857" spans="3:33" ht="15" customHeight="1"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148"/>
      <c r="S857" s="438"/>
      <c r="T857" s="438"/>
      <c r="U857" s="438"/>
      <c r="V857" s="438"/>
      <c r="W857" s="438"/>
      <c r="X857" s="438"/>
      <c r="Y857" s="438"/>
      <c r="Z857" s="438"/>
      <c r="AA857" s="438"/>
      <c r="AB857" s="438"/>
      <c r="AC857" s="438"/>
      <c r="AD857" s="438"/>
      <c r="AE857" s="438"/>
      <c r="AF857" s="438"/>
      <c r="AG857" s="438"/>
    </row>
    <row r="858" spans="3:33" ht="15" customHeight="1">
      <c r="C858" s="170"/>
      <c r="D858" s="170"/>
      <c r="E858" s="170"/>
      <c r="F858" s="170"/>
      <c r="G858" s="170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48"/>
      <c r="S858" s="170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</row>
    <row r="859" spans="3:33" ht="15" customHeight="1">
      <c r="C859" s="170"/>
      <c r="D859" s="170"/>
      <c r="E859" s="170"/>
      <c r="F859" s="170"/>
      <c r="G859" s="170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48"/>
      <c r="S859" s="170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</row>
    <row r="860" spans="3:33" ht="15" customHeight="1">
      <c r="C860" s="170"/>
      <c r="D860" s="170"/>
      <c r="E860" s="170"/>
      <c r="F860" s="170"/>
      <c r="G860" s="170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48"/>
      <c r="S860" s="170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</row>
    <row r="861" spans="3:33" ht="15" customHeight="1"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</row>
    <row r="862" spans="3:33" ht="15" customHeight="1">
      <c r="C862" s="44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44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3:33" ht="15" customHeight="1"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3:33" ht="15" customHeight="1"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3:33" ht="15" customHeight="1"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3:33" ht="15" customHeight="1"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3:33" ht="15" customHeight="1"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3:33" ht="15" customHeight="1"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3:33" ht="15" customHeight="1"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3:33" ht="15" customHeight="1"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3:33" ht="15" customHeight="1"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3:33" ht="15" customHeight="1"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3:33" ht="15" customHeight="1"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3:33" ht="15" customHeight="1"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</row>
    <row r="875" spans="3:33" ht="15" customHeight="1"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148"/>
      <c r="S875" s="438"/>
      <c r="T875" s="438"/>
      <c r="U875" s="438"/>
      <c r="V875" s="438"/>
      <c r="W875" s="438"/>
      <c r="X875" s="438"/>
      <c r="Y875" s="438"/>
      <c r="Z875" s="438"/>
      <c r="AA875" s="438"/>
      <c r="AB875" s="438"/>
      <c r="AC875" s="438"/>
      <c r="AD875" s="438"/>
      <c r="AE875" s="438"/>
      <c r="AF875" s="438"/>
      <c r="AG875" s="438"/>
    </row>
    <row r="876" spans="3:33" ht="15" customHeight="1"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148"/>
      <c r="S876" s="438"/>
      <c r="T876" s="438"/>
      <c r="U876" s="438"/>
      <c r="V876" s="438"/>
      <c r="W876" s="438"/>
      <c r="X876" s="438"/>
      <c r="Y876" s="438"/>
      <c r="Z876" s="438"/>
      <c r="AA876" s="438"/>
      <c r="AB876" s="438"/>
      <c r="AC876" s="438"/>
      <c r="AD876" s="438"/>
      <c r="AE876" s="438"/>
      <c r="AF876" s="438"/>
      <c r="AG876" s="438"/>
    </row>
    <row r="877" spans="3:33" ht="15" customHeight="1">
      <c r="C877" s="170"/>
      <c r="D877" s="170"/>
      <c r="E877" s="170"/>
      <c r="F877" s="170"/>
      <c r="G877" s="170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48"/>
      <c r="S877" s="170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</row>
    <row r="878" spans="3:33" ht="15" customHeight="1">
      <c r="C878" s="170"/>
      <c r="D878" s="170"/>
      <c r="E878" s="170"/>
      <c r="F878" s="170"/>
      <c r="G878" s="170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48"/>
      <c r="S878" s="170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</row>
    <row r="879" spans="3:33" ht="15" customHeight="1">
      <c r="C879" s="170"/>
      <c r="D879" s="170"/>
      <c r="E879" s="170"/>
      <c r="F879" s="170"/>
      <c r="G879" s="170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48"/>
      <c r="S879" s="170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</row>
    <row r="881" spans="3:33" ht="15" customHeight="1">
      <c r="C881" s="441"/>
      <c r="D881" s="441"/>
      <c r="E881" s="441"/>
      <c r="F881" s="441"/>
      <c r="G881" s="441"/>
      <c r="H881" s="441"/>
      <c r="I881" s="441"/>
      <c r="J881" s="441"/>
      <c r="K881" s="441"/>
      <c r="L881" s="441"/>
      <c r="M881" s="441"/>
      <c r="N881" s="441"/>
      <c r="O881" s="441"/>
      <c r="P881" s="441"/>
      <c r="Q881" s="441"/>
      <c r="R881" s="441"/>
      <c r="S881" s="441"/>
      <c r="T881" s="441"/>
      <c r="U881" s="441"/>
      <c r="V881" s="441"/>
      <c r="W881" s="441"/>
      <c r="X881" s="441"/>
      <c r="Y881" s="441"/>
      <c r="Z881" s="441"/>
      <c r="AA881" s="436"/>
      <c r="AB881" s="436"/>
      <c r="AC881" s="436"/>
      <c r="AD881" s="442"/>
      <c r="AE881" s="443"/>
      <c r="AF881" s="443"/>
      <c r="AG881" s="443"/>
    </row>
    <row r="882" spans="3:33" ht="15" customHeight="1">
      <c r="C882" s="437"/>
      <c r="D882" s="437"/>
      <c r="E882" s="437"/>
      <c r="F882" s="437"/>
      <c r="G882" s="437"/>
      <c r="H882" s="437"/>
      <c r="I882" s="437"/>
      <c r="J882" s="437"/>
      <c r="K882" s="437"/>
      <c r="L882" s="437"/>
      <c r="M882" s="437"/>
      <c r="N882" s="437"/>
      <c r="O882" s="437"/>
      <c r="P882" s="437"/>
      <c r="Q882" s="437"/>
      <c r="R882" s="437"/>
      <c r="S882" s="437"/>
      <c r="T882" s="437"/>
      <c r="U882" s="437"/>
      <c r="V882" s="437"/>
      <c r="W882" s="437"/>
      <c r="X882" s="437"/>
      <c r="Y882" s="437"/>
      <c r="Z882" s="437"/>
      <c r="AA882" s="444"/>
      <c r="AB882" s="444"/>
      <c r="AC882" s="444"/>
      <c r="AD882" s="444"/>
      <c r="AE882" s="444"/>
      <c r="AF882" s="444"/>
      <c r="AG882" s="444"/>
    </row>
    <row r="883" spans="3:33" ht="15" customHeight="1"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</row>
    <row r="884" spans="3:33" ht="15" customHeight="1"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  <c r="N884" s="439"/>
      <c r="O884" s="439"/>
      <c r="P884" s="439"/>
      <c r="Q884" s="439"/>
      <c r="R884" s="439"/>
      <c r="S884" s="439"/>
      <c r="T884" s="439"/>
      <c r="U884" s="439"/>
      <c r="V884" s="439"/>
      <c r="W884" s="439"/>
      <c r="X884" s="439"/>
      <c r="Y884" s="439"/>
      <c r="Z884" s="439"/>
      <c r="AA884" s="439"/>
      <c r="AB884" s="439"/>
      <c r="AC884" s="439"/>
      <c r="AD884" s="439"/>
      <c r="AE884" s="439"/>
      <c r="AF884" s="439"/>
      <c r="AG884" s="439"/>
    </row>
    <row r="885" spans="3:33" ht="15" customHeight="1"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  <c r="N885" s="439"/>
      <c r="O885" s="439"/>
      <c r="P885" s="439"/>
      <c r="Q885" s="439"/>
      <c r="R885" s="439"/>
      <c r="S885" s="439"/>
      <c r="T885" s="439"/>
      <c r="U885" s="439"/>
      <c r="V885" s="439"/>
      <c r="W885" s="439"/>
      <c r="X885" s="439"/>
      <c r="Y885" s="439"/>
      <c r="Z885" s="439"/>
      <c r="AA885" s="439"/>
      <c r="AB885" s="439"/>
      <c r="AC885" s="439"/>
      <c r="AD885" s="439"/>
      <c r="AE885" s="439"/>
      <c r="AF885" s="439"/>
      <c r="AG885" s="439"/>
    </row>
    <row r="886" spans="3:33" ht="15" customHeight="1"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  <c r="AA886" s="171"/>
      <c r="AB886" s="171"/>
      <c r="AC886" s="171"/>
      <c r="AD886" s="171"/>
      <c r="AE886" s="171"/>
      <c r="AF886" s="171"/>
      <c r="AG886" s="171"/>
    </row>
    <row r="887" spans="3:33" ht="15" customHeight="1"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  <c r="AA887" s="171"/>
      <c r="AB887" s="171"/>
      <c r="AC887" s="171"/>
      <c r="AD887" s="171"/>
      <c r="AE887" s="171"/>
      <c r="AF887" s="171"/>
      <c r="AG887" s="171"/>
    </row>
    <row r="888" spans="3:33" ht="15" customHeight="1"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  <c r="AA888" s="171"/>
      <c r="AB888" s="171"/>
      <c r="AC888" s="171"/>
      <c r="AD888" s="171"/>
      <c r="AE888" s="171"/>
      <c r="AF888" s="171"/>
      <c r="AG888" s="171"/>
    </row>
    <row r="889" spans="3:33" ht="15" customHeight="1"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</row>
    <row r="890" spans="3:33" ht="15" customHeight="1">
      <c r="C890" s="44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44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3:33" ht="15" customHeight="1"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3:33" ht="15" customHeight="1"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3:33" ht="15" customHeight="1"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3:33" ht="15" customHeight="1"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3:33" ht="15" customHeight="1"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3:33" ht="15" customHeight="1"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3:33" ht="15" customHeight="1"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3:33" ht="15" customHeight="1"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3:33" ht="15" customHeight="1"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3:33" ht="15" customHeight="1"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3:33" ht="15" customHeight="1"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3:33" ht="15" customHeight="1"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</row>
    <row r="903" spans="3:33" ht="15" customHeight="1"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148"/>
      <c r="S903" s="438"/>
      <c r="T903" s="438"/>
      <c r="U903" s="438"/>
      <c r="V903" s="438"/>
      <c r="W903" s="438"/>
      <c r="X903" s="438"/>
      <c r="Y903" s="438"/>
      <c r="Z903" s="438"/>
      <c r="AA903" s="438"/>
      <c r="AB903" s="438"/>
      <c r="AC903" s="438"/>
      <c r="AD903" s="438"/>
      <c r="AE903" s="438"/>
      <c r="AF903" s="438"/>
      <c r="AG903" s="438"/>
    </row>
    <row r="904" spans="3:33" ht="15" customHeight="1"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148"/>
      <c r="S904" s="438"/>
      <c r="T904" s="438"/>
      <c r="U904" s="438"/>
      <c r="V904" s="438"/>
      <c r="W904" s="438"/>
      <c r="X904" s="438"/>
      <c r="Y904" s="438"/>
      <c r="Z904" s="438"/>
      <c r="AA904" s="438"/>
      <c r="AB904" s="438"/>
      <c r="AC904" s="438"/>
      <c r="AD904" s="438"/>
      <c r="AE904" s="438"/>
      <c r="AF904" s="438"/>
      <c r="AG904" s="438"/>
    </row>
    <row r="905" spans="3:33" ht="15" customHeight="1">
      <c r="C905" s="170"/>
      <c r="D905" s="170"/>
      <c r="E905" s="170"/>
      <c r="F905" s="170"/>
      <c r="G905" s="170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48"/>
      <c r="S905" s="170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</row>
    <row r="906" spans="3:33" ht="15" customHeight="1">
      <c r="C906" s="170"/>
      <c r="D906" s="170"/>
      <c r="E906" s="170"/>
      <c r="F906" s="170"/>
      <c r="G906" s="170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48"/>
      <c r="S906" s="170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</row>
    <row r="907" spans="3:33" ht="15" customHeight="1">
      <c r="C907" s="170"/>
      <c r="D907" s="170"/>
      <c r="E907" s="170"/>
      <c r="F907" s="170"/>
      <c r="G907" s="170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48"/>
      <c r="S907" s="170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</row>
    <row r="908" spans="3:33" ht="15" customHeight="1"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</row>
    <row r="909" spans="3:33" ht="15" customHeight="1">
      <c r="C909" s="44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44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3:33" ht="15" customHeight="1"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3:33" ht="15" customHeight="1"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3:33" ht="15" customHeight="1"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3:33" ht="15" customHeight="1"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3:33" ht="15" customHeight="1"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3:33" ht="15" customHeight="1"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3:33" ht="15" customHeight="1"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3:33" ht="15" customHeight="1"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3:33" ht="15" customHeight="1"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3:33" ht="15" customHeight="1"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3:33" ht="15" customHeight="1"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3:33" ht="15" customHeight="1"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</row>
    <row r="922" spans="3:33" ht="15" customHeight="1"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148"/>
      <c r="S922" s="438"/>
      <c r="T922" s="438"/>
      <c r="U922" s="438"/>
      <c r="V922" s="438"/>
      <c r="W922" s="438"/>
      <c r="X922" s="438"/>
      <c r="Y922" s="438"/>
      <c r="Z922" s="438"/>
      <c r="AA922" s="438"/>
      <c r="AB922" s="438"/>
      <c r="AC922" s="438"/>
      <c r="AD922" s="438"/>
      <c r="AE922" s="438"/>
      <c r="AF922" s="438"/>
      <c r="AG922" s="438"/>
    </row>
    <row r="923" spans="3:33" ht="15" customHeight="1"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148"/>
      <c r="S923" s="438"/>
      <c r="T923" s="438"/>
      <c r="U923" s="438"/>
      <c r="V923" s="438"/>
      <c r="W923" s="438"/>
      <c r="X923" s="438"/>
      <c r="Y923" s="438"/>
      <c r="Z923" s="438"/>
      <c r="AA923" s="438"/>
      <c r="AB923" s="438"/>
      <c r="AC923" s="438"/>
      <c r="AD923" s="438"/>
      <c r="AE923" s="438"/>
      <c r="AF923" s="438"/>
      <c r="AG923" s="438"/>
    </row>
    <row r="924" spans="3:33" ht="15" customHeight="1">
      <c r="C924" s="170"/>
      <c r="D924" s="170"/>
      <c r="E924" s="170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48"/>
      <c r="S924" s="170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</row>
    <row r="925" spans="3:33" ht="15" customHeight="1">
      <c r="C925" s="170"/>
      <c r="D925" s="170"/>
      <c r="E925" s="170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48"/>
      <c r="S925" s="170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</row>
    <row r="926" spans="3:33" ht="15" customHeight="1">
      <c r="C926" s="170"/>
      <c r="D926" s="170"/>
      <c r="E926" s="170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48"/>
      <c r="S926" s="170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</row>
    <row r="927" spans="3:33" ht="15" customHeight="1"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</row>
    <row r="928" spans="3:33" ht="15" customHeight="1">
      <c r="C928" s="44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44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3:33" ht="15" customHeight="1"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3:33" ht="15" customHeight="1"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3:33" ht="15" customHeight="1"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3:33" ht="15" customHeight="1"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3:33" ht="15" customHeight="1"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3:33" ht="15" customHeight="1"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3:33" ht="15" customHeight="1"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3:33" ht="15" customHeight="1"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3:33" ht="15" customHeight="1"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3:33" ht="15" customHeight="1"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3:33" ht="15" customHeight="1"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3:33" ht="15" customHeight="1"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</row>
    <row r="941" spans="3:33" ht="15" customHeight="1"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148"/>
      <c r="S941" s="438"/>
      <c r="T941" s="438"/>
      <c r="U941" s="438"/>
      <c r="V941" s="438"/>
      <c r="W941" s="438"/>
      <c r="X941" s="438"/>
      <c r="Y941" s="438"/>
      <c r="Z941" s="438"/>
      <c r="AA941" s="438"/>
      <c r="AB941" s="438"/>
      <c r="AC941" s="438"/>
      <c r="AD941" s="438"/>
      <c r="AE941" s="438"/>
      <c r="AF941" s="438"/>
      <c r="AG941" s="438"/>
    </row>
    <row r="942" spans="3:33" ht="15" customHeight="1"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148"/>
      <c r="S942" s="438"/>
      <c r="T942" s="438"/>
      <c r="U942" s="438"/>
      <c r="V942" s="438"/>
      <c r="W942" s="438"/>
      <c r="X942" s="438"/>
      <c r="Y942" s="438"/>
      <c r="Z942" s="438"/>
      <c r="AA942" s="438"/>
      <c r="AB942" s="438"/>
      <c r="AC942" s="438"/>
      <c r="AD942" s="438"/>
      <c r="AE942" s="438"/>
      <c r="AF942" s="438"/>
      <c r="AG942" s="438"/>
    </row>
    <row r="943" spans="3:33" ht="15" customHeight="1">
      <c r="C943" s="170"/>
      <c r="D943" s="170"/>
      <c r="E943" s="170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48"/>
      <c r="S943" s="170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</row>
    <row r="944" spans="3:33" ht="15" customHeight="1">
      <c r="C944" s="170"/>
      <c r="D944" s="170"/>
      <c r="E944" s="170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48"/>
      <c r="S944" s="170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</row>
    <row r="945" spans="3:33" ht="15" customHeight="1">
      <c r="C945" s="170"/>
      <c r="D945" s="170"/>
      <c r="E945" s="170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48"/>
      <c r="S945" s="170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</row>
  </sheetData>
  <mergeCells count="905">
    <mergeCell ref="AB104:AD104"/>
    <mergeCell ref="AE104:AG104"/>
    <mergeCell ref="AE124:AG124"/>
    <mergeCell ref="C123:G123"/>
    <mergeCell ref="U123:X123"/>
    <mergeCell ref="AB123:AD123"/>
    <mergeCell ref="AE123:AG123"/>
    <mergeCell ref="H134:T134"/>
    <mergeCell ref="U134:X134"/>
    <mergeCell ref="C122:G122"/>
    <mergeCell ref="Y118:AA118"/>
    <mergeCell ref="H107:T107"/>
    <mergeCell ref="U109:X109"/>
    <mergeCell ref="Y107:AA107"/>
    <mergeCell ref="AB107:AD107"/>
    <mergeCell ref="AE107:AG107"/>
    <mergeCell ref="C128:G128"/>
    <mergeCell ref="H127:T127"/>
    <mergeCell ref="U127:X127"/>
    <mergeCell ref="Y127:AA127"/>
    <mergeCell ref="AB127:AD127"/>
    <mergeCell ref="AE127:AG127"/>
    <mergeCell ref="H111:T111"/>
    <mergeCell ref="U111:X111"/>
    <mergeCell ref="AM100:BP100"/>
    <mergeCell ref="P232:Q233"/>
    <mergeCell ref="R232:S233"/>
    <mergeCell ref="Q175:T175"/>
    <mergeCell ref="U175:X175"/>
    <mergeCell ref="Y175:AA175"/>
    <mergeCell ref="S228:S229"/>
    <mergeCell ref="T228:T229"/>
    <mergeCell ref="U228:U229"/>
    <mergeCell ref="V228:V229"/>
    <mergeCell ref="W228:W229"/>
    <mergeCell ref="X228:X229"/>
    <mergeCell ref="Q228:Q229"/>
    <mergeCell ref="H104:T104"/>
    <mergeCell ref="U105:X105"/>
    <mergeCell ref="Y105:AA105"/>
    <mergeCell ref="U126:X126"/>
    <mergeCell ref="U104:X104"/>
    <mergeCell ref="Y104:AA104"/>
    <mergeCell ref="H122:T122"/>
    <mergeCell ref="U122:X122"/>
    <mergeCell ref="AB122:AD122"/>
    <mergeCell ref="AE122:AG122"/>
    <mergeCell ref="U118:X118"/>
    <mergeCell ref="N243:O243"/>
    <mergeCell ref="N244:N245"/>
    <mergeCell ref="O244:O245"/>
    <mergeCell ref="N246:N247"/>
    <mergeCell ref="O246:O247"/>
    <mergeCell ref="N248:O249"/>
    <mergeCell ref="C134:G134"/>
    <mergeCell ref="U119:X119"/>
    <mergeCell ref="Y119:AA119"/>
    <mergeCell ref="C130:G130"/>
    <mergeCell ref="H130:T130"/>
    <mergeCell ref="U130:X130"/>
    <mergeCell ref="Y130:AA130"/>
    <mergeCell ref="C129:G129"/>
    <mergeCell ref="C125:G125"/>
    <mergeCell ref="Y132:AA132"/>
    <mergeCell ref="V162:Z162"/>
    <mergeCell ref="AA162:AG162"/>
    <mergeCell ref="Y168:AA168"/>
    <mergeCell ref="AB168:AD168"/>
    <mergeCell ref="AB166:AD166"/>
    <mergeCell ref="C121:AG121"/>
    <mergeCell ref="C119:G119"/>
    <mergeCell ref="H119:T119"/>
    <mergeCell ref="AL23:AW24"/>
    <mergeCell ref="Q176:T176"/>
    <mergeCell ref="U176:X176"/>
    <mergeCell ref="Y176:AA176"/>
    <mergeCell ref="AB176:AD176"/>
    <mergeCell ref="AE176:AG176"/>
    <mergeCell ref="N44:AG44"/>
    <mergeCell ref="H106:T106"/>
    <mergeCell ref="U107:X107"/>
    <mergeCell ref="AB106:AD106"/>
    <mergeCell ref="AE106:AG106"/>
    <mergeCell ref="AB117:AD117"/>
    <mergeCell ref="V24:AB24"/>
    <mergeCell ref="AC24:AG24"/>
    <mergeCell ref="V28:AB28"/>
    <mergeCell ref="C34:AG35"/>
    <mergeCell ref="N39:AG39"/>
    <mergeCell ref="V32:AB32"/>
    <mergeCell ref="AC32:AG32"/>
    <mergeCell ref="Y126:AA126"/>
    <mergeCell ref="C29:I31"/>
    <mergeCell ref="AE119:AG119"/>
    <mergeCell ref="AB118:AD118"/>
    <mergeCell ref="AE118:AG118"/>
    <mergeCell ref="AA485:AG485"/>
    <mergeCell ref="C487:AG488"/>
    <mergeCell ref="AB112:AD112"/>
    <mergeCell ref="AE112:AG112"/>
    <mergeCell ref="C116:G116"/>
    <mergeCell ref="H116:T116"/>
    <mergeCell ref="U116:X116"/>
    <mergeCell ref="Y116:AA116"/>
    <mergeCell ref="AB116:AD116"/>
    <mergeCell ref="AE116:AG116"/>
    <mergeCell ref="C113:G113"/>
    <mergeCell ref="H113:T113"/>
    <mergeCell ref="U113:X113"/>
    <mergeCell ref="Y113:AA113"/>
    <mergeCell ref="AB113:AD113"/>
    <mergeCell ref="AE113:AG113"/>
    <mergeCell ref="C115:G115"/>
    <mergeCell ref="H115:T115"/>
    <mergeCell ref="U115:X115"/>
    <mergeCell ref="Y115:AA115"/>
    <mergeCell ref="AB115:AD115"/>
    <mergeCell ref="AE115:AG115"/>
    <mergeCell ref="C127:G127"/>
    <mergeCell ref="AB119:AD119"/>
    <mergeCell ref="C493:Q504"/>
    <mergeCell ref="S493:AG504"/>
    <mergeCell ref="C103:G103"/>
    <mergeCell ref="H103:T103"/>
    <mergeCell ref="U103:X103"/>
    <mergeCell ref="Y103:AA103"/>
    <mergeCell ref="AB103:AD103"/>
    <mergeCell ref="C104:G104"/>
    <mergeCell ref="C418:AC418"/>
    <mergeCell ref="C484:AC484"/>
    <mergeCell ref="AB110:AD110"/>
    <mergeCell ref="AE110:AG110"/>
    <mergeCell ref="Y111:AA111"/>
    <mergeCell ref="AB111:AD111"/>
    <mergeCell ref="AE111:AG111"/>
    <mergeCell ref="C112:G112"/>
    <mergeCell ref="H112:T112"/>
    <mergeCell ref="U112:X112"/>
    <mergeCell ref="H105:T105"/>
    <mergeCell ref="AB105:AD105"/>
    <mergeCell ref="AE105:AG105"/>
    <mergeCell ref="C105:G105"/>
    <mergeCell ref="AE103:AG103"/>
    <mergeCell ref="AE166:AG166"/>
    <mergeCell ref="AM522:BQ522"/>
    <mergeCell ref="AM523:BQ523"/>
    <mergeCell ref="AM524:BQ524"/>
    <mergeCell ref="AM525:BQ525"/>
    <mergeCell ref="AM513:BQ513"/>
    <mergeCell ref="AM514:BQ514"/>
    <mergeCell ref="AM515:BQ515"/>
    <mergeCell ref="AM516:BQ516"/>
    <mergeCell ref="AM517:BQ517"/>
    <mergeCell ref="AM518:BQ518"/>
    <mergeCell ref="AM519:BQ519"/>
    <mergeCell ref="AM520:BQ520"/>
    <mergeCell ref="AM521:BQ521"/>
    <mergeCell ref="C663:Q674"/>
    <mergeCell ref="S663:AG674"/>
    <mergeCell ref="C176:E176"/>
    <mergeCell ref="F176:P176"/>
    <mergeCell ref="AE109:AG109"/>
    <mergeCell ref="C106:G106"/>
    <mergeCell ref="U106:X106"/>
    <mergeCell ref="C110:G110"/>
    <mergeCell ref="H110:T110"/>
    <mergeCell ref="U110:X110"/>
    <mergeCell ref="Y109:AA109"/>
    <mergeCell ref="AB109:AD109"/>
    <mergeCell ref="Y106:AA106"/>
    <mergeCell ref="C107:G107"/>
    <mergeCell ref="C139:G139"/>
    <mergeCell ref="C616:Z616"/>
    <mergeCell ref="AD616:AG616"/>
    <mergeCell ref="C512:Q523"/>
    <mergeCell ref="S512:AG523"/>
    <mergeCell ref="C531:Q542"/>
    <mergeCell ref="S531:AG542"/>
    <mergeCell ref="U174:X174"/>
    <mergeCell ref="Y174:AA174"/>
    <mergeCell ref="AB174:AD174"/>
    <mergeCell ref="C676:Q677"/>
    <mergeCell ref="S676:AG677"/>
    <mergeCell ref="C682:Z682"/>
    <mergeCell ref="AD682:AG682"/>
    <mergeCell ref="C291:Z291"/>
    <mergeCell ref="C485:Z485"/>
    <mergeCell ref="C619:AG620"/>
    <mergeCell ref="C625:Q636"/>
    <mergeCell ref="S625:AG636"/>
    <mergeCell ref="C638:Q639"/>
    <mergeCell ref="S638:AG639"/>
    <mergeCell ref="C644:Q655"/>
    <mergeCell ref="S644:AG655"/>
    <mergeCell ref="C591:Q592"/>
    <mergeCell ref="S591:AG592"/>
    <mergeCell ref="C610:Q611"/>
    <mergeCell ref="S610:AG611"/>
    <mergeCell ref="AA617:AG617"/>
    <mergeCell ref="C597:Q608"/>
    <mergeCell ref="S597:AG608"/>
    <mergeCell ref="C349:Q350"/>
    <mergeCell ref="AA354:AG354"/>
    <mergeCell ref="C657:Q658"/>
    <mergeCell ref="S657:AG658"/>
    <mergeCell ref="C3:AG4"/>
    <mergeCell ref="AA98:AG98"/>
    <mergeCell ref="C98:G98"/>
    <mergeCell ref="H98:U98"/>
    <mergeCell ref="C11:I16"/>
    <mergeCell ref="AC18:AG18"/>
    <mergeCell ref="V19:AB19"/>
    <mergeCell ref="AC19:AG19"/>
    <mergeCell ref="C17:I17"/>
    <mergeCell ref="C33:I33"/>
    <mergeCell ref="J33:U33"/>
    <mergeCell ref="V98:Z98"/>
    <mergeCell ref="V33:AB33"/>
    <mergeCell ref="AC33:AG33"/>
    <mergeCell ref="V25:AB25"/>
    <mergeCell ref="AC25:AG25"/>
    <mergeCell ref="C19:I19"/>
    <mergeCell ref="J19:U19"/>
    <mergeCell ref="J22:U23"/>
    <mergeCell ref="AC26:AG27"/>
    <mergeCell ref="AC28:AG28"/>
    <mergeCell ref="C24:I24"/>
    <mergeCell ref="AC10:AG10"/>
    <mergeCell ref="C48:M48"/>
    <mergeCell ref="C550:Z550"/>
    <mergeCell ref="AD550:AG550"/>
    <mergeCell ref="AA551:AG551"/>
    <mergeCell ref="C553:AG554"/>
    <mergeCell ref="C559:Q570"/>
    <mergeCell ref="S559:AG570"/>
    <mergeCell ref="C506:Q507"/>
    <mergeCell ref="S506:AG507"/>
    <mergeCell ref="C578:Q589"/>
    <mergeCell ref="S578:AG589"/>
    <mergeCell ref="C572:Q573"/>
    <mergeCell ref="S572:AG573"/>
    <mergeCell ref="C525:Q526"/>
    <mergeCell ref="S525:AG526"/>
    <mergeCell ref="C544:Q545"/>
    <mergeCell ref="S544:AG545"/>
    <mergeCell ref="AB1:AG1"/>
    <mergeCell ref="AA91:AG91"/>
    <mergeCell ref="C217:AA217"/>
    <mergeCell ref="AD217:AG217"/>
    <mergeCell ref="AA218:AG218"/>
    <mergeCell ref="N46:AG46"/>
    <mergeCell ref="N47:AG47"/>
    <mergeCell ref="C36:M36"/>
    <mergeCell ref="C37:M37"/>
    <mergeCell ref="C38:M38"/>
    <mergeCell ref="C39:M39"/>
    <mergeCell ref="C40:M40"/>
    <mergeCell ref="C41:M41"/>
    <mergeCell ref="C42:M42"/>
    <mergeCell ref="C45:M45"/>
    <mergeCell ref="C10:I10"/>
    <mergeCell ref="J10:U10"/>
    <mergeCell ref="J9:M9"/>
    <mergeCell ref="R9:U9"/>
    <mergeCell ref="J27:U28"/>
    <mergeCell ref="V26:AB27"/>
    <mergeCell ref="C20:AG21"/>
    <mergeCell ref="C32:I32"/>
    <mergeCell ref="J32:U32"/>
    <mergeCell ref="AE117:AG117"/>
    <mergeCell ref="C124:G124"/>
    <mergeCell ref="H124:T124"/>
    <mergeCell ref="U124:X124"/>
    <mergeCell ref="AB124:AD124"/>
    <mergeCell ref="AB125:AD125"/>
    <mergeCell ref="AB126:AD126"/>
    <mergeCell ref="C111:G111"/>
    <mergeCell ref="C118:G118"/>
    <mergeCell ref="H118:T118"/>
    <mergeCell ref="Y112:AA112"/>
    <mergeCell ref="AE125:AG125"/>
    <mergeCell ref="AE126:AG126"/>
    <mergeCell ref="C126:G126"/>
    <mergeCell ref="H125:T125"/>
    <mergeCell ref="U125:X125"/>
    <mergeCell ref="H126:T126"/>
    <mergeCell ref="C25:I26"/>
    <mergeCell ref="J25:U26"/>
    <mergeCell ref="C27:I28"/>
    <mergeCell ref="J29:AG31"/>
    <mergeCell ref="C5:AG6"/>
    <mergeCell ref="C7:I8"/>
    <mergeCell ref="V7:AB7"/>
    <mergeCell ref="AC7:AG7"/>
    <mergeCell ref="C9:I9"/>
    <mergeCell ref="V8:AB8"/>
    <mergeCell ref="AC8:AG8"/>
    <mergeCell ref="C22:I23"/>
    <mergeCell ref="V22:AB22"/>
    <mergeCell ref="AC22:AG22"/>
    <mergeCell ref="V23:AB23"/>
    <mergeCell ref="AC23:AG23"/>
    <mergeCell ref="J7:U8"/>
    <mergeCell ref="N9:Q9"/>
    <mergeCell ref="J11:AG16"/>
    <mergeCell ref="C18:I18"/>
    <mergeCell ref="J18:U18"/>
    <mergeCell ref="V18:AB18"/>
    <mergeCell ref="J17:M17"/>
    <mergeCell ref="N17:U17"/>
    <mergeCell ref="AC17:AG17"/>
    <mergeCell ref="V17:AB17"/>
    <mergeCell ref="V9:AB9"/>
    <mergeCell ref="AC9:AG9"/>
    <mergeCell ref="V97:Z97"/>
    <mergeCell ref="AA97:AG97"/>
    <mergeCell ref="C46:M46"/>
    <mergeCell ref="C47:M47"/>
    <mergeCell ref="N37:AG37"/>
    <mergeCell ref="N38:AG38"/>
    <mergeCell ref="N42:AG42"/>
    <mergeCell ref="N45:AG45"/>
    <mergeCell ref="N36:AG36"/>
    <mergeCell ref="C43:M43"/>
    <mergeCell ref="C44:M44"/>
    <mergeCell ref="N43:AG43"/>
    <mergeCell ref="N40:AG40"/>
    <mergeCell ref="N41:AG41"/>
    <mergeCell ref="C90:AC90"/>
    <mergeCell ref="AD90:AG90"/>
    <mergeCell ref="N48:R48"/>
    <mergeCell ref="C93:AG94"/>
    <mergeCell ref="C96:G97"/>
    <mergeCell ref="H96:U97"/>
    <mergeCell ref="V96:Z96"/>
    <mergeCell ref="AA96:AG96"/>
    <mergeCell ref="H102:T102"/>
    <mergeCell ref="U102:X102"/>
    <mergeCell ref="Y102:AA102"/>
    <mergeCell ref="AB102:AD102"/>
    <mergeCell ref="AE102:AG102"/>
    <mergeCell ref="AE100:AG100"/>
    <mergeCell ref="C101:AG101"/>
    <mergeCell ref="C102:G102"/>
    <mergeCell ref="C99:G100"/>
    <mergeCell ref="H99:T100"/>
    <mergeCell ref="U99:X100"/>
    <mergeCell ref="Y99:AG99"/>
    <mergeCell ref="Y100:AA100"/>
    <mergeCell ref="AB100:AD100"/>
    <mergeCell ref="AB108:AD108"/>
    <mergeCell ref="C117:G117"/>
    <mergeCell ref="H117:T117"/>
    <mergeCell ref="U117:X117"/>
    <mergeCell ref="Y117:AA117"/>
    <mergeCell ref="H109:T109"/>
    <mergeCell ref="AB114:AD114"/>
    <mergeCell ref="H108:T108"/>
    <mergeCell ref="Y110:AA110"/>
    <mergeCell ref="C108:G108"/>
    <mergeCell ref="U108:X108"/>
    <mergeCell ref="Y108:AA108"/>
    <mergeCell ref="C109:G109"/>
    <mergeCell ref="AB130:AD130"/>
    <mergeCell ref="AE130:AG130"/>
    <mergeCell ref="AE131:AG131"/>
    <mergeCell ref="H128:T128"/>
    <mergeCell ref="U128:X128"/>
    <mergeCell ref="Y128:AA128"/>
    <mergeCell ref="AB128:AD128"/>
    <mergeCell ref="AE128:AG128"/>
    <mergeCell ref="H129:T129"/>
    <mergeCell ref="U129:X129"/>
    <mergeCell ref="Y129:AA129"/>
    <mergeCell ref="AB129:AD129"/>
    <mergeCell ref="AE129:AG129"/>
    <mergeCell ref="H131:T131"/>
    <mergeCell ref="U131:X131"/>
    <mergeCell ref="Y131:AA131"/>
    <mergeCell ref="AB131:AD131"/>
    <mergeCell ref="C131:G131"/>
    <mergeCell ref="C132:G132"/>
    <mergeCell ref="H132:T132"/>
    <mergeCell ref="U132:X132"/>
    <mergeCell ref="AB132:AD132"/>
    <mergeCell ref="AE132:AG132"/>
    <mergeCell ref="AE137:AG137"/>
    <mergeCell ref="C133:G133"/>
    <mergeCell ref="H133:T133"/>
    <mergeCell ref="U133:X133"/>
    <mergeCell ref="Y133:AA133"/>
    <mergeCell ref="AB133:AD133"/>
    <mergeCell ref="AE133:AG133"/>
    <mergeCell ref="H135:T135"/>
    <mergeCell ref="AB135:AD135"/>
    <mergeCell ref="AE135:AG135"/>
    <mergeCell ref="Y135:AA135"/>
    <mergeCell ref="H136:T136"/>
    <mergeCell ref="U136:X136"/>
    <mergeCell ref="Y136:AA136"/>
    <mergeCell ref="AB136:AD136"/>
    <mergeCell ref="AE136:AG136"/>
    <mergeCell ref="U135:X135"/>
    <mergeCell ref="C135:G135"/>
    <mergeCell ref="C136:G136"/>
    <mergeCell ref="AE134:AG134"/>
    <mergeCell ref="C137:G137"/>
    <mergeCell ref="H137:T137"/>
    <mergeCell ref="U137:X137"/>
    <mergeCell ref="Y137:AA137"/>
    <mergeCell ref="AB137:AD137"/>
    <mergeCell ref="Y134:AA134"/>
    <mergeCell ref="AB134:AD134"/>
    <mergeCell ref="C138:G138"/>
    <mergeCell ref="H138:T138"/>
    <mergeCell ref="U138:X138"/>
    <mergeCell ref="Y138:AA138"/>
    <mergeCell ref="AB138:AD138"/>
    <mergeCell ref="AE138:AG138"/>
    <mergeCell ref="AB139:AD139"/>
    <mergeCell ref="AE139:AG139"/>
    <mergeCell ref="H139:T139"/>
    <mergeCell ref="U139:X139"/>
    <mergeCell ref="Y139:AA139"/>
    <mergeCell ref="AE165:AG165"/>
    <mergeCell ref="AB140:AD140"/>
    <mergeCell ref="AE140:AG140"/>
    <mergeCell ref="H160:U161"/>
    <mergeCell ref="V160:Z160"/>
    <mergeCell ref="AA160:AG160"/>
    <mergeCell ref="V161:Z161"/>
    <mergeCell ref="AA161:AG161"/>
    <mergeCell ref="AA155:AG155"/>
    <mergeCell ref="C157:AG158"/>
    <mergeCell ref="C149:AG149"/>
    <mergeCell ref="C150:AG152"/>
    <mergeCell ref="C154:AC154"/>
    <mergeCell ref="AD154:AG154"/>
    <mergeCell ref="H140:T140"/>
    <mergeCell ref="U140:X140"/>
    <mergeCell ref="Y140:AA140"/>
    <mergeCell ref="C162:G162"/>
    <mergeCell ref="H162:U162"/>
    <mergeCell ref="C164:E165"/>
    <mergeCell ref="F164:P165"/>
    <mergeCell ref="Q164:X164"/>
    <mergeCell ref="Y164:AG164"/>
    <mergeCell ref="U165:X165"/>
    <mergeCell ref="Q165:T165"/>
    <mergeCell ref="Y171:AA171"/>
    <mergeCell ref="AB172:AD172"/>
    <mergeCell ref="C172:E172"/>
    <mergeCell ref="F172:P172"/>
    <mergeCell ref="Q172:T172"/>
    <mergeCell ref="U172:X172"/>
    <mergeCell ref="Y172:AA172"/>
    <mergeCell ref="C167:E167"/>
    <mergeCell ref="F167:P167"/>
    <mergeCell ref="Q167:T167"/>
    <mergeCell ref="U167:X167"/>
    <mergeCell ref="Y167:AA167"/>
    <mergeCell ref="AB167:AD167"/>
    <mergeCell ref="AB165:AD165"/>
    <mergeCell ref="Y165:AA165"/>
    <mergeCell ref="F170:P170"/>
    <mergeCell ref="U170:X170"/>
    <mergeCell ref="Y170:AA170"/>
    <mergeCell ref="AE167:AG167"/>
    <mergeCell ref="C166:E166"/>
    <mergeCell ref="F166:P166"/>
    <mergeCell ref="Q166:T166"/>
    <mergeCell ref="U166:X166"/>
    <mergeCell ref="Y166:AA166"/>
    <mergeCell ref="AB173:AD173"/>
    <mergeCell ref="AE173:AG173"/>
    <mergeCell ref="C174:E174"/>
    <mergeCell ref="F174:P174"/>
    <mergeCell ref="Q174:T174"/>
    <mergeCell ref="AE174:AG174"/>
    <mergeCell ref="Q173:T173"/>
    <mergeCell ref="U173:X173"/>
    <mergeCell ref="Y173:AA173"/>
    <mergeCell ref="F175:P175"/>
    <mergeCell ref="AE177:AG177"/>
    <mergeCell ref="C178:E178"/>
    <mergeCell ref="F178:P178"/>
    <mergeCell ref="Q178:T178"/>
    <mergeCell ref="U178:X178"/>
    <mergeCell ref="Y178:AA178"/>
    <mergeCell ref="AB178:AD178"/>
    <mergeCell ref="AE178:AG178"/>
    <mergeCell ref="C177:E177"/>
    <mergeCell ref="F177:P177"/>
    <mergeCell ref="Q177:T177"/>
    <mergeCell ref="U177:X177"/>
    <mergeCell ref="Y177:AA177"/>
    <mergeCell ref="AB177:AD177"/>
    <mergeCell ref="AB175:AD175"/>
    <mergeCell ref="AE175:AG175"/>
    <mergeCell ref="C175:E175"/>
    <mergeCell ref="AE181:AG181"/>
    <mergeCell ref="Y181:AA181"/>
    <mergeCell ref="AB181:AD181"/>
    <mergeCell ref="C181:E181"/>
    <mergeCell ref="F181:P181"/>
    <mergeCell ref="Q181:T181"/>
    <mergeCell ref="U181:X181"/>
    <mergeCell ref="C220:AG221"/>
    <mergeCell ref="C179:E179"/>
    <mergeCell ref="F179:P179"/>
    <mergeCell ref="Q179:T179"/>
    <mergeCell ref="U179:X179"/>
    <mergeCell ref="Y179:AA179"/>
    <mergeCell ref="AB179:AD179"/>
    <mergeCell ref="AE179:AG179"/>
    <mergeCell ref="C180:E180"/>
    <mergeCell ref="F180:P180"/>
    <mergeCell ref="Q180:T180"/>
    <mergeCell ref="U180:X180"/>
    <mergeCell ref="Y180:AA180"/>
    <mergeCell ref="AB180:AD180"/>
    <mergeCell ref="AE180:AG180"/>
    <mergeCell ref="C211:AG211"/>
    <mergeCell ref="C212:AG215"/>
    <mergeCell ref="AE182:AG182"/>
    <mergeCell ref="C182:E182"/>
    <mergeCell ref="F182:P182"/>
    <mergeCell ref="Q182:T182"/>
    <mergeCell ref="U182:X182"/>
    <mergeCell ref="Y182:AA182"/>
    <mergeCell ref="AB182:AD182"/>
    <mergeCell ref="C183:E183"/>
    <mergeCell ref="F183:P183"/>
    <mergeCell ref="Q183:T183"/>
    <mergeCell ref="U183:X183"/>
    <mergeCell ref="Y183:AA183"/>
    <mergeCell ref="AB183:AD183"/>
    <mergeCell ref="AE183:AG183"/>
    <mergeCell ref="AD227:AE227"/>
    <mergeCell ref="R227:S227"/>
    <mergeCell ref="T227:U227"/>
    <mergeCell ref="V227:W227"/>
    <mergeCell ref="X227:Y227"/>
    <mergeCell ref="Z227:AA227"/>
    <mergeCell ref="C223:G224"/>
    <mergeCell ref="H223:U224"/>
    <mergeCell ref="V223:Z223"/>
    <mergeCell ref="AA223:AG223"/>
    <mergeCell ref="V224:Z224"/>
    <mergeCell ref="AA224:AG224"/>
    <mergeCell ref="C225:G225"/>
    <mergeCell ref="H225:U225"/>
    <mergeCell ref="V225:Z225"/>
    <mergeCell ref="AA225:AG225"/>
    <mergeCell ref="P227:Q227"/>
    <mergeCell ref="C227:E227"/>
    <mergeCell ref="F227:G227"/>
    <mergeCell ref="H227:I227"/>
    <mergeCell ref="J227:K227"/>
    <mergeCell ref="L227:M227"/>
    <mergeCell ref="N227:O227"/>
    <mergeCell ref="AB227:AC227"/>
    <mergeCell ref="C228:E229"/>
    <mergeCell ref="F228:F229"/>
    <mergeCell ref="G228:G229"/>
    <mergeCell ref="H228:H229"/>
    <mergeCell ref="I228:I229"/>
    <mergeCell ref="J228:J229"/>
    <mergeCell ref="K228:K229"/>
    <mergeCell ref="L228:L229"/>
    <mergeCell ref="O228:O229"/>
    <mergeCell ref="M228:M229"/>
    <mergeCell ref="N228:N229"/>
    <mergeCell ref="J235:K235"/>
    <mergeCell ref="AD230:AD231"/>
    <mergeCell ref="AB228:AB229"/>
    <mergeCell ref="AC228:AC229"/>
    <mergeCell ref="AD228:AD229"/>
    <mergeCell ref="AE230:AE231"/>
    <mergeCell ref="T230:T231"/>
    <mergeCell ref="U230:U231"/>
    <mergeCell ref="V230:V231"/>
    <mergeCell ref="W230:W231"/>
    <mergeCell ref="X230:X231"/>
    <mergeCell ref="Y230:Y231"/>
    <mergeCell ref="AE228:AE229"/>
    <mergeCell ref="Y228:Y229"/>
    <mergeCell ref="Z228:Z229"/>
    <mergeCell ref="AA228:AA229"/>
    <mergeCell ref="R228:R229"/>
    <mergeCell ref="N232:O233"/>
    <mergeCell ref="Z230:Z231"/>
    <mergeCell ref="AA230:AA231"/>
    <mergeCell ref="N230:N231"/>
    <mergeCell ref="P228:P229"/>
    <mergeCell ref="O230:O231"/>
    <mergeCell ref="P230:P231"/>
    <mergeCell ref="C232:E233"/>
    <mergeCell ref="F232:G233"/>
    <mergeCell ref="H232:I233"/>
    <mergeCell ref="J232:K233"/>
    <mergeCell ref="L232:M233"/>
    <mergeCell ref="AB230:AB231"/>
    <mergeCell ref="AC230:AC231"/>
    <mergeCell ref="C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T232:U233"/>
    <mergeCell ref="V232:W233"/>
    <mergeCell ref="X232:Y233"/>
    <mergeCell ref="Z232:AA233"/>
    <mergeCell ref="AB232:AC233"/>
    <mergeCell ref="Q230:Q231"/>
    <mergeCell ref="R230:R231"/>
    <mergeCell ref="S230:S231"/>
    <mergeCell ref="L235:M235"/>
    <mergeCell ref="N235:O235"/>
    <mergeCell ref="O236:O237"/>
    <mergeCell ref="V240:W241"/>
    <mergeCell ref="X240:Y241"/>
    <mergeCell ref="Z240:AA241"/>
    <mergeCell ref="P235:Q235"/>
    <mergeCell ref="R235:S235"/>
    <mergeCell ref="H238:H239"/>
    <mergeCell ref="I238:I239"/>
    <mergeCell ref="J238:J239"/>
    <mergeCell ref="K238:K239"/>
    <mergeCell ref="X238:X239"/>
    <mergeCell ref="R238:R239"/>
    <mergeCell ref="S238:S239"/>
    <mergeCell ref="T238:T239"/>
    <mergeCell ref="U238:U239"/>
    <mergeCell ref="V238:V239"/>
    <mergeCell ref="W238:W239"/>
    <mergeCell ref="L238:L239"/>
    <mergeCell ref="M238:M239"/>
    <mergeCell ref="N238:N239"/>
    <mergeCell ref="Q238:Q239"/>
    <mergeCell ref="H235:I235"/>
    <mergeCell ref="AC236:AC237"/>
    <mergeCell ref="AD236:AD237"/>
    <mergeCell ref="AB235:AC235"/>
    <mergeCell ref="AD235:AE235"/>
    <mergeCell ref="AA238:AA239"/>
    <mergeCell ref="AB238:AB239"/>
    <mergeCell ref="T240:U241"/>
    <mergeCell ref="T235:U235"/>
    <mergeCell ref="V235:W235"/>
    <mergeCell ref="X235:Y235"/>
    <mergeCell ref="Z235:AA235"/>
    <mergeCell ref="T236:T237"/>
    <mergeCell ref="AD232:AE233"/>
    <mergeCell ref="AC238:AC239"/>
    <mergeCell ref="P236:P237"/>
    <mergeCell ref="AD238:AD239"/>
    <mergeCell ref="AD240:AE241"/>
    <mergeCell ref="N240:O241"/>
    <mergeCell ref="P240:Q241"/>
    <mergeCell ref="R240:S241"/>
    <mergeCell ref="AE236:AE237"/>
    <mergeCell ref="Y236:Y237"/>
    <mergeCell ref="Z236:Z237"/>
    <mergeCell ref="AA236:AA237"/>
    <mergeCell ref="AB236:AB237"/>
    <mergeCell ref="W236:W237"/>
    <mergeCell ref="X236:X237"/>
    <mergeCell ref="Q236:Q237"/>
    <mergeCell ref="R236:R237"/>
    <mergeCell ref="S236:S237"/>
    <mergeCell ref="U236:U237"/>
    <mergeCell ref="V236:V237"/>
    <mergeCell ref="AE238:AE239"/>
    <mergeCell ref="Y238:Y239"/>
    <mergeCell ref="Z238:Z239"/>
    <mergeCell ref="AB240:AC241"/>
    <mergeCell ref="C246:E247"/>
    <mergeCell ref="F246:F247"/>
    <mergeCell ref="G246:G247"/>
    <mergeCell ref="H246:H247"/>
    <mergeCell ref="I246:I247"/>
    <mergeCell ref="F244:F245"/>
    <mergeCell ref="G244:G245"/>
    <mergeCell ref="H244:H245"/>
    <mergeCell ref="I244:I245"/>
    <mergeCell ref="C243:E243"/>
    <mergeCell ref="F243:G243"/>
    <mergeCell ref="H243:I243"/>
    <mergeCell ref="AM299:BQ299"/>
    <mergeCell ref="AM300:BQ300"/>
    <mergeCell ref="AM301:BQ301"/>
    <mergeCell ref="U258:AF258"/>
    <mergeCell ref="D259:J259"/>
    <mergeCell ref="P259:T259"/>
    <mergeCell ref="U259:AF259"/>
    <mergeCell ref="AA291:AG291"/>
    <mergeCell ref="U270:AF270"/>
    <mergeCell ref="D271:J271"/>
    <mergeCell ref="D272:AF272"/>
    <mergeCell ref="K274:O274"/>
    <mergeCell ref="P274:T274"/>
    <mergeCell ref="P269:T269"/>
    <mergeCell ref="U269:AF269"/>
    <mergeCell ref="D270:J270"/>
    <mergeCell ref="P257:T257"/>
    <mergeCell ref="U257:AF257"/>
    <mergeCell ref="K257:O257"/>
    <mergeCell ref="D251:G251"/>
    <mergeCell ref="I251:L251"/>
    <mergeCell ref="AM302:BQ302"/>
    <mergeCell ref="AM303:BQ303"/>
    <mergeCell ref="AM307:BQ307"/>
    <mergeCell ref="AM308:BQ308"/>
    <mergeCell ref="C244:E245"/>
    <mergeCell ref="AI293:AL294"/>
    <mergeCell ref="AM304:BQ304"/>
    <mergeCell ref="D261:AF261"/>
    <mergeCell ref="K263:O263"/>
    <mergeCell ref="P263:T263"/>
    <mergeCell ref="U263:AF263"/>
    <mergeCell ref="D264:J264"/>
    <mergeCell ref="K264:O265"/>
    <mergeCell ref="P264:T264"/>
    <mergeCell ref="U264:AF264"/>
    <mergeCell ref="D265:J265"/>
    <mergeCell ref="P265:T265"/>
    <mergeCell ref="U265:AF265"/>
    <mergeCell ref="D267:AF267"/>
    <mergeCell ref="K269:O269"/>
    <mergeCell ref="D258:J258"/>
    <mergeCell ref="K258:O259"/>
    <mergeCell ref="P258:T258"/>
    <mergeCell ref="D255:AF255"/>
    <mergeCell ref="AM365:BQ365"/>
    <mergeCell ref="S393:AG394"/>
    <mergeCell ref="AM366:BQ366"/>
    <mergeCell ref="AL337:BQ338"/>
    <mergeCell ref="AL339:BQ340"/>
    <mergeCell ref="AD353:AG353"/>
    <mergeCell ref="S349:AG350"/>
    <mergeCell ref="C353:AC353"/>
    <mergeCell ref="C311:Q312"/>
    <mergeCell ref="S311:AG312"/>
    <mergeCell ref="AM311:BQ311"/>
    <mergeCell ref="C317:Q328"/>
    <mergeCell ref="AL371:BQ372"/>
    <mergeCell ref="AM455:BQ455"/>
    <mergeCell ref="C446:Q457"/>
    <mergeCell ref="S446:AG457"/>
    <mergeCell ref="AM447:BQ447"/>
    <mergeCell ref="U274:AF274"/>
    <mergeCell ref="P281:T281"/>
    <mergeCell ref="U281:AF281"/>
    <mergeCell ref="D282:J282"/>
    <mergeCell ref="P282:T282"/>
    <mergeCell ref="U282:AF282"/>
    <mergeCell ref="D275:J275"/>
    <mergeCell ref="K275:O276"/>
    <mergeCell ref="P275:T275"/>
    <mergeCell ref="U275:AF275"/>
    <mergeCell ref="D276:J276"/>
    <mergeCell ref="D278:AF278"/>
    <mergeCell ref="K280:O280"/>
    <mergeCell ref="P280:T280"/>
    <mergeCell ref="U280:AF280"/>
    <mergeCell ref="D281:J281"/>
    <mergeCell ref="K281:O282"/>
    <mergeCell ref="P276:T276"/>
    <mergeCell ref="U276:AF276"/>
    <mergeCell ref="AM310:BQ310"/>
    <mergeCell ref="AM451:BQ451"/>
    <mergeCell ref="AM452:BQ452"/>
    <mergeCell ref="AM453:BQ453"/>
    <mergeCell ref="AM454:BQ454"/>
    <mergeCell ref="C399:Q410"/>
    <mergeCell ref="S399:AG410"/>
    <mergeCell ref="C374:Q375"/>
    <mergeCell ref="S374:AG375"/>
    <mergeCell ref="AM374:BQ374"/>
    <mergeCell ref="C380:Q391"/>
    <mergeCell ref="S380:AG391"/>
    <mergeCell ref="C393:Q394"/>
    <mergeCell ref="AL426:BQ427"/>
    <mergeCell ref="C248:E249"/>
    <mergeCell ref="F248:G249"/>
    <mergeCell ref="H248:I249"/>
    <mergeCell ref="AD484:AG484"/>
    <mergeCell ref="C465:Q476"/>
    <mergeCell ref="S465:AG476"/>
    <mergeCell ref="C478:Q479"/>
    <mergeCell ref="S478:AG479"/>
    <mergeCell ref="C336:Q347"/>
    <mergeCell ref="S336:AG347"/>
    <mergeCell ref="P271:T271"/>
    <mergeCell ref="U271:AF271"/>
    <mergeCell ref="S330:AG331"/>
    <mergeCell ref="C293:AG294"/>
    <mergeCell ref="C298:Q309"/>
    <mergeCell ref="S298:AG309"/>
    <mergeCell ref="K270:O271"/>
    <mergeCell ref="P270:T270"/>
    <mergeCell ref="C361:Q372"/>
    <mergeCell ref="S361:AG372"/>
    <mergeCell ref="C330:Q331"/>
    <mergeCell ref="AM456:BQ456"/>
    <mergeCell ref="AM457:BQ457"/>
    <mergeCell ref="AM458:BQ458"/>
    <mergeCell ref="C459:Q460"/>
    <mergeCell ref="S459:AG460"/>
    <mergeCell ref="AM459:BQ459"/>
    <mergeCell ref="AD290:AG290"/>
    <mergeCell ref="C412:Q413"/>
    <mergeCell ref="S412:AG413"/>
    <mergeCell ref="AM367:BQ367"/>
    <mergeCell ref="C356:AG357"/>
    <mergeCell ref="AD418:AG418"/>
    <mergeCell ref="C419:Z419"/>
    <mergeCell ref="AA419:AG419"/>
    <mergeCell ref="C290:AC290"/>
    <mergeCell ref="S317:AG328"/>
    <mergeCell ref="C421:AG422"/>
    <mergeCell ref="C427:Q438"/>
    <mergeCell ref="S427:AG438"/>
    <mergeCell ref="C440:Q441"/>
    <mergeCell ref="S440:AG441"/>
    <mergeCell ref="AM448:BQ448"/>
    <mergeCell ref="AM449:BQ449"/>
    <mergeCell ref="AM450:BQ450"/>
    <mergeCell ref="AE108:AG108"/>
    <mergeCell ref="AE172:AG172"/>
    <mergeCell ref="AE170:AG170"/>
    <mergeCell ref="C170:E170"/>
    <mergeCell ref="AB171:AD171"/>
    <mergeCell ref="AE171:AG171"/>
    <mergeCell ref="C169:E169"/>
    <mergeCell ref="F169:P169"/>
    <mergeCell ref="U169:X169"/>
    <mergeCell ref="Y169:AA169"/>
    <mergeCell ref="AB170:AD170"/>
    <mergeCell ref="AE168:AG168"/>
    <mergeCell ref="AB169:AD169"/>
    <mergeCell ref="AE169:AG169"/>
    <mergeCell ref="C168:E168"/>
    <mergeCell ref="F168:P168"/>
    <mergeCell ref="Q168:T168"/>
    <mergeCell ref="U168:X168"/>
    <mergeCell ref="C140:G140"/>
    <mergeCell ref="C160:G161"/>
    <mergeCell ref="C171:E171"/>
    <mergeCell ref="F171:P171"/>
    <mergeCell ref="Q171:T171"/>
    <mergeCell ref="U171:X171"/>
    <mergeCell ref="C240:E241"/>
    <mergeCell ref="F240:G241"/>
    <mergeCell ref="C173:E173"/>
    <mergeCell ref="F173:P173"/>
    <mergeCell ref="O238:O239"/>
    <mergeCell ref="P238:P239"/>
    <mergeCell ref="K236:K237"/>
    <mergeCell ref="L236:L237"/>
    <mergeCell ref="M236:M237"/>
    <mergeCell ref="N236:N237"/>
    <mergeCell ref="C236:E237"/>
    <mergeCell ref="F236:F237"/>
    <mergeCell ref="G236:G237"/>
    <mergeCell ref="H236:H237"/>
    <mergeCell ref="I236:I237"/>
    <mergeCell ref="J236:J237"/>
    <mergeCell ref="C235:E235"/>
    <mergeCell ref="F235:G235"/>
    <mergeCell ref="H240:I241"/>
    <mergeCell ref="J240:K241"/>
    <mergeCell ref="L240:M241"/>
    <mergeCell ref="C238:E239"/>
    <mergeCell ref="F238:F239"/>
    <mergeCell ref="G238:G239"/>
    <mergeCell ref="AL305:BQ306"/>
    <mergeCell ref="AL377:BQ378"/>
    <mergeCell ref="J243:K243"/>
    <mergeCell ref="J244:J245"/>
    <mergeCell ref="K244:K245"/>
    <mergeCell ref="J246:J247"/>
    <mergeCell ref="K246:K247"/>
    <mergeCell ref="J248:K249"/>
    <mergeCell ref="L243:M243"/>
    <mergeCell ref="L244:L245"/>
    <mergeCell ref="M244:M245"/>
    <mergeCell ref="L246:L247"/>
    <mergeCell ref="M246:M247"/>
    <mergeCell ref="L248:M249"/>
    <mergeCell ref="O251:S251"/>
    <mergeCell ref="AM368:BQ368"/>
    <mergeCell ref="AM369:BQ369"/>
    <mergeCell ref="AM370:BQ370"/>
    <mergeCell ref="AM373:BQ373"/>
    <mergeCell ref="AM362:BQ362"/>
    <mergeCell ref="AM363:BQ363"/>
    <mergeCell ref="AM309:BQ309"/>
    <mergeCell ref="AL322:BQ323"/>
    <mergeCell ref="AM364:BQ364"/>
  </mergeCells>
  <conditionalFormatting sqref="F228">
    <cfRule type="cellIs" dxfId="869" priority="398" stopIfTrue="1" operator="equal">
      <formula>1</formula>
    </cfRule>
    <cfRule type="cellIs" dxfId="868" priority="397" stopIfTrue="1" operator="equal">
      <formula>0</formula>
    </cfRule>
  </conditionalFormatting>
  <conditionalFormatting sqref="F230">
    <cfRule type="cellIs" dxfId="867" priority="112" stopIfTrue="1" operator="equal">
      <formula>0</formula>
    </cfRule>
    <cfRule type="cellIs" dxfId="866" priority="113" stopIfTrue="1" operator="equal">
      <formula>1</formula>
    </cfRule>
  </conditionalFormatting>
  <conditionalFormatting sqref="F244">
    <cfRule type="cellIs" dxfId="865" priority="562" stopIfTrue="1" operator="equal">
      <formula>1</formula>
    </cfRule>
    <cfRule type="cellIs" dxfId="864" priority="561" stopIfTrue="1" operator="equal">
      <formula>0</formula>
    </cfRule>
  </conditionalFormatting>
  <conditionalFormatting sqref="F246">
    <cfRule type="cellIs" dxfId="863" priority="554" stopIfTrue="1" operator="equal">
      <formula>1</formula>
    </cfRule>
    <cfRule type="cellIs" dxfId="862" priority="553" stopIfTrue="1" operator="equal">
      <formula>0</formula>
    </cfRule>
  </conditionalFormatting>
  <conditionalFormatting sqref="F228:G228">
    <cfRule type="cellIs" dxfId="861" priority="394" stopIfTrue="1" operator="equal">
      <formula>1</formula>
    </cfRule>
  </conditionalFormatting>
  <conditionalFormatting sqref="F244:G244">
    <cfRule type="cellIs" dxfId="860" priority="558" stopIfTrue="1" operator="equal">
      <formula>1</formula>
    </cfRule>
    <cfRule type="cellIs" dxfId="859" priority="557" stopIfTrue="1" operator="equal">
      <formula>0</formula>
    </cfRule>
  </conditionalFormatting>
  <conditionalFormatting sqref="F228:I228">
    <cfRule type="cellIs" dxfId="858" priority="393" stopIfTrue="1" operator="equal">
      <formula>0</formula>
    </cfRule>
  </conditionalFormatting>
  <conditionalFormatting sqref="F238:K238">
    <cfRule type="cellIs" dxfId="857" priority="31" stopIfTrue="1" operator="equal">
      <formula>0</formula>
    </cfRule>
    <cfRule type="cellIs" dxfId="856" priority="34" stopIfTrue="1" operator="equal">
      <formula>1</formula>
    </cfRule>
    <cfRule type="cellIs" dxfId="855" priority="33" stopIfTrue="1" operator="equal">
      <formula>0</formula>
    </cfRule>
    <cfRule type="cellIs" dxfId="854" priority="32" stopIfTrue="1" operator="equal">
      <formula>1</formula>
    </cfRule>
  </conditionalFormatting>
  <conditionalFormatting sqref="F246:K246 N246">
    <cfRule type="cellIs" dxfId="853" priority="128" stopIfTrue="1" operator="equal">
      <formula>0</formula>
    </cfRule>
    <cfRule type="cellIs" dxfId="852" priority="129" stopIfTrue="1" operator="equal">
      <formula>1</formula>
    </cfRule>
  </conditionalFormatting>
  <conditionalFormatting sqref="F236:X236">
    <cfRule type="cellIs" dxfId="851" priority="265" stopIfTrue="1" operator="equal">
      <formula>1</formula>
    </cfRule>
    <cfRule type="cellIs" dxfId="850" priority="263" stopIfTrue="1" operator="equal">
      <formula>0</formula>
    </cfRule>
  </conditionalFormatting>
  <conditionalFormatting sqref="F236:Y236 L238:X238">
    <cfRule type="cellIs" dxfId="849" priority="358" stopIfTrue="1" operator="equal">
      <formula>1</formula>
    </cfRule>
    <cfRule type="cellIs" dxfId="848" priority="357" stopIfTrue="1" operator="equal">
      <formula>0</formula>
    </cfRule>
  </conditionalFormatting>
  <conditionalFormatting sqref="F230:AC230">
    <cfRule type="cellIs" dxfId="847" priority="30" stopIfTrue="1" operator="equal">
      <formula>1</formula>
    </cfRule>
    <cfRule type="cellIs" dxfId="846" priority="29" stopIfTrue="1" operator="equal">
      <formula>0</formula>
    </cfRule>
  </conditionalFormatting>
  <conditionalFormatting sqref="G228:G229">
    <cfRule type="cellIs" dxfId="845" priority="385" stopIfTrue="1" operator="equal">
      <formula>0</formula>
    </cfRule>
    <cfRule type="cellIs" dxfId="844" priority="386" stopIfTrue="1" operator="equal">
      <formula>1</formula>
    </cfRule>
  </conditionalFormatting>
  <conditionalFormatting sqref="G244:G245">
    <cfRule type="cellIs" dxfId="843" priority="550" stopIfTrue="1" operator="equal">
      <formula>1</formula>
    </cfRule>
  </conditionalFormatting>
  <conditionalFormatting sqref="G244:I245">
    <cfRule type="cellIs" dxfId="842" priority="533" stopIfTrue="1" operator="equal">
      <formula>0</formula>
    </cfRule>
  </conditionalFormatting>
  <conditionalFormatting sqref="G246:K247">
    <cfRule type="cellIs" dxfId="841" priority="126" stopIfTrue="1" operator="equal">
      <formula>0</formula>
    </cfRule>
    <cfRule type="cellIs" dxfId="840" priority="127" stopIfTrue="1" operator="equal">
      <formula>1</formula>
    </cfRule>
  </conditionalFormatting>
  <conditionalFormatting sqref="G230:AE230">
    <cfRule type="cellIs" dxfId="839" priority="4" stopIfTrue="1" operator="equal">
      <formula>1</formula>
    </cfRule>
    <cfRule type="cellIs" dxfId="838" priority="3" stopIfTrue="1" operator="equal">
      <formula>0</formula>
    </cfRule>
  </conditionalFormatting>
  <conditionalFormatting sqref="H244">
    <cfRule type="cellIs" dxfId="837" priority="546" stopIfTrue="1" operator="equal">
      <formula>1</formula>
    </cfRule>
    <cfRule type="cellIs" dxfId="836" priority="545" stopIfTrue="1" operator="equal">
      <formula>0</formula>
    </cfRule>
  </conditionalFormatting>
  <conditionalFormatting sqref="H251">
    <cfRule type="cellIs" dxfId="835" priority="770" stopIfTrue="1" operator="equal">
      <formula>1</formula>
    </cfRule>
    <cfRule type="cellIs" dxfId="834" priority="769" stopIfTrue="1" operator="equal">
      <formula>0</formula>
    </cfRule>
  </conditionalFormatting>
  <conditionalFormatting sqref="H228:I228 X228:Y228">
    <cfRule type="cellIs" dxfId="833" priority="722" stopIfTrue="1" operator="equal">
      <formula>1</formula>
    </cfRule>
  </conditionalFormatting>
  <conditionalFormatting sqref="H240:I244 H228:H229 H232:I235">
    <cfRule type="cellIs" dxfId="832" priority="538" stopIfTrue="1" operator="equal">
      <formula>1</formula>
    </cfRule>
  </conditionalFormatting>
  <conditionalFormatting sqref="I228:I229">
    <cfRule type="cellIs" dxfId="831" priority="109" stopIfTrue="1" operator="equal">
      <formula>1</formula>
    </cfRule>
  </conditionalFormatting>
  <conditionalFormatting sqref="I244:I245">
    <cfRule type="cellIs" dxfId="830" priority="531" stopIfTrue="1" operator="equal">
      <formula>0</formula>
    </cfRule>
    <cfRule type="cellIs" dxfId="829" priority="532" stopIfTrue="1" operator="equal">
      <formula>1</formula>
    </cfRule>
  </conditionalFormatting>
  <conditionalFormatting sqref="J244">
    <cfRule type="cellIs" dxfId="828" priority="326" stopIfTrue="1" operator="equal">
      <formula>1</formula>
    </cfRule>
    <cfRule type="cellIs" dxfId="827" priority="325" stopIfTrue="1" operator="equal">
      <formula>0</formula>
    </cfRule>
  </conditionalFormatting>
  <conditionalFormatting sqref="J228:K228">
    <cfRule type="cellIs" dxfId="826" priority="378" stopIfTrue="1" operator="equal">
      <formula>1</formula>
    </cfRule>
    <cfRule type="cellIs" dxfId="825" priority="377" stopIfTrue="1" operator="equal">
      <formula>0</formula>
    </cfRule>
  </conditionalFormatting>
  <conditionalFormatting sqref="J244:O244">
    <cfRule type="cellIs" dxfId="824" priority="317" stopIfTrue="1" operator="equal">
      <formula>0</formula>
    </cfRule>
    <cfRule type="cellIs" dxfId="823" priority="318" stopIfTrue="1" operator="equal">
      <formula>1</formula>
    </cfRule>
  </conditionalFormatting>
  <conditionalFormatting sqref="J228:S228">
    <cfRule type="cellIs" dxfId="822" priority="241" stopIfTrue="1" operator="equal">
      <formula>0</formula>
    </cfRule>
    <cfRule type="cellIs" dxfId="821" priority="242" stopIfTrue="1" operator="equal">
      <formula>1</formula>
    </cfRule>
  </conditionalFormatting>
  <conditionalFormatting sqref="K244:O244">
    <cfRule type="cellIs" dxfId="820" priority="116" stopIfTrue="1" operator="equal">
      <formula>0</formula>
    </cfRule>
    <cfRule type="cellIs" dxfId="819" priority="117" stopIfTrue="1" operator="equal">
      <formula>1</formula>
    </cfRule>
  </conditionalFormatting>
  <conditionalFormatting sqref="L246">
    <cfRule type="cellIs" dxfId="818" priority="49" stopIfTrue="1" operator="equal">
      <formula>0</formula>
    </cfRule>
    <cfRule type="cellIs" dxfId="817" priority="50" stopIfTrue="1" operator="equal">
      <formula>1</formula>
    </cfRule>
  </conditionalFormatting>
  <conditionalFormatting sqref="L246:M246">
    <cfRule type="cellIs" dxfId="816" priority="46" stopIfTrue="1" operator="equal">
      <formula>1</formula>
    </cfRule>
    <cfRule type="cellIs" dxfId="815" priority="45" stopIfTrue="1" operator="equal">
      <formula>0</formula>
    </cfRule>
  </conditionalFormatting>
  <conditionalFormatting sqref="L228:S228">
    <cfRule type="cellIs" dxfId="814" priority="233" stopIfTrue="1" operator="equal">
      <formula>0</formula>
    </cfRule>
    <cfRule type="cellIs" dxfId="813" priority="234" stopIfTrue="1" operator="equal">
      <formula>1</formula>
    </cfRule>
  </conditionalFormatting>
  <conditionalFormatting sqref="L238:Z238">
    <cfRule type="cellIs" dxfId="812" priority="133" stopIfTrue="1" operator="equal">
      <formula>1</formula>
    </cfRule>
    <cfRule type="cellIs" dxfId="811" priority="132" stopIfTrue="1" operator="equal">
      <formula>0</formula>
    </cfRule>
  </conditionalFormatting>
  <conditionalFormatting sqref="M246">
    <cfRule type="cellIs" dxfId="810" priority="43" stopIfTrue="1" operator="equal">
      <formula>0</formula>
    </cfRule>
    <cfRule type="cellIs" dxfId="809" priority="44" stopIfTrue="1" operator="equal">
      <formula>1</formula>
    </cfRule>
  </conditionalFormatting>
  <conditionalFormatting sqref="N246:N247">
    <cfRule type="cellIs" dxfId="808" priority="115" stopIfTrue="1" operator="equal">
      <formula>1</formula>
    </cfRule>
    <cfRule type="cellIs" dxfId="807" priority="114" stopIfTrue="1" operator="equal">
      <formula>0</formula>
    </cfRule>
  </conditionalFormatting>
  <conditionalFormatting sqref="N251">
    <cfRule type="cellIs" dxfId="806" priority="767" stopIfTrue="1" operator="equal">
      <formula>0</formula>
    </cfRule>
    <cfRule type="cellIs" dxfId="805" priority="768" stopIfTrue="1" operator="equal">
      <formula>1</formula>
    </cfRule>
  </conditionalFormatting>
  <conditionalFormatting sqref="N228:P229">
    <cfRule type="cellIs" dxfId="804" priority="108" stopIfTrue="1" operator="equal">
      <formula>1</formula>
    </cfRule>
  </conditionalFormatting>
  <conditionalFormatting sqref="O246">
    <cfRule type="cellIs" dxfId="803" priority="12" stopIfTrue="1" operator="equal">
      <formula>1</formula>
    </cfRule>
    <cfRule type="cellIs" dxfId="802" priority="11" stopIfTrue="1" operator="equal">
      <formula>0</formula>
    </cfRule>
    <cfRule type="cellIs" dxfId="801" priority="10" stopIfTrue="1" operator="equal">
      <formula>1</formula>
    </cfRule>
    <cfRule type="cellIs" dxfId="800" priority="9" stopIfTrue="1" operator="equal">
      <formula>0</formula>
    </cfRule>
  </conditionalFormatting>
  <conditionalFormatting sqref="T228">
    <cfRule type="cellIs" dxfId="799" priority="514" stopIfTrue="1" operator="equal">
      <formula>1</formula>
    </cfRule>
    <cfRule type="cellIs" dxfId="798" priority="513" stopIfTrue="1" operator="equal">
      <formula>0</formula>
    </cfRule>
  </conditionalFormatting>
  <conditionalFormatting sqref="T228:W228">
    <cfRule type="cellIs" dxfId="797" priority="510" stopIfTrue="1" operator="equal">
      <formula>1</formula>
    </cfRule>
    <cfRule type="cellIs" dxfId="796" priority="509" stopIfTrue="1" operator="equal">
      <formula>0</formula>
    </cfRule>
  </conditionalFormatting>
  <conditionalFormatting sqref="U228:U229 U232:U233">
    <cfRule type="cellIs" dxfId="795" priority="477" stopIfTrue="1" operator="equal">
      <formula>0</formula>
    </cfRule>
    <cfRule type="cellIs" dxfId="794" priority="478" stopIfTrue="1" operator="equal">
      <formula>1</formula>
    </cfRule>
  </conditionalFormatting>
  <conditionalFormatting sqref="U235">
    <cfRule type="cellIs" dxfId="793" priority="256" stopIfTrue="1" operator="equal">
      <formula>1</formula>
    </cfRule>
    <cfRule type="cellIs" dxfId="792" priority="255" stopIfTrue="1" operator="equal">
      <formula>0</formula>
    </cfRule>
  </conditionalFormatting>
  <conditionalFormatting sqref="V228:W228">
    <cfRule type="cellIs" dxfId="791" priority="625" stopIfTrue="1" operator="equal">
      <formula>0</formula>
    </cfRule>
    <cfRule type="cellIs" dxfId="790" priority="626" stopIfTrue="1" operator="equal">
      <formula>1</formula>
    </cfRule>
  </conditionalFormatting>
  <conditionalFormatting sqref="X228:Y228 H228:I228">
    <cfRule type="cellIs" dxfId="789" priority="721" stopIfTrue="1" operator="equal">
      <formula>0</formula>
    </cfRule>
  </conditionalFormatting>
  <conditionalFormatting sqref="X228:AA228">
    <cfRule type="cellIs" dxfId="788" priority="718" stopIfTrue="1" operator="equal">
      <formula>1</formula>
    </cfRule>
    <cfRule type="cellIs" dxfId="787" priority="717" stopIfTrue="1" operator="equal">
      <formula>0</formula>
    </cfRule>
  </conditionalFormatting>
  <conditionalFormatting sqref="Y238">
    <cfRule type="cellIs" dxfId="786" priority="131" stopIfTrue="1" operator="equal">
      <formula>1</formula>
    </cfRule>
    <cfRule type="cellIs" dxfId="785" priority="130" stopIfTrue="1" operator="equal">
      <formula>0</formula>
    </cfRule>
  </conditionalFormatting>
  <conditionalFormatting sqref="Y236:AB236">
    <cfRule type="cellIs" dxfId="784" priority="425" stopIfTrue="1" operator="equal">
      <formula>0</formula>
    </cfRule>
    <cfRule type="cellIs" dxfId="783" priority="426" stopIfTrue="1" operator="equal">
      <formula>1</formula>
    </cfRule>
  </conditionalFormatting>
  <conditionalFormatting sqref="Z238 AB238 AD238">
    <cfRule type="cellIs" dxfId="782" priority="410" stopIfTrue="1" operator="equal">
      <formula>1</formula>
    </cfRule>
  </conditionalFormatting>
  <conditionalFormatting sqref="Z238">
    <cfRule type="cellIs" dxfId="781" priority="433" stopIfTrue="1" operator="equal">
      <formula>0</formula>
    </cfRule>
    <cfRule type="cellIs" dxfId="780" priority="434" stopIfTrue="1" operator="equal">
      <formula>1</formula>
    </cfRule>
    <cfRule type="cellIs" dxfId="779" priority="667" stopIfTrue="1" operator="equal">
      <formula>0</formula>
    </cfRule>
  </conditionalFormatting>
  <conditionalFormatting sqref="Z236:AA236 Z238:AA238">
    <cfRule type="cellIs" dxfId="778" priority="754" stopIfTrue="1" operator="equal">
      <formula>1</formula>
    </cfRule>
  </conditionalFormatting>
  <conditionalFormatting sqref="Z236:AA236">
    <cfRule type="cellIs" dxfId="777" priority="753" stopIfTrue="1" operator="equal">
      <formula>0</formula>
    </cfRule>
  </conditionalFormatting>
  <conditionalFormatting sqref="Z228:AB228">
    <cfRule type="cellIs" dxfId="776" priority="713" stopIfTrue="1" operator="equal">
      <formula>0</formula>
    </cfRule>
    <cfRule type="cellIs" dxfId="775" priority="714" stopIfTrue="1" operator="equal">
      <formula>1</formula>
    </cfRule>
  </conditionalFormatting>
  <conditionalFormatting sqref="AA238">
    <cfRule type="cellIs" dxfId="774" priority="102" stopIfTrue="1" operator="equal">
      <formula>1</formula>
    </cfRule>
    <cfRule type="cellIs" dxfId="773" priority="101" stopIfTrue="1" operator="equal">
      <formula>0</formula>
    </cfRule>
  </conditionalFormatting>
  <conditionalFormatting sqref="AA238:AB238">
    <cfRule type="cellIs" dxfId="772" priority="103" stopIfTrue="1" operator="equal">
      <formula>0</formula>
    </cfRule>
  </conditionalFormatting>
  <conditionalFormatting sqref="AB238 AD238 Z238">
    <cfRule type="cellIs" dxfId="771" priority="409" stopIfTrue="1" operator="equal">
      <formula>0</formula>
    </cfRule>
  </conditionalFormatting>
  <conditionalFormatting sqref="AB238">
    <cfRule type="cellIs" dxfId="770" priority="429" stopIfTrue="1" operator="equal">
      <formula>0</formula>
    </cfRule>
    <cfRule type="cellIs" dxfId="769" priority="430" stopIfTrue="1" operator="equal">
      <formula>1</formula>
    </cfRule>
  </conditionalFormatting>
  <conditionalFormatting sqref="AB228:AE228">
    <cfRule type="cellIs" dxfId="768" priority="362" stopIfTrue="1" operator="equal">
      <formula>1</formula>
    </cfRule>
    <cfRule type="cellIs" dxfId="767" priority="361" stopIfTrue="1" operator="equal">
      <formula>0</formula>
    </cfRule>
  </conditionalFormatting>
  <conditionalFormatting sqref="AB236:AE236">
    <cfRule type="cellIs" dxfId="766" priority="338" stopIfTrue="1" operator="equal">
      <formula>1</formula>
    </cfRule>
    <cfRule type="cellIs" dxfId="765" priority="337" stopIfTrue="1" operator="equal">
      <formula>0</formula>
    </cfRule>
  </conditionalFormatting>
  <conditionalFormatting sqref="AC236:AC238">
    <cfRule type="cellIs" dxfId="764" priority="22" stopIfTrue="1" operator="equal">
      <formula>1</formula>
    </cfRule>
    <cfRule type="cellIs" dxfId="763" priority="21" stopIfTrue="1" operator="equal">
      <formula>0</formula>
    </cfRule>
  </conditionalFormatting>
  <conditionalFormatting sqref="AC228:AE228">
    <cfRule type="cellIs" dxfId="762" priority="360" stopIfTrue="1" operator="equal">
      <formula>1</formula>
    </cfRule>
    <cfRule type="cellIs" dxfId="761" priority="359" stopIfTrue="1" operator="equal">
      <formula>0</formula>
    </cfRule>
  </conditionalFormatting>
  <conditionalFormatting sqref="AC238:AE238">
    <cfRule type="cellIs" dxfId="760" priority="18" stopIfTrue="1" operator="equal">
      <formula>1</formula>
    </cfRule>
    <cfRule type="cellIs" dxfId="759" priority="17" stopIfTrue="1" operator="equal">
      <formula>0</formula>
    </cfRule>
  </conditionalFormatting>
  <conditionalFormatting sqref="AD230">
    <cfRule type="cellIs" dxfId="758" priority="1" stopIfTrue="1" operator="equal">
      <formula>0</formula>
    </cfRule>
    <cfRule type="cellIs" dxfId="757" priority="2" stopIfTrue="1" operator="equal">
      <formula>1</formula>
    </cfRule>
  </conditionalFormatting>
  <conditionalFormatting sqref="AD238">
    <cfRule type="cellIs" dxfId="756" priority="268" stopIfTrue="1" operator="equal">
      <formula>0</formula>
    </cfRule>
  </conditionalFormatting>
  <conditionalFormatting sqref="AD236:AE236 AD238 AB238">
    <cfRule type="cellIs" dxfId="755" priority="336" stopIfTrue="1" operator="equal">
      <formula>1</formula>
    </cfRule>
  </conditionalFormatting>
  <conditionalFormatting sqref="AD236:AE236">
    <cfRule type="cellIs" dxfId="754" priority="335" stopIfTrue="1" operator="equal">
      <formula>0</formula>
    </cfRule>
  </conditionalFormatting>
  <conditionalFormatting sqref="AE230">
    <cfRule type="cellIs" dxfId="753" priority="8" stopIfTrue="1" operator="equal">
      <formula>1</formula>
    </cfRule>
    <cfRule type="cellIs" dxfId="752" priority="7" stopIfTrue="1" operator="equal">
      <formula>0</formula>
    </cfRule>
  </conditionalFormatting>
  <conditionalFormatting sqref="AE238">
    <cfRule type="cellIs" dxfId="751" priority="16" stopIfTrue="1" operator="equal">
      <formula>1</formula>
    </cfRule>
    <cfRule type="cellIs" dxfId="750" priority="15" stopIfTrue="1" operator="equal">
      <formula>0</formula>
    </cfRule>
    <cfRule type="cellIs" dxfId="749" priority="13" stopIfTrue="1" operator="equal">
      <formula>0</formula>
    </cfRule>
    <cfRule type="cellIs" dxfId="748" priority="14" stopIfTrue="1" operator="equal">
      <formula>1</formula>
    </cfRule>
  </conditionalFormatting>
  <dataValidations count="1">
    <dataValidation type="whole" allowBlank="1" showInputMessage="1" showErrorMessage="1" sqref="F238:AE238 F246:AE246 F244:AE244 F228:AE228 F236:AE236 F230:AE230" xr:uid="{00000000-0002-0000-0000-000000000000}">
      <formula1>0</formula1>
      <formula2>1</formula2>
    </dataValidation>
  </dataValidations>
  <printOptions horizontalCentered="1"/>
  <pageMargins left="0.59055118110236227" right="0.39370078740157483" top="0.39370078740157483" bottom="0.39370078740157483" header="0.11811023622047245" footer="0.11811023622047245"/>
  <pageSetup paperSize="9" scale="77" fitToHeight="0" orientation="portrait" r:id="rId1"/>
  <rowBreaks count="9" manualBreakCount="9">
    <brk id="90" min="1" max="37" man="1"/>
    <brk id="154" min="1" max="37" man="1"/>
    <brk id="217" min="1" max="37" man="1"/>
    <brk id="290" min="1" max="37" man="1"/>
    <brk id="353" min="1" max="37" man="1"/>
    <brk id="418" min="1" max="37" man="1"/>
    <brk id="484" min="1" max="33" man="1"/>
    <brk id="550" min="1" max="33" man="1"/>
    <brk id="616" min="1" max="3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J109"/>
  <sheetViews>
    <sheetView showGridLines="0" view="pageBreakPreview" zoomScaleSheetLayoutView="100" workbookViewId="0">
      <selection activeCell="AB50" sqref="AB50"/>
    </sheetView>
  </sheetViews>
  <sheetFormatPr defaultColWidth="9.109375" defaultRowHeight="14.4"/>
  <cols>
    <col min="1" max="1" width="10.33203125" customWidth="1"/>
    <col min="2" max="2" width="81.5546875" customWidth="1"/>
    <col min="3" max="3" width="9.109375" style="231" customWidth="1"/>
    <col min="4" max="4" width="9.88671875" style="231" customWidth="1"/>
    <col min="5" max="5" width="9.5546875" style="231" customWidth="1"/>
  </cols>
  <sheetData>
    <row r="1" spans="1:6" ht="33.75" customHeight="1">
      <c r="A1" s="2133" t="s">
        <v>2323</v>
      </c>
      <c r="B1" s="2134"/>
      <c r="C1" s="2134"/>
      <c r="D1" s="2134"/>
      <c r="E1" s="2135"/>
    </row>
    <row r="2" spans="1:6" ht="9" customHeight="1">
      <c r="A2" s="2143"/>
      <c r="B2" s="2143"/>
      <c r="C2" s="2143"/>
      <c r="D2" s="2143"/>
      <c r="E2" s="2143"/>
    </row>
    <row r="3" spans="1:6" s="127" customFormat="1" ht="15.6">
      <c r="A3" s="1015" t="s">
        <v>259</v>
      </c>
      <c r="B3" s="1015" t="s">
        <v>2324</v>
      </c>
      <c r="C3" s="1015" t="s">
        <v>2325</v>
      </c>
      <c r="D3" s="1015" t="s">
        <v>2326</v>
      </c>
      <c r="E3" s="1041" t="s">
        <v>2246</v>
      </c>
      <c r="F3" s="127" t="s">
        <v>2327</v>
      </c>
    </row>
    <row r="4" spans="1:6" ht="37.5" customHeight="1">
      <c r="A4" s="706">
        <v>1</v>
      </c>
      <c r="B4" s="1016" t="s">
        <v>2328</v>
      </c>
      <c r="C4" s="706" t="s">
        <v>2329</v>
      </c>
      <c r="D4" s="706"/>
      <c r="E4" s="706"/>
    </row>
    <row r="5" spans="1:6" ht="37.5" customHeight="1">
      <c r="A5" s="706">
        <v>2</v>
      </c>
      <c r="B5" s="1016" t="s">
        <v>2330</v>
      </c>
      <c r="C5" s="706" t="s">
        <v>2329</v>
      </c>
      <c r="D5" s="706"/>
      <c r="E5" s="706"/>
    </row>
    <row r="6" spans="1:6" ht="37.5" customHeight="1">
      <c r="A6" s="706">
        <v>3</v>
      </c>
      <c r="B6" s="1016" t="s">
        <v>2331</v>
      </c>
      <c r="C6" s="706" t="s">
        <v>2329</v>
      </c>
      <c r="D6" s="706"/>
      <c r="E6" s="706"/>
    </row>
    <row r="7" spans="1:6" ht="37.5" customHeight="1">
      <c r="A7" s="706">
        <v>4</v>
      </c>
      <c r="B7" s="1016" t="s">
        <v>2332</v>
      </c>
      <c r="C7" s="706" t="s">
        <v>2329</v>
      </c>
      <c r="D7" s="706"/>
      <c r="E7" s="706"/>
    </row>
    <row r="8" spans="1:6" ht="37.5" customHeight="1">
      <c r="A8" s="706">
        <v>5</v>
      </c>
      <c r="B8" s="1016" t="s">
        <v>2333</v>
      </c>
      <c r="C8" s="706" t="s">
        <v>2329</v>
      </c>
      <c r="D8" s="706"/>
      <c r="E8" s="706"/>
    </row>
    <row r="9" spans="1:6" ht="37.5" customHeight="1">
      <c r="A9" s="706">
        <v>6</v>
      </c>
      <c r="B9" s="1016" t="s">
        <v>2334</v>
      </c>
      <c r="C9" s="706" t="s">
        <v>2329</v>
      </c>
      <c r="D9" s="706"/>
      <c r="E9" s="706"/>
    </row>
    <row r="10" spans="1:6" ht="37.5" customHeight="1">
      <c r="A10" s="706">
        <v>7</v>
      </c>
      <c r="B10" s="1016" t="s">
        <v>2335</v>
      </c>
      <c r="C10" s="706" t="s">
        <v>2329</v>
      </c>
      <c r="D10" s="706"/>
      <c r="E10" s="706"/>
    </row>
    <row r="11" spans="1:6" ht="37.5" customHeight="1">
      <c r="A11" s="706">
        <v>8</v>
      </c>
      <c r="B11" s="1016" t="s">
        <v>2336</v>
      </c>
      <c r="C11" s="706" t="s">
        <v>2329</v>
      </c>
      <c r="D11" s="706"/>
      <c r="E11" s="706"/>
    </row>
    <row r="12" spans="1:6" ht="37.5" customHeight="1">
      <c r="A12" s="706">
        <v>9</v>
      </c>
      <c r="B12" s="1016" t="s">
        <v>2337</v>
      </c>
      <c r="C12" s="706" t="s">
        <v>2329</v>
      </c>
      <c r="D12" s="706"/>
      <c r="E12" s="706"/>
    </row>
    <row r="13" spans="1:6" ht="37.5" customHeight="1">
      <c r="A13" s="706">
        <v>10</v>
      </c>
      <c r="B13" s="1016" t="s">
        <v>2338</v>
      </c>
      <c r="C13" s="706" t="s">
        <v>2329</v>
      </c>
      <c r="D13" s="706"/>
      <c r="E13" s="706"/>
    </row>
    <row r="14" spans="1:6" ht="37.5" customHeight="1">
      <c r="A14" s="706">
        <v>11</v>
      </c>
      <c r="B14" s="1016" t="s">
        <v>2339</v>
      </c>
      <c r="C14" s="706" t="s">
        <v>2329</v>
      </c>
      <c r="D14" s="706"/>
      <c r="E14" s="706"/>
    </row>
    <row r="15" spans="1:6" ht="37.5" customHeight="1">
      <c r="A15" s="706">
        <v>12</v>
      </c>
      <c r="B15" s="1016" t="s">
        <v>2340</v>
      </c>
      <c r="C15" s="706" t="s">
        <v>2329</v>
      </c>
      <c r="D15" s="706"/>
      <c r="E15" s="706"/>
    </row>
    <row r="16" spans="1:6" ht="37.5" customHeight="1">
      <c r="A16" s="706">
        <v>13</v>
      </c>
      <c r="B16" s="1016" t="s">
        <v>2341</v>
      </c>
      <c r="C16" s="706" t="s">
        <v>2329</v>
      </c>
      <c r="D16" s="706"/>
      <c r="E16" s="706"/>
    </row>
    <row r="17" spans="1:5" ht="37.5" customHeight="1">
      <c r="A17" s="706">
        <v>14</v>
      </c>
      <c r="B17" s="1016" t="s">
        <v>2342</v>
      </c>
      <c r="C17" s="706" t="s">
        <v>2329</v>
      </c>
      <c r="D17" s="706"/>
      <c r="E17" s="706"/>
    </row>
    <row r="18" spans="1:5" ht="37.5" customHeight="1">
      <c r="A18" s="706">
        <v>15</v>
      </c>
      <c r="B18" s="1016" t="s">
        <v>2343</v>
      </c>
      <c r="C18" s="706" t="s">
        <v>2329</v>
      </c>
      <c r="D18" s="706"/>
      <c r="E18" s="706"/>
    </row>
    <row r="19" spans="1:5" ht="37.5" customHeight="1">
      <c r="A19" s="706">
        <v>16</v>
      </c>
      <c r="B19" s="1016" t="s">
        <v>2344</v>
      </c>
      <c r="C19" s="706" t="s">
        <v>2329</v>
      </c>
      <c r="D19" s="706"/>
      <c r="E19" s="706"/>
    </row>
    <row r="20" spans="1:5" ht="37.5" customHeight="1">
      <c r="A20" s="706">
        <v>17</v>
      </c>
      <c r="B20" s="1016" t="s">
        <v>2345</v>
      </c>
      <c r="C20" s="706" t="s">
        <v>2329</v>
      </c>
      <c r="D20" s="706"/>
      <c r="E20" s="706"/>
    </row>
    <row r="21" spans="1:5" ht="37.5" customHeight="1">
      <c r="A21" s="706">
        <v>18</v>
      </c>
      <c r="B21" s="1016" t="s">
        <v>2346</v>
      </c>
      <c r="C21" s="706" t="s">
        <v>2329</v>
      </c>
      <c r="D21" s="706"/>
      <c r="E21" s="706"/>
    </row>
    <row r="22" spans="1:5" ht="37.5" customHeight="1">
      <c r="A22" s="706">
        <v>19</v>
      </c>
      <c r="B22" s="1016" t="s">
        <v>2347</v>
      </c>
      <c r="C22" s="706" t="s">
        <v>2329</v>
      </c>
      <c r="D22" s="706"/>
      <c r="E22" s="706"/>
    </row>
    <row r="23" spans="1:5" ht="37.5" customHeight="1">
      <c r="A23" s="706">
        <v>20</v>
      </c>
      <c r="B23" s="1016" t="s">
        <v>2348</v>
      </c>
      <c r="C23" s="706"/>
      <c r="D23" s="706" t="s">
        <v>2329</v>
      </c>
      <c r="E23" s="706"/>
    </row>
    <row r="24" spans="1:5" ht="37.5" customHeight="1">
      <c r="A24" s="706">
        <v>21</v>
      </c>
      <c r="B24" s="1016" t="s">
        <v>2349</v>
      </c>
      <c r="C24" s="706" t="s">
        <v>2329</v>
      </c>
      <c r="D24" s="706"/>
      <c r="E24" s="706"/>
    </row>
    <row r="25" spans="1:5" ht="37.5" customHeight="1">
      <c r="A25" s="706">
        <v>22</v>
      </c>
      <c r="B25" s="1016" t="s">
        <v>2350</v>
      </c>
      <c r="C25" s="706" t="s">
        <v>2329</v>
      </c>
      <c r="D25" s="706"/>
      <c r="E25" s="706"/>
    </row>
    <row r="26" spans="1:5" ht="37.5" customHeight="1">
      <c r="A26" s="706">
        <v>23</v>
      </c>
      <c r="B26" s="1016" t="s">
        <v>2351</v>
      </c>
      <c r="C26" s="706" t="s">
        <v>2329</v>
      </c>
      <c r="D26" s="706"/>
      <c r="E26" s="706"/>
    </row>
    <row r="27" spans="1:5" ht="37.5" customHeight="1">
      <c r="A27" s="706">
        <v>24</v>
      </c>
      <c r="B27" s="1016" t="s">
        <v>2352</v>
      </c>
      <c r="C27" s="706" t="s">
        <v>2329</v>
      </c>
      <c r="D27" s="706"/>
      <c r="E27" s="706"/>
    </row>
    <row r="28" spans="1:5" ht="37.5" customHeight="1">
      <c r="A28" s="706">
        <v>25</v>
      </c>
      <c r="B28" s="1016" t="s">
        <v>2353</v>
      </c>
      <c r="C28" s="706" t="s">
        <v>2329</v>
      </c>
      <c r="D28" s="706"/>
      <c r="E28" s="706"/>
    </row>
    <row r="29" spans="1:5" ht="37.5" customHeight="1">
      <c r="A29" s="706">
        <v>26</v>
      </c>
      <c r="B29" s="1016" t="s">
        <v>2354</v>
      </c>
      <c r="C29" s="706" t="s">
        <v>2329</v>
      </c>
      <c r="D29" s="706"/>
      <c r="E29" s="706"/>
    </row>
    <row r="30" spans="1:5" ht="37.5" customHeight="1">
      <c r="A30" s="706">
        <v>27</v>
      </c>
      <c r="B30" s="1016" t="s">
        <v>2355</v>
      </c>
      <c r="C30" s="706" t="s">
        <v>2329</v>
      </c>
      <c r="D30" s="706"/>
      <c r="E30" s="706"/>
    </row>
    <row r="31" spans="1:5" ht="37.5" customHeight="1">
      <c r="A31" s="706">
        <v>28</v>
      </c>
      <c r="B31" s="1016" t="s">
        <v>2356</v>
      </c>
      <c r="C31" s="706" t="s">
        <v>2329</v>
      </c>
      <c r="D31" s="706"/>
      <c r="E31" s="706"/>
    </row>
    <row r="32" spans="1:5" ht="37.5" customHeight="1">
      <c r="A32" s="706">
        <v>29</v>
      </c>
      <c r="B32" s="1016" t="s">
        <v>2357</v>
      </c>
      <c r="C32" s="706" t="s">
        <v>2329</v>
      </c>
      <c r="D32" s="706"/>
      <c r="E32" s="706"/>
    </row>
    <row r="33" spans="1:10" ht="37.5" customHeight="1">
      <c r="A33" s="706">
        <v>30</v>
      </c>
      <c r="B33" s="1016" t="s">
        <v>2358</v>
      </c>
      <c r="C33" s="706" t="s">
        <v>2329</v>
      </c>
      <c r="D33" s="706"/>
      <c r="E33" s="706"/>
    </row>
    <row r="34" spans="1:10" ht="37.5" customHeight="1">
      <c r="A34" s="706">
        <v>31</v>
      </c>
      <c r="B34" s="1016" t="s">
        <v>2359</v>
      </c>
      <c r="C34" s="706" t="s">
        <v>2329</v>
      </c>
      <c r="D34" s="706"/>
      <c r="E34" s="706"/>
    </row>
    <row r="35" spans="1:10" ht="37.5" customHeight="1">
      <c r="A35" s="706">
        <v>32</v>
      </c>
      <c r="B35" s="1016" t="s">
        <v>2360</v>
      </c>
      <c r="C35" s="706" t="s">
        <v>2329</v>
      </c>
      <c r="D35" s="706"/>
      <c r="E35" s="706"/>
      <c r="J35" t="s">
        <v>1957</v>
      </c>
    </row>
    <row r="36" spans="1:10" ht="37.5" customHeight="1">
      <c r="A36" s="706">
        <v>33</v>
      </c>
      <c r="B36" s="1016" t="s">
        <v>2361</v>
      </c>
      <c r="C36" s="706" t="s">
        <v>2329</v>
      </c>
      <c r="D36" s="706"/>
      <c r="E36" s="706"/>
    </row>
    <row r="37" spans="1:10" ht="37.5" customHeight="1">
      <c r="A37" s="706">
        <v>34</v>
      </c>
      <c r="B37" s="1016" t="s">
        <v>2362</v>
      </c>
      <c r="C37" s="706" t="s">
        <v>2329</v>
      </c>
      <c r="D37" s="706"/>
      <c r="E37" s="706"/>
    </row>
    <row r="38" spans="1:10" ht="37.5" customHeight="1">
      <c r="A38" s="706">
        <v>35</v>
      </c>
      <c r="B38" s="1016" t="s">
        <v>2363</v>
      </c>
      <c r="C38" s="706" t="s">
        <v>2329</v>
      </c>
      <c r="D38" s="706"/>
      <c r="E38" s="706"/>
    </row>
    <row r="39" spans="1:10" ht="37.5" customHeight="1">
      <c r="A39" s="706">
        <v>36</v>
      </c>
      <c r="B39" s="1016" t="s">
        <v>2364</v>
      </c>
      <c r="C39" s="706" t="s">
        <v>2329</v>
      </c>
      <c r="D39" s="706"/>
      <c r="E39" s="706"/>
    </row>
    <row r="40" spans="1:10" ht="37.5" customHeight="1">
      <c r="A40" s="706">
        <v>37</v>
      </c>
      <c r="B40" s="1016" t="s">
        <v>2365</v>
      </c>
      <c r="C40" s="706" t="s">
        <v>2329</v>
      </c>
      <c r="D40" s="706"/>
      <c r="E40" s="706"/>
    </row>
    <row r="41" spans="1:10" ht="37.5" customHeight="1">
      <c r="A41" s="706">
        <v>38</v>
      </c>
      <c r="B41" s="1016" t="s">
        <v>2366</v>
      </c>
      <c r="C41" s="706" t="s">
        <v>2329</v>
      </c>
      <c r="D41" s="706"/>
      <c r="E41" s="706"/>
    </row>
    <row r="42" spans="1:10" ht="37.5" customHeight="1">
      <c r="A42" s="706">
        <v>39</v>
      </c>
      <c r="B42" s="1016" t="s">
        <v>2367</v>
      </c>
      <c r="C42" s="706" t="s">
        <v>2329</v>
      </c>
      <c r="D42" s="706"/>
      <c r="E42" s="706"/>
    </row>
    <row r="43" spans="1:10" ht="37.5" customHeight="1">
      <c r="A43" s="706">
        <v>40</v>
      </c>
      <c r="B43" s="1016" t="s">
        <v>2368</v>
      </c>
      <c r="C43" s="706" t="s">
        <v>2329</v>
      </c>
      <c r="D43" s="706"/>
      <c r="E43" s="706"/>
    </row>
    <row r="44" spans="1:10" ht="37.5" customHeight="1">
      <c r="A44" s="706">
        <v>41</v>
      </c>
      <c r="B44" s="1016" t="s">
        <v>2369</v>
      </c>
      <c r="C44" s="706" t="s">
        <v>2329</v>
      </c>
      <c r="D44" s="706"/>
      <c r="E44" s="706"/>
    </row>
    <row r="45" spans="1:10" ht="37.5" customHeight="1">
      <c r="A45" s="706">
        <v>42</v>
      </c>
      <c r="B45" s="1016" t="s">
        <v>2370</v>
      </c>
      <c r="C45" s="706" t="s">
        <v>2329</v>
      </c>
      <c r="D45" s="706"/>
      <c r="E45" s="706"/>
    </row>
    <row r="46" spans="1:10" ht="37.5" customHeight="1">
      <c r="A46" s="706">
        <v>43</v>
      </c>
      <c r="B46" s="1016" t="s">
        <v>2371</v>
      </c>
      <c r="C46" s="706"/>
      <c r="D46" s="706" t="s">
        <v>2329</v>
      </c>
      <c r="E46" s="706"/>
    </row>
    <row r="47" spans="1:10" ht="37.5" customHeight="1">
      <c r="A47" s="706">
        <v>44</v>
      </c>
      <c r="B47" s="1016" t="s">
        <v>2372</v>
      </c>
      <c r="C47" s="706" t="s">
        <v>2329</v>
      </c>
      <c r="D47" s="706"/>
      <c r="E47" s="706"/>
    </row>
    <row r="48" spans="1:10" ht="37.5" customHeight="1">
      <c r="A48" s="706">
        <v>45</v>
      </c>
      <c r="B48" s="1016" t="s">
        <v>2373</v>
      </c>
      <c r="C48" s="706" t="s">
        <v>2329</v>
      </c>
      <c r="D48" s="706"/>
      <c r="E48" s="706"/>
    </row>
    <row r="49" spans="1:5" ht="37.5" customHeight="1">
      <c r="A49" s="706">
        <v>46</v>
      </c>
      <c r="B49" s="1016" t="s">
        <v>2374</v>
      </c>
      <c r="C49" s="706" t="s">
        <v>2329</v>
      </c>
      <c r="D49" s="706"/>
      <c r="E49" s="706"/>
    </row>
    <row r="50" spans="1:5" ht="37.5" customHeight="1">
      <c r="A50" s="706">
        <v>47</v>
      </c>
      <c r="B50" s="1016" t="s">
        <v>2375</v>
      </c>
      <c r="C50" s="706" t="s">
        <v>2329</v>
      </c>
      <c r="D50" s="706"/>
      <c r="E50" s="706"/>
    </row>
    <row r="51" spans="1:5" ht="37.5" customHeight="1">
      <c r="A51" s="706">
        <v>48</v>
      </c>
      <c r="B51" s="1016" t="s">
        <v>2376</v>
      </c>
      <c r="C51" s="706" t="s">
        <v>2329</v>
      </c>
      <c r="D51" s="706"/>
      <c r="E51" s="706"/>
    </row>
    <row r="52" spans="1:5" ht="37.5" customHeight="1">
      <c r="A52" s="706">
        <v>49</v>
      </c>
      <c r="B52" s="1016" t="s">
        <v>2377</v>
      </c>
      <c r="C52" s="706" t="s">
        <v>2329</v>
      </c>
      <c r="D52" s="706"/>
      <c r="E52" s="706"/>
    </row>
    <row r="53" spans="1:5" ht="37.5" customHeight="1">
      <c r="A53" s="706">
        <v>50</v>
      </c>
      <c r="B53" s="1016" t="s">
        <v>2378</v>
      </c>
      <c r="C53" s="706" t="s">
        <v>2329</v>
      </c>
      <c r="D53" s="706"/>
      <c r="E53" s="706"/>
    </row>
    <row r="54" spans="1:5" ht="37.5" customHeight="1">
      <c r="A54" s="706">
        <v>51</v>
      </c>
      <c r="B54" s="1016" t="s">
        <v>2379</v>
      </c>
      <c r="C54" s="706" t="s">
        <v>2329</v>
      </c>
      <c r="D54" s="706"/>
      <c r="E54" s="706"/>
    </row>
    <row r="55" spans="1:5" ht="37.5" customHeight="1">
      <c r="A55" s="706">
        <v>52</v>
      </c>
      <c r="B55" s="1016" t="s">
        <v>2380</v>
      </c>
      <c r="C55" s="706" t="s">
        <v>2329</v>
      </c>
      <c r="D55" s="706"/>
      <c r="E55" s="706"/>
    </row>
    <row r="56" spans="1:5" ht="37.5" customHeight="1">
      <c r="A56" s="706">
        <v>53</v>
      </c>
      <c r="B56" s="1016" t="s">
        <v>2381</v>
      </c>
      <c r="C56" s="706" t="s">
        <v>2329</v>
      </c>
      <c r="D56" s="706"/>
      <c r="E56" s="706"/>
    </row>
    <row r="57" spans="1:5" ht="37.5" customHeight="1">
      <c r="A57" s="706">
        <v>54</v>
      </c>
      <c r="B57" s="1016" t="s">
        <v>2382</v>
      </c>
      <c r="C57" s="706" t="s">
        <v>2329</v>
      </c>
      <c r="D57" s="706"/>
      <c r="E57" s="706"/>
    </row>
    <row r="58" spans="1:5" ht="37.5" customHeight="1">
      <c r="A58" s="706">
        <v>55</v>
      </c>
      <c r="B58" s="1016" t="s">
        <v>2383</v>
      </c>
      <c r="C58" s="706" t="s">
        <v>2329</v>
      </c>
      <c r="D58" s="706"/>
      <c r="E58" s="706"/>
    </row>
    <row r="59" spans="1:5" ht="37.5" customHeight="1">
      <c r="A59" s="706">
        <v>56</v>
      </c>
      <c r="B59" s="1016" t="s">
        <v>2384</v>
      </c>
      <c r="C59" s="706" t="s">
        <v>2329</v>
      </c>
      <c r="D59" s="706"/>
      <c r="E59" s="706"/>
    </row>
    <row r="60" spans="1:5" ht="37.5" customHeight="1">
      <c r="A60" s="706">
        <v>57</v>
      </c>
      <c r="B60" s="1016" t="s">
        <v>2385</v>
      </c>
      <c r="C60" s="706" t="s">
        <v>2329</v>
      </c>
      <c r="D60" s="706"/>
      <c r="E60" s="706"/>
    </row>
    <row r="61" spans="1:5" ht="37.5" customHeight="1">
      <c r="A61" s="706">
        <v>58</v>
      </c>
      <c r="B61" s="1016" t="s">
        <v>2386</v>
      </c>
      <c r="C61" s="706" t="s">
        <v>2329</v>
      </c>
      <c r="D61" s="706"/>
      <c r="E61" s="706"/>
    </row>
    <row r="62" spans="1:5" ht="37.5" customHeight="1">
      <c r="A62" s="706">
        <v>59</v>
      </c>
      <c r="B62" s="1016" t="s">
        <v>2387</v>
      </c>
      <c r="C62" s="706" t="s">
        <v>2329</v>
      </c>
      <c r="D62" s="706"/>
      <c r="E62" s="706"/>
    </row>
    <row r="63" spans="1:5" ht="37.5" customHeight="1">
      <c r="A63" s="706">
        <v>60</v>
      </c>
      <c r="B63" s="1016" t="s">
        <v>2388</v>
      </c>
      <c r="C63" s="706" t="s">
        <v>2329</v>
      </c>
      <c r="D63" s="706"/>
      <c r="E63" s="706"/>
    </row>
    <row r="64" spans="1:5" ht="37.5" customHeight="1">
      <c r="A64" s="706">
        <v>61</v>
      </c>
      <c r="B64" s="1016" t="s">
        <v>2389</v>
      </c>
      <c r="C64" s="706" t="s">
        <v>2329</v>
      </c>
      <c r="D64" s="706"/>
      <c r="E64" s="706"/>
    </row>
    <row r="65" spans="1:5" ht="37.5" customHeight="1">
      <c r="A65" s="706">
        <v>62</v>
      </c>
      <c r="B65" s="1016" t="s">
        <v>2390</v>
      </c>
      <c r="C65" s="706" t="s">
        <v>2329</v>
      </c>
      <c r="D65" s="706"/>
      <c r="E65" s="706"/>
    </row>
    <row r="66" spans="1:5" ht="37.5" customHeight="1">
      <c r="A66" s="706">
        <v>63</v>
      </c>
      <c r="B66" s="1016" t="s">
        <v>2391</v>
      </c>
      <c r="C66" s="706" t="s">
        <v>2329</v>
      </c>
      <c r="D66" s="706"/>
      <c r="E66" s="706"/>
    </row>
    <row r="67" spans="1:5" ht="37.5" customHeight="1">
      <c r="A67" s="706">
        <v>64</v>
      </c>
      <c r="B67" s="1016" t="s">
        <v>2392</v>
      </c>
      <c r="C67" s="706" t="s">
        <v>2329</v>
      </c>
      <c r="D67" s="706"/>
      <c r="E67" s="706"/>
    </row>
    <row r="68" spans="1:5" ht="37.5" customHeight="1">
      <c r="A68" s="706">
        <v>65</v>
      </c>
      <c r="B68" s="1016" t="s">
        <v>2393</v>
      </c>
      <c r="C68" s="706" t="s">
        <v>2394</v>
      </c>
      <c r="D68" s="706"/>
      <c r="E68" s="706"/>
    </row>
    <row r="69" spans="1:5" ht="37.5" customHeight="1">
      <c r="A69" s="706">
        <v>66</v>
      </c>
      <c r="B69" s="1016" t="s">
        <v>2395</v>
      </c>
      <c r="C69" s="706" t="s">
        <v>2329</v>
      </c>
      <c r="D69" s="706"/>
      <c r="E69" s="706"/>
    </row>
    <row r="70" spans="1:5" ht="37.5" customHeight="1">
      <c r="A70" s="706">
        <v>67</v>
      </c>
      <c r="B70" s="1016" t="s">
        <v>2396</v>
      </c>
      <c r="C70" s="706" t="s">
        <v>2329</v>
      </c>
      <c r="D70" s="706"/>
      <c r="E70" s="706"/>
    </row>
    <row r="71" spans="1:5" ht="37.5" customHeight="1">
      <c r="A71" s="706">
        <v>68</v>
      </c>
      <c r="B71" s="1016" t="s">
        <v>2397</v>
      </c>
      <c r="C71" s="706" t="s">
        <v>2329</v>
      </c>
      <c r="D71" s="706"/>
      <c r="E71" s="706"/>
    </row>
    <row r="72" spans="1:5" ht="37.5" customHeight="1">
      <c r="A72" s="706">
        <v>69</v>
      </c>
      <c r="B72" s="1016" t="s">
        <v>2398</v>
      </c>
      <c r="C72" s="706" t="s">
        <v>2329</v>
      </c>
      <c r="D72" s="706"/>
      <c r="E72" s="706"/>
    </row>
    <row r="73" spans="1:5" ht="37.5" customHeight="1">
      <c r="A73" s="706">
        <v>70</v>
      </c>
      <c r="B73" s="1016" t="s">
        <v>2399</v>
      </c>
      <c r="C73" s="706" t="s">
        <v>2329</v>
      </c>
      <c r="D73" s="706"/>
      <c r="E73" s="706"/>
    </row>
    <row r="74" spans="1:5" ht="37.5" customHeight="1">
      <c r="A74" s="706">
        <v>71</v>
      </c>
      <c r="B74" s="1016" t="s">
        <v>2400</v>
      </c>
      <c r="C74" s="706" t="s">
        <v>2329</v>
      </c>
      <c r="D74" s="706"/>
      <c r="E74" s="706"/>
    </row>
    <row r="75" spans="1:5" ht="37.5" customHeight="1">
      <c r="A75" s="706">
        <v>72</v>
      </c>
      <c r="B75" s="1016" t="s">
        <v>2401</v>
      </c>
      <c r="C75" s="706" t="s">
        <v>2329</v>
      </c>
      <c r="D75" s="706"/>
      <c r="E75" s="706"/>
    </row>
    <row r="76" spans="1:5" ht="37.5" customHeight="1">
      <c r="A76" s="706">
        <v>73</v>
      </c>
      <c r="B76" s="1016" t="s">
        <v>2402</v>
      </c>
      <c r="C76" s="706" t="s">
        <v>2329</v>
      </c>
      <c r="D76" s="706"/>
      <c r="E76" s="706"/>
    </row>
    <row r="77" spans="1:5" ht="37.5" customHeight="1">
      <c r="A77" s="706">
        <v>74</v>
      </c>
      <c r="B77" s="1016" t="s">
        <v>2403</v>
      </c>
      <c r="C77" s="706" t="s">
        <v>2329</v>
      </c>
      <c r="D77" s="706"/>
      <c r="E77" s="706"/>
    </row>
    <row r="78" spans="1:5" ht="37.5" customHeight="1">
      <c r="A78" s="706">
        <v>75</v>
      </c>
      <c r="B78" s="1016" t="s">
        <v>2404</v>
      </c>
      <c r="C78" s="706" t="s">
        <v>2329</v>
      </c>
      <c r="D78" s="706"/>
      <c r="E78" s="706"/>
    </row>
    <row r="79" spans="1:5" ht="37.5" customHeight="1">
      <c r="A79" s="706">
        <v>76</v>
      </c>
      <c r="B79" s="1016" t="s">
        <v>2405</v>
      </c>
      <c r="C79" s="706" t="s">
        <v>2329</v>
      </c>
      <c r="D79" s="706"/>
      <c r="E79" s="706"/>
    </row>
    <row r="80" spans="1:5" ht="37.5" customHeight="1">
      <c r="A80" s="706">
        <v>77</v>
      </c>
      <c r="B80" s="1016" t="s">
        <v>2406</v>
      </c>
      <c r="C80" s="706" t="s">
        <v>2329</v>
      </c>
      <c r="D80" s="706"/>
      <c r="E80" s="706"/>
    </row>
    <row r="81" spans="1:5" ht="37.5" customHeight="1">
      <c r="A81" s="706">
        <v>78</v>
      </c>
      <c r="B81" s="1016" t="s">
        <v>2407</v>
      </c>
      <c r="C81" s="706" t="s">
        <v>2329</v>
      </c>
      <c r="D81" s="706"/>
      <c r="E81" s="706"/>
    </row>
    <row r="82" spans="1:5" ht="37.5" customHeight="1">
      <c r="A82" s="706">
        <v>79</v>
      </c>
      <c r="B82" s="1016" t="s">
        <v>2408</v>
      </c>
      <c r="C82" s="706" t="s">
        <v>2329</v>
      </c>
      <c r="D82" s="706"/>
      <c r="E82" s="706"/>
    </row>
    <row r="83" spans="1:5" ht="37.5" customHeight="1">
      <c r="A83" s="706">
        <v>80</v>
      </c>
      <c r="B83" s="1016" t="s">
        <v>2409</v>
      </c>
      <c r="C83" s="706" t="s">
        <v>2329</v>
      </c>
      <c r="D83" s="706"/>
      <c r="E83" s="706"/>
    </row>
    <row r="84" spans="1:5" ht="37.5" customHeight="1">
      <c r="A84" s="706">
        <v>81</v>
      </c>
      <c r="B84" s="1016" t="s">
        <v>2410</v>
      </c>
      <c r="C84" s="706" t="s">
        <v>2329</v>
      </c>
      <c r="D84" s="706"/>
      <c r="E84" s="706"/>
    </row>
    <row r="85" spans="1:5" ht="37.5" customHeight="1">
      <c r="A85" s="706">
        <v>82</v>
      </c>
      <c r="B85" s="1016" t="s">
        <v>2411</v>
      </c>
      <c r="C85" s="706" t="s">
        <v>2329</v>
      </c>
      <c r="D85" s="706"/>
      <c r="E85" s="706"/>
    </row>
    <row r="86" spans="1:5" ht="37.5" customHeight="1">
      <c r="A86" s="706">
        <v>83</v>
      </c>
      <c r="B86" s="1016" t="s">
        <v>2412</v>
      </c>
      <c r="C86" s="706" t="s">
        <v>2329</v>
      </c>
      <c r="D86" s="706"/>
      <c r="E86" s="706"/>
    </row>
    <row r="87" spans="1:5" ht="37.5" customHeight="1">
      <c r="A87" s="706">
        <v>84</v>
      </c>
      <c r="B87" s="1016" t="s">
        <v>2413</v>
      </c>
      <c r="C87" s="706" t="s">
        <v>2329</v>
      </c>
      <c r="D87" s="706"/>
      <c r="E87" s="706"/>
    </row>
    <row r="88" spans="1:5" ht="37.5" customHeight="1">
      <c r="A88" s="706">
        <v>85</v>
      </c>
      <c r="B88" s="1016" t="s">
        <v>2414</v>
      </c>
      <c r="C88" s="706" t="s">
        <v>2329</v>
      </c>
      <c r="D88" s="706"/>
      <c r="E88" s="706"/>
    </row>
    <row r="89" spans="1:5" ht="37.5" customHeight="1">
      <c r="A89" s="706">
        <v>86</v>
      </c>
      <c r="B89" s="1016" t="s">
        <v>2415</v>
      </c>
      <c r="C89" s="706" t="s">
        <v>2329</v>
      </c>
      <c r="D89" s="706"/>
      <c r="E89" s="706"/>
    </row>
    <row r="90" spans="1:5" ht="37.5" customHeight="1">
      <c r="A90" s="706">
        <v>87</v>
      </c>
      <c r="B90" s="1016" t="s">
        <v>2416</v>
      </c>
      <c r="C90" s="706" t="s">
        <v>2329</v>
      </c>
      <c r="D90" s="706"/>
      <c r="E90" s="706"/>
    </row>
    <row r="91" spans="1:5" ht="37.5" customHeight="1">
      <c r="A91" s="706">
        <v>88</v>
      </c>
      <c r="B91" s="1016" t="s">
        <v>2417</v>
      </c>
      <c r="C91" s="706" t="s">
        <v>2329</v>
      </c>
      <c r="D91" s="706"/>
      <c r="E91" s="706"/>
    </row>
    <row r="92" spans="1:5" ht="37.5" customHeight="1">
      <c r="A92" s="706">
        <v>89</v>
      </c>
      <c r="B92" s="1016" t="s">
        <v>2418</v>
      </c>
      <c r="C92" s="706" t="s">
        <v>2329</v>
      </c>
      <c r="D92" s="706"/>
      <c r="E92" s="706"/>
    </row>
    <row r="93" spans="1:5" ht="37.5" customHeight="1">
      <c r="A93" s="706">
        <v>90</v>
      </c>
      <c r="B93" s="1016" t="s">
        <v>2419</v>
      </c>
      <c r="C93" s="706" t="s">
        <v>2329</v>
      </c>
      <c r="D93" s="706"/>
      <c r="E93" s="706"/>
    </row>
    <row r="94" spans="1:5" ht="37.5" customHeight="1">
      <c r="A94" s="706">
        <v>91</v>
      </c>
      <c r="B94" s="1016" t="s">
        <v>2420</v>
      </c>
      <c r="C94" s="706" t="s">
        <v>2329</v>
      </c>
      <c r="D94" s="706"/>
      <c r="E94" s="706"/>
    </row>
    <row r="95" spans="1:5" ht="37.5" customHeight="1">
      <c r="A95" s="706">
        <v>92</v>
      </c>
      <c r="B95" s="1016" t="s">
        <v>2421</v>
      </c>
      <c r="C95" s="706" t="s">
        <v>2329</v>
      </c>
      <c r="D95" s="706"/>
      <c r="E95" s="706"/>
    </row>
    <row r="96" spans="1:5" ht="37.5" customHeight="1">
      <c r="A96" s="706">
        <v>93</v>
      </c>
      <c r="B96" s="1016" t="s">
        <v>2422</v>
      </c>
      <c r="C96" s="706"/>
      <c r="D96" s="706" t="s">
        <v>2329</v>
      </c>
      <c r="E96" s="706"/>
    </row>
    <row r="97" spans="1:5" ht="37.5" customHeight="1">
      <c r="A97" s="706">
        <v>94</v>
      </c>
      <c r="B97" s="1016" t="s">
        <v>2423</v>
      </c>
      <c r="C97" s="706"/>
      <c r="D97" s="706" t="s">
        <v>2329</v>
      </c>
      <c r="E97" s="706"/>
    </row>
    <row r="98" spans="1:5" ht="37.5" customHeight="1">
      <c r="A98" s="706">
        <v>95</v>
      </c>
      <c r="B98" s="1016" t="s">
        <v>2424</v>
      </c>
      <c r="C98" s="706"/>
      <c r="D98" s="706" t="s">
        <v>2329</v>
      </c>
      <c r="E98" s="706"/>
    </row>
    <row r="99" spans="1:5" ht="37.5" customHeight="1">
      <c r="A99" s="2144" t="s">
        <v>2425</v>
      </c>
      <c r="B99" s="2145"/>
      <c r="C99" s="2145"/>
      <c r="D99" s="2145"/>
      <c r="E99" s="2146"/>
    </row>
    <row r="100" spans="1:5" ht="17.25" customHeight="1">
      <c r="A100" s="2147"/>
      <c r="B100" s="2148"/>
      <c r="C100" s="2148"/>
      <c r="D100" s="2148"/>
      <c r="E100" s="2149"/>
    </row>
    <row r="101" spans="1:5" ht="17.25" customHeight="1"/>
    <row r="102" spans="1:5" ht="17.25" customHeight="1"/>
    <row r="109" spans="1:5" ht="17.25" customHeight="1"/>
  </sheetData>
  <mergeCells count="3">
    <mergeCell ref="A1:E1"/>
    <mergeCell ref="A2:E2"/>
    <mergeCell ref="A99:E100"/>
  </mergeCells>
  <printOptions horizontalCentered="1"/>
  <pageMargins left="0.39370078740157483" right="0.39370078740157483" top="0.78740157480314965" bottom="0.39370078740157483" header="0" footer="0"/>
  <pageSetup paperSize="9" scale="79" fitToHeight="0" orientation="portrait" r:id="rId1"/>
  <rowBreaks count="1" manualBreakCount="1">
    <brk id="27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F397"/>
  <sheetViews>
    <sheetView view="pageBreakPreview" zoomScale="71" zoomScaleNormal="80" zoomScaleSheetLayoutView="71" workbookViewId="0">
      <selection activeCell="AB50" sqref="AB50"/>
    </sheetView>
  </sheetViews>
  <sheetFormatPr defaultColWidth="9.109375" defaultRowHeight="14.4"/>
  <cols>
    <col min="1" max="1" width="41.5546875" style="420" customWidth="1"/>
    <col min="2" max="2" width="12.6640625" style="420" bestFit="1" customWidth="1"/>
    <col min="3" max="3" width="54.109375" style="421" bestFit="1" customWidth="1"/>
    <col min="4" max="4" width="54" style="421" customWidth="1"/>
    <col min="5" max="16384" width="9.109375" style="419"/>
  </cols>
  <sheetData>
    <row r="1" spans="1:6" s="416" customFormat="1" ht="33.75" customHeight="1">
      <c r="A1" s="2133" t="s">
        <v>2426</v>
      </c>
      <c r="B1" s="2134"/>
      <c r="C1" s="2134"/>
      <c r="D1" s="2135"/>
    </row>
    <row r="2" spans="1:6" s="417" customFormat="1" ht="9" customHeight="1">
      <c r="A2" s="2150"/>
      <c r="B2" s="2151"/>
      <c r="C2" s="2151"/>
      <c r="D2" s="2152"/>
    </row>
    <row r="3" spans="1:6" s="418" customFormat="1" ht="15.6">
      <c r="A3" s="413" t="s">
        <v>2222</v>
      </c>
      <c r="B3" s="413" t="s">
        <v>2223</v>
      </c>
      <c r="C3" s="415" t="s">
        <v>2224</v>
      </c>
      <c r="D3" s="415" t="s">
        <v>2225</v>
      </c>
      <c r="F3" s="1017"/>
    </row>
    <row r="4" spans="1:6" ht="64.5" customHeight="1">
      <c r="A4" s="1020" t="s">
        <v>2427</v>
      </c>
      <c r="B4" s="1018" t="s">
        <v>2227</v>
      </c>
      <c r="C4" s="1021" t="s">
        <v>2428</v>
      </c>
      <c r="D4" s="1021" t="s">
        <v>2429</v>
      </c>
      <c r="F4" s="1019"/>
    </row>
    <row r="5" spans="1:6" ht="81.75" customHeight="1">
      <c r="A5" s="1020" t="s">
        <v>2430</v>
      </c>
      <c r="B5" s="1018" t="s">
        <v>2227</v>
      </c>
      <c r="C5" s="1021" t="s">
        <v>2431</v>
      </c>
      <c r="D5" s="1021" t="s">
        <v>2432</v>
      </c>
      <c r="F5" s="1019"/>
    </row>
    <row r="6" spans="1:6" ht="58.5" customHeight="1">
      <c r="A6" s="1020" t="s">
        <v>2433</v>
      </c>
      <c r="B6" s="1018" t="s">
        <v>2227</v>
      </c>
      <c r="C6" s="1021" t="s">
        <v>2434</v>
      </c>
      <c r="D6" s="1021" t="s">
        <v>2435</v>
      </c>
    </row>
    <row r="7" spans="1:6" ht="108.75" customHeight="1">
      <c r="A7" s="1026" t="s">
        <v>2436</v>
      </c>
      <c r="B7" s="1018" t="s">
        <v>2227</v>
      </c>
      <c r="C7" s="1024" t="s">
        <v>2437</v>
      </c>
      <c r="D7" s="1021" t="s">
        <v>2438</v>
      </c>
    </row>
    <row r="8" spans="1:6" ht="44.25" customHeight="1">
      <c r="A8" s="1020" t="s">
        <v>2439</v>
      </c>
      <c r="B8" s="1018" t="s">
        <v>2246</v>
      </c>
      <c r="C8" s="1021" t="s">
        <v>2440</v>
      </c>
      <c r="D8" s="1020" t="s">
        <v>2441</v>
      </c>
    </row>
    <row r="9" spans="1:6" ht="42" customHeight="1">
      <c r="A9" s="1020" t="s">
        <v>2442</v>
      </c>
      <c r="B9" s="1018" t="s">
        <v>2227</v>
      </c>
      <c r="C9" s="1021" t="s">
        <v>2443</v>
      </c>
      <c r="D9" s="1020" t="s">
        <v>2444</v>
      </c>
    </row>
    <row r="10" spans="1:6" ht="48.75" customHeight="1">
      <c r="A10" s="1020" t="s">
        <v>2445</v>
      </c>
      <c r="B10" s="1018" t="s">
        <v>2227</v>
      </c>
      <c r="C10" s="1021" t="s">
        <v>2446</v>
      </c>
      <c r="D10" s="1020" t="s">
        <v>2447</v>
      </c>
    </row>
    <row r="11" spans="1:6" ht="48" customHeight="1">
      <c r="A11" s="1020" t="s">
        <v>2448</v>
      </c>
      <c r="B11" s="1018" t="s">
        <v>2227</v>
      </c>
      <c r="C11" s="1021" t="s">
        <v>2449</v>
      </c>
      <c r="D11" s="1021" t="s">
        <v>2450</v>
      </c>
    </row>
    <row r="12" spans="1:6" ht="53.25" customHeight="1">
      <c r="A12" s="1020" t="s">
        <v>2451</v>
      </c>
      <c r="B12" s="1018" t="s">
        <v>2227</v>
      </c>
      <c r="C12" s="1021" t="s">
        <v>2452</v>
      </c>
      <c r="D12" s="1021" t="s">
        <v>2453</v>
      </c>
    </row>
    <row r="13" spans="1:6" ht="62.25" customHeight="1">
      <c r="A13" s="1020" t="s">
        <v>2454</v>
      </c>
      <c r="B13" s="1018" t="s">
        <v>2227</v>
      </c>
      <c r="C13" s="1021" t="s">
        <v>2455</v>
      </c>
      <c r="D13" s="1021" t="s">
        <v>2456</v>
      </c>
    </row>
    <row r="14" spans="1:6" ht="111.75" customHeight="1">
      <c r="A14" s="1020" t="s">
        <v>2457</v>
      </c>
      <c r="B14" s="1022" t="s">
        <v>2458</v>
      </c>
      <c r="C14" s="1021" t="s">
        <v>2459</v>
      </c>
      <c r="D14" s="1021" t="s">
        <v>2460</v>
      </c>
    </row>
    <row r="15" spans="1:6" ht="66" customHeight="1">
      <c r="A15" s="1020" t="s">
        <v>2461</v>
      </c>
      <c r="B15" s="1022" t="s">
        <v>2227</v>
      </c>
      <c r="C15" s="1021" t="s">
        <v>2462</v>
      </c>
      <c r="D15" s="1021" t="s">
        <v>2429</v>
      </c>
      <c r="F15" s="1019"/>
    </row>
    <row r="16" spans="1:6" ht="99.75" customHeight="1">
      <c r="A16" s="1027" t="s">
        <v>2463</v>
      </c>
      <c r="B16" s="1022" t="s">
        <v>2227</v>
      </c>
      <c r="C16" s="1021" t="s">
        <v>2464</v>
      </c>
      <c r="D16" s="1021" t="s">
        <v>2465</v>
      </c>
      <c r="F16" s="1019"/>
    </row>
    <row r="17" spans="1:4" ht="42.75" customHeight="1">
      <c r="A17" s="1025" t="s">
        <v>2319</v>
      </c>
      <c r="B17" s="1029" t="s">
        <v>2227</v>
      </c>
      <c r="C17" s="1028" t="s">
        <v>2466</v>
      </c>
      <c r="D17" s="1025" t="s">
        <v>2467</v>
      </c>
    </row>
    <row r="18" spans="1:4" ht="17.25" customHeight="1">
      <c r="A18" s="1407"/>
      <c r="B18" s="1407"/>
      <c r="C18" s="1408"/>
      <c r="D18" s="1408"/>
    </row>
    <row r="19" spans="1:4">
      <c r="A19" s="419"/>
      <c r="B19" s="419"/>
      <c r="C19" s="1023"/>
      <c r="D19" s="1023"/>
    </row>
    <row r="20" spans="1:4">
      <c r="A20" s="419"/>
      <c r="B20" s="419"/>
      <c r="C20" s="1023"/>
      <c r="D20" s="1023"/>
    </row>
    <row r="21" spans="1:4">
      <c r="A21" s="419"/>
      <c r="B21" s="419"/>
      <c r="C21" s="1023"/>
      <c r="D21" s="1023"/>
    </row>
    <row r="22" spans="1:4">
      <c r="A22" s="419"/>
      <c r="B22" s="419"/>
      <c r="C22" s="1023"/>
      <c r="D22" s="1023"/>
    </row>
    <row r="23" spans="1:4">
      <c r="A23" s="419"/>
      <c r="B23" s="419"/>
      <c r="C23" s="1023"/>
      <c r="D23" s="1023"/>
    </row>
    <row r="24" spans="1:4">
      <c r="A24" s="419"/>
      <c r="B24" s="419"/>
      <c r="C24" s="1023"/>
      <c r="D24" s="1023"/>
    </row>
    <row r="25" spans="1:4">
      <c r="A25" s="419"/>
      <c r="B25" s="419"/>
      <c r="C25" s="1023"/>
      <c r="D25" s="1023"/>
    </row>
    <row r="26" spans="1:4">
      <c r="A26" s="419"/>
      <c r="B26" s="419"/>
      <c r="C26" s="1023"/>
      <c r="D26" s="1023"/>
    </row>
    <row r="27" spans="1:4">
      <c r="A27" s="419"/>
      <c r="B27" s="419"/>
      <c r="C27" s="1023"/>
      <c r="D27" s="1023"/>
    </row>
    <row r="28" spans="1:4">
      <c r="A28" s="419"/>
      <c r="B28" s="419"/>
      <c r="C28" s="1023"/>
      <c r="D28" s="1023"/>
    </row>
    <row r="29" spans="1:4">
      <c r="A29" s="419"/>
      <c r="B29" s="419"/>
      <c r="C29" s="1023"/>
      <c r="D29" s="1023"/>
    </row>
    <row r="30" spans="1:4">
      <c r="A30" s="419"/>
      <c r="B30" s="419"/>
      <c r="C30" s="1023"/>
      <c r="D30" s="1023"/>
    </row>
    <row r="31" spans="1:4">
      <c r="A31" s="419"/>
      <c r="B31" s="419"/>
      <c r="C31" s="1023"/>
      <c r="D31" s="1023"/>
    </row>
    <row r="32" spans="1:4">
      <c r="A32" s="419"/>
      <c r="B32" s="419"/>
      <c r="C32" s="1023"/>
      <c r="D32" s="1023"/>
    </row>
    <row r="33" spans="1:4">
      <c r="A33" s="419"/>
      <c r="B33" s="419"/>
      <c r="C33" s="1023"/>
      <c r="D33" s="1023"/>
    </row>
    <row r="34" spans="1:4">
      <c r="A34" s="419"/>
      <c r="B34" s="419"/>
      <c r="C34" s="1023"/>
      <c r="D34" s="1023"/>
    </row>
    <row r="35" spans="1:4">
      <c r="A35" s="419"/>
      <c r="B35" s="419"/>
      <c r="C35" s="1023"/>
      <c r="D35" s="1023"/>
    </row>
    <row r="36" spans="1:4">
      <c r="A36" s="419"/>
      <c r="B36" s="419"/>
      <c r="C36" s="1023"/>
      <c r="D36" s="1023"/>
    </row>
    <row r="37" spans="1:4">
      <c r="A37" s="419"/>
      <c r="B37" s="419"/>
      <c r="C37" s="1023"/>
      <c r="D37" s="1023"/>
    </row>
    <row r="38" spans="1:4">
      <c r="A38" s="419"/>
      <c r="B38" s="419"/>
      <c r="C38" s="1023"/>
      <c r="D38" s="1023"/>
    </row>
    <row r="39" spans="1:4">
      <c r="A39" s="419"/>
      <c r="B39" s="419"/>
      <c r="C39" s="1023"/>
      <c r="D39" s="1023"/>
    </row>
    <row r="40" spans="1:4">
      <c r="A40" s="419"/>
      <c r="B40" s="419"/>
      <c r="C40" s="1023"/>
      <c r="D40" s="1023"/>
    </row>
    <row r="41" spans="1:4">
      <c r="A41" s="419"/>
      <c r="B41" s="419"/>
      <c r="C41" s="1023"/>
      <c r="D41" s="1023"/>
    </row>
    <row r="42" spans="1:4">
      <c r="A42" s="419"/>
      <c r="B42" s="419"/>
      <c r="C42" s="1023"/>
      <c r="D42" s="1023"/>
    </row>
    <row r="43" spans="1:4">
      <c r="A43" s="419"/>
      <c r="B43" s="419"/>
      <c r="C43" s="1023"/>
      <c r="D43" s="1023"/>
    </row>
    <row r="44" spans="1:4">
      <c r="A44" s="419"/>
      <c r="B44" s="419"/>
      <c r="C44" s="1023"/>
      <c r="D44" s="1023"/>
    </row>
    <row r="45" spans="1:4">
      <c r="A45" s="419"/>
      <c r="B45" s="419"/>
      <c r="C45" s="1023"/>
      <c r="D45" s="1023"/>
    </row>
    <row r="46" spans="1:4">
      <c r="A46" s="419"/>
      <c r="B46" s="419"/>
      <c r="C46" s="1023"/>
      <c r="D46" s="1023"/>
    </row>
    <row r="47" spans="1:4">
      <c r="A47" s="419"/>
      <c r="B47" s="419"/>
      <c r="C47" s="1023"/>
      <c r="D47" s="1023"/>
    </row>
    <row r="48" spans="1:4">
      <c r="A48" s="419"/>
      <c r="B48" s="419"/>
      <c r="C48" s="1023"/>
      <c r="D48" s="1023"/>
    </row>
    <row r="49" spans="1:4">
      <c r="A49" s="419"/>
      <c r="B49" s="419"/>
      <c r="C49" s="1023"/>
      <c r="D49" s="1023"/>
    </row>
    <row r="50" spans="1:4">
      <c r="A50" s="419"/>
      <c r="B50" s="419"/>
      <c r="C50" s="1023"/>
      <c r="D50" s="1023"/>
    </row>
    <row r="51" spans="1:4">
      <c r="A51" s="419"/>
      <c r="B51" s="419"/>
      <c r="C51" s="1023"/>
      <c r="D51" s="1023"/>
    </row>
    <row r="52" spans="1:4">
      <c r="A52" s="419"/>
      <c r="B52" s="419"/>
      <c r="C52" s="1023"/>
      <c r="D52" s="1023"/>
    </row>
    <row r="53" spans="1:4">
      <c r="A53" s="419"/>
      <c r="B53" s="419"/>
      <c r="C53" s="1023"/>
      <c r="D53" s="1023"/>
    </row>
    <row r="54" spans="1:4">
      <c r="A54" s="419"/>
      <c r="B54" s="419"/>
      <c r="C54" s="1023"/>
      <c r="D54" s="1023"/>
    </row>
    <row r="55" spans="1:4">
      <c r="A55" s="419"/>
      <c r="B55" s="419"/>
      <c r="C55" s="1023"/>
      <c r="D55" s="1023"/>
    </row>
    <row r="56" spans="1:4">
      <c r="A56" s="419"/>
      <c r="B56" s="419"/>
      <c r="C56" s="1023"/>
      <c r="D56" s="1023"/>
    </row>
    <row r="57" spans="1:4">
      <c r="A57" s="419"/>
      <c r="B57" s="419"/>
      <c r="C57" s="1023"/>
      <c r="D57" s="1023"/>
    </row>
    <row r="58" spans="1:4">
      <c r="A58" s="419"/>
      <c r="B58" s="419"/>
      <c r="C58" s="1023"/>
      <c r="D58" s="1023"/>
    </row>
    <row r="59" spans="1:4">
      <c r="A59" s="419"/>
      <c r="B59" s="419"/>
      <c r="C59" s="1023"/>
      <c r="D59" s="1023"/>
    </row>
    <row r="60" spans="1:4">
      <c r="A60" s="419"/>
      <c r="B60" s="419"/>
      <c r="C60" s="1023"/>
      <c r="D60" s="1023"/>
    </row>
    <row r="61" spans="1:4">
      <c r="A61" s="419"/>
      <c r="B61" s="419"/>
      <c r="C61" s="1023"/>
      <c r="D61" s="1023"/>
    </row>
    <row r="62" spans="1:4">
      <c r="A62" s="419"/>
      <c r="B62" s="419"/>
      <c r="C62" s="1023"/>
      <c r="D62" s="1023"/>
    </row>
    <row r="63" spans="1:4">
      <c r="A63" s="419"/>
      <c r="B63" s="419"/>
      <c r="C63" s="1023"/>
      <c r="D63" s="1023"/>
    </row>
    <row r="64" spans="1:4">
      <c r="A64" s="419"/>
      <c r="B64" s="419"/>
      <c r="C64" s="1023"/>
      <c r="D64" s="1023"/>
    </row>
    <row r="65" spans="1:4">
      <c r="A65" s="419"/>
      <c r="B65" s="419"/>
      <c r="C65" s="1023"/>
      <c r="D65" s="1023"/>
    </row>
    <row r="66" spans="1:4">
      <c r="A66" s="419"/>
      <c r="B66" s="419"/>
      <c r="C66" s="1023"/>
      <c r="D66" s="1023"/>
    </row>
    <row r="67" spans="1:4">
      <c r="A67" s="419"/>
      <c r="B67" s="419"/>
      <c r="C67" s="1023"/>
      <c r="D67" s="1023"/>
    </row>
    <row r="68" spans="1:4">
      <c r="A68" s="419"/>
      <c r="B68" s="419"/>
      <c r="C68" s="1023"/>
      <c r="D68" s="1023"/>
    </row>
    <row r="69" spans="1:4">
      <c r="A69" s="419"/>
      <c r="B69" s="419"/>
      <c r="C69" s="1023"/>
      <c r="D69" s="1023"/>
    </row>
    <row r="70" spans="1:4">
      <c r="A70" s="419"/>
      <c r="B70" s="419"/>
      <c r="C70" s="1023"/>
      <c r="D70" s="1023"/>
    </row>
    <row r="71" spans="1:4">
      <c r="A71" s="419"/>
      <c r="B71" s="419"/>
      <c r="C71" s="1023"/>
      <c r="D71" s="1023"/>
    </row>
    <row r="72" spans="1:4">
      <c r="A72" s="419"/>
      <c r="B72" s="419"/>
      <c r="C72" s="1023"/>
      <c r="D72" s="1023"/>
    </row>
    <row r="73" spans="1:4">
      <c r="A73" s="419"/>
      <c r="B73" s="419"/>
      <c r="C73" s="1023"/>
      <c r="D73" s="1023"/>
    </row>
    <row r="74" spans="1:4">
      <c r="A74" s="419"/>
      <c r="B74" s="419"/>
      <c r="C74" s="1023"/>
      <c r="D74" s="1023"/>
    </row>
    <row r="75" spans="1:4">
      <c r="A75" s="419"/>
      <c r="B75" s="419"/>
      <c r="C75" s="1023"/>
      <c r="D75" s="1023"/>
    </row>
    <row r="76" spans="1:4">
      <c r="A76" s="419"/>
      <c r="B76" s="419"/>
      <c r="C76" s="1023"/>
      <c r="D76" s="1023"/>
    </row>
    <row r="77" spans="1:4">
      <c r="A77" s="419"/>
      <c r="B77" s="419"/>
      <c r="C77" s="1023"/>
      <c r="D77" s="1023"/>
    </row>
    <row r="78" spans="1:4">
      <c r="A78" s="419"/>
      <c r="B78" s="419"/>
      <c r="C78" s="1023"/>
      <c r="D78" s="1023"/>
    </row>
    <row r="79" spans="1:4">
      <c r="A79" s="419"/>
      <c r="B79" s="419"/>
      <c r="C79" s="1023"/>
      <c r="D79" s="1023"/>
    </row>
    <row r="80" spans="1:4">
      <c r="A80" s="419"/>
      <c r="B80" s="419"/>
      <c r="C80" s="1023"/>
      <c r="D80" s="1023"/>
    </row>
    <row r="81" spans="1:4">
      <c r="A81" s="419"/>
      <c r="B81" s="419"/>
      <c r="C81" s="1023"/>
      <c r="D81" s="1023"/>
    </row>
    <row r="82" spans="1:4">
      <c r="A82" s="419"/>
      <c r="B82" s="419"/>
      <c r="C82" s="1023"/>
      <c r="D82" s="1023"/>
    </row>
    <row r="83" spans="1:4">
      <c r="A83" s="419"/>
      <c r="B83" s="419"/>
      <c r="C83" s="1023"/>
      <c r="D83" s="1023"/>
    </row>
    <row r="84" spans="1:4">
      <c r="A84" s="419"/>
      <c r="B84" s="419"/>
      <c r="C84" s="1023"/>
      <c r="D84" s="1023"/>
    </row>
    <row r="85" spans="1:4">
      <c r="A85" s="419"/>
      <c r="B85" s="419"/>
      <c r="C85" s="1023"/>
      <c r="D85" s="1023"/>
    </row>
    <row r="86" spans="1:4">
      <c r="A86" s="419"/>
      <c r="B86" s="419"/>
      <c r="C86" s="1023"/>
      <c r="D86" s="1023"/>
    </row>
    <row r="87" spans="1:4">
      <c r="A87" s="419"/>
      <c r="B87" s="419"/>
      <c r="C87" s="1023"/>
      <c r="D87" s="1023"/>
    </row>
    <row r="88" spans="1:4">
      <c r="A88" s="419"/>
      <c r="B88" s="419"/>
      <c r="C88" s="1023"/>
      <c r="D88" s="1023"/>
    </row>
    <row r="89" spans="1:4">
      <c r="A89" s="419"/>
      <c r="B89" s="419"/>
      <c r="C89" s="1023"/>
      <c r="D89" s="1023"/>
    </row>
    <row r="90" spans="1:4">
      <c r="A90" s="419"/>
      <c r="B90" s="419"/>
      <c r="C90" s="1023"/>
      <c r="D90" s="1023"/>
    </row>
    <row r="91" spans="1:4">
      <c r="A91" s="419"/>
      <c r="B91" s="419"/>
      <c r="C91" s="1023"/>
      <c r="D91" s="1023"/>
    </row>
    <row r="92" spans="1:4">
      <c r="A92" s="419"/>
      <c r="B92" s="419"/>
      <c r="C92" s="1023"/>
      <c r="D92" s="1023"/>
    </row>
    <row r="93" spans="1:4">
      <c r="A93" s="419"/>
      <c r="B93" s="419"/>
      <c r="C93" s="1023"/>
      <c r="D93" s="1023"/>
    </row>
    <row r="94" spans="1:4">
      <c r="A94" s="419"/>
      <c r="B94" s="419"/>
      <c r="C94" s="1023"/>
      <c r="D94" s="1023"/>
    </row>
    <row r="95" spans="1:4">
      <c r="A95" s="419"/>
      <c r="B95" s="419"/>
      <c r="C95" s="1023"/>
      <c r="D95" s="1023"/>
    </row>
    <row r="96" spans="1:4">
      <c r="A96" s="419"/>
      <c r="B96" s="419"/>
      <c r="C96" s="1023"/>
      <c r="D96" s="1023"/>
    </row>
    <row r="97" spans="1:4">
      <c r="A97" s="419"/>
      <c r="B97" s="419"/>
      <c r="C97" s="1023"/>
      <c r="D97" s="1023"/>
    </row>
    <row r="98" spans="1:4">
      <c r="A98" s="419"/>
      <c r="B98" s="419"/>
      <c r="C98" s="1023"/>
      <c r="D98" s="1023"/>
    </row>
    <row r="99" spans="1:4">
      <c r="A99" s="419"/>
      <c r="B99" s="419"/>
      <c r="C99" s="1023"/>
      <c r="D99" s="1023"/>
    </row>
    <row r="100" spans="1:4">
      <c r="A100" s="419"/>
      <c r="B100" s="419"/>
      <c r="C100" s="1023"/>
      <c r="D100" s="1023"/>
    </row>
    <row r="101" spans="1:4">
      <c r="A101" s="419"/>
      <c r="B101" s="419"/>
      <c r="C101" s="1023"/>
      <c r="D101" s="1023"/>
    </row>
    <row r="102" spans="1:4">
      <c r="A102" s="419"/>
      <c r="B102" s="419"/>
      <c r="C102" s="1023"/>
      <c r="D102" s="1023"/>
    </row>
    <row r="103" spans="1:4">
      <c r="A103" s="419"/>
      <c r="B103" s="419"/>
      <c r="C103" s="1023"/>
      <c r="D103" s="1023"/>
    </row>
    <row r="104" spans="1:4">
      <c r="A104" s="419"/>
      <c r="B104" s="419"/>
      <c r="C104" s="1023"/>
      <c r="D104" s="1023"/>
    </row>
    <row r="105" spans="1:4">
      <c r="A105" s="419"/>
      <c r="B105" s="419"/>
      <c r="C105" s="1023"/>
      <c r="D105" s="1023"/>
    </row>
    <row r="106" spans="1:4">
      <c r="A106" s="419"/>
      <c r="B106" s="419"/>
      <c r="C106" s="1023"/>
      <c r="D106" s="1023"/>
    </row>
    <row r="107" spans="1:4">
      <c r="A107" s="419"/>
      <c r="B107" s="419"/>
      <c r="C107" s="1023"/>
      <c r="D107" s="1023"/>
    </row>
    <row r="108" spans="1:4">
      <c r="A108" s="419"/>
      <c r="B108" s="419"/>
      <c r="C108" s="1023"/>
      <c r="D108" s="1023"/>
    </row>
    <row r="109" spans="1:4">
      <c r="A109" s="419"/>
      <c r="B109" s="419"/>
      <c r="C109" s="1023"/>
      <c r="D109" s="1023"/>
    </row>
    <row r="110" spans="1:4">
      <c r="A110" s="419"/>
      <c r="B110" s="419"/>
      <c r="C110" s="1023"/>
      <c r="D110" s="1023"/>
    </row>
    <row r="111" spans="1:4">
      <c r="A111" s="419"/>
      <c r="B111" s="419"/>
      <c r="C111" s="1023"/>
      <c r="D111" s="1023"/>
    </row>
    <row r="112" spans="1:4">
      <c r="A112" s="419"/>
      <c r="B112" s="419"/>
      <c r="C112" s="1023"/>
      <c r="D112" s="1023"/>
    </row>
    <row r="113" spans="1:4">
      <c r="A113" s="419"/>
      <c r="B113" s="419"/>
      <c r="C113" s="1023"/>
      <c r="D113" s="1023"/>
    </row>
    <row r="114" spans="1:4">
      <c r="A114" s="419"/>
      <c r="B114" s="419"/>
      <c r="C114" s="1023"/>
      <c r="D114" s="1023"/>
    </row>
    <row r="115" spans="1:4">
      <c r="A115" s="419"/>
      <c r="B115" s="419"/>
      <c r="C115" s="1023"/>
      <c r="D115" s="1023"/>
    </row>
    <row r="116" spans="1:4">
      <c r="A116" s="419"/>
      <c r="B116" s="419"/>
      <c r="C116" s="1023"/>
      <c r="D116" s="1023"/>
    </row>
    <row r="117" spans="1:4">
      <c r="A117" s="419"/>
      <c r="B117" s="419"/>
      <c r="C117" s="1023"/>
      <c r="D117" s="1023"/>
    </row>
    <row r="118" spans="1:4">
      <c r="A118" s="419"/>
      <c r="B118" s="419"/>
      <c r="C118" s="1023"/>
      <c r="D118" s="1023"/>
    </row>
    <row r="119" spans="1:4">
      <c r="A119" s="419"/>
      <c r="B119" s="419"/>
      <c r="C119" s="1023"/>
      <c r="D119" s="1023"/>
    </row>
    <row r="120" spans="1:4">
      <c r="A120" s="419"/>
      <c r="B120" s="419"/>
      <c r="C120" s="1023"/>
      <c r="D120" s="1023"/>
    </row>
    <row r="121" spans="1:4">
      <c r="A121" s="419"/>
      <c r="B121" s="419"/>
      <c r="C121" s="1023"/>
      <c r="D121" s="1023"/>
    </row>
    <row r="122" spans="1:4">
      <c r="A122" s="419"/>
      <c r="B122" s="419"/>
      <c r="C122" s="1023"/>
      <c r="D122" s="1023"/>
    </row>
    <row r="123" spans="1:4">
      <c r="A123" s="419"/>
      <c r="B123" s="419"/>
      <c r="C123" s="1023"/>
      <c r="D123" s="1023"/>
    </row>
    <row r="124" spans="1:4">
      <c r="A124" s="419"/>
      <c r="B124" s="419"/>
      <c r="C124" s="1023"/>
      <c r="D124" s="1023"/>
    </row>
    <row r="125" spans="1:4">
      <c r="A125" s="419"/>
      <c r="B125" s="419"/>
      <c r="C125" s="1023"/>
      <c r="D125" s="1023"/>
    </row>
    <row r="126" spans="1:4">
      <c r="A126" s="419"/>
      <c r="B126" s="419"/>
      <c r="C126" s="1023"/>
      <c r="D126" s="1023"/>
    </row>
    <row r="127" spans="1:4">
      <c r="A127" s="419"/>
      <c r="B127" s="419"/>
      <c r="C127" s="1023"/>
      <c r="D127" s="1023"/>
    </row>
    <row r="128" spans="1:4">
      <c r="A128" s="419"/>
      <c r="B128" s="419"/>
      <c r="C128" s="1023"/>
      <c r="D128" s="1023"/>
    </row>
    <row r="129" spans="1:4">
      <c r="A129" s="419"/>
      <c r="B129" s="419"/>
      <c r="C129" s="1023"/>
      <c r="D129" s="1023"/>
    </row>
    <row r="130" spans="1:4">
      <c r="A130" s="419"/>
      <c r="B130" s="419"/>
      <c r="C130" s="1023"/>
      <c r="D130" s="1023"/>
    </row>
    <row r="131" spans="1:4">
      <c r="A131" s="419"/>
      <c r="B131" s="419"/>
      <c r="C131" s="1023"/>
      <c r="D131" s="1023"/>
    </row>
    <row r="132" spans="1:4">
      <c r="A132" s="419"/>
      <c r="B132" s="419"/>
      <c r="C132" s="1023"/>
      <c r="D132" s="1023"/>
    </row>
    <row r="133" spans="1:4">
      <c r="A133" s="419"/>
      <c r="B133" s="419"/>
      <c r="C133" s="1023"/>
      <c r="D133" s="1023"/>
    </row>
    <row r="134" spans="1:4">
      <c r="A134" s="419"/>
      <c r="B134" s="419"/>
      <c r="C134" s="1023"/>
      <c r="D134" s="1023"/>
    </row>
    <row r="135" spans="1:4">
      <c r="A135" s="419"/>
      <c r="B135" s="419"/>
      <c r="C135" s="1023"/>
      <c r="D135" s="1023"/>
    </row>
    <row r="136" spans="1:4">
      <c r="A136" s="419"/>
      <c r="B136" s="419"/>
      <c r="C136" s="1023"/>
      <c r="D136" s="1023"/>
    </row>
    <row r="137" spans="1:4">
      <c r="A137" s="419"/>
      <c r="B137" s="419"/>
      <c r="C137" s="1023"/>
      <c r="D137" s="1023"/>
    </row>
    <row r="138" spans="1:4">
      <c r="A138" s="419"/>
      <c r="B138" s="419"/>
      <c r="C138" s="1023"/>
      <c r="D138" s="1023"/>
    </row>
    <row r="139" spans="1:4">
      <c r="A139" s="419"/>
      <c r="B139" s="419"/>
      <c r="C139" s="1023"/>
      <c r="D139" s="1023"/>
    </row>
    <row r="140" spans="1:4">
      <c r="A140" s="419"/>
      <c r="B140" s="419"/>
      <c r="C140" s="1023"/>
      <c r="D140" s="1023"/>
    </row>
    <row r="141" spans="1:4">
      <c r="A141" s="419"/>
      <c r="B141" s="419"/>
      <c r="C141" s="1023"/>
      <c r="D141" s="1023"/>
    </row>
    <row r="142" spans="1:4">
      <c r="A142" s="419"/>
      <c r="B142" s="419"/>
      <c r="C142" s="1023"/>
      <c r="D142" s="1023"/>
    </row>
    <row r="143" spans="1:4">
      <c r="A143" s="419"/>
      <c r="B143" s="419"/>
      <c r="C143" s="1023"/>
      <c r="D143" s="1023"/>
    </row>
    <row r="144" spans="1:4">
      <c r="A144" s="419"/>
      <c r="B144" s="419"/>
      <c r="C144" s="1023"/>
      <c r="D144" s="1023"/>
    </row>
    <row r="145" spans="1:4">
      <c r="A145" s="419"/>
      <c r="B145" s="419"/>
      <c r="C145" s="1023"/>
      <c r="D145" s="1023"/>
    </row>
    <row r="146" spans="1:4">
      <c r="A146" s="419"/>
      <c r="B146" s="419"/>
      <c r="C146" s="1023"/>
      <c r="D146" s="1023"/>
    </row>
    <row r="147" spans="1:4">
      <c r="A147" s="419"/>
      <c r="B147" s="419"/>
      <c r="C147" s="1023"/>
      <c r="D147" s="1023"/>
    </row>
    <row r="148" spans="1:4">
      <c r="A148" s="419"/>
      <c r="B148" s="419"/>
      <c r="C148" s="1023"/>
      <c r="D148" s="1023"/>
    </row>
    <row r="149" spans="1:4">
      <c r="A149" s="419"/>
      <c r="B149" s="419"/>
      <c r="C149" s="1023"/>
      <c r="D149" s="1023"/>
    </row>
    <row r="150" spans="1:4">
      <c r="A150" s="419"/>
      <c r="B150" s="419"/>
      <c r="C150" s="1023"/>
      <c r="D150" s="1023"/>
    </row>
    <row r="151" spans="1:4">
      <c r="A151" s="419"/>
      <c r="B151" s="419"/>
      <c r="C151" s="1023"/>
      <c r="D151" s="1023"/>
    </row>
    <row r="152" spans="1:4">
      <c r="A152" s="419"/>
      <c r="B152" s="419"/>
      <c r="C152" s="1023"/>
      <c r="D152" s="1023"/>
    </row>
    <row r="153" spans="1:4">
      <c r="A153" s="419"/>
      <c r="B153" s="419"/>
      <c r="C153" s="1023"/>
      <c r="D153" s="1023"/>
    </row>
    <row r="154" spans="1:4">
      <c r="A154" s="419"/>
      <c r="B154" s="419"/>
      <c r="C154" s="1023"/>
      <c r="D154" s="1023"/>
    </row>
    <row r="155" spans="1:4">
      <c r="A155" s="419"/>
      <c r="B155" s="419"/>
      <c r="C155" s="1023"/>
      <c r="D155" s="1023"/>
    </row>
    <row r="156" spans="1:4">
      <c r="A156" s="419"/>
      <c r="B156" s="419"/>
      <c r="C156" s="1023"/>
      <c r="D156" s="1023"/>
    </row>
    <row r="157" spans="1:4">
      <c r="A157" s="419"/>
      <c r="B157" s="419"/>
      <c r="C157" s="1023"/>
      <c r="D157" s="1023"/>
    </row>
    <row r="158" spans="1:4">
      <c r="A158" s="419"/>
      <c r="B158" s="419"/>
      <c r="C158" s="1023"/>
      <c r="D158" s="1023"/>
    </row>
    <row r="159" spans="1:4">
      <c r="A159" s="419"/>
      <c r="B159" s="419"/>
      <c r="C159" s="1023"/>
      <c r="D159" s="1023"/>
    </row>
    <row r="160" spans="1:4">
      <c r="A160" s="419"/>
      <c r="B160" s="419"/>
      <c r="C160" s="1023"/>
      <c r="D160" s="1023"/>
    </row>
    <row r="161" spans="1:4">
      <c r="A161" s="419"/>
      <c r="B161" s="419"/>
      <c r="C161" s="1023"/>
      <c r="D161" s="1023"/>
    </row>
    <row r="162" spans="1:4">
      <c r="A162" s="419"/>
      <c r="B162" s="419"/>
      <c r="C162" s="1023"/>
      <c r="D162" s="1023"/>
    </row>
    <row r="163" spans="1:4">
      <c r="A163" s="419"/>
      <c r="B163" s="419"/>
      <c r="C163" s="1023"/>
      <c r="D163" s="1023"/>
    </row>
    <row r="164" spans="1:4">
      <c r="A164" s="419"/>
      <c r="B164" s="419"/>
      <c r="C164" s="1023"/>
      <c r="D164" s="1023"/>
    </row>
    <row r="165" spans="1:4">
      <c r="A165" s="419"/>
      <c r="B165" s="419"/>
      <c r="C165" s="1023"/>
      <c r="D165" s="1023"/>
    </row>
    <row r="166" spans="1:4">
      <c r="A166" s="419"/>
      <c r="B166" s="419"/>
      <c r="C166" s="1023"/>
      <c r="D166" s="1023"/>
    </row>
    <row r="167" spans="1:4">
      <c r="A167" s="419"/>
      <c r="B167" s="419"/>
      <c r="C167" s="1023"/>
      <c r="D167" s="1023"/>
    </row>
    <row r="168" spans="1:4">
      <c r="A168" s="419"/>
      <c r="B168" s="419"/>
      <c r="C168" s="1023"/>
      <c r="D168" s="1023"/>
    </row>
    <row r="169" spans="1:4">
      <c r="A169" s="419"/>
      <c r="B169" s="419"/>
      <c r="C169" s="1023"/>
      <c r="D169" s="1023"/>
    </row>
    <row r="170" spans="1:4">
      <c r="A170" s="419"/>
      <c r="B170" s="419"/>
      <c r="C170" s="1023"/>
      <c r="D170" s="1023"/>
    </row>
    <row r="171" spans="1:4">
      <c r="A171" s="419"/>
      <c r="B171" s="419"/>
      <c r="C171" s="1023"/>
      <c r="D171" s="1023"/>
    </row>
    <row r="172" spans="1:4">
      <c r="A172" s="419"/>
      <c r="B172" s="419"/>
      <c r="C172" s="1023"/>
      <c r="D172" s="1023"/>
    </row>
    <row r="173" spans="1:4">
      <c r="A173" s="419"/>
      <c r="B173" s="419"/>
      <c r="C173" s="1023"/>
      <c r="D173" s="1023"/>
    </row>
    <row r="174" spans="1:4">
      <c r="A174" s="419"/>
      <c r="B174" s="419"/>
      <c r="C174" s="1023"/>
      <c r="D174" s="1023"/>
    </row>
    <row r="175" spans="1:4">
      <c r="A175" s="419"/>
      <c r="B175" s="419"/>
      <c r="C175" s="1023"/>
      <c r="D175" s="1023"/>
    </row>
    <row r="176" spans="1:4">
      <c r="A176" s="419"/>
      <c r="B176" s="419"/>
      <c r="C176" s="1023"/>
      <c r="D176" s="1023"/>
    </row>
    <row r="177" spans="1:4">
      <c r="A177" s="419"/>
      <c r="B177" s="419"/>
      <c r="C177" s="1023"/>
      <c r="D177" s="1023"/>
    </row>
    <row r="178" spans="1:4">
      <c r="A178" s="419"/>
      <c r="B178" s="419"/>
      <c r="C178" s="1023"/>
      <c r="D178" s="1023"/>
    </row>
    <row r="179" spans="1:4">
      <c r="A179" s="419"/>
      <c r="B179" s="419"/>
      <c r="C179" s="1023"/>
      <c r="D179" s="1023"/>
    </row>
    <row r="180" spans="1:4">
      <c r="A180" s="419"/>
      <c r="B180" s="419"/>
      <c r="C180" s="1023"/>
      <c r="D180" s="1023"/>
    </row>
    <row r="181" spans="1:4">
      <c r="A181" s="419"/>
      <c r="B181" s="419"/>
      <c r="C181" s="1023"/>
      <c r="D181" s="1023"/>
    </row>
    <row r="182" spans="1:4">
      <c r="A182" s="419"/>
      <c r="B182" s="419"/>
      <c r="C182" s="1023"/>
      <c r="D182" s="1023"/>
    </row>
    <row r="183" spans="1:4">
      <c r="A183" s="419"/>
      <c r="B183" s="419"/>
      <c r="C183" s="1023"/>
      <c r="D183" s="1023"/>
    </row>
    <row r="184" spans="1:4">
      <c r="A184" s="419"/>
      <c r="B184" s="419"/>
      <c r="C184" s="1023"/>
      <c r="D184" s="1023"/>
    </row>
    <row r="185" spans="1:4">
      <c r="A185" s="419"/>
      <c r="B185" s="419"/>
      <c r="C185" s="1023"/>
      <c r="D185" s="1023"/>
    </row>
    <row r="186" spans="1:4">
      <c r="A186" s="419"/>
      <c r="B186" s="419"/>
      <c r="C186" s="1023"/>
      <c r="D186" s="1023"/>
    </row>
    <row r="187" spans="1:4">
      <c r="A187" s="419"/>
      <c r="B187" s="419"/>
      <c r="C187" s="1023"/>
      <c r="D187" s="1023"/>
    </row>
    <row r="188" spans="1:4">
      <c r="A188" s="419"/>
      <c r="B188" s="419"/>
      <c r="C188" s="1023"/>
      <c r="D188" s="1023"/>
    </row>
    <row r="189" spans="1:4">
      <c r="A189" s="419"/>
      <c r="B189" s="419"/>
      <c r="C189" s="1023"/>
      <c r="D189" s="1023"/>
    </row>
    <row r="190" spans="1:4">
      <c r="A190" s="419"/>
      <c r="B190" s="419"/>
      <c r="C190" s="1023"/>
      <c r="D190" s="1023"/>
    </row>
    <row r="191" spans="1:4">
      <c r="A191" s="419"/>
      <c r="B191" s="419"/>
      <c r="C191" s="1023"/>
      <c r="D191" s="1023"/>
    </row>
    <row r="192" spans="1:4">
      <c r="A192" s="419"/>
      <c r="B192" s="419"/>
      <c r="C192" s="1023"/>
      <c r="D192" s="1023"/>
    </row>
    <row r="193" spans="1:4">
      <c r="A193" s="419"/>
      <c r="B193" s="419"/>
      <c r="C193" s="1023"/>
      <c r="D193" s="1023"/>
    </row>
    <row r="194" spans="1:4">
      <c r="A194" s="419"/>
      <c r="B194" s="419"/>
      <c r="C194" s="1023"/>
      <c r="D194" s="1023"/>
    </row>
    <row r="195" spans="1:4">
      <c r="A195" s="419"/>
      <c r="B195" s="419"/>
      <c r="C195" s="1023"/>
      <c r="D195" s="1023"/>
    </row>
    <row r="196" spans="1:4">
      <c r="A196" s="419"/>
      <c r="B196" s="419"/>
      <c r="C196" s="1023"/>
      <c r="D196" s="1023"/>
    </row>
    <row r="197" spans="1:4">
      <c r="A197" s="419"/>
      <c r="B197" s="419"/>
      <c r="C197" s="1023"/>
      <c r="D197" s="1023"/>
    </row>
    <row r="198" spans="1:4">
      <c r="A198" s="419"/>
      <c r="B198" s="419"/>
      <c r="C198" s="1023"/>
      <c r="D198" s="1023"/>
    </row>
    <row r="199" spans="1:4">
      <c r="A199" s="419"/>
      <c r="B199" s="419"/>
      <c r="C199" s="1023"/>
      <c r="D199" s="1023"/>
    </row>
    <row r="200" spans="1:4">
      <c r="A200" s="419"/>
      <c r="B200" s="419"/>
      <c r="C200" s="1023"/>
      <c r="D200" s="1023"/>
    </row>
    <row r="201" spans="1:4">
      <c r="A201" s="419"/>
      <c r="B201" s="419"/>
      <c r="C201" s="1023"/>
      <c r="D201" s="1023"/>
    </row>
    <row r="202" spans="1:4">
      <c r="A202" s="419"/>
      <c r="B202" s="419"/>
      <c r="C202" s="1023"/>
      <c r="D202" s="1023"/>
    </row>
    <row r="203" spans="1:4">
      <c r="A203" s="419"/>
      <c r="B203" s="419"/>
      <c r="C203" s="1023"/>
      <c r="D203" s="1023"/>
    </row>
    <row r="204" spans="1:4">
      <c r="A204" s="419"/>
      <c r="B204" s="419"/>
      <c r="C204" s="1023"/>
      <c r="D204" s="1023"/>
    </row>
    <row r="205" spans="1:4">
      <c r="A205" s="419"/>
      <c r="B205" s="419"/>
      <c r="C205" s="1023"/>
      <c r="D205" s="1023"/>
    </row>
    <row r="206" spans="1:4">
      <c r="A206" s="419"/>
      <c r="B206" s="419"/>
      <c r="C206" s="1023"/>
      <c r="D206" s="1023"/>
    </row>
    <row r="207" spans="1:4">
      <c r="A207" s="419"/>
      <c r="B207" s="419"/>
      <c r="C207" s="1023"/>
      <c r="D207" s="1023"/>
    </row>
    <row r="208" spans="1:4">
      <c r="A208" s="419"/>
      <c r="B208" s="419"/>
      <c r="C208" s="1023"/>
      <c r="D208" s="1023"/>
    </row>
    <row r="209" spans="1:4">
      <c r="A209" s="419"/>
      <c r="B209" s="419"/>
      <c r="C209" s="1023"/>
      <c r="D209" s="1023"/>
    </row>
    <row r="210" spans="1:4">
      <c r="A210" s="419"/>
      <c r="B210" s="419"/>
      <c r="C210" s="1023"/>
      <c r="D210" s="1023"/>
    </row>
    <row r="211" spans="1:4">
      <c r="A211" s="419"/>
      <c r="B211" s="419"/>
      <c r="C211" s="1023"/>
      <c r="D211" s="1023"/>
    </row>
    <row r="212" spans="1:4">
      <c r="A212" s="419"/>
      <c r="B212" s="419"/>
      <c r="C212" s="1023"/>
      <c r="D212" s="1023"/>
    </row>
    <row r="213" spans="1:4">
      <c r="A213" s="419"/>
      <c r="B213" s="419"/>
      <c r="C213" s="1023"/>
      <c r="D213" s="1023"/>
    </row>
    <row r="214" spans="1:4">
      <c r="A214" s="419"/>
      <c r="B214" s="419"/>
      <c r="C214" s="1023"/>
      <c r="D214" s="1023"/>
    </row>
    <row r="215" spans="1:4">
      <c r="A215" s="419"/>
      <c r="B215" s="419"/>
      <c r="C215" s="1023"/>
      <c r="D215" s="1023"/>
    </row>
    <row r="216" spans="1:4">
      <c r="A216" s="419"/>
      <c r="B216" s="419"/>
      <c r="C216" s="1023"/>
      <c r="D216" s="1023"/>
    </row>
    <row r="217" spans="1:4">
      <c r="A217" s="419"/>
      <c r="B217" s="419"/>
      <c r="C217" s="1023"/>
      <c r="D217" s="1023"/>
    </row>
    <row r="218" spans="1:4">
      <c r="A218" s="419"/>
      <c r="B218" s="419"/>
      <c r="C218" s="1023"/>
      <c r="D218" s="1023"/>
    </row>
    <row r="219" spans="1:4">
      <c r="A219" s="419"/>
      <c r="B219" s="419"/>
      <c r="C219" s="1023"/>
      <c r="D219" s="1023"/>
    </row>
    <row r="220" spans="1:4">
      <c r="A220" s="419"/>
      <c r="B220" s="419"/>
      <c r="C220" s="1023"/>
      <c r="D220" s="1023"/>
    </row>
    <row r="221" spans="1:4">
      <c r="A221" s="419"/>
      <c r="B221" s="419"/>
      <c r="C221" s="1023"/>
      <c r="D221" s="1023"/>
    </row>
    <row r="222" spans="1:4">
      <c r="A222" s="419"/>
      <c r="B222" s="419"/>
      <c r="C222" s="1023"/>
      <c r="D222" s="1023"/>
    </row>
    <row r="223" spans="1:4">
      <c r="A223" s="419"/>
      <c r="B223" s="419"/>
      <c r="C223" s="1023"/>
      <c r="D223" s="1023"/>
    </row>
    <row r="224" spans="1:4">
      <c r="A224" s="419"/>
      <c r="B224" s="419"/>
      <c r="C224" s="1023"/>
      <c r="D224" s="1023"/>
    </row>
    <row r="225" spans="1:4">
      <c r="A225" s="419"/>
      <c r="B225" s="419"/>
      <c r="C225" s="1023"/>
      <c r="D225" s="1023"/>
    </row>
    <row r="226" spans="1:4">
      <c r="A226" s="419"/>
      <c r="B226" s="419"/>
      <c r="C226" s="1023"/>
      <c r="D226" s="1023"/>
    </row>
    <row r="227" spans="1:4">
      <c r="A227" s="419"/>
      <c r="B227" s="419"/>
      <c r="C227" s="1023"/>
      <c r="D227" s="1023"/>
    </row>
    <row r="228" spans="1:4">
      <c r="A228" s="419"/>
      <c r="B228" s="419"/>
      <c r="C228" s="1023"/>
      <c r="D228" s="1023"/>
    </row>
    <row r="229" spans="1:4">
      <c r="A229" s="419"/>
      <c r="B229" s="419"/>
      <c r="C229" s="1023"/>
      <c r="D229" s="1023"/>
    </row>
    <row r="230" spans="1:4">
      <c r="A230" s="419"/>
      <c r="B230" s="419"/>
      <c r="C230" s="1023"/>
      <c r="D230" s="1023"/>
    </row>
    <row r="231" spans="1:4">
      <c r="A231" s="419"/>
      <c r="B231" s="419"/>
      <c r="C231" s="1023"/>
      <c r="D231" s="1023"/>
    </row>
    <row r="232" spans="1:4">
      <c r="A232" s="419"/>
      <c r="B232" s="419"/>
      <c r="C232" s="1023"/>
      <c r="D232" s="1023"/>
    </row>
    <row r="233" spans="1:4">
      <c r="A233" s="419"/>
      <c r="B233" s="419"/>
      <c r="C233" s="1023"/>
      <c r="D233" s="1023"/>
    </row>
    <row r="234" spans="1:4">
      <c r="A234" s="419"/>
      <c r="B234" s="419"/>
      <c r="C234" s="1023"/>
      <c r="D234" s="1023"/>
    </row>
    <row r="235" spans="1:4">
      <c r="A235" s="419"/>
      <c r="B235" s="419"/>
      <c r="C235" s="1023"/>
      <c r="D235" s="1023"/>
    </row>
    <row r="236" spans="1:4">
      <c r="A236" s="419"/>
      <c r="B236" s="419"/>
      <c r="C236" s="1023"/>
      <c r="D236" s="1023"/>
    </row>
    <row r="237" spans="1:4">
      <c r="A237" s="419"/>
      <c r="B237" s="419"/>
      <c r="C237" s="1023"/>
      <c r="D237" s="1023"/>
    </row>
    <row r="238" spans="1:4">
      <c r="A238" s="419"/>
      <c r="B238" s="419"/>
      <c r="C238" s="1023"/>
      <c r="D238" s="1023"/>
    </row>
    <row r="239" spans="1:4">
      <c r="A239" s="419"/>
      <c r="B239" s="419"/>
      <c r="C239" s="1023"/>
      <c r="D239" s="1023"/>
    </row>
    <row r="240" spans="1:4">
      <c r="A240" s="419"/>
      <c r="B240" s="419"/>
      <c r="C240" s="1023"/>
      <c r="D240" s="1023"/>
    </row>
    <row r="241" spans="1:4">
      <c r="A241" s="419"/>
      <c r="B241" s="419"/>
      <c r="C241" s="1023"/>
      <c r="D241" s="1023"/>
    </row>
    <row r="242" spans="1:4">
      <c r="A242" s="419"/>
      <c r="B242" s="419"/>
      <c r="C242" s="1023"/>
      <c r="D242" s="1023"/>
    </row>
    <row r="243" spans="1:4">
      <c r="A243" s="419"/>
      <c r="B243" s="419"/>
      <c r="C243" s="1023"/>
      <c r="D243" s="1023"/>
    </row>
    <row r="244" spans="1:4">
      <c r="A244" s="419"/>
      <c r="B244" s="419"/>
      <c r="C244" s="1023"/>
      <c r="D244" s="1023"/>
    </row>
    <row r="245" spans="1:4">
      <c r="A245" s="419"/>
      <c r="B245" s="419"/>
      <c r="C245" s="1023"/>
      <c r="D245" s="1023"/>
    </row>
    <row r="246" spans="1:4">
      <c r="A246" s="419"/>
      <c r="B246" s="419"/>
      <c r="C246" s="1023"/>
      <c r="D246" s="1023"/>
    </row>
    <row r="247" spans="1:4">
      <c r="A247" s="419"/>
      <c r="B247" s="419"/>
      <c r="C247" s="1023"/>
      <c r="D247" s="1023"/>
    </row>
    <row r="248" spans="1:4">
      <c r="A248" s="419"/>
      <c r="B248" s="419"/>
      <c r="C248" s="1023"/>
      <c r="D248" s="1023"/>
    </row>
    <row r="249" spans="1:4">
      <c r="A249" s="419"/>
      <c r="B249" s="419"/>
      <c r="C249" s="1023"/>
      <c r="D249" s="1023"/>
    </row>
    <row r="250" spans="1:4">
      <c r="A250" s="419"/>
      <c r="B250" s="419"/>
      <c r="C250" s="1023"/>
      <c r="D250" s="1023"/>
    </row>
    <row r="251" spans="1:4">
      <c r="A251" s="419"/>
      <c r="B251" s="419"/>
      <c r="C251" s="1023"/>
      <c r="D251" s="1023"/>
    </row>
    <row r="252" spans="1:4">
      <c r="A252" s="419"/>
      <c r="B252" s="419"/>
      <c r="C252" s="1023"/>
      <c r="D252" s="1023"/>
    </row>
    <row r="253" spans="1:4">
      <c r="A253" s="419"/>
      <c r="B253" s="419"/>
      <c r="C253" s="1023"/>
      <c r="D253" s="1023"/>
    </row>
    <row r="254" spans="1:4">
      <c r="A254" s="419"/>
      <c r="B254" s="419"/>
      <c r="C254" s="1023"/>
      <c r="D254" s="1023"/>
    </row>
    <row r="255" spans="1:4">
      <c r="A255" s="419"/>
      <c r="B255" s="419"/>
      <c r="C255" s="1023"/>
      <c r="D255" s="1023"/>
    </row>
    <row r="256" spans="1:4">
      <c r="A256" s="419"/>
      <c r="B256" s="419"/>
      <c r="C256" s="1023"/>
      <c r="D256" s="1023"/>
    </row>
    <row r="257" spans="1:4">
      <c r="A257" s="419"/>
      <c r="B257" s="419"/>
      <c r="C257" s="1023"/>
      <c r="D257" s="1023"/>
    </row>
    <row r="258" spans="1:4">
      <c r="A258" s="419"/>
      <c r="B258" s="419"/>
      <c r="C258" s="1023"/>
      <c r="D258" s="1023"/>
    </row>
    <row r="259" spans="1:4">
      <c r="A259" s="419"/>
      <c r="B259" s="419"/>
      <c r="C259" s="1023"/>
      <c r="D259" s="1023"/>
    </row>
    <row r="260" spans="1:4">
      <c r="A260" s="419"/>
      <c r="B260" s="419"/>
      <c r="C260" s="1023"/>
      <c r="D260" s="1023"/>
    </row>
    <row r="261" spans="1:4">
      <c r="A261" s="419"/>
      <c r="B261" s="419"/>
      <c r="C261" s="1023"/>
      <c r="D261" s="1023"/>
    </row>
    <row r="262" spans="1:4">
      <c r="A262" s="419"/>
      <c r="B262" s="419"/>
      <c r="C262" s="1023"/>
      <c r="D262" s="1023"/>
    </row>
    <row r="263" spans="1:4">
      <c r="A263" s="419"/>
      <c r="B263" s="419"/>
      <c r="C263" s="1023"/>
      <c r="D263" s="1023"/>
    </row>
    <row r="264" spans="1:4">
      <c r="A264" s="419"/>
      <c r="B264" s="419"/>
      <c r="C264" s="1023"/>
      <c r="D264" s="1023"/>
    </row>
    <row r="265" spans="1:4">
      <c r="A265" s="419"/>
      <c r="B265" s="419"/>
      <c r="C265" s="1023"/>
      <c r="D265" s="1023"/>
    </row>
    <row r="266" spans="1:4">
      <c r="A266" s="419"/>
      <c r="B266" s="419"/>
      <c r="C266" s="1023"/>
      <c r="D266" s="1023"/>
    </row>
    <row r="267" spans="1:4">
      <c r="A267" s="419"/>
      <c r="B267" s="419"/>
      <c r="C267" s="1023"/>
      <c r="D267" s="1023"/>
    </row>
    <row r="268" spans="1:4">
      <c r="A268" s="419"/>
      <c r="B268" s="419"/>
      <c r="C268" s="1023"/>
      <c r="D268" s="1023"/>
    </row>
    <row r="269" spans="1:4">
      <c r="A269" s="419"/>
      <c r="B269" s="419"/>
      <c r="C269" s="1023"/>
      <c r="D269" s="1023"/>
    </row>
    <row r="270" spans="1:4">
      <c r="A270" s="419"/>
      <c r="B270" s="419"/>
      <c r="C270" s="1023"/>
      <c r="D270" s="1023"/>
    </row>
    <row r="271" spans="1:4">
      <c r="A271" s="419"/>
      <c r="B271" s="419"/>
      <c r="C271" s="1023"/>
      <c r="D271" s="1023"/>
    </row>
    <row r="272" spans="1:4">
      <c r="A272" s="419"/>
      <c r="B272" s="419"/>
      <c r="C272" s="1023"/>
      <c r="D272" s="1023"/>
    </row>
    <row r="273" spans="1:4">
      <c r="A273" s="419"/>
      <c r="B273" s="419"/>
      <c r="C273" s="1023"/>
      <c r="D273" s="1023"/>
    </row>
    <row r="274" spans="1:4">
      <c r="A274" s="419"/>
      <c r="B274" s="419"/>
      <c r="C274" s="1023"/>
      <c r="D274" s="1023"/>
    </row>
    <row r="275" spans="1:4">
      <c r="A275" s="419"/>
      <c r="B275" s="419"/>
      <c r="C275" s="1023"/>
      <c r="D275" s="1023"/>
    </row>
    <row r="276" spans="1:4">
      <c r="A276" s="419"/>
      <c r="B276" s="419"/>
      <c r="C276" s="1023"/>
      <c r="D276" s="1023"/>
    </row>
    <row r="277" spans="1:4">
      <c r="A277" s="419"/>
      <c r="B277" s="419"/>
      <c r="C277" s="1023"/>
      <c r="D277" s="1023"/>
    </row>
    <row r="278" spans="1:4">
      <c r="A278" s="419"/>
      <c r="B278" s="419"/>
      <c r="C278" s="1023"/>
      <c r="D278" s="1023"/>
    </row>
    <row r="279" spans="1:4">
      <c r="A279" s="419"/>
      <c r="B279" s="419"/>
      <c r="C279" s="1023"/>
      <c r="D279" s="1023"/>
    </row>
    <row r="280" spans="1:4">
      <c r="A280" s="419"/>
      <c r="B280" s="419"/>
      <c r="C280" s="1023"/>
      <c r="D280" s="1023"/>
    </row>
    <row r="281" spans="1:4">
      <c r="A281" s="419"/>
      <c r="B281" s="419"/>
      <c r="C281" s="1023"/>
      <c r="D281" s="1023"/>
    </row>
    <row r="282" spans="1:4">
      <c r="A282" s="419"/>
      <c r="B282" s="419"/>
      <c r="C282" s="1023"/>
      <c r="D282" s="1023"/>
    </row>
    <row r="283" spans="1:4">
      <c r="A283" s="419"/>
      <c r="B283" s="419"/>
      <c r="C283" s="1023"/>
      <c r="D283" s="1023"/>
    </row>
    <row r="284" spans="1:4">
      <c r="A284" s="419"/>
      <c r="B284" s="419"/>
      <c r="C284" s="1023"/>
      <c r="D284" s="1023"/>
    </row>
    <row r="285" spans="1:4">
      <c r="A285" s="419"/>
      <c r="B285" s="419"/>
      <c r="C285" s="1023"/>
      <c r="D285" s="1023"/>
    </row>
    <row r="286" spans="1:4">
      <c r="A286" s="419"/>
      <c r="B286" s="419"/>
      <c r="C286" s="1023"/>
      <c r="D286" s="1023"/>
    </row>
    <row r="287" spans="1:4">
      <c r="A287" s="419"/>
      <c r="B287" s="419"/>
      <c r="C287" s="1023"/>
      <c r="D287" s="1023"/>
    </row>
    <row r="288" spans="1:4">
      <c r="A288" s="419"/>
      <c r="B288" s="419"/>
      <c r="C288" s="1023"/>
      <c r="D288" s="1023"/>
    </row>
    <row r="289" spans="1:4">
      <c r="A289" s="419"/>
      <c r="B289" s="419"/>
      <c r="C289" s="1023"/>
      <c r="D289" s="1023"/>
    </row>
    <row r="290" spans="1:4">
      <c r="A290" s="419"/>
      <c r="B290" s="419"/>
      <c r="C290" s="1023"/>
      <c r="D290" s="1023"/>
    </row>
    <row r="291" spans="1:4">
      <c r="A291" s="419"/>
      <c r="B291" s="419"/>
      <c r="C291" s="1023"/>
      <c r="D291" s="1023"/>
    </row>
    <row r="292" spans="1:4">
      <c r="A292" s="419"/>
      <c r="B292" s="419"/>
      <c r="C292" s="1023"/>
      <c r="D292" s="1023"/>
    </row>
    <row r="293" spans="1:4">
      <c r="A293" s="419"/>
      <c r="B293" s="419"/>
      <c r="C293" s="1023"/>
      <c r="D293" s="1023"/>
    </row>
    <row r="294" spans="1:4">
      <c r="A294" s="419"/>
      <c r="B294" s="419"/>
      <c r="C294" s="1023"/>
      <c r="D294" s="1023"/>
    </row>
    <row r="295" spans="1:4">
      <c r="A295" s="419"/>
      <c r="B295" s="419"/>
      <c r="C295" s="1023"/>
      <c r="D295" s="1023"/>
    </row>
    <row r="296" spans="1:4">
      <c r="A296" s="419"/>
      <c r="B296" s="419"/>
      <c r="C296" s="1023"/>
      <c r="D296" s="1023"/>
    </row>
    <row r="297" spans="1:4">
      <c r="A297" s="419"/>
      <c r="B297" s="419"/>
      <c r="C297" s="1023"/>
      <c r="D297" s="1023"/>
    </row>
    <row r="298" spans="1:4">
      <c r="A298" s="419"/>
      <c r="B298" s="419"/>
      <c r="C298" s="1023"/>
      <c r="D298" s="1023"/>
    </row>
    <row r="299" spans="1:4">
      <c r="A299" s="419"/>
      <c r="B299" s="419"/>
      <c r="C299" s="1023"/>
      <c r="D299" s="1023"/>
    </row>
    <row r="300" spans="1:4">
      <c r="A300" s="419"/>
      <c r="B300" s="419"/>
      <c r="C300" s="1023"/>
      <c r="D300" s="1023"/>
    </row>
    <row r="301" spans="1:4">
      <c r="A301" s="419"/>
      <c r="B301" s="419"/>
      <c r="C301" s="1023"/>
      <c r="D301" s="1023"/>
    </row>
    <row r="302" spans="1:4">
      <c r="A302" s="419"/>
      <c r="B302" s="419"/>
      <c r="C302" s="1023"/>
      <c r="D302" s="1023"/>
    </row>
    <row r="303" spans="1:4">
      <c r="A303" s="419"/>
      <c r="B303" s="419"/>
      <c r="C303" s="1023"/>
      <c r="D303" s="1023"/>
    </row>
    <row r="304" spans="1:4">
      <c r="A304" s="419"/>
      <c r="B304" s="419"/>
      <c r="C304" s="1023"/>
      <c r="D304" s="1023"/>
    </row>
    <row r="305" spans="1:4">
      <c r="A305" s="419"/>
      <c r="B305" s="419"/>
      <c r="C305" s="1023"/>
      <c r="D305" s="1023"/>
    </row>
    <row r="306" spans="1:4">
      <c r="A306" s="419"/>
      <c r="B306" s="419"/>
      <c r="C306" s="1023"/>
      <c r="D306" s="1023"/>
    </row>
    <row r="307" spans="1:4">
      <c r="A307" s="419"/>
      <c r="B307" s="419"/>
      <c r="C307" s="1023"/>
      <c r="D307" s="1023"/>
    </row>
    <row r="308" spans="1:4">
      <c r="A308" s="419"/>
      <c r="B308" s="419"/>
      <c r="C308" s="1023"/>
      <c r="D308" s="1023"/>
    </row>
    <row r="309" spans="1:4">
      <c r="A309" s="419"/>
      <c r="B309" s="419"/>
      <c r="C309" s="1023"/>
      <c r="D309" s="1023"/>
    </row>
    <row r="310" spans="1:4">
      <c r="A310" s="419"/>
      <c r="B310" s="419"/>
      <c r="C310" s="1023"/>
      <c r="D310" s="1023"/>
    </row>
    <row r="311" spans="1:4">
      <c r="A311" s="419"/>
      <c r="B311" s="419"/>
      <c r="C311" s="1023"/>
      <c r="D311" s="1023"/>
    </row>
    <row r="312" spans="1:4">
      <c r="A312" s="419"/>
      <c r="B312" s="419"/>
      <c r="C312" s="1023"/>
      <c r="D312" s="1023"/>
    </row>
    <row r="313" spans="1:4">
      <c r="A313" s="419"/>
      <c r="B313" s="419"/>
      <c r="C313" s="1023"/>
      <c r="D313" s="1023"/>
    </row>
    <row r="314" spans="1:4">
      <c r="A314" s="419"/>
      <c r="B314" s="419"/>
      <c r="C314" s="1023"/>
      <c r="D314" s="1023"/>
    </row>
    <row r="315" spans="1:4">
      <c r="A315" s="419"/>
      <c r="B315" s="419"/>
      <c r="C315" s="1023"/>
      <c r="D315" s="1023"/>
    </row>
    <row r="316" spans="1:4">
      <c r="A316" s="419"/>
      <c r="B316" s="419"/>
      <c r="C316" s="1023"/>
      <c r="D316" s="1023"/>
    </row>
    <row r="317" spans="1:4">
      <c r="A317" s="419"/>
      <c r="B317" s="419"/>
      <c r="C317" s="1023"/>
      <c r="D317" s="1023"/>
    </row>
    <row r="318" spans="1:4">
      <c r="A318" s="419"/>
      <c r="B318" s="419"/>
      <c r="C318" s="1023"/>
      <c r="D318" s="1023"/>
    </row>
    <row r="319" spans="1:4">
      <c r="A319" s="419"/>
      <c r="B319" s="419"/>
      <c r="C319" s="1023"/>
      <c r="D319" s="1023"/>
    </row>
    <row r="320" spans="1:4">
      <c r="A320" s="419"/>
      <c r="B320" s="419"/>
      <c r="C320" s="1023"/>
      <c r="D320" s="1023"/>
    </row>
    <row r="321" spans="1:4">
      <c r="A321" s="419"/>
      <c r="B321" s="419"/>
      <c r="C321" s="1023"/>
      <c r="D321" s="1023"/>
    </row>
    <row r="322" spans="1:4">
      <c r="A322" s="419"/>
      <c r="B322" s="419"/>
      <c r="C322" s="1023"/>
      <c r="D322" s="1023"/>
    </row>
    <row r="323" spans="1:4">
      <c r="A323" s="419"/>
      <c r="B323" s="419"/>
      <c r="C323" s="1023"/>
      <c r="D323" s="1023"/>
    </row>
    <row r="324" spans="1:4">
      <c r="A324" s="419"/>
      <c r="B324" s="419"/>
      <c r="C324" s="1023"/>
      <c r="D324" s="1023"/>
    </row>
    <row r="325" spans="1:4">
      <c r="A325" s="419"/>
      <c r="B325" s="419"/>
      <c r="C325" s="1023"/>
      <c r="D325" s="1023"/>
    </row>
    <row r="326" spans="1:4">
      <c r="A326" s="419"/>
      <c r="B326" s="419"/>
      <c r="C326" s="1023"/>
      <c r="D326" s="1023"/>
    </row>
    <row r="327" spans="1:4">
      <c r="A327" s="419"/>
      <c r="B327" s="419"/>
      <c r="C327" s="1023"/>
      <c r="D327" s="1023"/>
    </row>
    <row r="328" spans="1:4">
      <c r="A328" s="419"/>
      <c r="B328" s="419"/>
      <c r="C328" s="1023"/>
      <c r="D328" s="1023"/>
    </row>
    <row r="329" spans="1:4">
      <c r="A329" s="419"/>
      <c r="B329" s="419"/>
      <c r="C329" s="1023"/>
      <c r="D329" s="1023"/>
    </row>
    <row r="330" spans="1:4">
      <c r="A330" s="419"/>
      <c r="B330" s="419"/>
      <c r="C330" s="1023"/>
      <c r="D330" s="1023"/>
    </row>
    <row r="331" spans="1:4">
      <c r="A331" s="419"/>
      <c r="B331" s="419"/>
      <c r="C331" s="1023"/>
      <c r="D331" s="1023"/>
    </row>
    <row r="332" spans="1:4">
      <c r="A332" s="419"/>
      <c r="B332" s="419"/>
      <c r="C332" s="1023"/>
      <c r="D332" s="1023"/>
    </row>
    <row r="333" spans="1:4">
      <c r="A333" s="419"/>
      <c r="B333" s="419"/>
      <c r="C333" s="1023"/>
      <c r="D333" s="1023"/>
    </row>
    <row r="334" spans="1:4">
      <c r="A334" s="419"/>
      <c r="B334" s="419"/>
      <c r="C334" s="1023"/>
      <c r="D334" s="1023"/>
    </row>
    <row r="335" spans="1:4">
      <c r="A335" s="419"/>
      <c r="B335" s="419"/>
      <c r="C335" s="1023"/>
      <c r="D335" s="1023"/>
    </row>
    <row r="336" spans="1:4">
      <c r="A336" s="419"/>
      <c r="B336" s="419"/>
      <c r="C336" s="1023"/>
      <c r="D336" s="1023"/>
    </row>
    <row r="337" spans="1:4">
      <c r="A337" s="419"/>
      <c r="B337" s="419"/>
      <c r="C337" s="1023"/>
      <c r="D337" s="1023"/>
    </row>
    <row r="338" spans="1:4">
      <c r="A338" s="419"/>
      <c r="B338" s="419"/>
      <c r="C338" s="1023"/>
      <c r="D338" s="1023"/>
    </row>
    <row r="339" spans="1:4">
      <c r="A339" s="419"/>
      <c r="B339" s="419"/>
      <c r="C339" s="1023"/>
      <c r="D339" s="1023"/>
    </row>
    <row r="340" spans="1:4">
      <c r="A340" s="419"/>
      <c r="B340" s="419"/>
      <c r="C340" s="1023"/>
      <c r="D340" s="1023"/>
    </row>
    <row r="341" spans="1:4">
      <c r="A341" s="419"/>
      <c r="B341" s="419"/>
      <c r="C341" s="1023"/>
      <c r="D341" s="1023"/>
    </row>
    <row r="342" spans="1:4">
      <c r="A342" s="419"/>
      <c r="B342" s="419"/>
      <c r="C342" s="1023"/>
      <c r="D342" s="1023"/>
    </row>
    <row r="343" spans="1:4">
      <c r="A343" s="419"/>
      <c r="B343" s="419"/>
      <c r="C343" s="1023"/>
      <c r="D343" s="1023"/>
    </row>
    <row r="344" spans="1:4">
      <c r="A344" s="419"/>
      <c r="B344" s="419"/>
      <c r="C344" s="1023"/>
      <c r="D344" s="1023"/>
    </row>
    <row r="345" spans="1:4">
      <c r="A345" s="419"/>
      <c r="B345" s="419"/>
      <c r="C345" s="1023"/>
      <c r="D345" s="1023"/>
    </row>
    <row r="346" spans="1:4">
      <c r="A346" s="419"/>
      <c r="B346" s="419"/>
      <c r="C346" s="1023"/>
      <c r="D346" s="1023"/>
    </row>
    <row r="347" spans="1:4">
      <c r="A347" s="419"/>
      <c r="B347" s="419"/>
      <c r="C347" s="1023"/>
      <c r="D347" s="1023"/>
    </row>
    <row r="348" spans="1:4">
      <c r="A348" s="419"/>
      <c r="B348" s="419"/>
      <c r="C348" s="1023"/>
      <c r="D348" s="1023"/>
    </row>
    <row r="349" spans="1:4">
      <c r="A349" s="419"/>
      <c r="B349" s="419"/>
      <c r="C349" s="1023"/>
      <c r="D349" s="1023"/>
    </row>
    <row r="350" spans="1:4">
      <c r="A350" s="419"/>
      <c r="B350" s="419"/>
      <c r="C350" s="1023"/>
      <c r="D350" s="1023"/>
    </row>
    <row r="351" spans="1:4">
      <c r="A351" s="419"/>
      <c r="B351" s="419"/>
      <c r="C351" s="1023"/>
      <c r="D351" s="1023"/>
    </row>
    <row r="352" spans="1:4">
      <c r="A352" s="419"/>
      <c r="B352" s="419"/>
      <c r="C352" s="1023"/>
      <c r="D352" s="1023"/>
    </row>
    <row r="353" spans="1:4">
      <c r="A353" s="419"/>
      <c r="B353" s="419"/>
      <c r="C353" s="1023"/>
      <c r="D353" s="1023"/>
    </row>
    <row r="354" spans="1:4">
      <c r="A354" s="419"/>
      <c r="B354" s="419"/>
      <c r="C354" s="1023"/>
      <c r="D354" s="1023"/>
    </row>
    <row r="355" spans="1:4">
      <c r="A355" s="419"/>
      <c r="B355" s="419"/>
      <c r="C355" s="1023"/>
      <c r="D355" s="1023"/>
    </row>
    <row r="356" spans="1:4">
      <c r="A356" s="419"/>
      <c r="B356" s="419"/>
      <c r="C356" s="1023"/>
      <c r="D356" s="1023"/>
    </row>
    <row r="357" spans="1:4">
      <c r="A357" s="419"/>
      <c r="B357" s="419"/>
      <c r="C357" s="1023"/>
      <c r="D357" s="1023"/>
    </row>
    <row r="358" spans="1:4">
      <c r="A358" s="419"/>
      <c r="B358" s="419"/>
      <c r="C358" s="1023"/>
      <c r="D358" s="1023"/>
    </row>
    <row r="359" spans="1:4">
      <c r="A359" s="419"/>
      <c r="B359" s="419"/>
      <c r="C359" s="1023"/>
      <c r="D359" s="1023"/>
    </row>
    <row r="360" spans="1:4">
      <c r="A360" s="419"/>
      <c r="B360" s="419"/>
      <c r="C360" s="1023"/>
      <c r="D360" s="1023"/>
    </row>
    <row r="361" spans="1:4">
      <c r="A361" s="419"/>
      <c r="B361" s="419"/>
      <c r="C361" s="1023"/>
      <c r="D361" s="1023"/>
    </row>
    <row r="362" spans="1:4">
      <c r="A362" s="419"/>
      <c r="B362" s="419"/>
      <c r="C362" s="1023"/>
      <c r="D362" s="1023"/>
    </row>
    <row r="363" spans="1:4">
      <c r="A363" s="419"/>
      <c r="B363" s="419"/>
      <c r="C363" s="1023"/>
      <c r="D363" s="1023"/>
    </row>
    <row r="364" spans="1:4">
      <c r="A364" s="419"/>
      <c r="B364" s="419"/>
      <c r="C364" s="1023"/>
      <c r="D364" s="1023"/>
    </row>
    <row r="365" spans="1:4">
      <c r="A365" s="419"/>
      <c r="B365" s="419"/>
      <c r="C365" s="1023"/>
      <c r="D365" s="1023"/>
    </row>
    <row r="366" spans="1:4">
      <c r="A366" s="419"/>
      <c r="B366" s="419"/>
      <c r="C366" s="1023"/>
      <c r="D366" s="1023"/>
    </row>
    <row r="367" spans="1:4">
      <c r="A367" s="419"/>
      <c r="B367" s="419"/>
      <c r="C367" s="1023"/>
      <c r="D367" s="1023"/>
    </row>
    <row r="368" spans="1:4">
      <c r="A368" s="419"/>
      <c r="B368" s="419"/>
      <c r="C368" s="1023"/>
      <c r="D368" s="1023"/>
    </row>
    <row r="369" spans="1:4">
      <c r="A369" s="419"/>
      <c r="B369" s="419"/>
      <c r="C369" s="1023"/>
      <c r="D369" s="1023"/>
    </row>
    <row r="370" spans="1:4">
      <c r="A370" s="419"/>
      <c r="B370" s="419"/>
      <c r="C370" s="1023"/>
      <c r="D370" s="1023"/>
    </row>
    <row r="371" spans="1:4">
      <c r="A371" s="419"/>
      <c r="B371" s="419"/>
      <c r="C371" s="1023"/>
      <c r="D371" s="1023"/>
    </row>
    <row r="372" spans="1:4">
      <c r="A372" s="419"/>
      <c r="B372" s="419"/>
      <c r="C372" s="1023"/>
      <c r="D372" s="1023"/>
    </row>
    <row r="373" spans="1:4">
      <c r="A373" s="419"/>
      <c r="B373" s="419"/>
      <c r="C373" s="1023"/>
      <c r="D373" s="1023"/>
    </row>
    <row r="374" spans="1:4">
      <c r="A374" s="419"/>
      <c r="B374" s="419"/>
      <c r="C374" s="1023"/>
      <c r="D374" s="1023"/>
    </row>
    <row r="375" spans="1:4">
      <c r="A375" s="419"/>
      <c r="B375" s="419"/>
      <c r="C375" s="1023"/>
      <c r="D375" s="1023"/>
    </row>
    <row r="376" spans="1:4">
      <c r="A376" s="419"/>
      <c r="B376" s="419"/>
      <c r="C376" s="1023"/>
      <c r="D376" s="1023"/>
    </row>
    <row r="377" spans="1:4">
      <c r="A377" s="419"/>
      <c r="B377" s="419"/>
      <c r="C377" s="1023"/>
      <c r="D377" s="1023"/>
    </row>
    <row r="378" spans="1:4">
      <c r="A378" s="419"/>
      <c r="B378" s="419"/>
      <c r="C378" s="1023"/>
      <c r="D378" s="1023"/>
    </row>
    <row r="379" spans="1:4">
      <c r="A379" s="419"/>
      <c r="B379" s="419"/>
      <c r="C379" s="1023"/>
      <c r="D379" s="1023"/>
    </row>
    <row r="380" spans="1:4">
      <c r="A380" s="419"/>
      <c r="B380" s="419"/>
      <c r="C380" s="1023"/>
      <c r="D380" s="1023"/>
    </row>
    <row r="381" spans="1:4">
      <c r="A381" s="419"/>
      <c r="B381" s="419"/>
      <c r="C381" s="1023"/>
      <c r="D381" s="1023"/>
    </row>
    <row r="382" spans="1:4">
      <c r="A382" s="419"/>
      <c r="B382" s="419"/>
      <c r="C382" s="1023"/>
      <c r="D382" s="1023"/>
    </row>
    <row r="383" spans="1:4">
      <c r="A383" s="419"/>
      <c r="B383" s="419"/>
      <c r="C383" s="1023"/>
      <c r="D383" s="1023"/>
    </row>
    <row r="384" spans="1:4">
      <c r="A384" s="419"/>
      <c r="B384" s="419"/>
      <c r="C384" s="1023"/>
      <c r="D384" s="1023"/>
    </row>
    <row r="385" spans="1:4">
      <c r="A385" s="419"/>
      <c r="B385" s="419"/>
      <c r="C385" s="1023"/>
      <c r="D385" s="1023"/>
    </row>
    <row r="386" spans="1:4">
      <c r="A386" s="419"/>
      <c r="B386" s="419"/>
      <c r="C386" s="1023"/>
      <c r="D386" s="1023"/>
    </row>
    <row r="387" spans="1:4">
      <c r="A387" s="419"/>
      <c r="B387" s="419"/>
      <c r="C387" s="1023"/>
      <c r="D387" s="1023"/>
    </row>
    <row r="388" spans="1:4">
      <c r="A388" s="419"/>
      <c r="B388" s="419"/>
      <c r="C388" s="1023"/>
      <c r="D388" s="1023"/>
    </row>
    <row r="389" spans="1:4">
      <c r="A389" s="419"/>
      <c r="B389" s="419"/>
      <c r="C389" s="1023"/>
      <c r="D389" s="1023"/>
    </row>
    <row r="390" spans="1:4">
      <c r="A390" s="419"/>
      <c r="B390" s="419"/>
      <c r="C390" s="1023"/>
      <c r="D390" s="1023"/>
    </row>
    <row r="391" spans="1:4">
      <c r="A391" s="419"/>
      <c r="B391" s="419"/>
      <c r="C391" s="1023"/>
      <c r="D391" s="1023"/>
    </row>
    <row r="392" spans="1:4">
      <c r="A392" s="419"/>
      <c r="B392" s="419"/>
      <c r="C392" s="1023"/>
      <c r="D392" s="1023"/>
    </row>
    <row r="393" spans="1:4">
      <c r="A393" s="419"/>
      <c r="B393" s="419"/>
      <c r="C393" s="1023"/>
      <c r="D393" s="1023"/>
    </row>
    <row r="394" spans="1:4">
      <c r="A394" s="419"/>
      <c r="B394" s="419"/>
      <c r="C394" s="1023"/>
      <c r="D394" s="1023"/>
    </row>
    <row r="395" spans="1:4">
      <c r="A395" s="419"/>
      <c r="B395" s="419"/>
      <c r="C395" s="1023"/>
      <c r="D395" s="1023"/>
    </row>
    <row r="396" spans="1:4">
      <c r="A396" s="419"/>
      <c r="B396" s="419"/>
      <c r="C396" s="1023"/>
      <c r="D396" s="1023"/>
    </row>
    <row r="397" spans="1:4">
      <c r="A397" s="419"/>
      <c r="B397" s="419"/>
      <c r="C397" s="1023"/>
      <c r="D397" s="1023"/>
    </row>
  </sheetData>
  <mergeCells count="2">
    <mergeCell ref="A1:D1"/>
    <mergeCell ref="A2:D2"/>
  </mergeCells>
  <printOptions horizontalCentered="1"/>
  <pageMargins left="0.39370078740157483" right="0.39370078740157483" top="0.78740157480314965" bottom="0.39370078740157483" header="0" footer="0.19685039370078741"/>
  <pageSetup paperSize="9" scale="85" fitToHeight="0" orientation="landscape" r:id="rId1"/>
  <headerFooter>
    <oddFooter>&amp;L&amp;"-,Negrito"&amp;K0000FFA: ADEQUADO                                                          I: INADEQUADO                                                 PA: PARCIALMENTE ADEQUADO                                                           NSA: NÃO SE APLICA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I28"/>
  <sheetViews>
    <sheetView view="pageBreakPreview" zoomScale="70" zoomScaleSheetLayoutView="70" workbookViewId="0">
      <selection activeCell="AM17" sqref="AM17"/>
    </sheetView>
  </sheetViews>
  <sheetFormatPr defaultColWidth="9.109375" defaultRowHeight="14.4"/>
  <cols>
    <col min="1" max="1" width="7.109375" customWidth="1"/>
    <col min="2" max="2" width="104.88671875" customWidth="1"/>
    <col min="3" max="33" width="4.33203125" customWidth="1"/>
    <col min="34" max="34" width="11.33203125" customWidth="1"/>
  </cols>
  <sheetData>
    <row r="1" spans="1:35" ht="28.5" customHeight="1">
      <c r="A1" s="1602" t="s">
        <v>2468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2"/>
      <c r="T1" s="1602"/>
      <c r="U1" s="1602"/>
      <c r="V1" s="1602"/>
      <c r="W1" s="1602"/>
      <c r="X1" s="1602"/>
      <c r="Y1" s="1602"/>
      <c r="Z1" s="1602"/>
      <c r="AA1" s="1602"/>
      <c r="AB1" s="1602"/>
      <c r="AC1" s="1602"/>
      <c r="AD1" s="1602"/>
      <c r="AE1" s="1602"/>
      <c r="AF1" s="1602"/>
      <c r="AG1" s="1602"/>
    </row>
    <row r="2" spans="1:35" ht="6" customHeight="1">
      <c r="A2" s="2164"/>
      <c r="B2" s="2165"/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5"/>
      <c r="N2" s="2165"/>
      <c r="O2" s="2165"/>
      <c r="P2" s="2165"/>
      <c r="Q2" s="2165"/>
      <c r="R2" s="2165"/>
      <c r="S2" s="2165"/>
      <c r="T2" s="2165"/>
      <c r="U2" s="2165"/>
      <c r="V2" s="2165"/>
      <c r="W2" s="2165"/>
      <c r="X2" s="2165"/>
      <c r="Y2" s="2165"/>
      <c r="Z2" s="2165"/>
      <c r="AA2" s="2165"/>
      <c r="AB2" s="2165"/>
      <c r="AC2" s="2165"/>
      <c r="AD2" s="2165"/>
      <c r="AE2" s="2165"/>
      <c r="AF2" s="2165"/>
      <c r="AG2" s="2166"/>
    </row>
    <row r="3" spans="1:35" ht="29.25" customHeight="1">
      <c r="A3" s="2167">
        <v>45444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9"/>
    </row>
    <row r="4" spans="1:35" ht="29.25" customHeight="1">
      <c r="A4" s="2170" t="s">
        <v>2469</v>
      </c>
      <c r="B4" s="2171"/>
      <c r="C4" s="129">
        <v>1</v>
      </c>
      <c r="D4" s="129">
        <v>2</v>
      </c>
      <c r="E4" s="129">
        <v>3</v>
      </c>
      <c r="F4" s="129">
        <v>4</v>
      </c>
      <c r="G4" s="129">
        <v>5</v>
      </c>
      <c r="H4" s="129">
        <v>6</v>
      </c>
      <c r="I4" s="129">
        <v>7</v>
      </c>
      <c r="J4" s="129">
        <v>8</v>
      </c>
      <c r="K4" s="129">
        <v>9</v>
      </c>
      <c r="L4" s="129">
        <v>10</v>
      </c>
      <c r="M4" s="129">
        <v>11</v>
      </c>
      <c r="N4" s="129">
        <v>12</v>
      </c>
      <c r="O4" s="129">
        <v>13</v>
      </c>
      <c r="P4" s="129">
        <v>14</v>
      </c>
      <c r="Q4" s="129">
        <v>15</v>
      </c>
      <c r="R4" s="129">
        <v>16</v>
      </c>
      <c r="S4" s="129">
        <v>17</v>
      </c>
      <c r="T4" s="129">
        <v>18</v>
      </c>
      <c r="U4" s="129">
        <v>19</v>
      </c>
      <c r="V4" s="129">
        <v>20</v>
      </c>
      <c r="W4" s="129">
        <v>21</v>
      </c>
      <c r="X4" s="129">
        <v>22</v>
      </c>
      <c r="Y4" s="129">
        <v>23</v>
      </c>
      <c r="Z4" s="129">
        <v>24</v>
      </c>
      <c r="AA4" s="129">
        <v>25</v>
      </c>
      <c r="AB4" s="129">
        <v>26</v>
      </c>
      <c r="AC4" s="129">
        <v>27</v>
      </c>
      <c r="AD4" s="129">
        <v>28</v>
      </c>
      <c r="AE4" s="129">
        <v>29</v>
      </c>
      <c r="AF4" s="129">
        <v>30</v>
      </c>
      <c r="AG4" s="129"/>
      <c r="AI4" s="128"/>
    </row>
    <row r="5" spans="1:35" ht="29.25" customHeight="1">
      <c r="A5" s="2172" t="s">
        <v>40</v>
      </c>
      <c r="B5" s="450" t="s">
        <v>2470</v>
      </c>
      <c r="C5" s="1248" t="s">
        <v>2471</v>
      </c>
      <c r="D5" s="1248" t="s">
        <v>2472</v>
      </c>
      <c r="E5" s="764"/>
      <c r="F5" s="764"/>
      <c r="G5" s="764"/>
      <c r="H5" s="764"/>
      <c r="I5" s="764"/>
      <c r="J5" s="1248" t="s">
        <v>2471</v>
      </c>
      <c r="K5" s="1248" t="s">
        <v>2472</v>
      </c>
      <c r="L5" s="764"/>
      <c r="M5" s="764"/>
      <c r="N5" s="764"/>
      <c r="O5" s="764"/>
      <c r="P5" s="764"/>
      <c r="Q5" s="1248" t="s">
        <v>2471</v>
      </c>
      <c r="R5" s="1248" t="s">
        <v>2472</v>
      </c>
      <c r="S5" s="764"/>
      <c r="T5" s="764"/>
      <c r="U5" s="764"/>
      <c r="V5" s="764"/>
      <c r="W5" s="764"/>
      <c r="X5" s="1248" t="s">
        <v>2471</v>
      </c>
      <c r="Y5" s="1248" t="s">
        <v>2472</v>
      </c>
      <c r="Z5" s="764"/>
      <c r="AA5" s="764"/>
      <c r="AB5" s="764"/>
      <c r="AC5" s="764"/>
      <c r="AD5" s="764"/>
      <c r="AE5" s="423"/>
      <c r="AF5" s="423"/>
      <c r="AG5" s="424"/>
    </row>
    <row r="6" spans="1:35" ht="29.25" customHeight="1">
      <c r="A6" s="2173"/>
      <c r="B6" s="422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4"/>
      <c r="AI6" s="128" t="s">
        <v>2473</v>
      </c>
    </row>
    <row r="7" spans="1:35" ht="29.25" customHeight="1">
      <c r="A7" s="2173"/>
      <c r="B7" s="422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4"/>
      <c r="AI7" s="128"/>
    </row>
    <row r="8" spans="1:35" ht="29.25" customHeight="1">
      <c r="A8" s="2174"/>
      <c r="B8" s="422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4"/>
    </row>
    <row r="9" spans="1:35" ht="21.75" customHeight="1">
      <c r="A9" s="2164"/>
      <c r="B9" s="2165"/>
      <c r="C9" s="2165"/>
      <c r="D9" s="2165"/>
      <c r="E9" s="2165"/>
      <c r="F9" s="2165"/>
      <c r="G9" s="2165"/>
      <c r="H9" s="2165"/>
      <c r="I9" s="2165"/>
      <c r="J9" s="2165"/>
      <c r="K9" s="2165"/>
      <c r="L9" s="2165"/>
      <c r="M9" s="2165"/>
      <c r="N9" s="2165"/>
      <c r="O9" s="2165"/>
      <c r="P9" s="2165"/>
      <c r="Q9" s="2165"/>
      <c r="R9" s="2165"/>
      <c r="S9" s="2165"/>
      <c r="T9" s="2165"/>
      <c r="U9" s="2165"/>
      <c r="V9" s="2165"/>
      <c r="W9" s="2165"/>
      <c r="X9" s="2165"/>
      <c r="Y9" s="2165"/>
      <c r="Z9" s="2165"/>
      <c r="AA9" s="2165"/>
      <c r="AB9" s="2165"/>
      <c r="AC9" s="2165"/>
      <c r="AD9" s="2165"/>
      <c r="AE9" s="2165"/>
      <c r="AF9" s="2165"/>
      <c r="AG9" s="2166"/>
    </row>
    <row r="10" spans="1:35" ht="29.25" customHeight="1">
      <c r="A10" s="2167">
        <v>45474</v>
      </c>
      <c r="B10" s="2175"/>
      <c r="C10" s="2175"/>
      <c r="D10" s="2175"/>
      <c r="E10" s="2175"/>
      <c r="F10" s="2175"/>
      <c r="G10" s="2175"/>
      <c r="H10" s="2175"/>
      <c r="I10" s="2175"/>
      <c r="J10" s="2175"/>
      <c r="K10" s="2175"/>
      <c r="L10" s="2175"/>
      <c r="M10" s="2175"/>
      <c r="N10" s="2175"/>
      <c r="O10" s="2175"/>
      <c r="P10" s="2175"/>
      <c r="Q10" s="2175"/>
      <c r="R10" s="2175"/>
      <c r="S10" s="2175"/>
      <c r="T10" s="2175"/>
      <c r="U10" s="2175"/>
      <c r="V10" s="2175"/>
      <c r="W10" s="2175"/>
      <c r="X10" s="2175"/>
      <c r="Y10" s="2175"/>
      <c r="Z10" s="2175"/>
      <c r="AA10" s="2175"/>
      <c r="AB10" s="2175"/>
      <c r="AC10" s="2175"/>
      <c r="AD10" s="2175"/>
      <c r="AE10" s="2175"/>
      <c r="AF10" s="2175"/>
      <c r="AG10" s="2176"/>
    </row>
    <row r="11" spans="1:35" ht="29.25" customHeight="1">
      <c r="A11" s="2170" t="s">
        <v>2469</v>
      </c>
      <c r="B11" s="2171"/>
      <c r="C11" s="129">
        <v>1</v>
      </c>
      <c r="D11" s="129">
        <v>2</v>
      </c>
      <c r="E11" s="129">
        <v>3</v>
      </c>
      <c r="F11" s="129">
        <v>4</v>
      </c>
      <c r="G11" s="129">
        <v>5</v>
      </c>
      <c r="H11" s="129">
        <v>6</v>
      </c>
      <c r="I11" s="129">
        <v>7</v>
      </c>
      <c r="J11" s="129">
        <v>8</v>
      </c>
      <c r="K11" s="129">
        <v>9</v>
      </c>
      <c r="L11" s="129">
        <v>10</v>
      </c>
      <c r="M11" s="129">
        <v>11</v>
      </c>
      <c r="N11" s="129">
        <v>12</v>
      </c>
      <c r="O11" s="129">
        <v>13</v>
      </c>
      <c r="P11" s="129">
        <v>14</v>
      </c>
      <c r="Q11" s="129">
        <v>15</v>
      </c>
      <c r="R11" s="129">
        <v>16</v>
      </c>
      <c r="S11" s="129">
        <v>17</v>
      </c>
      <c r="T11" s="129">
        <v>18</v>
      </c>
      <c r="U11" s="129">
        <v>19</v>
      </c>
      <c r="V11" s="129">
        <v>20</v>
      </c>
      <c r="W11" s="129">
        <v>21</v>
      </c>
      <c r="X11" s="129">
        <v>22</v>
      </c>
      <c r="Y11" s="129">
        <v>23</v>
      </c>
      <c r="Z11" s="129">
        <v>24</v>
      </c>
      <c r="AA11" s="129">
        <v>25</v>
      </c>
      <c r="AB11" s="129">
        <v>26</v>
      </c>
      <c r="AC11" s="129">
        <v>27</v>
      </c>
      <c r="AD11" s="129">
        <v>28</v>
      </c>
      <c r="AE11" s="129">
        <v>29</v>
      </c>
      <c r="AF11" s="129">
        <v>30</v>
      </c>
      <c r="AG11" s="129">
        <v>31</v>
      </c>
    </row>
    <row r="12" spans="1:35" ht="29.25" customHeight="1">
      <c r="A12" s="2172" t="s">
        <v>40</v>
      </c>
      <c r="B12" s="2177" t="s">
        <v>2470</v>
      </c>
      <c r="C12" s="427"/>
      <c r="D12" s="427"/>
      <c r="E12" s="427"/>
      <c r="F12" s="427"/>
      <c r="G12" s="2179" t="s">
        <v>2471</v>
      </c>
      <c r="H12" s="2179" t="s">
        <v>2472</v>
      </c>
      <c r="I12" s="427"/>
      <c r="J12" s="427"/>
      <c r="K12" s="427"/>
      <c r="L12" s="427"/>
      <c r="M12" s="427"/>
      <c r="N12" s="2179" t="s">
        <v>2471</v>
      </c>
      <c r="O12" s="2179" t="s">
        <v>2472</v>
      </c>
      <c r="P12" s="427"/>
      <c r="Q12" s="427"/>
      <c r="R12" s="427"/>
      <c r="S12" s="427"/>
      <c r="T12" s="427"/>
      <c r="U12" s="2179" t="s">
        <v>2471</v>
      </c>
      <c r="V12" s="2179" t="s">
        <v>2472</v>
      </c>
      <c r="W12" s="427"/>
      <c r="X12" s="427"/>
      <c r="Y12" s="427"/>
      <c r="Z12" s="427"/>
      <c r="AA12" s="427"/>
      <c r="AB12" s="2179" t="s">
        <v>2471</v>
      </c>
      <c r="AC12" s="2179" t="s">
        <v>2472</v>
      </c>
      <c r="AD12" s="427"/>
      <c r="AE12" s="427"/>
      <c r="AF12" s="427"/>
      <c r="AG12" s="427"/>
    </row>
    <row r="13" spans="1:35" ht="29.25" customHeight="1">
      <c r="A13" s="2173"/>
      <c r="B13" s="2178"/>
      <c r="C13" s="764"/>
      <c r="D13" s="764"/>
      <c r="E13" s="764"/>
      <c r="F13" s="764"/>
      <c r="G13" s="2180"/>
      <c r="H13" s="2180"/>
      <c r="I13" s="764"/>
      <c r="J13" s="764"/>
      <c r="K13" s="764"/>
      <c r="L13" s="764"/>
      <c r="M13" s="764"/>
      <c r="N13" s="2180"/>
      <c r="O13" s="2180"/>
      <c r="P13" s="764"/>
      <c r="Q13" s="764"/>
      <c r="R13" s="764"/>
      <c r="S13" s="764"/>
      <c r="T13" s="764"/>
      <c r="U13" s="2180"/>
      <c r="V13" s="2180"/>
      <c r="W13" s="764"/>
      <c r="X13" s="764"/>
      <c r="Y13" s="764"/>
      <c r="Z13" s="764"/>
      <c r="AA13" s="764"/>
      <c r="AB13" s="2180"/>
      <c r="AC13" s="2180"/>
      <c r="AD13" s="764"/>
      <c r="AE13" s="764"/>
      <c r="AF13" s="764"/>
      <c r="AG13" s="764"/>
    </row>
    <row r="14" spans="1:35" ht="29.25" customHeight="1">
      <c r="A14" s="2173"/>
      <c r="B14" s="422"/>
      <c r="C14" s="426"/>
      <c r="D14" s="426"/>
      <c r="E14" s="426"/>
      <c r="F14" s="426"/>
      <c r="G14" s="426"/>
      <c r="H14" s="426"/>
      <c r="I14" s="426"/>
      <c r="J14" s="426"/>
      <c r="K14" s="426"/>
      <c r="L14" s="423"/>
      <c r="M14" s="426"/>
      <c r="N14" s="426"/>
      <c r="O14" s="426"/>
      <c r="P14" s="426"/>
      <c r="Q14" s="426"/>
      <c r="R14" s="426"/>
      <c r="S14" s="426"/>
      <c r="T14" s="423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5"/>
      <c r="AI14" s="230" t="s">
        <v>2474</v>
      </c>
    </row>
    <row r="15" spans="1:35" ht="29.25" customHeight="1">
      <c r="A15" s="2174"/>
      <c r="B15" s="422"/>
      <c r="C15" s="426"/>
      <c r="D15" s="426"/>
      <c r="E15" s="426"/>
      <c r="F15" s="426"/>
      <c r="G15" s="426"/>
      <c r="H15" s="426"/>
      <c r="I15" s="426"/>
      <c r="J15" s="426"/>
      <c r="K15" s="426"/>
      <c r="L15" s="423"/>
      <c r="M15" s="426"/>
      <c r="N15" s="426"/>
      <c r="O15" s="426"/>
      <c r="P15" s="426"/>
      <c r="Q15" s="426"/>
      <c r="R15" s="426"/>
      <c r="S15" s="426"/>
      <c r="T15" s="423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5"/>
    </row>
    <row r="16" spans="1:35" ht="21.75" customHeight="1">
      <c r="A16" s="2164"/>
      <c r="B16" s="2165"/>
      <c r="C16" s="2165"/>
      <c r="D16" s="2165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5"/>
      <c r="W16" s="2165"/>
      <c r="X16" s="2165"/>
      <c r="Y16" s="2165"/>
      <c r="Z16" s="2165"/>
      <c r="AA16" s="2165"/>
      <c r="AB16" s="2165"/>
      <c r="AC16" s="2165"/>
      <c r="AD16" s="2165"/>
      <c r="AE16" s="2165"/>
      <c r="AF16" s="2165"/>
      <c r="AG16" s="2166"/>
    </row>
    <row r="17" spans="1:35" ht="29.25" customHeight="1">
      <c r="A17" s="2167">
        <v>45505</v>
      </c>
      <c r="B17" s="2175"/>
      <c r="C17" s="2175"/>
      <c r="D17" s="2175"/>
      <c r="E17" s="2175"/>
      <c r="F17" s="2175"/>
      <c r="G17" s="2175"/>
      <c r="H17" s="2175"/>
      <c r="I17" s="2175"/>
      <c r="J17" s="2175"/>
      <c r="K17" s="2175"/>
      <c r="L17" s="2175"/>
      <c r="M17" s="2175"/>
      <c r="N17" s="2175"/>
      <c r="O17" s="2175"/>
      <c r="P17" s="2175"/>
      <c r="Q17" s="2175"/>
      <c r="R17" s="2175"/>
      <c r="S17" s="2175"/>
      <c r="T17" s="2175"/>
      <c r="U17" s="2175"/>
      <c r="V17" s="2175"/>
      <c r="W17" s="2175"/>
      <c r="X17" s="2175"/>
      <c r="Y17" s="2175"/>
      <c r="Z17" s="2175"/>
      <c r="AA17" s="2175"/>
      <c r="AB17" s="2175"/>
      <c r="AC17" s="2175"/>
      <c r="AD17" s="2175"/>
      <c r="AE17" s="2175"/>
      <c r="AF17" s="2175"/>
      <c r="AG17" s="2176"/>
    </row>
    <row r="18" spans="1:35" ht="29.25" customHeight="1">
      <c r="A18" s="2170" t="s">
        <v>2469</v>
      </c>
      <c r="B18" s="2171"/>
      <c r="C18" s="129">
        <v>1</v>
      </c>
      <c r="D18" s="129">
        <v>2</v>
      </c>
      <c r="E18" s="129">
        <v>3</v>
      </c>
      <c r="F18" s="129">
        <v>4</v>
      </c>
      <c r="G18" s="129">
        <v>5</v>
      </c>
      <c r="H18" s="129">
        <v>6</v>
      </c>
      <c r="I18" s="129">
        <v>7</v>
      </c>
      <c r="J18" s="129">
        <v>8</v>
      </c>
      <c r="K18" s="129">
        <v>9</v>
      </c>
      <c r="L18" s="129">
        <v>10</v>
      </c>
      <c r="M18" s="129">
        <v>11</v>
      </c>
      <c r="N18" s="129">
        <v>12</v>
      </c>
      <c r="O18" s="129">
        <v>13</v>
      </c>
      <c r="P18" s="129">
        <v>14</v>
      </c>
      <c r="Q18" s="129">
        <v>15</v>
      </c>
      <c r="R18" s="129">
        <v>16</v>
      </c>
      <c r="S18" s="129">
        <v>17</v>
      </c>
      <c r="T18" s="129">
        <v>18</v>
      </c>
      <c r="U18" s="129">
        <v>19</v>
      </c>
      <c r="V18" s="129">
        <v>20</v>
      </c>
      <c r="W18" s="129">
        <v>21</v>
      </c>
      <c r="X18" s="129">
        <v>22</v>
      </c>
      <c r="Y18" s="129">
        <v>23</v>
      </c>
      <c r="Z18" s="129">
        <v>24</v>
      </c>
      <c r="AA18" s="129">
        <v>25</v>
      </c>
      <c r="AB18" s="129">
        <v>26</v>
      </c>
      <c r="AC18" s="129">
        <v>27</v>
      </c>
      <c r="AD18" s="129">
        <v>28</v>
      </c>
      <c r="AE18" s="129">
        <v>29</v>
      </c>
      <c r="AF18" s="129">
        <v>30</v>
      </c>
      <c r="AG18" s="129">
        <v>31</v>
      </c>
    </row>
    <row r="19" spans="1:35" ht="29.25" customHeight="1">
      <c r="A19" s="2172" t="s">
        <v>40</v>
      </c>
      <c r="B19" s="2177" t="s">
        <v>2470</v>
      </c>
      <c r="C19" s="427"/>
      <c r="D19" s="427"/>
      <c r="E19" s="2179" t="s">
        <v>2471</v>
      </c>
      <c r="F19" s="2179" t="s">
        <v>2472</v>
      </c>
      <c r="G19" s="427"/>
      <c r="H19" s="427"/>
      <c r="I19" s="427"/>
      <c r="J19" s="427"/>
      <c r="K19" s="427"/>
      <c r="L19" s="2179" t="s">
        <v>2471</v>
      </c>
      <c r="M19" s="2179" t="s">
        <v>2472</v>
      </c>
      <c r="N19" s="427"/>
      <c r="O19" s="427"/>
      <c r="P19" s="427"/>
      <c r="Q19" s="427"/>
      <c r="R19" s="427"/>
      <c r="S19" s="2179" t="s">
        <v>2471</v>
      </c>
      <c r="T19" s="2179" t="s">
        <v>2472</v>
      </c>
      <c r="U19" s="427"/>
      <c r="V19" s="427"/>
      <c r="W19" s="427"/>
      <c r="X19" s="427"/>
      <c r="Y19" s="427"/>
      <c r="Z19" s="2179" t="s">
        <v>2471</v>
      </c>
      <c r="AA19" s="2179" t="s">
        <v>2472</v>
      </c>
      <c r="AB19" s="427"/>
      <c r="AC19" s="427"/>
      <c r="AD19" s="427"/>
      <c r="AE19" s="427"/>
      <c r="AF19" s="427"/>
      <c r="AG19" s="2179" t="s">
        <v>2471</v>
      </c>
    </row>
    <row r="20" spans="1:35" ht="29.25" customHeight="1">
      <c r="A20" s="2173"/>
      <c r="B20" s="2178"/>
      <c r="C20" s="426"/>
      <c r="D20" s="426"/>
      <c r="E20" s="2180"/>
      <c r="F20" s="2180"/>
      <c r="G20" s="426"/>
      <c r="H20" s="426"/>
      <c r="I20" s="426"/>
      <c r="J20" s="426"/>
      <c r="K20" s="426"/>
      <c r="L20" s="2180"/>
      <c r="M20" s="2180"/>
      <c r="N20" s="426"/>
      <c r="O20" s="426"/>
      <c r="P20" s="426"/>
      <c r="Q20" s="426"/>
      <c r="R20" s="426"/>
      <c r="S20" s="2180"/>
      <c r="T20" s="2180"/>
      <c r="U20" s="426"/>
      <c r="V20" s="426"/>
      <c r="W20" s="426"/>
      <c r="X20" s="426"/>
      <c r="Y20" s="426"/>
      <c r="Z20" s="2180"/>
      <c r="AA20" s="2180"/>
      <c r="AB20" s="426"/>
      <c r="AC20" s="426"/>
      <c r="AD20" s="426"/>
      <c r="AE20" s="426"/>
      <c r="AF20" s="426"/>
      <c r="AG20" s="2180"/>
      <c r="AI20" s="128"/>
    </row>
    <row r="21" spans="1:35" ht="29.25" customHeight="1">
      <c r="A21" s="2173"/>
      <c r="B21" s="422"/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5"/>
      <c r="AI21" s="128"/>
    </row>
    <row r="22" spans="1:35" ht="29.25" customHeight="1">
      <c r="A22" s="2174"/>
      <c r="B22" s="422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6"/>
      <c r="AF22" s="426"/>
      <c r="AG22" s="425"/>
    </row>
    <row r="23" spans="1:35" ht="13.5" customHeight="1">
      <c r="A23" s="2162" t="s">
        <v>141</v>
      </c>
      <c r="B23" s="2162"/>
      <c r="C23" s="2159"/>
      <c r="D23" s="2159"/>
      <c r="E23" s="2159"/>
      <c r="F23" s="2159"/>
      <c r="G23" s="2159"/>
      <c r="H23" s="2159"/>
      <c r="I23" s="130"/>
      <c r="J23" s="130"/>
      <c r="K23" s="130"/>
      <c r="L23" s="130"/>
      <c r="M23" s="130"/>
      <c r="N23" s="130"/>
      <c r="O23" s="130"/>
      <c r="P23" s="130"/>
      <c r="Q23" s="130"/>
      <c r="R23" s="2159" t="s">
        <v>2475</v>
      </c>
      <c r="S23" s="2159"/>
      <c r="T23" s="2159"/>
      <c r="U23" s="2159"/>
      <c r="V23" s="2159"/>
      <c r="W23" s="2159"/>
      <c r="X23" s="130"/>
      <c r="Y23" s="130"/>
      <c r="Z23" s="130"/>
      <c r="AA23" s="130"/>
      <c r="AB23" s="130"/>
      <c r="AC23" s="130"/>
      <c r="AD23" s="130"/>
      <c r="AE23" s="130"/>
      <c r="AF23" s="130"/>
      <c r="AG23" s="131"/>
    </row>
    <row r="24" spans="1:35" ht="10.5" customHeight="1">
      <c r="A24" s="2163"/>
      <c r="B24" s="2163"/>
      <c r="C24" s="2160"/>
      <c r="D24" s="2160"/>
      <c r="E24" s="2160"/>
      <c r="F24" s="2160"/>
      <c r="G24" s="2160"/>
      <c r="H24" s="2160"/>
      <c r="I24" s="130"/>
      <c r="J24" s="130"/>
      <c r="K24" s="130"/>
      <c r="L24" s="130"/>
      <c r="M24" s="130"/>
      <c r="N24" s="130"/>
      <c r="O24" s="130"/>
      <c r="P24" s="130"/>
      <c r="Q24" s="130"/>
      <c r="R24" s="2160"/>
      <c r="S24" s="2160"/>
      <c r="T24" s="2160"/>
      <c r="U24" s="2160"/>
      <c r="V24" s="2160"/>
      <c r="W24" s="2160"/>
      <c r="X24" s="130"/>
      <c r="Y24" s="130"/>
      <c r="Z24" s="130"/>
      <c r="AA24" s="130"/>
      <c r="AB24" s="130"/>
      <c r="AC24" s="130"/>
      <c r="AD24" s="130"/>
      <c r="AE24" s="130"/>
      <c r="AF24" s="130"/>
      <c r="AG24" s="131"/>
    </row>
    <row r="25" spans="1:35" ht="20.100000000000001" customHeight="1">
      <c r="A25" s="428"/>
      <c r="B25" s="429" t="s">
        <v>2476</v>
      </c>
      <c r="D25" s="2161"/>
      <c r="E25" s="2161"/>
      <c r="F25" s="2161"/>
      <c r="G25" s="2161"/>
      <c r="H25" s="2161"/>
      <c r="I25" s="2161"/>
      <c r="J25" s="2161"/>
      <c r="K25" s="2161"/>
      <c r="L25" s="2161"/>
      <c r="M25" s="2161"/>
      <c r="N25" s="132"/>
      <c r="O25" s="132"/>
      <c r="P25" s="132"/>
      <c r="Q25" s="132"/>
      <c r="R25" s="2157" t="s">
        <v>2477</v>
      </c>
      <c r="S25" s="2157"/>
      <c r="T25" s="2157"/>
      <c r="U25" s="2157"/>
      <c r="V25" s="2157"/>
      <c r="W25" s="2157"/>
      <c r="X25" s="2157"/>
      <c r="Y25" s="2157"/>
      <c r="Z25" s="2157"/>
      <c r="AA25" s="2157"/>
      <c r="AB25" s="2157"/>
      <c r="AC25" s="2157"/>
      <c r="AD25" s="2157"/>
      <c r="AE25" s="2157"/>
      <c r="AF25" s="2157"/>
      <c r="AG25" s="2158"/>
    </row>
    <row r="26" spans="1:35" ht="20.100000000000001" customHeight="1">
      <c r="A26" s="430"/>
      <c r="B26" s="429" t="s">
        <v>2478</v>
      </c>
      <c r="D26" s="2161"/>
      <c r="E26" s="2161"/>
      <c r="F26" s="2161"/>
      <c r="G26" s="2161"/>
      <c r="H26" s="2161"/>
      <c r="I26" s="2161"/>
      <c r="J26" s="2161"/>
      <c r="K26" s="2161"/>
      <c r="L26" s="2161"/>
      <c r="M26" s="2161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4"/>
      <c r="AG26" s="135"/>
    </row>
    <row r="27" spans="1:35" ht="13.5" customHeight="1">
      <c r="A27" s="2153"/>
      <c r="B27" s="2154"/>
      <c r="C27" s="2154"/>
      <c r="D27" s="2154"/>
      <c r="E27" s="2154"/>
      <c r="F27" s="2154"/>
      <c r="G27" s="2154"/>
      <c r="H27" s="2154"/>
      <c r="I27" s="2154"/>
      <c r="J27" s="2154"/>
      <c r="K27" s="2154"/>
      <c r="L27" s="2154"/>
      <c r="M27" s="2154"/>
      <c r="N27" s="2154"/>
      <c r="O27" s="2154"/>
      <c r="P27" s="2154"/>
      <c r="Q27" s="2154"/>
      <c r="R27" s="2154"/>
      <c r="S27" s="2154"/>
      <c r="T27" s="2154"/>
      <c r="U27" s="2154"/>
      <c r="V27" s="2154"/>
      <c r="W27" s="2154"/>
      <c r="X27" s="2154"/>
      <c r="Y27" s="2154"/>
      <c r="Z27" s="2155"/>
      <c r="AA27" s="2155"/>
      <c r="AB27" s="2155"/>
      <c r="AC27" s="2155"/>
      <c r="AD27" s="2155"/>
      <c r="AE27" s="2155"/>
      <c r="AF27" s="2155"/>
      <c r="AG27" s="2156"/>
    </row>
    <row r="28" spans="1:35">
      <c r="C28" t="s">
        <v>2479</v>
      </c>
    </row>
  </sheetData>
  <mergeCells count="40">
    <mergeCell ref="A17:AG17"/>
    <mergeCell ref="E19:E20"/>
    <mergeCell ref="Z19:Z20"/>
    <mergeCell ref="A16:AG16"/>
    <mergeCell ref="A18:B18"/>
    <mergeCell ref="A19:A22"/>
    <mergeCell ref="B19:B20"/>
    <mergeCell ref="L19:L20"/>
    <mergeCell ref="S19:S20"/>
    <mergeCell ref="AG19:AG20"/>
    <mergeCell ref="F19:F20"/>
    <mergeCell ref="M19:M20"/>
    <mergeCell ref="T19:T20"/>
    <mergeCell ref="AA19:AA20"/>
    <mergeCell ref="A10:AG10"/>
    <mergeCell ref="A11:B11"/>
    <mergeCell ref="B12:B13"/>
    <mergeCell ref="A12:A15"/>
    <mergeCell ref="G12:G13"/>
    <mergeCell ref="AB12:AB13"/>
    <mergeCell ref="AC12:AC13"/>
    <mergeCell ref="H12:H13"/>
    <mergeCell ref="N12:N13"/>
    <mergeCell ref="O12:O13"/>
    <mergeCell ref="U12:U13"/>
    <mergeCell ref="V12:V13"/>
    <mergeCell ref="A1:AG1"/>
    <mergeCell ref="A2:AG2"/>
    <mergeCell ref="A3:AG3"/>
    <mergeCell ref="A4:B4"/>
    <mergeCell ref="A9:AG9"/>
    <mergeCell ref="A5:A8"/>
    <mergeCell ref="A27:Y27"/>
    <mergeCell ref="Z27:AG27"/>
    <mergeCell ref="R25:AG25"/>
    <mergeCell ref="C23:H24"/>
    <mergeCell ref="R23:W24"/>
    <mergeCell ref="D25:M25"/>
    <mergeCell ref="D26:M26"/>
    <mergeCell ref="A23:B24"/>
  </mergeCells>
  <printOptions horizontalCentered="1"/>
  <pageMargins left="0.39370078740157483" right="0.39370078740157483" top="0.78740157480314965" bottom="0.39370078740157483" header="0" footer="0"/>
  <pageSetup paperSize="9" scale="5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O25"/>
  <sheetViews>
    <sheetView view="pageBreakPreview" zoomScaleNormal="70" zoomScaleSheetLayoutView="100" workbookViewId="0"/>
  </sheetViews>
  <sheetFormatPr defaultColWidth="9.109375" defaultRowHeight="14.4"/>
  <cols>
    <col min="1" max="1" width="41.5546875" customWidth="1"/>
    <col min="2" max="4" width="13" customWidth="1"/>
    <col min="5" max="5" width="49.88671875" customWidth="1"/>
  </cols>
  <sheetData>
    <row r="1" spans="1:41" s="145" customFormat="1" ht="24.9" customHeight="1" thickBot="1">
      <c r="A1" s="172" t="str">
        <f>'INFORM.CONTRA.'!C1</f>
        <v xml:space="preserve">Relatório Técnico Permanente de Engenharia 		                                                                         </v>
      </c>
      <c r="B1" s="172"/>
      <c r="C1" s="172"/>
      <c r="D1" s="172"/>
      <c r="E1" s="804" t="str">
        <f>'INFORM.CONTRA.'!AB1</f>
        <v>RTPE 524-11</v>
      </c>
      <c r="K1" s="147"/>
      <c r="L1" s="147"/>
      <c r="M1" s="147"/>
      <c r="N1" s="147"/>
      <c r="O1" s="146"/>
      <c r="P1" s="146"/>
      <c r="Q1" s="146"/>
      <c r="R1" s="147"/>
      <c r="S1" s="147"/>
      <c r="T1" s="147"/>
      <c r="U1" s="147"/>
      <c r="V1" s="146"/>
      <c r="W1" s="146"/>
      <c r="X1" s="146"/>
      <c r="Y1" s="147"/>
      <c r="Z1" s="147"/>
      <c r="AA1" s="147"/>
      <c r="AB1" s="147"/>
      <c r="AC1" s="146"/>
      <c r="AD1" s="146"/>
      <c r="AE1" s="146"/>
      <c r="AF1" s="147"/>
      <c r="AG1" s="147"/>
      <c r="AH1" s="147"/>
      <c r="AI1" s="147"/>
      <c r="AJ1" s="146"/>
      <c r="AK1" s="146"/>
      <c r="AL1" s="146"/>
      <c r="AM1" s="147"/>
      <c r="AN1" s="147"/>
      <c r="AO1" s="146"/>
    </row>
    <row r="2" spans="1:41" s="145" customFormat="1" ht="24.9" customHeight="1" thickTop="1">
      <c r="A2" s="825"/>
      <c r="B2" s="825"/>
      <c r="C2" s="825"/>
      <c r="D2" s="825"/>
      <c r="E2" s="825"/>
      <c r="K2" s="147"/>
      <c r="L2" s="147"/>
      <c r="M2" s="147"/>
      <c r="N2" s="147"/>
      <c r="O2" s="146"/>
      <c r="P2" s="146"/>
      <c r="Q2" s="146"/>
      <c r="R2" s="147"/>
      <c r="S2" s="147"/>
      <c r="T2" s="147"/>
      <c r="U2" s="147"/>
      <c r="V2" s="146"/>
      <c r="W2" s="146"/>
      <c r="X2" s="146"/>
      <c r="Y2" s="147"/>
      <c r="Z2" s="147"/>
      <c r="AA2" s="147"/>
      <c r="AB2" s="147"/>
      <c r="AC2" s="146"/>
      <c r="AD2" s="146"/>
      <c r="AE2" s="146"/>
      <c r="AF2" s="147"/>
      <c r="AG2" s="147"/>
      <c r="AH2" s="147"/>
      <c r="AI2" s="147"/>
      <c r="AJ2" s="146"/>
      <c r="AK2" s="146"/>
      <c r="AL2" s="146"/>
      <c r="AM2" s="147"/>
      <c r="AN2" s="147"/>
      <c r="AO2" s="146"/>
    </row>
    <row r="3" spans="1:41" ht="36.75" customHeight="1">
      <c r="A3" s="2181" t="s">
        <v>2480</v>
      </c>
      <c r="B3" s="2182"/>
      <c r="C3" s="2182"/>
      <c r="D3" s="2182"/>
      <c r="E3" s="2183"/>
    </row>
    <row r="4" spans="1:41" ht="31.2">
      <c r="A4" s="415" t="s">
        <v>259</v>
      </c>
      <c r="B4" s="413" t="s">
        <v>2481</v>
      </c>
      <c r="C4" s="415" t="s">
        <v>2482</v>
      </c>
      <c r="D4" s="415" t="s">
        <v>2483</v>
      </c>
      <c r="E4" s="415" t="s">
        <v>2484</v>
      </c>
    </row>
    <row r="5" spans="1:41" s="124" customFormat="1" ht="82.5" customHeight="1">
      <c r="A5" s="431" t="s">
        <v>2485</v>
      </c>
      <c r="B5" s="432" t="s">
        <v>2329</v>
      </c>
      <c r="C5" s="432"/>
      <c r="D5" s="433"/>
      <c r="E5" s="434" t="s">
        <v>2486</v>
      </c>
    </row>
    <row r="6" spans="1:41" s="124" customFormat="1" ht="105.6">
      <c r="A6" s="431" t="s">
        <v>2487</v>
      </c>
      <c r="B6" s="432" t="s">
        <v>2329</v>
      </c>
      <c r="C6" s="432"/>
      <c r="D6" s="433"/>
      <c r="E6" s="434" t="s">
        <v>2486</v>
      </c>
    </row>
    <row r="7" spans="1:41" s="124" customFormat="1" ht="82.5" customHeight="1">
      <c r="A7" s="431" t="s">
        <v>2488</v>
      </c>
      <c r="B7" s="432"/>
      <c r="C7" s="432"/>
      <c r="D7" s="432" t="s">
        <v>2329</v>
      </c>
      <c r="E7" s="434" t="s">
        <v>2489</v>
      </c>
    </row>
    <row r="8" spans="1:41" s="124" customFormat="1" ht="82.5" customHeight="1">
      <c r="A8" s="431" t="s">
        <v>2490</v>
      </c>
      <c r="B8" s="432" t="s">
        <v>2329</v>
      </c>
      <c r="C8" s="432"/>
      <c r="D8" s="432"/>
      <c r="E8" s="434" t="s">
        <v>2486</v>
      </c>
    </row>
    <row r="9" spans="1:41" s="124" customFormat="1" ht="82.5" customHeight="1">
      <c r="A9" s="431" t="s">
        <v>2491</v>
      </c>
      <c r="B9" s="433"/>
      <c r="C9" s="432"/>
      <c r="D9" s="432" t="s">
        <v>2329</v>
      </c>
      <c r="E9" s="434" t="s">
        <v>2489</v>
      </c>
    </row>
    <row r="10" spans="1:41" s="124" customFormat="1" ht="82.5" customHeight="1">
      <c r="A10" s="431" t="s">
        <v>2492</v>
      </c>
      <c r="B10" s="433"/>
      <c r="C10" s="432"/>
      <c r="D10" s="432" t="s">
        <v>2329</v>
      </c>
      <c r="E10" s="434" t="s">
        <v>2489</v>
      </c>
    </row>
    <row r="11" spans="1:41" s="124" customFormat="1" ht="82.5" customHeight="1">
      <c r="A11" s="434" t="s">
        <v>2493</v>
      </c>
      <c r="B11" s="432" t="s">
        <v>2329</v>
      </c>
      <c r="C11" s="432"/>
      <c r="D11" s="433"/>
      <c r="E11" s="434" t="s">
        <v>2494</v>
      </c>
    </row>
    <row r="12" spans="1:41" s="124" customFormat="1" ht="82.5" customHeight="1">
      <c r="A12" s="431" t="s">
        <v>2495</v>
      </c>
      <c r="B12" s="433"/>
      <c r="C12" s="432"/>
      <c r="D12" s="432" t="s">
        <v>2329</v>
      </c>
      <c r="E12" s="434" t="s">
        <v>2489</v>
      </c>
    </row>
    <row r="13" spans="1:41" s="124" customFormat="1" ht="82.5" customHeight="1">
      <c r="A13" s="431" t="s">
        <v>2496</v>
      </c>
      <c r="B13" s="433"/>
      <c r="C13" s="432"/>
      <c r="D13" s="432" t="s">
        <v>2329</v>
      </c>
      <c r="E13" s="434" t="s">
        <v>2489</v>
      </c>
    </row>
    <row r="14" spans="1:41" s="124" customFormat="1" ht="24.9" customHeight="1">
      <c r="A14" s="826"/>
      <c r="B14" s="829"/>
      <c r="C14" s="830"/>
      <c r="D14" s="830"/>
      <c r="E14" s="826"/>
    </row>
    <row r="15" spans="1:41" s="124" customFormat="1" ht="24.9" customHeight="1">
      <c r="A15" s="826"/>
      <c r="B15" s="829"/>
      <c r="C15" s="830"/>
      <c r="D15" s="830"/>
      <c r="E15" s="826"/>
    </row>
    <row r="16" spans="1:41" s="124" customFormat="1" ht="24.9" customHeight="1">
      <c r="A16" s="826"/>
      <c r="B16" s="829"/>
      <c r="C16" s="830"/>
      <c r="D16" s="830"/>
      <c r="E16" s="826"/>
    </row>
    <row r="17" spans="1:41" s="124" customFormat="1" ht="24.9" customHeight="1">
      <c r="A17" s="826"/>
      <c r="B17" s="829"/>
      <c r="C17" s="830"/>
      <c r="D17" s="830"/>
      <c r="E17" s="826"/>
    </row>
    <row r="18" spans="1:41" s="124" customFormat="1" ht="24.9" customHeight="1">
      <c r="A18" s="826"/>
      <c r="B18" s="829"/>
      <c r="C18" s="830"/>
      <c r="D18" s="830"/>
      <c r="E18" s="826"/>
    </row>
    <row r="19" spans="1:41" s="124" customFormat="1" ht="24.9" customHeight="1">
      <c r="A19" s="826"/>
      <c r="B19" s="829"/>
      <c r="C19" s="830"/>
      <c r="D19" s="830"/>
      <c r="E19" s="826"/>
    </row>
    <row r="20" spans="1:41" s="124" customFormat="1" ht="24.9" customHeight="1">
      <c r="A20" s="826"/>
      <c r="B20" s="829"/>
      <c r="C20" s="830"/>
      <c r="D20" s="830"/>
      <c r="E20" s="826"/>
    </row>
    <row r="21" spans="1:41" s="124" customFormat="1" ht="24.9" customHeight="1">
      <c r="A21" s="826"/>
      <c r="B21" s="829"/>
      <c r="C21" s="830"/>
      <c r="D21" s="830"/>
      <c r="E21" s="826"/>
    </row>
    <row r="22" spans="1:41" s="124" customFormat="1" ht="24.9" customHeight="1" thickBot="1">
      <c r="A22" s="826"/>
      <c r="B22" s="829"/>
      <c r="C22" s="830"/>
      <c r="D22" s="830"/>
      <c r="E22" s="826"/>
    </row>
    <row r="23" spans="1:41" s="124" customFormat="1" ht="24.9" customHeight="1" thickTop="1">
      <c r="A23" s="827" t="str">
        <f>'INFORM.CONTRA.'!C90</f>
        <v>Construção da Estação de Bombeamento de Águas Pluviais Laranja, Vila Velha/ES</v>
      </c>
      <c r="B23" s="827"/>
      <c r="C23" s="827"/>
      <c r="D23" s="827"/>
      <c r="E23" s="828"/>
    </row>
    <row r="24" spans="1:41" s="124" customFormat="1" ht="24.9" customHeight="1">
      <c r="A24" s="826"/>
      <c r="B24" s="829"/>
      <c r="C24" s="830"/>
      <c r="D24" s="830"/>
      <c r="E24" s="826"/>
    </row>
    <row r="25" spans="1:41" s="145" customFormat="1" ht="24.9" customHeight="1">
      <c r="K25" s="147"/>
      <c r="L25" s="147"/>
      <c r="M25" s="147"/>
      <c r="N25" s="147"/>
      <c r="O25" s="146"/>
      <c r="P25" s="146"/>
      <c r="Q25" s="146"/>
      <c r="R25" s="147"/>
      <c r="S25" s="147"/>
      <c r="T25" s="147"/>
      <c r="U25" s="147"/>
      <c r="V25" s="146"/>
      <c r="W25" s="146"/>
      <c r="X25" s="146"/>
      <c r="Y25" s="147"/>
      <c r="Z25" s="147"/>
      <c r="AA25" s="147"/>
      <c r="AB25" s="147"/>
      <c r="AC25" s="146"/>
      <c r="AD25" s="146"/>
      <c r="AE25" s="146"/>
      <c r="AF25" s="147"/>
      <c r="AG25" s="147"/>
      <c r="AH25" s="147"/>
      <c r="AI25" s="147"/>
      <c r="AJ25" s="146"/>
      <c r="AK25" s="146"/>
      <c r="AL25" s="146"/>
      <c r="AM25" s="147"/>
      <c r="AN25" s="147"/>
      <c r="AO25" s="146"/>
    </row>
  </sheetData>
  <mergeCells count="1">
    <mergeCell ref="A3:E3"/>
  </mergeCells>
  <printOptions horizontalCentered="1"/>
  <pageMargins left="0.59055118110236227" right="0.39370078740157483" top="0.19685039370078741" bottom="0.19685039370078741" header="0" footer="0"/>
  <pageSetup paperSize="9" scale="71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O34"/>
  <sheetViews>
    <sheetView view="pageBreakPreview" topLeftCell="A13" zoomScaleSheetLayoutView="100" workbookViewId="0">
      <selection activeCell="A20" sqref="A20"/>
    </sheetView>
  </sheetViews>
  <sheetFormatPr defaultColWidth="9.109375" defaultRowHeight="14.4"/>
  <cols>
    <col min="1" max="1" width="41.5546875" customWidth="1"/>
    <col min="2" max="3" width="13" customWidth="1"/>
    <col min="4" max="4" width="14.44140625" customWidth="1"/>
    <col min="5" max="5" width="49.88671875" customWidth="1"/>
  </cols>
  <sheetData>
    <row r="1" spans="1:41" s="145" customFormat="1" ht="36.75" customHeight="1" thickBot="1">
      <c r="A1" s="172" t="str">
        <f>'INFORM.CONTRA.'!C1</f>
        <v xml:space="preserve">Relatório Técnico Permanente de Engenharia 		                                                                         </v>
      </c>
      <c r="B1" s="172"/>
      <c r="C1" s="172"/>
      <c r="D1" s="172"/>
      <c r="E1" s="804" t="str">
        <f>'INFORM.CONTRA.'!AB1</f>
        <v>RTPE 524-11</v>
      </c>
      <c r="K1" s="147"/>
      <c r="L1" s="147"/>
      <c r="M1" s="147"/>
      <c r="N1" s="147"/>
      <c r="O1" s="146"/>
      <c r="P1" s="146"/>
      <c r="Q1" s="146"/>
      <c r="R1" s="147"/>
      <c r="S1" s="147"/>
      <c r="T1" s="147"/>
      <c r="U1" s="147"/>
      <c r="V1" s="146"/>
      <c r="W1" s="146"/>
      <c r="X1" s="146"/>
      <c r="Y1" s="147"/>
      <c r="Z1" s="147"/>
      <c r="AA1" s="147"/>
      <c r="AB1" s="147"/>
      <c r="AC1" s="146"/>
      <c r="AD1" s="146"/>
      <c r="AE1" s="146"/>
      <c r="AF1" s="147"/>
      <c r="AG1" s="147"/>
      <c r="AH1" s="147"/>
      <c r="AI1" s="147"/>
      <c r="AJ1" s="146"/>
      <c r="AK1" s="146"/>
      <c r="AL1" s="146"/>
      <c r="AM1" s="147"/>
      <c r="AN1" s="147"/>
      <c r="AO1" s="146"/>
    </row>
    <row r="2" spans="1:41" s="145" customFormat="1" ht="16.8" thickTop="1">
      <c r="A2" s="825"/>
      <c r="B2" s="825"/>
      <c r="C2" s="825"/>
      <c r="D2" s="825"/>
      <c r="E2" s="825"/>
      <c r="K2" s="147"/>
      <c r="L2" s="147"/>
      <c r="M2" s="147"/>
      <c r="N2" s="147"/>
      <c r="O2" s="146"/>
      <c r="P2" s="146"/>
      <c r="Q2" s="146"/>
      <c r="R2" s="147"/>
      <c r="S2" s="147"/>
      <c r="T2" s="147"/>
      <c r="U2" s="147"/>
      <c r="V2" s="146"/>
      <c r="W2" s="146"/>
      <c r="X2" s="146"/>
      <c r="Y2" s="147"/>
      <c r="Z2" s="147"/>
      <c r="AA2" s="147"/>
      <c r="AB2" s="147"/>
      <c r="AC2" s="146"/>
      <c r="AD2" s="146"/>
      <c r="AE2" s="146"/>
      <c r="AF2" s="147"/>
      <c r="AG2" s="147"/>
      <c r="AH2" s="147"/>
      <c r="AI2" s="147"/>
      <c r="AJ2" s="146"/>
      <c r="AK2" s="146"/>
      <c r="AL2" s="146"/>
      <c r="AM2" s="147"/>
      <c r="AN2" s="147"/>
      <c r="AO2" s="146"/>
    </row>
    <row r="3" spans="1:41" ht="15.6">
      <c r="A3" s="2181" t="s">
        <v>2497</v>
      </c>
      <c r="B3" s="2182"/>
      <c r="C3" s="2182"/>
      <c r="D3" s="2182"/>
      <c r="E3" s="2183"/>
    </row>
    <row r="4" spans="1:41" ht="31.2">
      <c r="A4" s="415" t="s">
        <v>259</v>
      </c>
      <c r="B4" s="413" t="s">
        <v>2481</v>
      </c>
      <c r="C4" s="415" t="s">
        <v>2482</v>
      </c>
      <c r="D4" s="415" t="s">
        <v>2483</v>
      </c>
      <c r="E4" s="415" t="s">
        <v>2484</v>
      </c>
    </row>
    <row r="5" spans="1:41" s="124" customFormat="1" ht="45.6">
      <c r="A5" s="434" t="s">
        <v>2498</v>
      </c>
      <c r="B5" s="908" t="s">
        <v>2329</v>
      </c>
      <c r="C5" s="908"/>
      <c r="D5" s="908"/>
      <c r="E5" s="786" t="s">
        <v>2499</v>
      </c>
      <c r="G5" s="125"/>
    </row>
    <row r="6" spans="1:41" s="124" customFormat="1" ht="120.6">
      <c r="A6" s="434" t="s">
        <v>2500</v>
      </c>
      <c r="B6" s="908" t="s">
        <v>2329</v>
      </c>
      <c r="C6" s="908"/>
      <c r="D6" s="908"/>
      <c r="E6" s="786" t="s">
        <v>2499</v>
      </c>
      <c r="G6" s="125"/>
    </row>
    <row r="7" spans="1:41" s="124" customFormat="1" ht="105.6">
      <c r="A7" s="434" t="s">
        <v>2501</v>
      </c>
      <c r="B7" s="908" t="s">
        <v>2329</v>
      </c>
      <c r="C7" s="908"/>
      <c r="D7" s="908"/>
      <c r="E7" s="786" t="s">
        <v>2499</v>
      </c>
      <c r="G7" s="125"/>
    </row>
    <row r="8" spans="1:41" s="124" customFormat="1" ht="105.6">
      <c r="A8" s="434" t="s">
        <v>2502</v>
      </c>
      <c r="B8" s="908" t="s">
        <v>2394</v>
      </c>
      <c r="C8" s="908"/>
      <c r="D8" s="908"/>
      <c r="E8" s="786" t="s">
        <v>2503</v>
      </c>
      <c r="G8" s="125"/>
    </row>
    <row r="9" spans="1:41" s="124" customFormat="1" ht="90.6">
      <c r="A9" s="435" t="s">
        <v>2504</v>
      </c>
      <c r="B9" s="908"/>
      <c r="C9" s="908"/>
      <c r="D9" s="908" t="s">
        <v>2394</v>
      </c>
      <c r="E9" s="787"/>
    </row>
    <row r="10" spans="1:41" s="124" customFormat="1" ht="45.6">
      <c r="A10" s="435" t="s">
        <v>2505</v>
      </c>
      <c r="B10" s="908"/>
      <c r="C10" s="908"/>
      <c r="D10" s="908" t="s">
        <v>2394</v>
      </c>
      <c r="E10" s="787"/>
    </row>
    <row r="11" spans="1:41" s="124" customFormat="1" ht="105.6">
      <c r="A11" s="434" t="s">
        <v>2506</v>
      </c>
      <c r="B11" s="908"/>
      <c r="C11" s="908"/>
      <c r="D11" s="908" t="s">
        <v>2394</v>
      </c>
      <c r="E11" s="787"/>
    </row>
    <row r="12" spans="1:41" s="124" customFormat="1" ht="75.599999999999994">
      <c r="A12" s="434" t="s">
        <v>2507</v>
      </c>
      <c r="B12" s="908"/>
      <c r="C12" s="908"/>
      <c r="D12" s="908" t="s">
        <v>2394</v>
      </c>
      <c r="E12" s="787"/>
    </row>
    <row r="13" spans="1:41" s="124" customFormat="1" ht="15.6">
      <c r="A13" s="826"/>
      <c r="B13" s="829"/>
      <c r="C13" s="830"/>
      <c r="D13" s="830"/>
      <c r="E13" s="826"/>
    </row>
    <row r="14" spans="1:41" s="124" customFormat="1" ht="15.6">
      <c r="A14" s="826"/>
      <c r="B14" s="829"/>
      <c r="C14" s="830"/>
      <c r="D14" s="830"/>
      <c r="E14" s="826"/>
    </row>
    <row r="15" spans="1:41" s="124" customFormat="1" ht="15.6">
      <c r="A15" s="826"/>
      <c r="B15" s="829"/>
      <c r="C15" s="830"/>
      <c r="D15" s="830"/>
      <c r="E15" s="826"/>
    </row>
    <row r="16" spans="1:41" s="124" customFormat="1" ht="15.6">
      <c r="A16" s="826"/>
      <c r="B16" s="829"/>
      <c r="C16" s="830"/>
      <c r="D16" s="830"/>
      <c r="E16" s="826"/>
    </row>
    <row r="17" spans="1:5" s="124" customFormat="1" ht="15.6">
      <c r="A17" s="826"/>
      <c r="B17" s="829"/>
      <c r="C17" s="830"/>
      <c r="D17" s="830"/>
      <c r="E17" s="826"/>
    </row>
    <row r="18" spans="1:5" s="124" customFormat="1" ht="15.6">
      <c r="A18" s="826"/>
      <c r="B18" s="829"/>
      <c r="C18" s="830"/>
      <c r="D18" s="830"/>
      <c r="E18" s="826"/>
    </row>
    <row r="19" spans="1:5" s="124" customFormat="1" ht="15.6">
      <c r="A19" s="826"/>
      <c r="B19" s="829"/>
      <c r="C19" s="830"/>
      <c r="D19" s="830"/>
      <c r="E19" s="826"/>
    </row>
    <row r="20" spans="1:5" s="124" customFormat="1" ht="15.6">
      <c r="A20" s="826"/>
      <c r="B20" s="829"/>
      <c r="C20" s="830"/>
      <c r="D20" s="830"/>
      <c r="E20" s="826"/>
    </row>
    <row r="21" spans="1:5" s="124" customFormat="1" ht="15.6">
      <c r="A21" s="826"/>
      <c r="B21" s="829"/>
      <c r="C21" s="830"/>
      <c r="D21" s="830"/>
      <c r="E21" s="826"/>
    </row>
    <row r="22" spans="1:5" s="124" customFormat="1" ht="15.6">
      <c r="A22" s="826"/>
      <c r="B22" s="829"/>
      <c r="C22" s="830"/>
      <c r="D22" s="830"/>
      <c r="E22" s="826"/>
    </row>
    <row r="23" spans="1:5" s="124" customFormat="1" ht="15.6">
      <c r="A23" s="826"/>
      <c r="B23" s="829"/>
      <c r="C23" s="830"/>
      <c r="D23" s="830"/>
      <c r="E23" s="826"/>
    </row>
    <row r="24" spans="1:5" s="124" customFormat="1" ht="15.6">
      <c r="A24" s="826"/>
      <c r="B24" s="829"/>
      <c r="C24" s="830"/>
      <c r="D24" s="830"/>
      <c r="E24" s="826"/>
    </row>
    <row r="25" spans="1:5" s="124" customFormat="1" ht="15.6">
      <c r="A25" s="826"/>
      <c r="B25" s="829"/>
      <c r="C25" s="830"/>
      <c r="D25" s="830"/>
      <c r="E25" s="826"/>
    </row>
    <row r="26" spans="1:5" s="124" customFormat="1" ht="15.6">
      <c r="A26" s="826"/>
      <c r="B26" s="829"/>
      <c r="C26" s="830"/>
      <c r="D26" s="830"/>
      <c r="E26" s="826"/>
    </row>
    <row r="27" spans="1:5" s="124" customFormat="1" ht="15.6">
      <c r="A27" s="826"/>
      <c r="B27" s="829"/>
      <c r="C27" s="830"/>
      <c r="D27" s="830"/>
      <c r="E27" s="826"/>
    </row>
    <row r="28" spans="1:5" s="124" customFormat="1" ht="15.6">
      <c r="A28" s="826"/>
      <c r="B28" s="829"/>
      <c r="C28" s="830"/>
      <c r="D28" s="830"/>
      <c r="E28" s="826"/>
    </row>
    <row r="29" spans="1:5" s="124" customFormat="1" ht="15.6">
      <c r="A29" s="826"/>
      <c r="B29" s="829"/>
      <c r="C29" s="830"/>
      <c r="D29" s="830"/>
      <c r="E29" s="826"/>
    </row>
    <row r="30" spans="1:5" s="124" customFormat="1" ht="15.6">
      <c r="A30" s="826"/>
      <c r="B30" s="829"/>
      <c r="C30" s="830"/>
      <c r="D30" s="830"/>
      <c r="E30" s="826"/>
    </row>
    <row r="31" spans="1:5" s="124" customFormat="1" ht="15.6">
      <c r="A31" s="826"/>
      <c r="B31" s="829"/>
      <c r="C31" s="830"/>
      <c r="D31" s="830"/>
      <c r="E31" s="826"/>
    </row>
    <row r="32" spans="1:5" s="124" customFormat="1" ht="15.6">
      <c r="A32" s="826"/>
      <c r="B32" s="829"/>
      <c r="C32" s="830"/>
      <c r="D32" s="830"/>
      <c r="E32" s="826"/>
    </row>
    <row r="33" spans="1:41" s="124" customFormat="1" ht="16.2" thickBot="1">
      <c r="A33" s="826"/>
      <c r="B33" s="829"/>
      <c r="C33" s="830"/>
      <c r="D33" s="830"/>
      <c r="E33" s="826"/>
    </row>
    <row r="34" spans="1:41" s="145" customFormat="1" ht="16.8" thickTop="1">
      <c r="A34" s="827" t="str">
        <f>'INFORM.CONTRA.'!C90</f>
        <v>Construção da Estação de Bombeamento de Águas Pluviais Laranja, Vila Velha/ES</v>
      </c>
      <c r="B34" s="827"/>
      <c r="C34" s="827"/>
      <c r="D34" s="827"/>
      <c r="E34" s="828"/>
      <c r="K34" s="147"/>
      <c r="L34" s="147"/>
      <c r="M34" s="147"/>
      <c r="N34" s="147"/>
      <c r="O34" s="146"/>
      <c r="P34" s="146"/>
      <c r="Q34" s="146"/>
      <c r="R34" s="147"/>
      <c r="S34" s="147"/>
      <c r="T34" s="147"/>
      <c r="U34" s="147"/>
      <c r="V34" s="146"/>
      <c r="W34" s="146"/>
      <c r="X34" s="146"/>
      <c r="Y34" s="147"/>
      <c r="Z34" s="147"/>
      <c r="AA34" s="147"/>
      <c r="AB34" s="147"/>
      <c r="AC34" s="146"/>
      <c r="AD34" s="146"/>
      <c r="AE34" s="146"/>
      <c r="AF34" s="147"/>
      <c r="AG34" s="147"/>
      <c r="AH34" s="147"/>
      <c r="AI34" s="147"/>
      <c r="AJ34" s="146"/>
      <c r="AK34" s="146"/>
      <c r="AL34" s="146"/>
      <c r="AM34" s="147"/>
      <c r="AN34" s="147"/>
      <c r="AO34" s="146"/>
    </row>
  </sheetData>
  <mergeCells count="1">
    <mergeCell ref="A3:E3"/>
  </mergeCells>
  <printOptions horizontalCentered="1"/>
  <pageMargins left="0.59055118110236227" right="0.39370078740157483" top="0.19685039370078741" bottom="0.19685039370078741" header="0" footer="0"/>
  <pageSetup paperSize="9" scale="7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101"/>
  <sheetViews>
    <sheetView view="pageBreakPreview" zoomScale="85" zoomScaleSheetLayoutView="85" workbookViewId="0">
      <selection activeCell="AB50" sqref="AB50"/>
    </sheetView>
  </sheetViews>
  <sheetFormatPr defaultColWidth="9.109375" defaultRowHeight="14.4"/>
  <cols>
    <col min="1" max="1" width="5.6640625" bestFit="1" customWidth="1"/>
    <col min="2" max="2" width="34.33203125" bestFit="1" customWidth="1"/>
    <col min="3" max="3" width="31" style="563" bestFit="1" customWidth="1"/>
    <col min="4" max="4" width="39.88671875" bestFit="1" customWidth="1"/>
  </cols>
  <sheetData>
    <row r="1" spans="1:6" ht="15" thickBot="1">
      <c r="A1" s="2190" t="s">
        <v>2508</v>
      </c>
      <c r="B1" s="2191"/>
      <c r="C1" s="2191"/>
      <c r="D1" s="2192"/>
    </row>
    <row r="2" spans="1:6">
      <c r="A2" s="2194" t="s">
        <v>2509</v>
      </c>
      <c r="B2" s="2198" t="s">
        <v>2510</v>
      </c>
      <c r="C2" s="2198" t="s">
        <v>2511</v>
      </c>
      <c r="D2" s="2196" t="s">
        <v>2512</v>
      </c>
      <c r="F2" s="128"/>
    </row>
    <row r="3" spans="1:6" ht="15" thickBot="1">
      <c r="A3" s="2195"/>
      <c r="B3" s="2199"/>
      <c r="C3" s="2199"/>
      <c r="D3" s="2197"/>
      <c r="F3" s="128"/>
    </row>
    <row r="4" spans="1:6" ht="15" thickBot="1">
      <c r="A4" s="2193" t="s">
        <v>2513</v>
      </c>
      <c r="B4" s="2193"/>
      <c r="C4" s="2193"/>
      <c r="D4" s="2193"/>
      <c r="F4" s="128"/>
    </row>
    <row r="5" spans="1:6">
      <c r="A5" s="711">
        <v>1</v>
      </c>
      <c r="B5" s="564" t="s">
        <v>2514</v>
      </c>
      <c r="C5" s="706" t="s">
        <v>2515</v>
      </c>
      <c r="D5" s="713">
        <v>44452</v>
      </c>
    </row>
    <row r="6" spans="1:6">
      <c r="A6" s="712">
        <v>2</v>
      </c>
      <c r="B6" s="564" t="s">
        <v>2516</v>
      </c>
      <c r="C6" s="706" t="s">
        <v>2517</v>
      </c>
      <c r="D6" s="713">
        <v>44396</v>
      </c>
    </row>
    <row r="7" spans="1:6">
      <c r="A7" s="712">
        <v>3</v>
      </c>
      <c r="B7" s="564" t="s">
        <v>2518</v>
      </c>
      <c r="C7" s="706" t="s">
        <v>2519</v>
      </c>
      <c r="D7" s="713">
        <v>44340</v>
      </c>
    </row>
    <row r="8" spans="1:6">
      <c r="A8" s="712">
        <v>4</v>
      </c>
      <c r="B8" s="564" t="s">
        <v>2520</v>
      </c>
      <c r="C8" s="706" t="s">
        <v>2515</v>
      </c>
      <c r="D8" s="713">
        <v>44470</v>
      </c>
    </row>
    <row r="9" spans="1:6">
      <c r="A9" s="712">
        <v>5</v>
      </c>
      <c r="B9" s="564" t="s">
        <v>2521</v>
      </c>
      <c r="C9" s="565" t="s">
        <v>2522</v>
      </c>
      <c r="D9" s="713">
        <v>44378</v>
      </c>
    </row>
    <row r="10" spans="1:6">
      <c r="A10" s="712">
        <v>6</v>
      </c>
      <c r="B10" s="564" t="s">
        <v>2523</v>
      </c>
      <c r="C10" s="565" t="s">
        <v>2524</v>
      </c>
      <c r="D10" s="713">
        <v>44340</v>
      </c>
    </row>
    <row r="11" spans="1:6">
      <c r="A11" s="712">
        <v>7</v>
      </c>
      <c r="B11" s="564" t="s">
        <v>2525</v>
      </c>
      <c r="C11" s="565" t="s">
        <v>2526</v>
      </c>
      <c r="D11" s="718" t="s">
        <v>2527</v>
      </c>
    </row>
    <row r="12" spans="1:6">
      <c r="A12" s="712">
        <v>8</v>
      </c>
      <c r="B12" s="564" t="s">
        <v>2528</v>
      </c>
      <c r="C12" s="850" t="s">
        <v>2526</v>
      </c>
      <c r="D12" s="718" t="s">
        <v>2527</v>
      </c>
    </row>
    <row r="13" spans="1:6">
      <c r="A13" s="712">
        <v>9</v>
      </c>
      <c r="B13" s="564" t="s">
        <v>2529</v>
      </c>
      <c r="C13" s="850" t="s">
        <v>2526</v>
      </c>
      <c r="D13" s="718" t="s">
        <v>2527</v>
      </c>
    </row>
    <row r="14" spans="1:6">
      <c r="A14" s="712">
        <v>10</v>
      </c>
      <c r="B14" s="703" t="s">
        <v>2530</v>
      </c>
      <c r="C14" s="706"/>
      <c r="D14" s="718" t="s">
        <v>2527</v>
      </c>
    </row>
    <row r="15" spans="1:6">
      <c r="A15" s="712"/>
      <c r="B15" s="564"/>
      <c r="C15" s="565"/>
      <c r="D15" s="713"/>
    </row>
    <row r="16" spans="1:6">
      <c r="A16" s="712"/>
      <c r="B16" s="564"/>
      <c r="C16" s="565"/>
      <c r="D16" s="713"/>
    </row>
    <row r="17" spans="1:10">
      <c r="A17" s="712"/>
      <c r="B17" s="564"/>
      <c r="C17" s="565"/>
      <c r="D17" s="713"/>
    </row>
    <row r="18" spans="1:10">
      <c r="A18" s="712"/>
      <c r="B18" s="564"/>
      <c r="C18" s="565"/>
      <c r="D18" s="713"/>
    </row>
    <row r="19" spans="1:10">
      <c r="A19" s="712"/>
      <c r="B19" s="564"/>
      <c r="C19" s="565"/>
      <c r="D19" s="713"/>
    </row>
    <row r="20" spans="1:10">
      <c r="A20" s="712"/>
      <c r="B20" s="564"/>
      <c r="C20" s="565"/>
      <c r="D20" s="713"/>
    </row>
    <row r="21" spans="1:10">
      <c r="A21" s="712"/>
      <c r="B21" s="564"/>
      <c r="C21" s="565"/>
      <c r="D21" s="713"/>
    </row>
    <row r="22" spans="1:10">
      <c r="A22" s="712"/>
      <c r="B22" s="564"/>
      <c r="C22" s="565"/>
      <c r="D22" s="713"/>
    </row>
    <row r="23" spans="1:10">
      <c r="A23" s="712"/>
      <c r="B23" s="564"/>
      <c r="C23" s="565"/>
      <c r="D23" s="713"/>
    </row>
    <row r="24" spans="1:10">
      <c r="A24" s="712"/>
      <c r="B24" s="564"/>
      <c r="C24" s="565"/>
      <c r="D24" s="713"/>
    </row>
    <row r="25" spans="1:10">
      <c r="A25" s="712"/>
      <c r="B25" s="564"/>
      <c r="C25" s="565"/>
      <c r="D25" s="713"/>
    </row>
    <row r="26" spans="1:10">
      <c r="A26" s="712"/>
      <c r="B26" s="564"/>
      <c r="C26" s="565"/>
      <c r="D26" s="713"/>
    </row>
    <row r="27" spans="1:10">
      <c r="A27" s="712"/>
      <c r="B27" s="564"/>
      <c r="C27" s="704"/>
      <c r="D27" s="713"/>
    </row>
    <row r="28" spans="1:10">
      <c r="A28" s="712"/>
      <c r="B28" s="564"/>
      <c r="C28" s="565"/>
      <c r="D28" s="713"/>
    </row>
    <row r="29" spans="1:10" ht="15" thickBot="1">
      <c r="A29" s="714"/>
      <c r="B29" s="566"/>
      <c r="C29" s="567"/>
      <c r="D29" s="715"/>
    </row>
    <row r="30" spans="1:10" ht="15" thickBot="1">
      <c r="A30" s="2186" t="s">
        <v>2531</v>
      </c>
      <c r="B30" s="2186"/>
      <c r="C30" s="2186"/>
      <c r="D30" s="2186"/>
    </row>
    <row r="31" spans="1:10" ht="15" thickBot="1">
      <c r="A31" s="2186" t="s">
        <v>2532</v>
      </c>
      <c r="B31" s="2186"/>
      <c r="C31" s="2186"/>
      <c r="D31" s="2186"/>
      <c r="J31" s="124"/>
    </row>
    <row r="32" spans="1:10">
      <c r="A32" s="716">
        <v>1</v>
      </c>
      <c r="B32" s="564" t="s">
        <v>2533</v>
      </c>
      <c r="C32" s="706" t="s">
        <v>2534</v>
      </c>
      <c r="D32" s="718" t="s">
        <v>2527</v>
      </c>
    </row>
    <row r="33" spans="1:4">
      <c r="A33" s="712">
        <v>2</v>
      </c>
      <c r="B33" s="564" t="s">
        <v>2535</v>
      </c>
      <c r="C33" s="706" t="s">
        <v>2536</v>
      </c>
      <c r="D33" s="718" t="s">
        <v>2527</v>
      </c>
    </row>
    <row r="34" spans="1:4">
      <c r="A34" s="712">
        <v>3</v>
      </c>
      <c r="B34" s="564" t="s">
        <v>2537</v>
      </c>
      <c r="C34" s="706" t="s">
        <v>2526</v>
      </c>
      <c r="D34" s="718" t="s">
        <v>2527</v>
      </c>
    </row>
    <row r="35" spans="1:4">
      <c r="A35" s="712">
        <v>4</v>
      </c>
      <c r="B35" s="564" t="s">
        <v>2538</v>
      </c>
      <c r="C35" s="706" t="s">
        <v>2526</v>
      </c>
      <c r="D35" s="718" t="s">
        <v>2527</v>
      </c>
    </row>
    <row r="36" spans="1:4">
      <c r="A36" s="712">
        <v>5</v>
      </c>
      <c r="B36" s="564" t="s">
        <v>2539</v>
      </c>
      <c r="C36" s="706" t="s">
        <v>2536</v>
      </c>
      <c r="D36" s="718" t="s">
        <v>2527</v>
      </c>
    </row>
    <row r="37" spans="1:4">
      <c r="A37" s="712">
        <v>6</v>
      </c>
      <c r="B37" s="564" t="s">
        <v>2540</v>
      </c>
      <c r="C37" s="706" t="s">
        <v>2541</v>
      </c>
      <c r="D37" s="718" t="s">
        <v>2527</v>
      </c>
    </row>
    <row r="38" spans="1:4">
      <c r="A38" s="712">
        <v>7</v>
      </c>
      <c r="B38" s="564" t="s">
        <v>2542</v>
      </c>
      <c r="C38" s="706" t="s">
        <v>2541</v>
      </c>
      <c r="D38" s="718" t="s">
        <v>2527</v>
      </c>
    </row>
    <row r="39" spans="1:4">
      <c r="A39" s="712">
        <v>8</v>
      </c>
      <c r="B39" s="564" t="s">
        <v>2543</v>
      </c>
      <c r="C39" s="706" t="s">
        <v>2536</v>
      </c>
      <c r="D39" s="718" t="s">
        <v>2527</v>
      </c>
    </row>
    <row r="40" spans="1:4">
      <c r="A40" s="712">
        <v>9</v>
      </c>
      <c r="B40" s="564" t="s">
        <v>2544</v>
      </c>
      <c r="C40" s="706" t="s">
        <v>2536</v>
      </c>
      <c r="D40" s="718" t="s">
        <v>2527</v>
      </c>
    </row>
    <row r="41" spans="1:4" ht="15" thickBot="1">
      <c r="A41" s="712"/>
      <c r="B41" s="564"/>
      <c r="C41" s="706"/>
      <c r="D41" s="718"/>
    </row>
    <row r="42" spans="1:4" ht="15" thickBot="1">
      <c r="A42" s="2187" t="s">
        <v>2545</v>
      </c>
      <c r="B42" s="2188"/>
      <c r="C42" s="2188"/>
      <c r="D42" s="2189"/>
    </row>
    <row r="43" spans="1:4" ht="15" thickBot="1">
      <c r="A43" s="720">
        <v>1</v>
      </c>
      <c r="B43" s="734" t="s">
        <v>2546</v>
      </c>
      <c r="C43" s="560" t="s">
        <v>2547</v>
      </c>
      <c r="D43" s="717" t="s">
        <v>2527</v>
      </c>
    </row>
    <row r="44" spans="1:4" ht="15" thickBot="1">
      <c r="A44" s="2187" t="s">
        <v>2548</v>
      </c>
      <c r="B44" s="2188"/>
      <c r="C44" s="2188"/>
      <c r="D44" s="2189"/>
    </row>
    <row r="45" spans="1:4">
      <c r="A45" s="720">
        <v>1</v>
      </c>
      <c r="B45" s="557" t="s">
        <v>2549</v>
      </c>
      <c r="C45" s="560" t="s">
        <v>2550</v>
      </c>
      <c r="D45" s="717" t="s">
        <v>2527</v>
      </c>
    </row>
    <row r="46" spans="1:4">
      <c r="A46" s="722">
        <v>2</v>
      </c>
      <c r="B46" s="705" t="s">
        <v>2551</v>
      </c>
      <c r="C46" s="707" t="s">
        <v>2550</v>
      </c>
      <c r="D46" s="718" t="s">
        <v>2527</v>
      </c>
    </row>
    <row r="47" spans="1:4" ht="15" thickBot="1">
      <c r="A47" s="721">
        <v>3</v>
      </c>
      <c r="B47" s="556" t="s">
        <v>2552</v>
      </c>
      <c r="C47" s="561" t="s">
        <v>2550</v>
      </c>
      <c r="D47" s="719" t="s">
        <v>2527</v>
      </c>
    </row>
    <row r="48" spans="1:4" ht="15" thickBot="1">
      <c r="A48" s="2187" t="s">
        <v>2553</v>
      </c>
      <c r="B48" s="2188"/>
      <c r="C48" s="2188"/>
      <c r="D48" s="2189"/>
    </row>
    <row r="49" spans="1:4">
      <c r="A49" s="720">
        <v>1</v>
      </c>
      <c r="B49" s="734" t="s">
        <v>2554</v>
      </c>
      <c r="C49" s="560" t="s">
        <v>2555</v>
      </c>
      <c r="D49" s="717" t="s">
        <v>2527</v>
      </c>
    </row>
    <row r="50" spans="1:4">
      <c r="A50" s="2184" t="s">
        <v>2556</v>
      </c>
      <c r="B50" s="2184"/>
      <c r="C50" s="2185"/>
      <c r="D50" s="2185"/>
    </row>
    <row r="51" spans="1:4">
      <c r="B51" s="136"/>
      <c r="C51" s="562"/>
      <c r="D51" s="137"/>
    </row>
    <row r="52" spans="1:4">
      <c r="B52" s="136"/>
      <c r="C52" s="562"/>
      <c r="D52" s="137"/>
    </row>
    <row r="53" spans="1:4">
      <c r="B53" s="136"/>
      <c r="C53" s="562"/>
      <c r="D53" s="137"/>
    </row>
    <row r="54" spans="1:4">
      <c r="B54" s="136"/>
      <c r="C54" s="562"/>
      <c r="D54" s="137"/>
    </row>
    <row r="55" spans="1:4">
      <c r="B55" s="136"/>
      <c r="C55" s="562"/>
      <c r="D55" s="137"/>
    </row>
    <row r="56" spans="1:4">
      <c r="B56" s="136"/>
      <c r="C56" s="562"/>
      <c r="D56" s="137"/>
    </row>
    <row r="57" spans="1:4">
      <c r="B57" s="136"/>
      <c r="C57" s="562"/>
      <c r="D57" s="137"/>
    </row>
    <row r="58" spans="1:4">
      <c r="B58" s="136"/>
      <c r="C58" s="562"/>
      <c r="D58" s="137"/>
    </row>
    <row r="59" spans="1:4">
      <c r="B59" s="136"/>
      <c r="C59" s="562"/>
      <c r="D59" s="137"/>
    </row>
    <row r="60" spans="1:4">
      <c r="B60" s="136"/>
      <c r="C60" s="562"/>
      <c r="D60" s="137"/>
    </row>
    <row r="61" spans="1:4">
      <c r="B61" s="136"/>
      <c r="C61" s="562"/>
      <c r="D61" s="137"/>
    </row>
    <row r="62" spans="1:4">
      <c r="B62" s="136"/>
      <c r="C62" s="562"/>
      <c r="D62" s="137"/>
    </row>
    <row r="63" spans="1:4">
      <c r="B63" s="136"/>
      <c r="C63" s="562"/>
      <c r="D63" s="137"/>
    </row>
    <row r="64" spans="1:4">
      <c r="B64" s="136"/>
      <c r="C64" s="562"/>
      <c r="D64" s="137"/>
    </row>
    <row r="65" spans="2:4">
      <c r="B65" s="136"/>
      <c r="C65" s="562"/>
      <c r="D65" s="137"/>
    </row>
    <row r="66" spans="2:4">
      <c r="B66" s="136"/>
      <c r="C66" s="562"/>
      <c r="D66" s="137"/>
    </row>
    <row r="67" spans="2:4">
      <c r="B67" s="136"/>
      <c r="C67" s="562"/>
      <c r="D67" s="137"/>
    </row>
    <row r="68" spans="2:4">
      <c r="B68" s="136"/>
      <c r="C68" s="562"/>
      <c r="D68" s="137"/>
    </row>
    <row r="69" spans="2:4">
      <c r="B69" s="136"/>
      <c r="C69" s="562"/>
      <c r="D69" s="137"/>
    </row>
    <row r="70" spans="2:4">
      <c r="B70" s="136"/>
      <c r="C70" s="562"/>
      <c r="D70" s="137"/>
    </row>
    <row r="71" spans="2:4">
      <c r="B71" s="136"/>
      <c r="C71" s="562"/>
      <c r="D71" s="137"/>
    </row>
    <row r="72" spans="2:4">
      <c r="B72" s="136"/>
      <c r="C72" s="562"/>
      <c r="D72" s="137"/>
    </row>
    <row r="73" spans="2:4">
      <c r="B73" s="136"/>
      <c r="C73" s="562"/>
      <c r="D73" s="137"/>
    </row>
    <row r="74" spans="2:4">
      <c r="B74" s="136"/>
      <c r="C74" s="562"/>
      <c r="D74" s="137"/>
    </row>
    <row r="75" spans="2:4">
      <c r="B75" s="136"/>
      <c r="C75" s="562"/>
      <c r="D75" s="137"/>
    </row>
    <row r="76" spans="2:4">
      <c r="B76" s="136"/>
      <c r="C76" s="562"/>
      <c r="D76" s="137"/>
    </row>
    <row r="77" spans="2:4">
      <c r="B77" s="136"/>
      <c r="C77" s="562"/>
      <c r="D77" s="137"/>
    </row>
    <row r="78" spans="2:4">
      <c r="B78" s="136"/>
      <c r="C78" s="562"/>
      <c r="D78" s="137"/>
    </row>
    <row r="79" spans="2:4">
      <c r="B79" s="136"/>
      <c r="C79" s="562"/>
      <c r="D79" s="137"/>
    </row>
    <row r="80" spans="2:4">
      <c r="B80" s="136"/>
      <c r="C80" s="562"/>
      <c r="D80" s="137"/>
    </row>
    <row r="81" spans="2:4">
      <c r="B81" s="136"/>
      <c r="C81" s="562"/>
      <c r="D81" s="137"/>
    </row>
    <row r="82" spans="2:4">
      <c r="B82" s="136"/>
      <c r="C82" s="562"/>
      <c r="D82" s="137"/>
    </row>
    <row r="83" spans="2:4">
      <c r="B83" s="136"/>
      <c r="C83" s="562"/>
      <c r="D83" s="137"/>
    </row>
    <row r="84" spans="2:4">
      <c r="B84" s="136"/>
      <c r="C84" s="562"/>
      <c r="D84" s="137"/>
    </row>
    <row r="85" spans="2:4">
      <c r="B85" s="136"/>
      <c r="C85" s="562"/>
      <c r="D85" s="137"/>
    </row>
    <row r="86" spans="2:4">
      <c r="B86" s="136"/>
      <c r="C86" s="562"/>
      <c r="D86" s="137"/>
    </row>
    <row r="87" spans="2:4">
      <c r="B87" s="136"/>
      <c r="C87" s="562"/>
      <c r="D87" s="137"/>
    </row>
    <row r="88" spans="2:4">
      <c r="B88" s="136"/>
      <c r="C88" s="562"/>
      <c r="D88" s="137"/>
    </row>
    <row r="89" spans="2:4">
      <c r="B89" s="136"/>
      <c r="C89" s="562"/>
      <c r="D89" s="137"/>
    </row>
    <row r="90" spans="2:4">
      <c r="B90" s="136"/>
      <c r="C90" s="562"/>
      <c r="D90" s="137"/>
    </row>
    <row r="91" spans="2:4">
      <c r="B91" s="136"/>
      <c r="C91" s="562"/>
      <c r="D91" s="137"/>
    </row>
    <row r="92" spans="2:4">
      <c r="B92" s="136"/>
      <c r="C92" s="562"/>
      <c r="D92" s="137"/>
    </row>
    <row r="93" spans="2:4">
      <c r="B93" s="136"/>
      <c r="C93" s="562"/>
      <c r="D93" s="137"/>
    </row>
    <row r="94" spans="2:4">
      <c r="B94" s="136"/>
      <c r="C94" s="562"/>
      <c r="D94" s="137"/>
    </row>
    <row r="95" spans="2:4">
      <c r="B95" s="136"/>
      <c r="C95" s="562"/>
      <c r="D95" s="137"/>
    </row>
    <row r="96" spans="2:4">
      <c r="B96" s="136"/>
      <c r="C96" s="562"/>
      <c r="D96" s="137"/>
    </row>
    <row r="97" spans="2:4">
      <c r="B97" s="136"/>
      <c r="C97" s="562"/>
      <c r="D97" s="137"/>
    </row>
    <row r="98" spans="2:4">
      <c r="B98" s="136"/>
      <c r="C98" s="562"/>
      <c r="D98" s="137"/>
    </row>
    <row r="99" spans="2:4">
      <c r="B99" s="136"/>
      <c r="C99" s="562"/>
      <c r="D99" s="137"/>
    </row>
    <row r="100" spans="2:4">
      <c r="B100" s="136"/>
      <c r="C100" s="562"/>
      <c r="D100" s="137"/>
    </row>
    <row r="101" spans="2:4">
      <c r="B101" s="136"/>
      <c r="C101" s="562"/>
      <c r="D101" s="137"/>
    </row>
  </sheetData>
  <sortState xmlns:xlrd2="http://schemas.microsoft.com/office/spreadsheetml/2017/richdata2" ref="A6:D12">
    <sortCondition ref="B5:B12"/>
  </sortState>
  <mergeCells count="13">
    <mergeCell ref="A30:D30"/>
    <mergeCell ref="A1:D1"/>
    <mergeCell ref="A4:D4"/>
    <mergeCell ref="A2:A3"/>
    <mergeCell ref="D2:D3"/>
    <mergeCell ref="C2:C3"/>
    <mergeCell ref="B2:B3"/>
    <mergeCell ref="A50:B50"/>
    <mergeCell ref="C50:D50"/>
    <mergeCell ref="A31:D31"/>
    <mergeCell ref="A42:D42"/>
    <mergeCell ref="A44:D44"/>
    <mergeCell ref="A48:D48"/>
  </mergeCells>
  <pageMargins left="0.59055118110236227" right="0.39370078740157483" top="0.39370078740157483" bottom="0.39370078740157483" header="0" footer="0"/>
  <pageSetup paperSize="9" scale="83" fitToHeight="0" orientation="portrait" r:id="rId1"/>
  <colBreaks count="1" manualBreakCount="1">
    <brk id="1" max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B1:S69"/>
  <sheetViews>
    <sheetView view="pageBreakPreview" topLeftCell="A34" zoomScale="85" zoomScaleSheetLayoutView="85" workbookViewId="0">
      <selection activeCell="K47" sqref="K47"/>
    </sheetView>
  </sheetViews>
  <sheetFormatPr defaultRowHeight="13.2"/>
  <cols>
    <col min="1" max="1" width="5.6640625" style="77" customWidth="1"/>
    <col min="2" max="2" width="20.6640625" style="77" customWidth="1"/>
    <col min="3" max="3" width="10.6640625" style="77" customWidth="1"/>
    <col min="4" max="4" width="1.88671875" style="77" bestFit="1" customWidth="1"/>
    <col min="5" max="5" width="10.6640625" style="77" customWidth="1"/>
    <col min="6" max="6" width="12.6640625" style="77" customWidth="1"/>
    <col min="7" max="8" width="14.6640625" style="77" customWidth="1"/>
    <col min="9" max="9" width="20.6640625" style="77" customWidth="1"/>
    <col min="10" max="10" width="15" style="77" customWidth="1"/>
    <col min="11" max="12" width="12.6640625" style="77" customWidth="1"/>
    <col min="13" max="13" width="15.44140625" style="77" bestFit="1" customWidth="1"/>
    <col min="14" max="14" width="15.6640625" style="77" customWidth="1"/>
    <col min="15" max="15" width="16.6640625" style="77" customWidth="1"/>
    <col min="16" max="16" width="17.33203125" style="77" customWidth="1"/>
    <col min="17" max="17" width="11.33203125" style="77" bestFit="1" customWidth="1"/>
    <col min="18" max="18" width="2" style="77" bestFit="1" customWidth="1"/>
    <col min="19" max="19" width="11.33203125" style="77" bestFit="1" customWidth="1"/>
    <col min="20" max="258" width="9.109375" style="77"/>
    <col min="259" max="259" width="16.44140625" style="77" customWidth="1"/>
    <col min="260" max="260" width="15.6640625" style="77" customWidth="1"/>
    <col min="261" max="263" width="14.6640625" style="77" customWidth="1"/>
    <col min="264" max="264" width="15.33203125" style="77" customWidth="1"/>
    <col min="265" max="266" width="14.6640625" style="77" customWidth="1"/>
    <col min="267" max="267" width="14" style="77" customWidth="1"/>
    <col min="268" max="268" width="13.44140625" style="77" customWidth="1"/>
    <col min="269" max="271" width="14.6640625" style="77" customWidth="1"/>
    <col min="272" max="514" width="9.109375" style="77"/>
    <col min="515" max="515" width="16.44140625" style="77" customWidth="1"/>
    <col min="516" max="516" width="15.6640625" style="77" customWidth="1"/>
    <col min="517" max="519" width="14.6640625" style="77" customWidth="1"/>
    <col min="520" max="520" width="15.33203125" style="77" customWidth="1"/>
    <col min="521" max="522" width="14.6640625" style="77" customWidth="1"/>
    <col min="523" max="523" width="14" style="77" customWidth="1"/>
    <col min="524" max="524" width="13.44140625" style="77" customWidth="1"/>
    <col min="525" max="527" width="14.6640625" style="77" customWidth="1"/>
    <col min="528" max="770" width="9.109375" style="77"/>
    <col min="771" max="771" width="16.44140625" style="77" customWidth="1"/>
    <col min="772" max="772" width="15.6640625" style="77" customWidth="1"/>
    <col min="773" max="775" width="14.6640625" style="77" customWidth="1"/>
    <col min="776" max="776" width="15.33203125" style="77" customWidth="1"/>
    <col min="777" max="778" width="14.6640625" style="77" customWidth="1"/>
    <col min="779" max="779" width="14" style="77" customWidth="1"/>
    <col min="780" max="780" width="13.44140625" style="77" customWidth="1"/>
    <col min="781" max="783" width="14.6640625" style="77" customWidth="1"/>
    <col min="784" max="1026" width="9.109375" style="77"/>
    <col min="1027" max="1027" width="16.44140625" style="77" customWidth="1"/>
    <col min="1028" max="1028" width="15.6640625" style="77" customWidth="1"/>
    <col min="1029" max="1031" width="14.6640625" style="77" customWidth="1"/>
    <col min="1032" max="1032" width="15.33203125" style="77" customWidth="1"/>
    <col min="1033" max="1034" width="14.6640625" style="77" customWidth="1"/>
    <col min="1035" max="1035" width="14" style="77" customWidth="1"/>
    <col min="1036" max="1036" width="13.44140625" style="77" customWidth="1"/>
    <col min="1037" max="1039" width="14.6640625" style="77" customWidth="1"/>
    <col min="1040" max="1282" width="9.109375" style="77"/>
    <col min="1283" max="1283" width="16.44140625" style="77" customWidth="1"/>
    <col min="1284" max="1284" width="15.6640625" style="77" customWidth="1"/>
    <col min="1285" max="1287" width="14.6640625" style="77" customWidth="1"/>
    <col min="1288" max="1288" width="15.33203125" style="77" customWidth="1"/>
    <col min="1289" max="1290" width="14.6640625" style="77" customWidth="1"/>
    <col min="1291" max="1291" width="14" style="77" customWidth="1"/>
    <col min="1292" max="1292" width="13.44140625" style="77" customWidth="1"/>
    <col min="1293" max="1295" width="14.6640625" style="77" customWidth="1"/>
    <col min="1296" max="1538" width="9.109375" style="77"/>
    <col min="1539" max="1539" width="16.44140625" style="77" customWidth="1"/>
    <col min="1540" max="1540" width="15.6640625" style="77" customWidth="1"/>
    <col min="1541" max="1543" width="14.6640625" style="77" customWidth="1"/>
    <col min="1544" max="1544" width="15.33203125" style="77" customWidth="1"/>
    <col min="1545" max="1546" width="14.6640625" style="77" customWidth="1"/>
    <col min="1547" max="1547" width="14" style="77" customWidth="1"/>
    <col min="1548" max="1548" width="13.44140625" style="77" customWidth="1"/>
    <col min="1549" max="1551" width="14.6640625" style="77" customWidth="1"/>
    <col min="1552" max="1794" width="9.109375" style="77"/>
    <col min="1795" max="1795" width="16.44140625" style="77" customWidth="1"/>
    <col min="1796" max="1796" width="15.6640625" style="77" customWidth="1"/>
    <col min="1797" max="1799" width="14.6640625" style="77" customWidth="1"/>
    <col min="1800" max="1800" width="15.33203125" style="77" customWidth="1"/>
    <col min="1801" max="1802" width="14.6640625" style="77" customWidth="1"/>
    <col min="1803" max="1803" width="14" style="77" customWidth="1"/>
    <col min="1804" max="1804" width="13.44140625" style="77" customWidth="1"/>
    <col min="1805" max="1807" width="14.6640625" style="77" customWidth="1"/>
    <col min="1808" max="2050" width="9.109375" style="77"/>
    <col min="2051" max="2051" width="16.44140625" style="77" customWidth="1"/>
    <col min="2052" max="2052" width="15.6640625" style="77" customWidth="1"/>
    <col min="2053" max="2055" width="14.6640625" style="77" customWidth="1"/>
    <col min="2056" max="2056" width="15.33203125" style="77" customWidth="1"/>
    <col min="2057" max="2058" width="14.6640625" style="77" customWidth="1"/>
    <col min="2059" max="2059" width="14" style="77" customWidth="1"/>
    <col min="2060" max="2060" width="13.44140625" style="77" customWidth="1"/>
    <col min="2061" max="2063" width="14.6640625" style="77" customWidth="1"/>
    <col min="2064" max="2306" width="9.109375" style="77"/>
    <col min="2307" max="2307" width="16.44140625" style="77" customWidth="1"/>
    <col min="2308" max="2308" width="15.6640625" style="77" customWidth="1"/>
    <col min="2309" max="2311" width="14.6640625" style="77" customWidth="1"/>
    <col min="2312" max="2312" width="15.33203125" style="77" customWidth="1"/>
    <col min="2313" max="2314" width="14.6640625" style="77" customWidth="1"/>
    <col min="2315" max="2315" width="14" style="77" customWidth="1"/>
    <col min="2316" max="2316" width="13.44140625" style="77" customWidth="1"/>
    <col min="2317" max="2319" width="14.6640625" style="77" customWidth="1"/>
    <col min="2320" max="2562" width="9.109375" style="77"/>
    <col min="2563" max="2563" width="16.44140625" style="77" customWidth="1"/>
    <col min="2564" max="2564" width="15.6640625" style="77" customWidth="1"/>
    <col min="2565" max="2567" width="14.6640625" style="77" customWidth="1"/>
    <col min="2568" max="2568" width="15.33203125" style="77" customWidth="1"/>
    <col min="2569" max="2570" width="14.6640625" style="77" customWidth="1"/>
    <col min="2571" max="2571" width="14" style="77" customWidth="1"/>
    <col min="2572" max="2572" width="13.44140625" style="77" customWidth="1"/>
    <col min="2573" max="2575" width="14.6640625" style="77" customWidth="1"/>
    <col min="2576" max="2818" width="9.109375" style="77"/>
    <col min="2819" max="2819" width="16.44140625" style="77" customWidth="1"/>
    <col min="2820" max="2820" width="15.6640625" style="77" customWidth="1"/>
    <col min="2821" max="2823" width="14.6640625" style="77" customWidth="1"/>
    <col min="2824" max="2824" width="15.33203125" style="77" customWidth="1"/>
    <col min="2825" max="2826" width="14.6640625" style="77" customWidth="1"/>
    <col min="2827" max="2827" width="14" style="77" customWidth="1"/>
    <col min="2828" max="2828" width="13.44140625" style="77" customWidth="1"/>
    <col min="2829" max="2831" width="14.6640625" style="77" customWidth="1"/>
    <col min="2832" max="3074" width="9.109375" style="77"/>
    <col min="3075" max="3075" width="16.44140625" style="77" customWidth="1"/>
    <col min="3076" max="3076" width="15.6640625" style="77" customWidth="1"/>
    <col min="3077" max="3079" width="14.6640625" style="77" customWidth="1"/>
    <col min="3080" max="3080" width="15.33203125" style="77" customWidth="1"/>
    <col min="3081" max="3082" width="14.6640625" style="77" customWidth="1"/>
    <col min="3083" max="3083" width="14" style="77" customWidth="1"/>
    <col min="3084" max="3084" width="13.44140625" style="77" customWidth="1"/>
    <col min="3085" max="3087" width="14.6640625" style="77" customWidth="1"/>
    <col min="3088" max="3330" width="9.109375" style="77"/>
    <col min="3331" max="3331" width="16.44140625" style="77" customWidth="1"/>
    <col min="3332" max="3332" width="15.6640625" style="77" customWidth="1"/>
    <col min="3333" max="3335" width="14.6640625" style="77" customWidth="1"/>
    <col min="3336" max="3336" width="15.33203125" style="77" customWidth="1"/>
    <col min="3337" max="3338" width="14.6640625" style="77" customWidth="1"/>
    <col min="3339" max="3339" width="14" style="77" customWidth="1"/>
    <col min="3340" max="3340" width="13.44140625" style="77" customWidth="1"/>
    <col min="3341" max="3343" width="14.6640625" style="77" customWidth="1"/>
    <col min="3344" max="3586" width="9.109375" style="77"/>
    <col min="3587" max="3587" width="16.44140625" style="77" customWidth="1"/>
    <col min="3588" max="3588" width="15.6640625" style="77" customWidth="1"/>
    <col min="3589" max="3591" width="14.6640625" style="77" customWidth="1"/>
    <col min="3592" max="3592" width="15.33203125" style="77" customWidth="1"/>
    <col min="3593" max="3594" width="14.6640625" style="77" customWidth="1"/>
    <col min="3595" max="3595" width="14" style="77" customWidth="1"/>
    <col min="3596" max="3596" width="13.44140625" style="77" customWidth="1"/>
    <col min="3597" max="3599" width="14.6640625" style="77" customWidth="1"/>
    <col min="3600" max="3842" width="9.109375" style="77"/>
    <col min="3843" max="3843" width="16.44140625" style="77" customWidth="1"/>
    <col min="3844" max="3844" width="15.6640625" style="77" customWidth="1"/>
    <col min="3845" max="3847" width="14.6640625" style="77" customWidth="1"/>
    <col min="3848" max="3848" width="15.33203125" style="77" customWidth="1"/>
    <col min="3849" max="3850" width="14.6640625" style="77" customWidth="1"/>
    <col min="3851" max="3851" width="14" style="77" customWidth="1"/>
    <col min="3852" max="3852" width="13.44140625" style="77" customWidth="1"/>
    <col min="3853" max="3855" width="14.6640625" style="77" customWidth="1"/>
    <col min="3856" max="4098" width="9.109375" style="77"/>
    <col min="4099" max="4099" width="16.44140625" style="77" customWidth="1"/>
    <col min="4100" max="4100" width="15.6640625" style="77" customWidth="1"/>
    <col min="4101" max="4103" width="14.6640625" style="77" customWidth="1"/>
    <col min="4104" max="4104" width="15.33203125" style="77" customWidth="1"/>
    <col min="4105" max="4106" width="14.6640625" style="77" customWidth="1"/>
    <col min="4107" max="4107" width="14" style="77" customWidth="1"/>
    <col min="4108" max="4108" width="13.44140625" style="77" customWidth="1"/>
    <col min="4109" max="4111" width="14.6640625" style="77" customWidth="1"/>
    <col min="4112" max="4354" width="9.109375" style="77"/>
    <col min="4355" max="4355" width="16.44140625" style="77" customWidth="1"/>
    <col min="4356" max="4356" width="15.6640625" style="77" customWidth="1"/>
    <col min="4357" max="4359" width="14.6640625" style="77" customWidth="1"/>
    <col min="4360" max="4360" width="15.33203125" style="77" customWidth="1"/>
    <col min="4361" max="4362" width="14.6640625" style="77" customWidth="1"/>
    <col min="4363" max="4363" width="14" style="77" customWidth="1"/>
    <col min="4364" max="4364" width="13.44140625" style="77" customWidth="1"/>
    <col min="4365" max="4367" width="14.6640625" style="77" customWidth="1"/>
    <col min="4368" max="4610" width="9.109375" style="77"/>
    <col min="4611" max="4611" width="16.44140625" style="77" customWidth="1"/>
    <col min="4612" max="4612" width="15.6640625" style="77" customWidth="1"/>
    <col min="4613" max="4615" width="14.6640625" style="77" customWidth="1"/>
    <col min="4616" max="4616" width="15.33203125" style="77" customWidth="1"/>
    <col min="4617" max="4618" width="14.6640625" style="77" customWidth="1"/>
    <col min="4619" max="4619" width="14" style="77" customWidth="1"/>
    <col min="4620" max="4620" width="13.44140625" style="77" customWidth="1"/>
    <col min="4621" max="4623" width="14.6640625" style="77" customWidth="1"/>
    <col min="4624" max="4866" width="9.109375" style="77"/>
    <col min="4867" max="4867" width="16.44140625" style="77" customWidth="1"/>
    <col min="4868" max="4868" width="15.6640625" style="77" customWidth="1"/>
    <col min="4869" max="4871" width="14.6640625" style="77" customWidth="1"/>
    <col min="4872" max="4872" width="15.33203125" style="77" customWidth="1"/>
    <col min="4873" max="4874" width="14.6640625" style="77" customWidth="1"/>
    <col min="4875" max="4875" width="14" style="77" customWidth="1"/>
    <col min="4876" max="4876" width="13.44140625" style="77" customWidth="1"/>
    <col min="4877" max="4879" width="14.6640625" style="77" customWidth="1"/>
    <col min="4880" max="5122" width="9.109375" style="77"/>
    <col min="5123" max="5123" width="16.44140625" style="77" customWidth="1"/>
    <col min="5124" max="5124" width="15.6640625" style="77" customWidth="1"/>
    <col min="5125" max="5127" width="14.6640625" style="77" customWidth="1"/>
    <col min="5128" max="5128" width="15.33203125" style="77" customWidth="1"/>
    <col min="5129" max="5130" width="14.6640625" style="77" customWidth="1"/>
    <col min="5131" max="5131" width="14" style="77" customWidth="1"/>
    <col min="5132" max="5132" width="13.44140625" style="77" customWidth="1"/>
    <col min="5133" max="5135" width="14.6640625" style="77" customWidth="1"/>
    <col min="5136" max="5378" width="9.109375" style="77"/>
    <col min="5379" max="5379" width="16.44140625" style="77" customWidth="1"/>
    <col min="5380" max="5380" width="15.6640625" style="77" customWidth="1"/>
    <col min="5381" max="5383" width="14.6640625" style="77" customWidth="1"/>
    <col min="5384" max="5384" width="15.33203125" style="77" customWidth="1"/>
    <col min="5385" max="5386" width="14.6640625" style="77" customWidth="1"/>
    <col min="5387" max="5387" width="14" style="77" customWidth="1"/>
    <col min="5388" max="5388" width="13.44140625" style="77" customWidth="1"/>
    <col min="5389" max="5391" width="14.6640625" style="77" customWidth="1"/>
    <col min="5392" max="5634" width="9.109375" style="77"/>
    <col min="5635" max="5635" width="16.44140625" style="77" customWidth="1"/>
    <col min="5636" max="5636" width="15.6640625" style="77" customWidth="1"/>
    <col min="5637" max="5639" width="14.6640625" style="77" customWidth="1"/>
    <col min="5640" max="5640" width="15.33203125" style="77" customWidth="1"/>
    <col min="5641" max="5642" width="14.6640625" style="77" customWidth="1"/>
    <col min="5643" max="5643" width="14" style="77" customWidth="1"/>
    <col min="5644" max="5644" width="13.44140625" style="77" customWidth="1"/>
    <col min="5645" max="5647" width="14.6640625" style="77" customWidth="1"/>
    <col min="5648" max="5890" width="9.109375" style="77"/>
    <col min="5891" max="5891" width="16.44140625" style="77" customWidth="1"/>
    <col min="5892" max="5892" width="15.6640625" style="77" customWidth="1"/>
    <col min="5893" max="5895" width="14.6640625" style="77" customWidth="1"/>
    <col min="5896" max="5896" width="15.33203125" style="77" customWidth="1"/>
    <col min="5897" max="5898" width="14.6640625" style="77" customWidth="1"/>
    <col min="5899" max="5899" width="14" style="77" customWidth="1"/>
    <col min="5900" max="5900" width="13.44140625" style="77" customWidth="1"/>
    <col min="5901" max="5903" width="14.6640625" style="77" customWidth="1"/>
    <col min="5904" max="6146" width="9.109375" style="77"/>
    <col min="6147" max="6147" width="16.44140625" style="77" customWidth="1"/>
    <col min="6148" max="6148" width="15.6640625" style="77" customWidth="1"/>
    <col min="6149" max="6151" width="14.6640625" style="77" customWidth="1"/>
    <col min="6152" max="6152" width="15.33203125" style="77" customWidth="1"/>
    <col min="6153" max="6154" width="14.6640625" style="77" customWidth="1"/>
    <col min="6155" max="6155" width="14" style="77" customWidth="1"/>
    <col min="6156" max="6156" width="13.44140625" style="77" customWidth="1"/>
    <col min="6157" max="6159" width="14.6640625" style="77" customWidth="1"/>
    <col min="6160" max="6402" width="9.109375" style="77"/>
    <col min="6403" max="6403" width="16.44140625" style="77" customWidth="1"/>
    <col min="6404" max="6404" width="15.6640625" style="77" customWidth="1"/>
    <col min="6405" max="6407" width="14.6640625" style="77" customWidth="1"/>
    <col min="6408" max="6408" width="15.33203125" style="77" customWidth="1"/>
    <col min="6409" max="6410" width="14.6640625" style="77" customWidth="1"/>
    <col min="6411" max="6411" width="14" style="77" customWidth="1"/>
    <col min="6412" max="6412" width="13.44140625" style="77" customWidth="1"/>
    <col min="6413" max="6415" width="14.6640625" style="77" customWidth="1"/>
    <col min="6416" max="6658" width="9.109375" style="77"/>
    <col min="6659" max="6659" width="16.44140625" style="77" customWidth="1"/>
    <col min="6660" max="6660" width="15.6640625" style="77" customWidth="1"/>
    <col min="6661" max="6663" width="14.6640625" style="77" customWidth="1"/>
    <col min="6664" max="6664" width="15.33203125" style="77" customWidth="1"/>
    <col min="6665" max="6666" width="14.6640625" style="77" customWidth="1"/>
    <col min="6667" max="6667" width="14" style="77" customWidth="1"/>
    <col min="6668" max="6668" width="13.44140625" style="77" customWidth="1"/>
    <col min="6669" max="6671" width="14.6640625" style="77" customWidth="1"/>
    <col min="6672" max="6914" width="9.109375" style="77"/>
    <col min="6915" max="6915" width="16.44140625" style="77" customWidth="1"/>
    <col min="6916" max="6916" width="15.6640625" style="77" customWidth="1"/>
    <col min="6917" max="6919" width="14.6640625" style="77" customWidth="1"/>
    <col min="6920" max="6920" width="15.33203125" style="77" customWidth="1"/>
    <col min="6921" max="6922" width="14.6640625" style="77" customWidth="1"/>
    <col min="6923" max="6923" width="14" style="77" customWidth="1"/>
    <col min="6924" max="6924" width="13.44140625" style="77" customWidth="1"/>
    <col min="6925" max="6927" width="14.6640625" style="77" customWidth="1"/>
    <col min="6928" max="7170" width="9.109375" style="77"/>
    <col min="7171" max="7171" width="16.44140625" style="77" customWidth="1"/>
    <col min="7172" max="7172" width="15.6640625" style="77" customWidth="1"/>
    <col min="7173" max="7175" width="14.6640625" style="77" customWidth="1"/>
    <col min="7176" max="7176" width="15.33203125" style="77" customWidth="1"/>
    <col min="7177" max="7178" width="14.6640625" style="77" customWidth="1"/>
    <col min="7179" max="7179" width="14" style="77" customWidth="1"/>
    <col min="7180" max="7180" width="13.44140625" style="77" customWidth="1"/>
    <col min="7181" max="7183" width="14.6640625" style="77" customWidth="1"/>
    <col min="7184" max="7426" width="9.109375" style="77"/>
    <col min="7427" max="7427" width="16.44140625" style="77" customWidth="1"/>
    <col min="7428" max="7428" width="15.6640625" style="77" customWidth="1"/>
    <col min="7429" max="7431" width="14.6640625" style="77" customWidth="1"/>
    <col min="7432" max="7432" width="15.33203125" style="77" customWidth="1"/>
    <col min="7433" max="7434" width="14.6640625" style="77" customWidth="1"/>
    <col min="7435" max="7435" width="14" style="77" customWidth="1"/>
    <col min="7436" max="7436" width="13.44140625" style="77" customWidth="1"/>
    <col min="7437" max="7439" width="14.6640625" style="77" customWidth="1"/>
    <col min="7440" max="7682" width="9.109375" style="77"/>
    <col min="7683" max="7683" width="16.44140625" style="77" customWidth="1"/>
    <col min="7684" max="7684" width="15.6640625" style="77" customWidth="1"/>
    <col min="7685" max="7687" width="14.6640625" style="77" customWidth="1"/>
    <col min="7688" max="7688" width="15.33203125" style="77" customWidth="1"/>
    <col min="7689" max="7690" width="14.6640625" style="77" customWidth="1"/>
    <col min="7691" max="7691" width="14" style="77" customWidth="1"/>
    <col min="7692" max="7692" width="13.44140625" style="77" customWidth="1"/>
    <col min="7693" max="7695" width="14.6640625" style="77" customWidth="1"/>
    <col min="7696" max="7938" width="9.109375" style="77"/>
    <col min="7939" max="7939" width="16.44140625" style="77" customWidth="1"/>
    <col min="7940" max="7940" width="15.6640625" style="77" customWidth="1"/>
    <col min="7941" max="7943" width="14.6640625" style="77" customWidth="1"/>
    <col min="7944" max="7944" width="15.33203125" style="77" customWidth="1"/>
    <col min="7945" max="7946" width="14.6640625" style="77" customWidth="1"/>
    <col min="7947" max="7947" width="14" style="77" customWidth="1"/>
    <col min="7948" max="7948" width="13.44140625" style="77" customWidth="1"/>
    <col min="7949" max="7951" width="14.6640625" style="77" customWidth="1"/>
    <col min="7952" max="8194" width="9.109375" style="77"/>
    <col min="8195" max="8195" width="16.44140625" style="77" customWidth="1"/>
    <col min="8196" max="8196" width="15.6640625" style="77" customWidth="1"/>
    <col min="8197" max="8199" width="14.6640625" style="77" customWidth="1"/>
    <col min="8200" max="8200" width="15.33203125" style="77" customWidth="1"/>
    <col min="8201" max="8202" width="14.6640625" style="77" customWidth="1"/>
    <col min="8203" max="8203" width="14" style="77" customWidth="1"/>
    <col min="8204" max="8204" width="13.44140625" style="77" customWidth="1"/>
    <col min="8205" max="8207" width="14.6640625" style="77" customWidth="1"/>
    <col min="8208" max="8450" width="9.109375" style="77"/>
    <col min="8451" max="8451" width="16.44140625" style="77" customWidth="1"/>
    <col min="8452" max="8452" width="15.6640625" style="77" customWidth="1"/>
    <col min="8453" max="8455" width="14.6640625" style="77" customWidth="1"/>
    <col min="8456" max="8456" width="15.33203125" style="77" customWidth="1"/>
    <col min="8457" max="8458" width="14.6640625" style="77" customWidth="1"/>
    <col min="8459" max="8459" width="14" style="77" customWidth="1"/>
    <col min="8460" max="8460" width="13.44140625" style="77" customWidth="1"/>
    <col min="8461" max="8463" width="14.6640625" style="77" customWidth="1"/>
    <col min="8464" max="8706" width="9.109375" style="77"/>
    <col min="8707" max="8707" width="16.44140625" style="77" customWidth="1"/>
    <col min="8708" max="8708" width="15.6640625" style="77" customWidth="1"/>
    <col min="8709" max="8711" width="14.6640625" style="77" customWidth="1"/>
    <col min="8712" max="8712" width="15.33203125" style="77" customWidth="1"/>
    <col min="8713" max="8714" width="14.6640625" style="77" customWidth="1"/>
    <col min="8715" max="8715" width="14" style="77" customWidth="1"/>
    <col min="8716" max="8716" width="13.44140625" style="77" customWidth="1"/>
    <col min="8717" max="8719" width="14.6640625" style="77" customWidth="1"/>
    <col min="8720" max="8962" width="9.109375" style="77"/>
    <col min="8963" max="8963" width="16.44140625" style="77" customWidth="1"/>
    <col min="8964" max="8964" width="15.6640625" style="77" customWidth="1"/>
    <col min="8965" max="8967" width="14.6640625" style="77" customWidth="1"/>
    <col min="8968" max="8968" width="15.33203125" style="77" customWidth="1"/>
    <col min="8969" max="8970" width="14.6640625" style="77" customWidth="1"/>
    <col min="8971" max="8971" width="14" style="77" customWidth="1"/>
    <col min="8972" max="8972" width="13.44140625" style="77" customWidth="1"/>
    <col min="8973" max="8975" width="14.6640625" style="77" customWidth="1"/>
    <col min="8976" max="9218" width="9.109375" style="77"/>
    <col min="9219" max="9219" width="16.44140625" style="77" customWidth="1"/>
    <col min="9220" max="9220" width="15.6640625" style="77" customWidth="1"/>
    <col min="9221" max="9223" width="14.6640625" style="77" customWidth="1"/>
    <col min="9224" max="9224" width="15.33203125" style="77" customWidth="1"/>
    <col min="9225" max="9226" width="14.6640625" style="77" customWidth="1"/>
    <col min="9227" max="9227" width="14" style="77" customWidth="1"/>
    <col min="9228" max="9228" width="13.44140625" style="77" customWidth="1"/>
    <col min="9229" max="9231" width="14.6640625" style="77" customWidth="1"/>
    <col min="9232" max="9474" width="9.109375" style="77"/>
    <col min="9475" max="9475" width="16.44140625" style="77" customWidth="1"/>
    <col min="9476" max="9476" width="15.6640625" style="77" customWidth="1"/>
    <col min="9477" max="9479" width="14.6640625" style="77" customWidth="1"/>
    <col min="9480" max="9480" width="15.33203125" style="77" customWidth="1"/>
    <col min="9481" max="9482" width="14.6640625" style="77" customWidth="1"/>
    <col min="9483" max="9483" width="14" style="77" customWidth="1"/>
    <col min="9484" max="9484" width="13.44140625" style="77" customWidth="1"/>
    <col min="9485" max="9487" width="14.6640625" style="77" customWidth="1"/>
    <col min="9488" max="9730" width="9.109375" style="77"/>
    <col min="9731" max="9731" width="16.44140625" style="77" customWidth="1"/>
    <col min="9732" max="9732" width="15.6640625" style="77" customWidth="1"/>
    <col min="9733" max="9735" width="14.6640625" style="77" customWidth="1"/>
    <col min="9736" max="9736" width="15.33203125" style="77" customWidth="1"/>
    <col min="9737" max="9738" width="14.6640625" style="77" customWidth="1"/>
    <col min="9739" max="9739" width="14" style="77" customWidth="1"/>
    <col min="9740" max="9740" width="13.44140625" style="77" customWidth="1"/>
    <col min="9741" max="9743" width="14.6640625" style="77" customWidth="1"/>
    <col min="9744" max="9986" width="9.109375" style="77"/>
    <col min="9987" max="9987" width="16.44140625" style="77" customWidth="1"/>
    <col min="9988" max="9988" width="15.6640625" style="77" customWidth="1"/>
    <col min="9989" max="9991" width="14.6640625" style="77" customWidth="1"/>
    <col min="9992" max="9992" width="15.33203125" style="77" customWidth="1"/>
    <col min="9993" max="9994" width="14.6640625" style="77" customWidth="1"/>
    <col min="9995" max="9995" width="14" style="77" customWidth="1"/>
    <col min="9996" max="9996" width="13.44140625" style="77" customWidth="1"/>
    <col min="9997" max="9999" width="14.6640625" style="77" customWidth="1"/>
    <col min="10000" max="10242" width="9.109375" style="77"/>
    <col min="10243" max="10243" width="16.44140625" style="77" customWidth="1"/>
    <col min="10244" max="10244" width="15.6640625" style="77" customWidth="1"/>
    <col min="10245" max="10247" width="14.6640625" style="77" customWidth="1"/>
    <col min="10248" max="10248" width="15.33203125" style="77" customWidth="1"/>
    <col min="10249" max="10250" width="14.6640625" style="77" customWidth="1"/>
    <col min="10251" max="10251" width="14" style="77" customWidth="1"/>
    <col min="10252" max="10252" width="13.44140625" style="77" customWidth="1"/>
    <col min="10253" max="10255" width="14.6640625" style="77" customWidth="1"/>
    <col min="10256" max="10498" width="9.109375" style="77"/>
    <col min="10499" max="10499" width="16.44140625" style="77" customWidth="1"/>
    <col min="10500" max="10500" width="15.6640625" style="77" customWidth="1"/>
    <col min="10501" max="10503" width="14.6640625" style="77" customWidth="1"/>
    <col min="10504" max="10504" width="15.33203125" style="77" customWidth="1"/>
    <col min="10505" max="10506" width="14.6640625" style="77" customWidth="1"/>
    <col min="10507" max="10507" width="14" style="77" customWidth="1"/>
    <col min="10508" max="10508" width="13.44140625" style="77" customWidth="1"/>
    <col min="10509" max="10511" width="14.6640625" style="77" customWidth="1"/>
    <col min="10512" max="10754" width="9.109375" style="77"/>
    <col min="10755" max="10755" width="16.44140625" style="77" customWidth="1"/>
    <col min="10756" max="10756" width="15.6640625" style="77" customWidth="1"/>
    <col min="10757" max="10759" width="14.6640625" style="77" customWidth="1"/>
    <col min="10760" max="10760" width="15.33203125" style="77" customWidth="1"/>
    <col min="10761" max="10762" width="14.6640625" style="77" customWidth="1"/>
    <col min="10763" max="10763" width="14" style="77" customWidth="1"/>
    <col min="10764" max="10764" width="13.44140625" style="77" customWidth="1"/>
    <col min="10765" max="10767" width="14.6640625" style="77" customWidth="1"/>
    <col min="10768" max="11010" width="9.109375" style="77"/>
    <col min="11011" max="11011" width="16.44140625" style="77" customWidth="1"/>
    <col min="11012" max="11012" width="15.6640625" style="77" customWidth="1"/>
    <col min="11013" max="11015" width="14.6640625" style="77" customWidth="1"/>
    <col min="11016" max="11016" width="15.33203125" style="77" customWidth="1"/>
    <col min="11017" max="11018" width="14.6640625" style="77" customWidth="1"/>
    <col min="11019" max="11019" width="14" style="77" customWidth="1"/>
    <col min="11020" max="11020" width="13.44140625" style="77" customWidth="1"/>
    <col min="11021" max="11023" width="14.6640625" style="77" customWidth="1"/>
    <col min="11024" max="11266" width="9.109375" style="77"/>
    <col min="11267" max="11267" width="16.44140625" style="77" customWidth="1"/>
    <col min="11268" max="11268" width="15.6640625" style="77" customWidth="1"/>
    <col min="11269" max="11271" width="14.6640625" style="77" customWidth="1"/>
    <col min="11272" max="11272" width="15.33203125" style="77" customWidth="1"/>
    <col min="11273" max="11274" width="14.6640625" style="77" customWidth="1"/>
    <col min="11275" max="11275" width="14" style="77" customWidth="1"/>
    <col min="11276" max="11276" width="13.44140625" style="77" customWidth="1"/>
    <col min="11277" max="11279" width="14.6640625" style="77" customWidth="1"/>
    <col min="11280" max="11522" width="9.109375" style="77"/>
    <col min="11523" max="11523" width="16.44140625" style="77" customWidth="1"/>
    <col min="11524" max="11524" width="15.6640625" style="77" customWidth="1"/>
    <col min="11525" max="11527" width="14.6640625" style="77" customWidth="1"/>
    <col min="11528" max="11528" width="15.33203125" style="77" customWidth="1"/>
    <col min="11529" max="11530" width="14.6640625" style="77" customWidth="1"/>
    <col min="11531" max="11531" width="14" style="77" customWidth="1"/>
    <col min="11532" max="11532" width="13.44140625" style="77" customWidth="1"/>
    <col min="11533" max="11535" width="14.6640625" style="77" customWidth="1"/>
    <col min="11536" max="11778" width="9.109375" style="77"/>
    <col min="11779" max="11779" width="16.44140625" style="77" customWidth="1"/>
    <col min="11780" max="11780" width="15.6640625" style="77" customWidth="1"/>
    <col min="11781" max="11783" width="14.6640625" style="77" customWidth="1"/>
    <col min="11784" max="11784" width="15.33203125" style="77" customWidth="1"/>
    <col min="11785" max="11786" width="14.6640625" style="77" customWidth="1"/>
    <col min="11787" max="11787" width="14" style="77" customWidth="1"/>
    <col min="11788" max="11788" width="13.44140625" style="77" customWidth="1"/>
    <col min="11789" max="11791" width="14.6640625" style="77" customWidth="1"/>
    <col min="11792" max="12034" width="9.109375" style="77"/>
    <col min="12035" max="12035" width="16.44140625" style="77" customWidth="1"/>
    <col min="12036" max="12036" width="15.6640625" style="77" customWidth="1"/>
    <col min="12037" max="12039" width="14.6640625" style="77" customWidth="1"/>
    <col min="12040" max="12040" width="15.33203125" style="77" customWidth="1"/>
    <col min="12041" max="12042" width="14.6640625" style="77" customWidth="1"/>
    <col min="12043" max="12043" width="14" style="77" customWidth="1"/>
    <col min="12044" max="12044" width="13.44140625" style="77" customWidth="1"/>
    <col min="12045" max="12047" width="14.6640625" style="77" customWidth="1"/>
    <col min="12048" max="12290" width="9.109375" style="77"/>
    <col min="12291" max="12291" width="16.44140625" style="77" customWidth="1"/>
    <col min="12292" max="12292" width="15.6640625" style="77" customWidth="1"/>
    <col min="12293" max="12295" width="14.6640625" style="77" customWidth="1"/>
    <col min="12296" max="12296" width="15.33203125" style="77" customWidth="1"/>
    <col min="12297" max="12298" width="14.6640625" style="77" customWidth="1"/>
    <col min="12299" max="12299" width="14" style="77" customWidth="1"/>
    <col min="12300" max="12300" width="13.44140625" style="77" customWidth="1"/>
    <col min="12301" max="12303" width="14.6640625" style="77" customWidth="1"/>
    <col min="12304" max="12546" width="9.109375" style="77"/>
    <col min="12547" max="12547" width="16.44140625" style="77" customWidth="1"/>
    <col min="12548" max="12548" width="15.6640625" style="77" customWidth="1"/>
    <col min="12549" max="12551" width="14.6640625" style="77" customWidth="1"/>
    <col min="12552" max="12552" width="15.33203125" style="77" customWidth="1"/>
    <col min="12553" max="12554" width="14.6640625" style="77" customWidth="1"/>
    <col min="12555" max="12555" width="14" style="77" customWidth="1"/>
    <col min="12556" max="12556" width="13.44140625" style="77" customWidth="1"/>
    <col min="12557" max="12559" width="14.6640625" style="77" customWidth="1"/>
    <col min="12560" max="12802" width="9.109375" style="77"/>
    <col min="12803" max="12803" width="16.44140625" style="77" customWidth="1"/>
    <col min="12804" max="12804" width="15.6640625" style="77" customWidth="1"/>
    <col min="12805" max="12807" width="14.6640625" style="77" customWidth="1"/>
    <col min="12808" max="12808" width="15.33203125" style="77" customWidth="1"/>
    <col min="12809" max="12810" width="14.6640625" style="77" customWidth="1"/>
    <col min="12811" max="12811" width="14" style="77" customWidth="1"/>
    <col min="12812" max="12812" width="13.44140625" style="77" customWidth="1"/>
    <col min="12813" max="12815" width="14.6640625" style="77" customWidth="1"/>
    <col min="12816" max="13058" width="9.109375" style="77"/>
    <col min="13059" max="13059" width="16.44140625" style="77" customWidth="1"/>
    <col min="13060" max="13060" width="15.6640625" style="77" customWidth="1"/>
    <col min="13061" max="13063" width="14.6640625" style="77" customWidth="1"/>
    <col min="13064" max="13064" width="15.33203125" style="77" customWidth="1"/>
    <col min="13065" max="13066" width="14.6640625" style="77" customWidth="1"/>
    <col min="13067" max="13067" width="14" style="77" customWidth="1"/>
    <col min="13068" max="13068" width="13.44140625" style="77" customWidth="1"/>
    <col min="13069" max="13071" width="14.6640625" style="77" customWidth="1"/>
    <col min="13072" max="13314" width="9.109375" style="77"/>
    <col min="13315" max="13315" width="16.44140625" style="77" customWidth="1"/>
    <col min="13316" max="13316" width="15.6640625" style="77" customWidth="1"/>
    <col min="13317" max="13319" width="14.6640625" style="77" customWidth="1"/>
    <col min="13320" max="13320" width="15.33203125" style="77" customWidth="1"/>
    <col min="13321" max="13322" width="14.6640625" style="77" customWidth="1"/>
    <col min="13323" max="13323" width="14" style="77" customWidth="1"/>
    <col min="13324" max="13324" width="13.44140625" style="77" customWidth="1"/>
    <col min="13325" max="13327" width="14.6640625" style="77" customWidth="1"/>
    <col min="13328" max="13570" width="9.109375" style="77"/>
    <col min="13571" max="13571" width="16.44140625" style="77" customWidth="1"/>
    <col min="13572" max="13572" width="15.6640625" style="77" customWidth="1"/>
    <col min="13573" max="13575" width="14.6640625" style="77" customWidth="1"/>
    <col min="13576" max="13576" width="15.33203125" style="77" customWidth="1"/>
    <col min="13577" max="13578" width="14.6640625" style="77" customWidth="1"/>
    <col min="13579" max="13579" width="14" style="77" customWidth="1"/>
    <col min="13580" max="13580" width="13.44140625" style="77" customWidth="1"/>
    <col min="13581" max="13583" width="14.6640625" style="77" customWidth="1"/>
    <col min="13584" max="13826" width="9.109375" style="77"/>
    <col min="13827" max="13827" width="16.44140625" style="77" customWidth="1"/>
    <col min="13828" max="13828" width="15.6640625" style="77" customWidth="1"/>
    <col min="13829" max="13831" width="14.6640625" style="77" customWidth="1"/>
    <col min="13832" max="13832" width="15.33203125" style="77" customWidth="1"/>
    <col min="13833" max="13834" width="14.6640625" style="77" customWidth="1"/>
    <col min="13835" max="13835" width="14" style="77" customWidth="1"/>
    <col min="13836" max="13836" width="13.44140625" style="77" customWidth="1"/>
    <col min="13837" max="13839" width="14.6640625" style="77" customWidth="1"/>
    <col min="13840" max="14082" width="9.109375" style="77"/>
    <col min="14083" max="14083" width="16.44140625" style="77" customWidth="1"/>
    <col min="14084" max="14084" width="15.6640625" style="77" customWidth="1"/>
    <col min="14085" max="14087" width="14.6640625" style="77" customWidth="1"/>
    <col min="14088" max="14088" width="15.33203125" style="77" customWidth="1"/>
    <col min="14089" max="14090" width="14.6640625" style="77" customWidth="1"/>
    <col min="14091" max="14091" width="14" style="77" customWidth="1"/>
    <col min="14092" max="14092" width="13.44140625" style="77" customWidth="1"/>
    <col min="14093" max="14095" width="14.6640625" style="77" customWidth="1"/>
    <col min="14096" max="14338" width="9.109375" style="77"/>
    <col min="14339" max="14339" width="16.44140625" style="77" customWidth="1"/>
    <col min="14340" max="14340" width="15.6640625" style="77" customWidth="1"/>
    <col min="14341" max="14343" width="14.6640625" style="77" customWidth="1"/>
    <col min="14344" max="14344" width="15.33203125" style="77" customWidth="1"/>
    <col min="14345" max="14346" width="14.6640625" style="77" customWidth="1"/>
    <col min="14347" max="14347" width="14" style="77" customWidth="1"/>
    <col min="14348" max="14348" width="13.44140625" style="77" customWidth="1"/>
    <col min="14349" max="14351" width="14.6640625" style="77" customWidth="1"/>
    <col min="14352" max="14594" width="9.109375" style="77"/>
    <col min="14595" max="14595" width="16.44140625" style="77" customWidth="1"/>
    <col min="14596" max="14596" width="15.6640625" style="77" customWidth="1"/>
    <col min="14597" max="14599" width="14.6640625" style="77" customWidth="1"/>
    <col min="14600" max="14600" width="15.33203125" style="77" customWidth="1"/>
    <col min="14601" max="14602" width="14.6640625" style="77" customWidth="1"/>
    <col min="14603" max="14603" width="14" style="77" customWidth="1"/>
    <col min="14604" max="14604" width="13.44140625" style="77" customWidth="1"/>
    <col min="14605" max="14607" width="14.6640625" style="77" customWidth="1"/>
    <col min="14608" max="14850" width="9.109375" style="77"/>
    <col min="14851" max="14851" width="16.44140625" style="77" customWidth="1"/>
    <col min="14852" max="14852" width="15.6640625" style="77" customWidth="1"/>
    <col min="14853" max="14855" width="14.6640625" style="77" customWidth="1"/>
    <col min="14856" max="14856" width="15.33203125" style="77" customWidth="1"/>
    <col min="14857" max="14858" width="14.6640625" style="77" customWidth="1"/>
    <col min="14859" max="14859" width="14" style="77" customWidth="1"/>
    <col min="14860" max="14860" width="13.44140625" style="77" customWidth="1"/>
    <col min="14861" max="14863" width="14.6640625" style="77" customWidth="1"/>
    <col min="14864" max="15106" width="9.109375" style="77"/>
    <col min="15107" max="15107" width="16.44140625" style="77" customWidth="1"/>
    <col min="15108" max="15108" width="15.6640625" style="77" customWidth="1"/>
    <col min="15109" max="15111" width="14.6640625" style="77" customWidth="1"/>
    <col min="15112" max="15112" width="15.33203125" style="77" customWidth="1"/>
    <col min="15113" max="15114" width="14.6640625" style="77" customWidth="1"/>
    <col min="15115" max="15115" width="14" style="77" customWidth="1"/>
    <col min="15116" max="15116" width="13.44140625" style="77" customWidth="1"/>
    <col min="15117" max="15119" width="14.6640625" style="77" customWidth="1"/>
    <col min="15120" max="15362" width="9.109375" style="77"/>
    <col min="15363" max="15363" width="16.44140625" style="77" customWidth="1"/>
    <col min="15364" max="15364" width="15.6640625" style="77" customWidth="1"/>
    <col min="15365" max="15367" width="14.6640625" style="77" customWidth="1"/>
    <col min="15368" max="15368" width="15.33203125" style="77" customWidth="1"/>
    <col min="15369" max="15370" width="14.6640625" style="77" customWidth="1"/>
    <col min="15371" max="15371" width="14" style="77" customWidth="1"/>
    <col min="15372" max="15372" width="13.44140625" style="77" customWidth="1"/>
    <col min="15373" max="15375" width="14.6640625" style="77" customWidth="1"/>
    <col min="15376" max="15618" width="9.109375" style="77"/>
    <col min="15619" max="15619" width="16.44140625" style="77" customWidth="1"/>
    <col min="15620" max="15620" width="15.6640625" style="77" customWidth="1"/>
    <col min="15621" max="15623" width="14.6640625" style="77" customWidth="1"/>
    <col min="15624" max="15624" width="15.33203125" style="77" customWidth="1"/>
    <col min="15625" max="15626" width="14.6640625" style="77" customWidth="1"/>
    <col min="15627" max="15627" width="14" style="77" customWidth="1"/>
    <col min="15628" max="15628" width="13.44140625" style="77" customWidth="1"/>
    <col min="15629" max="15631" width="14.6640625" style="77" customWidth="1"/>
    <col min="15632" max="15874" width="9.109375" style="77"/>
    <col min="15875" max="15875" width="16.44140625" style="77" customWidth="1"/>
    <col min="15876" max="15876" width="15.6640625" style="77" customWidth="1"/>
    <col min="15877" max="15879" width="14.6640625" style="77" customWidth="1"/>
    <col min="15880" max="15880" width="15.33203125" style="77" customWidth="1"/>
    <col min="15881" max="15882" width="14.6640625" style="77" customWidth="1"/>
    <col min="15883" max="15883" width="14" style="77" customWidth="1"/>
    <col min="15884" max="15884" width="13.44140625" style="77" customWidth="1"/>
    <col min="15885" max="15887" width="14.6640625" style="77" customWidth="1"/>
    <col min="15888" max="16130" width="9.109375" style="77"/>
    <col min="16131" max="16131" width="16.44140625" style="77" customWidth="1"/>
    <col min="16132" max="16132" width="15.6640625" style="77" customWidth="1"/>
    <col min="16133" max="16135" width="14.6640625" style="77" customWidth="1"/>
    <col min="16136" max="16136" width="15.33203125" style="77" customWidth="1"/>
    <col min="16137" max="16138" width="14.6640625" style="77" customWidth="1"/>
    <col min="16139" max="16139" width="14" style="77" customWidth="1"/>
    <col min="16140" max="16140" width="13.44140625" style="77" customWidth="1"/>
    <col min="16141" max="16143" width="14.6640625" style="77" customWidth="1"/>
    <col min="16144" max="16384" width="9.109375" style="77"/>
  </cols>
  <sheetData>
    <row r="1" spans="2:19" ht="23.25" customHeight="1">
      <c r="B1" s="1865" t="s">
        <v>182</v>
      </c>
      <c r="C1" s="1866"/>
      <c r="D1" s="1866"/>
      <c r="E1" s="1867"/>
      <c r="F1" s="1867"/>
      <c r="G1" s="1867"/>
      <c r="H1" s="1867"/>
      <c r="I1" s="1867"/>
      <c r="J1" s="1867"/>
      <c r="K1" s="1867"/>
      <c r="L1" s="1867"/>
      <c r="M1" s="1867"/>
      <c r="N1" s="1867"/>
      <c r="O1" s="1868"/>
    </row>
    <row r="2" spans="2:19" s="13" customFormat="1" ht="15.9" customHeight="1">
      <c r="B2" s="1869" t="s">
        <v>183</v>
      </c>
      <c r="C2" s="1870"/>
      <c r="D2" s="1870"/>
      <c r="E2" s="1870"/>
      <c r="F2" s="1871"/>
      <c r="G2" s="1869" t="s">
        <v>184</v>
      </c>
      <c r="H2" s="1870"/>
      <c r="I2" s="1871"/>
      <c r="J2" s="1869" t="s">
        <v>185</v>
      </c>
      <c r="K2" s="1870"/>
      <c r="L2" s="1871"/>
      <c r="M2" s="1869" t="s">
        <v>186</v>
      </c>
      <c r="N2" s="1870"/>
      <c r="O2" s="1871"/>
    </row>
    <row r="3" spans="2:19" s="13" customFormat="1" ht="15.9" customHeight="1">
      <c r="B3" s="213" t="s">
        <v>187</v>
      </c>
      <c r="C3" s="1834" t="s">
        <v>188</v>
      </c>
      <c r="D3" s="1835"/>
      <c r="E3" s="1836"/>
      <c r="F3" s="50" t="s">
        <v>189</v>
      </c>
      <c r="G3" s="51" t="s">
        <v>187</v>
      </c>
      <c r="H3" s="52" t="s">
        <v>188</v>
      </c>
      <c r="I3" s="53" t="s">
        <v>189</v>
      </c>
      <c r="J3" s="51" t="s">
        <v>187</v>
      </c>
      <c r="K3" s="52" t="s">
        <v>188</v>
      </c>
      <c r="L3" s="53" t="s">
        <v>189</v>
      </c>
      <c r="M3" s="51" t="s">
        <v>187</v>
      </c>
      <c r="N3" s="52" t="s">
        <v>188</v>
      </c>
      <c r="O3" s="53" t="s">
        <v>189</v>
      </c>
    </row>
    <row r="4" spans="2:19" s="13" customFormat="1" ht="15.9" customHeight="1">
      <c r="B4" s="214">
        <f>'INFORM.CONTRA.'!J27</f>
        <v>34582061.789999999</v>
      </c>
      <c r="C4" s="1837" t="str">
        <f>'INFORM.CONTRA.'!J25</f>
        <v>506</v>
      </c>
      <c r="D4" s="1838"/>
      <c r="E4" s="1839"/>
      <c r="F4" s="54">
        <f>'INFORM.CONTRA.'!AC23</f>
        <v>44328</v>
      </c>
      <c r="G4" s="55">
        <v>1714333.43</v>
      </c>
      <c r="H4" s="211">
        <v>181</v>
      </c>
      <c r="I4" s="56">
        <v>44718</v>
      </c>
      <c r="J4" s="55">
        <v>3599879.46</v>
      </c>
      <c r="K4" s="211">
        <v>300</v>
      </c>
      <c r="L4" s="56">
        <v>44918</v>
      </c>
      <c r="M4" s="55">
        <v>2422738.38</v>
      </c>
      <c r="N4" s="211">
        <v>348</v>
      </c>
      <c r="O4" s="56">
        <v>45107</v>
      </c>
      <c r="Q4" s="57"/>
    </row>
    <row r="5" spans="2:19" s="13" customFormat="1" ht="15.9" customHeight="1">
      <c r="B5" s="1840" t="s">
        <v>190</v>
      </c>
      <c r="C5" s="1841"/>
      <c r="D5" s="1841"/>
      <c r="E5" s="1842"/>
      <c r="F5" s="1843"/>
      <c r="G5" s="1844" t="s">
        <v>191</v>
      </c>
      <c r="H5" s="1845"/>
      <c r="I5" s="1846"/>
      <c r="J5" s="1844" t="s">
        <v>192</v>
      </c>
      <c r="K5" s="1845"/>
      <c r="L5" s="1846"/>
      <c r="M5" s="1844" t="s">
        <v>192</v>
      </c>
      <c r="N5" s="1845"/>
      <c r="O5" s="1846"/>
    </row>
    <row r="6" spans="2:19" s="13" customFormat="1" ht="9.75" customHeight="1">
      <c r="B6" s="1847"/>
      <c r="C6" s="1847"/>
      <c r="D6" s="1847"/>
      <c r="E6" s="1847"/>
      <c r="F6" s="1847"/>
      <c r="G6" s="1847"/>
      <c r="H6" s="1847"/>
      <c r="I6" s="1847"/>
      <c r="J6" s="1847"/>
      <c r="K6" s="1847"/>
      <c r="L6" s="1847"/>
      <c r="M6" s="1847"/>
      <c r="N6" s="1847"/>
      <c r="O6" s="1847"/>
    </row>
    <row r="7" spans="2:19" s="13" customFormat="1" ht="19.5" customHeight="1">
      <c r="B7" s="1848" t="s">
        <v>193</v>
      </c>
      <c r="C7" s="1848"/>
      <c r="D7" s="1848"/>
      <c r="E7" s="1848"/>
      <c r="F7" s="1848"/>
      <c r="G7" s="1848"/>
      <c r="H7" s="1848"/>
      <c r="I7" s="1848"/>
      <c r="J7" s="1848"/>
      <c r="K7" s="1848"/>
      <c r="L7" s="1848"/>
      <c r="M7" s="1848"/>
      <c r="N7" s="1848"/>
      <c r="O7" s="1848"/>
    </row>
    <row r="8" spans="2:19" s="58" customFormat="1" ht="15.6">
      <c r="B8" s="1849" t="s">
        <v>194</v>
      </c>
      <c r="C8" s="1851" t="s">
        <v>195</v>
      </c>
      <c r="D8" s="1852"/>
      <c r="E8" s="1853"/>
      <c r="F8" s="1857" t="s">
        <v>196</v>
      </c>
      <c r="G8" s="1859" t="s">
        <v>197</v>
      </c>
      <c r="H8" s="1859"/>
      <c r="I8" s="1859"/>
      <c r="J8" s="1859"/>
      <c r="K8" s="1859"/>
      <c r="L8" s="1860" t="s">
        <v>198</v>
      </c>
      <c r="M8" s="1861"/>
      <c r="N8" s="1859" t="s">
        <v>199</v>
      </c>
      <c r="O8" s="1859"/>
      <c r="Q8" s="59"/>
      <c r="S8" s="59"/>
    </row>
    <row r="9" spans="2:19" s="58" customFormat="1" ht="26.4">
      <c r="B9" s="1850"/>
      <c r="C9" s="1854"/>
      <c r="D9" s="1855"/>
      <c r="E9" s="1856"/>
      <c r="F9" s="1858"/>
      <c r="G9" s="1282" t="s">
        <v>200</v>
      </c>
      <c r="H9" s="1282" t="s">
        <v>201</v>
      </c>
      <c r="I9" s="1282" t="s">
        <v>202</v>
      </c>
      <c r="J9" s="1282" t="s">
        <v>203</v>
      </c>
      <c r="K9" s="1282" t="s">
        <v>204</v>
      </c>
      <c r="L9" s="1862"/>
      <c r="M9" s="1863"/>
      <c r="N9" s="1282" t="s">
        <v>205</v>
      </c>
      <c r="O9" s="1282" t="s">
        <v>206</v>
      </c>
    </row>
    <row r="10" spans="2:19" s="572" customFormat="1" ht="15.6">
      <c r="B10" s="735" t="s">
        <v>207</v>
      </c>
      <c r="C10" s="736">
        <v>44378</v>
      </c>
      <c r="D10" s="737" t="s">
        <v>208</v>
      </c>
      <c r="E10" s="736">
        <v>44408</v>
      </c>
      <c r="F10" s="737">
        <f>E10-C10+1</f>
        <v>31</v>
      </c>
      <c r="G10" s="738">
        <f>'8.1 - CRONOGRAMA'!E88</f>
        <v>77423.81</v>
      </c>
      <c r="H10" s="738">
        <f>G10</f>
        <v>77423.81</v>
      </c>
      <c r="I10" s="739">
        <f t="shared" ref="I10:I18" si="0">($B$4-H10)</f>
        <v>34504637.979999997</v>
      </c>
      <c r="J10" s="738"/>
      <c r="K10" s="738">
        <f t="shared" ref="K10:K18" si="1">G10+J10</f>
        <v>77423.81</v>
      </c>
      <c r="L10" s="1864">
        <f>C4-F10</f>
        <v>475</v>
      </c>
      <c r="M10" s="1864"/>
      <c r="N10" s="740">
        <f t="shared" ref="N10:O23" si="2">(G10/$B$4)</f>
        <v>2.2388430877880285E-3</v>
      </c>
      <c r="O10" s="741">
        <f t="shared" si="2"/>
        <v>2.2388430877880285E-3</v>
      </c>
    </row>
    <row r="11" spans="2:19" s="225" customFormat="1" ht="15.6">
      <c r="B11" s="235" t="s">
        <v>209</v>
      </c>
      <c r="C11" s="456">
        <v>44409</v>
      </c>
      <c r="D11" s="236" t="s">
        <v>208</v>
      </c>
      <c r="E11" s="456">
        <v>44439</v>
      </c>
      <c r="F11" s="236">
        <f>E11-C11+1</f>
        <v>31</v>
      </c>
      <c r="G11" s="237">
        <f>'8.1 - CRONOGRAMA'!F88</f>
        <v>83622.81</v>
      </c>
      <c r="H11" s="237">
        <f t="shared" ref="H11:H23" si="3">G11+H10</f>
        <v>161046.62</v>
      </c>
      <c r="I11" s="238">
        <f t="shared" si="0"/>
        <v>34421015.170000002</v>
      </c>
      <c r="J11" s="237"/>
      <c r="K11" s="237">
        <f t="shared" si="1"/>
        <v>83622.81</v>
      </c>
      <c r="L11" s="1809">
        <f t="shared" ref="L11:L16" si="4">L10-F11</f>
        <v>444</v>
      </c>
      <c r="M11" s="1809"/>
      <c r="N11" s="457">
        <f t="shared" si="2"/>
        <v>2.4180978713126055E-3</v>
      </c>
      <c r="O11" s="458">
        <f t="shared" si="2"/>
        <v>4.656940959100634E-3</v>
      </c>
    </row>
    <row r="12" spans="2:19" s="60" customFormat="1" ht="15.6">
      <c r="B12" s="235" t="s">
        <v>210</v>
      </c>
      <c r="C12" s="456">
        <v>44440</v>
      </c>
      <c r="D12" s="236" t="s">
        <v>208</v>
      </c>
      <c r="E12" s="456">
        <v>44469</v>
      </c>
      <c r="F12" s="236">
        <f>E12-C12+1</f>
        <v>30</v>
      </c>
      <c r="G12" s="237">
        <f>'8.1 - CRONOGRAMA'!G88</f>
        <v>12481.79</v>
      </c>
      <c r="H12" s="237">
        <f t="shared" si="3"/>
        <v>173528.41</v>
      </c>
      <c r="I12" s="238">
        <f t="shared" si="0"/>
        <v>34408533.380000003</v>
      </c>
      <c r="J12" s="237"/>
      <c r="K12" s="237">
        <f t="shared" si="1"/>
        <v>12481.79</v>
      </c>
      <c r="L12" s="1809">
        <f t="shared" si="4"/>
        <v>414</v>
      </c>
      <c r="M12" s="1809"/>
      <c r="N12" s="457">
        <f t="shared" si="2"/>
        <v>3.6093249950786124E-4</v>
      </c>
      <c r="O12" s="458">
        <f t="shared" si="2"/>
        <v>5.0178734586084957E-3</v>
      </c>
    </row>
    <row r="13" spans="2:19" s="60" customFormat="1" ht="15.6">
      <c r="B13" s="235" t="s">
        <v>211</v>
      </c>
      <c r="C13" s="456">
        <v>44470</v>
      </c>
      <c r="D13" s="236" t="s">
        <v>208</v>
      </c>
      <c r="E13" s="456">
        <v>44500</v>
      </c>
      <c r="F13" s="236">
        <f>E13-C13+1</f>
        <v>31</v>
      </c>
      <c r="G13" s="237">
        <f>'8.1 - CRONOGRAMA'!H88</f>
        <v>111555.79</v>
      </c>
      <c r="H13" s="237">
        <f t="shared" si="3"/>
        <v>285084.2</v>
      </c>
      <c r="I13" s="238">
        <f t="shared" si="0"/>
        <v>34296977.589999996</v>
      </c>
      <c r="J13" s="237"/>
      <c r="K13" s="237">
        <f t="shared" si="1"/>
        <v>111555.79</v>
      </c>
      <c r="L13" s="1809">
        <f t="shared" si="4"/>
        <v>383</v>
      </c>
      <c r="M13" s="1809"/>
      <c r="N13" s="457">
        <f t="shared" si="2"/>
        <v>3.2258281960579425E-3</v>
      </c>
      <c r="O13" s="458">
        <f t="shared" si="2"/>
        <v>8.2437016546664382E-3</v>
      </c>
    </row>
    <row r="14" spans="2:19" s="60" customFormat="1" ht="15.6">
      <c r="B14" s="235" t="s">
        <v>212</v>
      </c>
      <c r="C14" s="456">
        <v>44501</v>
      </c>
      <c r="D14" s="236" t="s">
        <v>208</v>
      </c>
      <c r="E14" s="456">
        <v>44571</v>
      </c>
      <c r="F14" s="236">
        <f>E14-C14+2</f>
        <v>72</v>
      </c>
      <c r="G14" s="237">
        <f>'8.1 - CRONOGRAMA'!J88</f>
        <v>2274745.11</v>
      </c>
      <c r="H14" s="237">
        <f>G14+H13</f>
        <v>2559829.31</v>
      </c>
      <c r="I14" s="238">
        <f t="shared" si="0"/>
        <v>32022232.48</v>
      </c>
      <c r="J14" s="237">
        <v>371651.17</v>
      </c>
      <c r="K14" s="237">
        <f t="shared" si="1"/>
        <v>2646396.2799999998</v>
      </c>
      <c r="L14" s="1809">
        <f>L13-F14</f>
        <v>311</v>
      </c>
      <c r="M14" s="1809"/>
      <c r="N14" s="457">
        <f t="shared" si="2"/>
        <v>6.5778180717315754E-2</v>
      </c>
      <c r="O14" s="458">
        <f t="shared" si="2"/>
        <v>7.4021882371982192E-2</v>
      </c>
    </row>
    <row r="15" spans="2:19" s="60" customFormat="1" ht="15.6">
      <c r="B15" s="235" t="s">
        <v>213</v>
      </c>
      <c r="C15" s="456">
        <v>44572</v>
      </c>
      <c r="D15" s="236" t="s">
        <v>208</v>
      </c>
      <c r="E15" s="460">
        <v>44592</v>
      </c>
      <c r="F15" s="461">
        <f>E15-C15</f>
        <v>20</v>
      </c>
      <c r="G15" s="237">
        <f>'8.1 - CRONOGRAMA'!K88</f>
        <v>434027.53</v>
      </c>
      <c r="H15" s="237">
        <f t="shared" si="3"/>
        <v>2993856.84</v>
      </c>
      <c r="I15" s="238">
        <f t="shared" si="0"/>
        <v>31588204.949999999</v>
      </c>
      <c r="J15" s="61">
        <v>70912.05</v>
      </c>
      <c r="K15" s="237">
        <f t="shared" si="1"/>
        <v>504939.58</v>
      </c>
      <c r="L15" s="1809">
        <f t="shared" si="4"/>
        <v>291</v>
      </c>
      <c r="M15" s="1809"/>
      <c r="N15" s="457">
        <f t="shared" si="2"/>
        <v>1.2550655094992242E-2</v>
      </c>
      <c r="O15" s="458">
        <f t="shared" ref="O15:O23" si="5">(H15/$B$4)</f>
        <v>8.6572537466974436E-2</v>
      </c>
      <c r="Q15" s="60">
        <f>1270-905</f>
        <v>365</v>
      </c>
    </row>
    <row r="16" spans="2:19" s="60" customFormat="1" ht="15.6">
      <c r="B16" s="235" t="s">
        <v>214</v>
      </c>
      <c r="C16" s="460">
        <v>44593</v>
      </c>
      <c r="D16" s="460" t="s">
        <v>208</v>
      </c>
      <c r="E16" s="460">
        <v>44620</v>
      </c>
      <c r="F16" s="461">
        <f t="shared" ref="F16:F23" si="6">E16-C16+1</f>
        <v>28</v>
      </c>
      <c r="G16" s="237">
        <f>'8.1 - CRONOGRAMA'!L88</f>
        <v>254662.20000000004</v>
      </c>
      <c r="H16" s="237">
        <f t="shared" si="3"/>
        <v>3248519.04</v>
      </c>
      <c r="I16" s="238">
        <f t="shared" si="0"/>
        <v>31333542.75</v>
      </c>
      <c r="J16" s="61">
        <v>41607.08</v>
      </c>
      <c r="K16" s="237">
        <f t="shared" si="1"/>
        <v>296269.28000000003</v>
      </c>
      <c r="L16" s="1809">
        <f t="shared" si="4"/>
        <v>263</v>
      </c>
      <c r="M16" s="1809"/>
      <c r="N16" s="457">
        <f t="shared" si="2"/>
        <v>7.3639970209537949E-3</v>
      </c>
      <c r="O16" s="458">
        <f t="shared" si="5"/>
        <v>9.3936534487928228E-2</v>
      </c>
    </row>
    <row r="17" spans="2:16" s="60" customFormat="1" ht="15.6">
      <c r="B17" s="235" t="s">
        <v>215</v>
      </c>
      <c r="C17" s="460">
        <v>44621</v>
      </c>
      <c r="D17" s="460" t="s">
        <v>208</v>
      </c>
      <c r="E17" s="460">
        <v>44651</v>
      </c>
      <c r="F17" s="461">
        <f t="shared" si="6"/>
        <v>31</v>
      </c>
      <c r="G17" s="237">
        <f>'8.1 - CRONOGRAMA'!M88</f>
        <v>243585.63999999998</v>
      </c>
      <c r="H17" s="237">
        <f t="shared" si="3"/>
        <v>3492104.68</v>
      </c>
      <c r="I17" s="238">
        <f t="shared" si="0"/>
        <v>31089957.109999999</v>
      </c>
      <c r="J17" s="61">
        <v>39797.379999999997</v>
      </c>
      <c r="K17" s="237">
        <f t="shared" si="1"/>
        <v>283383.01999999996</v>
      </c>
      <c r="L17" s="1809">
        <f t="shared" ref="L17:L23" si="7">L16-F17</f>
        <v>232</v>
      </c>
      <c r="M17" s="1809"/>
      <c r="N17" s="457">
        <f t="shared" si="2"/>
        <v>7.0436991721076906E-3</v>
      </c>
      <c r="O17" s="458">
        <f t="shared" si="5"/>
        <v>0.10098023366003593</v>
      </c>
    </row>
    <row r="18" spans="2:16" s="60" customFormat="1" ht="15.6">
      <c r="B18" s="235" t="s">
        <v>216</v>
      </c>
      <c r="C18" s="460">
        <v>44652</v>
      </c>
      <c r="D18" s="460" t="s">
        <v>208</v>
      </c>
      <c r="E18" s="460">
        <v>44712</v>
      </c>
      <c r="F18" s="461">
        <f t="shared" si="6"/>
        <v>61</v>
      </c>
      <c r="G18" s="237">
        <f>'8.1 - CRONOGRAMA'!O88</f>
        <v>3690690.0900000003</v>
      </c>
      <c r="H18" s="237">
        <f t="shared" si="3"/>
        <v>7182794.7700000005</v>
      </c>
      <c r="I18" s="238">
        <f t="shared" si="0"/>
        <v>27399267.02</v>
      </c>
      <c r="J18" s="61">
        <v>602936.41</v>
      </c>
      <c r="K18" s="237">
        <f t="shared" si="1"/>
        <v>4293626.5</v>
      </c>
      <c r="L18" s="1809">
        <f t="shared" si="7"/>
        <v>171</v>
      </c>
      <c r="M18" s="1809"/>
      <c r="N18" s="457">
        <f t="shared" si="2"/>
        <v>0.10672267351818876</v>
      </c>
      <c r="O18" s="458">
        <f t="shared" si="5"/>
        <v>0.20770290717822468</v>
      </c>
    </row>
    <row r="19" spans="2:16" s="60" customFormat="1" ht="25.5" customHeight="1">
      <c r="B19" s="970" t="s">
        <v>217</v>
      </c>
      <c r="C19" s="1799">
        <v>44718</v>
      </c>
      <c r="D19" s="1800"/>
      <c r="E19" s="1801"/>
      <c r="F19" s="969"/>
      <c r="G19" s="971"/>
      <c r="H19" s="971"/>
      <c r="I19" s="972">
        <v>1714333.43</v>
      </c>
      <c r="J19" s="971"/>
      <c r="K19" s="971"/>
      <c r="L19" s="1810">
        <v>181</v>
      </c>
      <c r="M19" s="1810"/>
      <c r="N19" s="973"/>
      <c r="O19" s="974"/>
    </row>
    <row r="20" spans="2:16" s="60" customFormat="1" ht="15.6">
      <c r="B20" s="235" t="s">
        <v>218</v>
      </c>
      <c r="C20" s="460">
        <v>44713</v>
      </c>
      <c r="D20" s="460" t="s">
        <v>208</v>
      </c>
      <c r="E20" s="460">
        <v>44742</v>
      </c>
      <c r="F20" s="461">
        <f t="shared" si="6"/>
        <v>30</v>
      </c>
      <c r="G20" s="237">
        <f>'8.1 - CRONOGRAMA'!P88</f>
        <v>3152368.2100000004</v>
      </c>
      <c r="H20" s="237">
        <f>G20+H18</f>
        <v>10335162.98</v>
      </c>
      <c r="I20" s="238">
        <f t="shared" ref="I20:I25" si="8">($B$4+$I$19-H20)</f>
        <v>25961232.239999998</v>
      </c>
      <c r="J20" s="61">
        <v>515038.51</v>
      </c>
      <c r="K20" s="237">
        <f t="shared" ref="K20:K25" si="9">G20+J20</f>
        <v>3667406.7200000007</v>
      </c>
      <c r="L20" s="1809">
        <f>L18-F20+L19</f>
        <v>322</v>
      </c>
      <c r="M20" s="1809"/>
      <c r="N20" s="457">
        <f t="shared" si="2"/>
        <v>9.1156167296871871E-2</v>
      </c>
      <c r="O20" s="458">
        <f t="shared" si="5"/>
        <v>0.29885907447509658</v>
      </c>
    </row>
    <row r="21" spans="2:16" s="60" customFormat="1" ht="15.6">
      <c r="B21" s="235" t="s">
        <v>219</v>
      </c>
      <c r="C21" s="460">
        <v>44743</v>
      </c>
      <c r="D21" s="460" t="s">
        <v>208</v>
      </c>
      <c r="E21" s="460">
        <v>44773</v>
      </c>
      <c r="F21" s="461">
        <f t="shared" si="6"/>
        <v>31</v>
      </c>
      <c r="G21" s="237">
        <f>'8.1 - CRONOGRAMA'!Q88</f>
        <v>103453.22000000002</v>
      </c>
      <c r="H21" s="237">
        <f t="shared" si="3"/>
        <v>10438616.200000001</v>
      </c>
      <c r="I21" s="238">
        <f t="shared" si="8"/>
        <v>25857779.019999996</v>
      </c>
      <c r="J21" s="61">
        <v>16902.330000000002</v>
      </c>
      <c r="K21" s="237">
        <f t="shared" si="9"/>
        <v>120355.55000000002</v>
      </c>
      <c r="L21" s="1809">
        <f t="shared" si="7"/>
        <v>291</v>
      </c>
      <c r="M21" s="1809"/>
      <c r="N21" s="457">
        <f t="shared" si="2"/>
        <v>2.9915284007130919E-3</v>
      </c>
      <c r="O21" s="458">
        <f t="shared" si="5"/>
        <v>0.30185060287580967</v>
      </c>
    </row>
    <row r="22" spans="2:16" s="60" customFormat="1" ht="15.6">
      <c r="B22" s="235" t="s">
        <v>220</v>
      </c>
      <c r="C22" s="460">
        <v>44774</v>
      </c>
      <c r="D22" s="460" t="s">
        <v>208</v>
      </c>
      <c r="E22" s="460">
        <v>44804</v>
      </c>
      <c r="F22" s="461">
        <f t="shared" si="6"/>
        <v>31</v>
      </c>
      <c r="G22" s="237">
        <f>'8.1 - CRONOGRAMA'!R88</f>
        <v>63719.090000000011</v>
      </c>
      <c r="H22" s="237">
        <f t="shared" si="3"/>
        <v>10502335.290000001</v>
      </c>
      <c r="I22" s="238">
        <f t="shared" si="8"/>
        <v>25794059.93</v>
      </c>
      <c r="J22" s="61">
        <v>10410.52</v>
      </c>
      <c r="K22" s="237">
        <f t="shared" si="9"/>
        <v>74129.610000000015</v>
      </c>
      <c r="L22" s="1809">
        <f t="shared" si="7"/>
        <v>260</v>
      </c>
      <c r="M22" s="1809"/>
      <c r="N22" s="457">
        <f t="shared" si="2"/>
        <v>1.8425474567402885E-3</v>
      </c>
      <c r="O22" s="458">
        <f t="shared" si="5"/>
        <v>0.30369315033254995</v>
      </c>
    </row>
    <row r="23" spans="2:16" s="60" customFormat="1" ht="15.6">
      <c r="B23" s="235" t="s">
        <v>221</v>
      </c>
      <c r="C23" s="460">
        <v>44805</v>
      </c>
      <c r="D23" s="460" t="s">
        <v>208</v>
      </c>
      <c r="E23" s="460">
        <v>44834</v>
      </c>
      <c r="F23" s="236">
        <f t="shared" si="6"/>
        <v>30</v>
      </c>
      <c r="G23" s="237">
        <f>'8.1 - CRONOGRAMA'!S88</f>
        <v>15606.090000000007</v>
      </c>
      <c r="H23" s="237">
        <f t="shared" si="3"/>
        <v>10517941.380000001</v>
      </c>
      <c r="I23" s="238">
        <f t="shared" si="8"/>
        <v>25778453.839999996</v>
      </c>
      <c r="J23" s="237">
        <v>2549.75</v>
      </c>
      <c r="K23" s="237">
        <f t="shared" si="9"/>
        <v>18155.840000000007</v>
      </c>
      <c r="L23" s="1809">
        <f t="shared" si="7"/>
        <v>230</v>
      </c>
      <c r="M23" s="1809"/>
      <c r="N23" s="457">
        <f t="shared" si="2"/>
        <v>4.5127702607115168E-4</v>
      </c>
      <c r="O23" s="458">
        <f t="shared" si="5"/>
        <v>0.30414442735862107</v>
      </c>
    </row>
    <row r="24" spans="2:16" s="60" customFormat="1" ht="15.6">
      <c r="B24" s="235" t="s">
        <v>222</v>
      </c>
      <c r="C24" s="460">
        <v>44835</v>
      </c>
      <c r="D24" s="460" t="s">
        <v>208</v>
      </c>
      <c r="E24" s="460">
        <v>44865</v>
      </c>
      <c r="F24" s="236">
        <f>E24-C24+1</f>
        <v>31</v>
      </c>
      <c r="G24" s="237">
        <f>'8.1 - CRONOGRAMA'!T88</f>
        <v>158608.66999999998</v>
      </c>
      <c r="H24" s="237">
        <f>G24+H23</f>
        <v>10676550.050000001</v>
      </c>
      <c r="I24" s="238">
        <f t="shared" si="8"/>
        <v>25619845.169999998</v>
      </c>
      <c r="J24" s="237">
        <v>25913.72</v>
      </c>
      <c r="K24" s="237">
        <f t="shared" si="9"/>
        <v>184522.38999999998</v>
      </c>
      <c r="L24" s="1809">
        <f>L23-F24</f>
        <v>199</v>
      </c>
      <c r="M24" s="1809"/>
      <c r="N24" s="457">
        <f>(G24/$B$4)</f>
        <v>4.5864434273223242E-3</v>
      </c>
      <c r="O24" s="458">
        <f>(H24/$B$4)</f>
        <v>0.30873087078594341</v>
      </c>
    </row>
    <row r="25" spans="2:16" s="60" customFormat="1" ht="15.6">
      <c r="B25" s="235" t="s">
        <v>223</v>
      </c>
      <c r="C25" s="460">
        <v>44866</v>
      </c>
      <c r="D25" s="460" t="s">
        <v>208</v>
      </c>
      <c r="E25" s="460">
        <v>44895</v>
      </c>
      <c r="F25" s="236">
        <f>E25-C25+1</f>
        <v>30</v>
      </c>
      <c r="G25" s="237">
        <f>'8.1 - CRONOGRAMA'!U88</f>
        <v>309942.7</v>
      </c>
      <c r="H25" s="237">
        <f>G25+H24</f>
        <v>10986492.75</v>
      </c>
      <c r="I25" s="238">
        <f t="shared" si="8"/>
        <v>25309902.469999999</v>
      </c>
      <c r="J25" s="237">
        <f>50638.89+48300.64</f>
        <v>98939.53</v>
      </c>
      <c r="K25" s="237">
        <f t="shared" si="9"/>
        <v>408882.23</v>
      </c>
      <c r="L25" s="1809">
        <f>L24-F25</f>
        <v>169</v>
      </c>
      <c r="M25" s="1809"/>
      <c r="N25" s="457">
        <f>(G25/$B$4)</f>
        <v>8.9625280841301742E-3</v>
      </c>
      <c r="O25" s="458">
        <f>(H25/$B$4)</f>
        <v>0.31769339887007358</v>
      </c>
    </row>
    <row r="26" spans="2:16" s="60" customFormat="1" ht="26.4">
      <c r="B26" s="970" t="s">
        <v>224</v>
      </c>
      <c r="C26" s="1799">
        <v>44918</v>
      </c>
      <c r="D26" s="1800"/>
      <c r="E26" s="1801"/>
      <c r="F26" s="969"/>
      <c r="G26" s="971"/>
      <c r="H26" s="971"/>
      <c r="I26" s="972">
        <v>3599879.46</v>
      </c>
      <c r="J26" s="971"/>
      <c r="K26" s="971"/>
      <c r="L26" s="1810">
        <v>300</v>
      </c>
      <c r="M26" s="1810"/>
      <c r="N26" s="973"/>
      <c r="O26" s="974"/>
    </row>
    <row r="27" spans="2:16" s="60" customFormat="1" ht="15.6">
      <c r="B27" s="235" t="s">
        <v>225</v>
      </c>
      <c r="C27" s="460">
        <v>44896</v>
      </c>
      <c r="D27" s="460" t="s">
        <v>208</v>
      </c>
      <c r="E27" s="460">
        <v>44926</v>
      </c>
      <c r="F27" s="236">
        <f t="shared" ref="F27:F32" si="10">E27-C27+1</f>
        <v>31</v>
      </c>
      <c r="G27" s="237">
        <f>'8.1 - CRONOGRAMA'!V88</f>
        <v>132267.23000000001</v>
      </c>
      <c r="H27" s="237">
        <f>G27+H25</f>
        <v>11118759.98</v>
      </c>
      <c r="I27" s="238">
        <f t="shared" ref="I27:I32" si="11">($B$4+$I$19+$I$26-H27)</f>
        <v>28777514.699999999</v>
      </c>
      <c r="J27" s="237">
        <f>42337.1</f>
        <v>42337.1</v>
      </c>
      <c r="K27" s="237">
        <f t="shared" ref="K27:K32" si="12">G27+J27</f>
        <v>174604.33000000002</v>
      </c>
      <c r="L27" s="1809">
        <f>L25+L26-F27</f>
        <v>438</v>
      </c>
      <c r="M27" s="1809"/>
      <c r="N27" s="457">
        <f t="shared" ref="N27:O32" si="13">(G27/$B$4)</f>
        <v>3.8247352284312718E-3</v>
      </c>
      <c r="O27" s="458">
        <f t="shared" si="13"/>
        <v>0.32151813409850483</v>
      </c>
    </row>
    <row r="28" spans="2:16" s="60" customFormat="1" ht="15.6">
      <c r="B28" s="235" t="s">
        <v>226</v>
      </c>
      <c r="C28" s="460">
        <v>44927</v>
      </c>
      <c r="D28" s="460" t="s">
        <v>208</v>
      </c>
      <c r="E28" s="460">
        <v>44957</v>
      </c>
      <c r="F28" s="236">
        <f t="shared" si="10"/>
        <v>31</v>
      </c>
      <c r="G28" s="237">
        <f>'8.1 - CRONOGRAMA'!W88</f>
        <v>357462.05000000005</v>
      </c>
      <c r="H28" s="237">
        <f>G28+H27</f>
        <v>11476222.030000001</v>
      </c>
      <c r="I28" s="238">
        <f t="shared" si="11"/>
        <v>28420052.649999999</v>
      </c>
      <c r="J28" s="61">
        <v>114108.6</v>
      </c>
      <c r="K28" s="237">
        <f t="shared" si="12"/>
        <v>471570.65</v>
      </c>
      <c r="L28" s="1809">
        <f>L27-F28</f>
        <v>407</v>
      </c>
      <c r="M28" s="1809"/>
      <c r="N28" s="457">
        <f t="shared" si="13"/>
        <v>1.0336632100500334E-2</v>
      </c>
      <c r="O28" s="458">
        <f t="shared" si="13"/>
        <v>0.33185476619900522</v>
      </c>
    </row>
    <row r="29" spans="2:16" s="60" customFormat="1" ht="15.6">
      <c r="B29" s="235" t="s">
        <v>227</v>
      </c>
      <c r="C29" s="460">
        <v>44958</v>
      </c>
      <c r="D29" s="460" t="s">
        <v>208</v>
      </c>
      <c r="E29" s="460">
        <v>44985</v>
      </c>
      <c r="F29" s="236">
        <f t="shared" si="10"/>
        <v>28</v>
      </c>
      <c r="G29" s="237">
        <f>'8.1 - CRONOGRAMA'!X88</f>
        <v>1142723.19</v>
      </c>
      <c r="H29" s="237">
        <f>G29+H28</f>
        <v>12618945.220000001</v>
      </c>
      <c r="I29" s="238">
        <f t="shared" si="11"/>
        <v>27277329.460000001</v>
      </c>
      <c r="J29" s="61">
        <v>12305.15</v>
      </c>
      <c r="K29" s="237">
        <f t="shared" si="12"/>
        <v>1155028.3399999999</v>
      </c>
      <c r="L29" s="1809">
        <f>L28-F29</f>
        <v>379</v>
      </c>
      <c r="M29" s="1809"/>
      <c r="N29" s="457">
        <f t="shared" si="13"/>
        <v>3.30438132040594E-2</v>
      </c>
      <c r="O29" s="458">
        <f t="shared" si="13"/>
        <v>0.36489857940306458</v>
      </c>
      <c r="P29" s="62"/>
    </row>
    <row r="30" spans="2:16" s="60" customFormat="1" ht="15.6">
      <c r="B30" s="235" t="s">
        <v>228</v>
      </c>
      <c r="C30" s="460">
        <v>44986</v>
      </c>
      <c r="D30" s="460" t="s">
        <v>208</v>
      </c>
      <c r="E30" s="460">
        <v>45016</v>
      </c>
      <c r="F30" s="236">
        <f t="shared" si="10"/>
        <v>31</v>
      </c>
      <c r="G30" s="237">
        <f>'8.1 - CRONOGRAMA'!Y88</f>
        <v>2460801.6800000002</v>
      </c>
      <c r="H30" s="237">
        <f>G30+H29</f>
        <v>15079746.9</v>
      </c>
      <c r="I30" s="238">
        <f t="shared" si="11"/>
        <v>24816527.780000001</v>
      </c>
      <c r="J30" s="61">
        <v>10092.290000000001</v>
      </c>
      <c r="K30" s="237">
        <f t="shared" si="12"/>
        <v>2470893.9700000002</v>
      </c>
      <c r="L30" s="1809">
        <f>L29-F30</f>
        <v>348</v>
      </c>
      <c r="M30" s="1809"/>
      <c r="N30" s="457">
        <f t="shared" si="13"/>
        <v>7.1158327544009636E-2</v>
      </c>
      <c r="O30" s="458">
        <f t="shared" si="13"/>
        <v>0.43605690694707422</v>
      </c>
    </row>
    <row r="31" spans="2:16" s="60" customFormat="1" ht="15.6">
      <c r="B31" s="459" t="s">
        <v>229</v>
      </c>
      <c r="C31" s="460">
        <v>45017</v>
      </c>
      <c r="D31" s="460" t="s">
        <v>208</v>
      </c>
      <c r="E31" s="460">
        <v>45046</v>
      </c>
      <c r="F31" s="236">
        <f t="shared" si="10"/>
        <v>30</v>
      </c>
      <c r="G31" s="237">
        <f>'8.1 - CRONOGRAMA'!Z88</f>
        <v>47206.920000000042</v>
      </c>
      <c r="H31" s="237">
        <f>G31+H30</f>
        <v>15126953.82</v>
      </c>
      <c r="I31" s="238">
        <f t="shared" si="11"/>
        <v>24769320.859999999</v>
      </c>
      <c r="J31" s="61">
        <v>15069.33</v>
      </c>
      <c r="K31" s="237">
        <f t="shared" si="12"/>
        <v>62276.250000000044</v>
      </c>
      <c r="L31" s="1809">
        <f>L30-F31</f>
        <v>318</v>
      </c>
      <c r="M31" s="1809"/>
      <c r="N31" s="457">
        <f t="shared" si="13"/>
        <v>1.3650695637138308E-3</v>
      </c>
      <c r="O31" s="458">
        <f t="shared" si="13"/>
        <v>0.43742197651078807</v>
      </c>
    </row>
    <row r="32" spans="2:16" s="60" customFormat="1" ht="15.6">
      <c r="B32" s="459" t="s">
        <v>230</v>
      </c>
      <c r="C32" s="460">
        <v>45047</v>
      </c>
      <c r="D32" s="460" t="s">
        <v>208</v>
      </c>
      <c r="E32" s="460">
        <v>45077</v>
      </c>
      <c r="F32" s="236">
        <f t="shared" si="10"/>
        <v>31</v>
      </c>
      <c r="G32" s="237">
        <f>'8.1 - CRONOGRAMA'!AA88</f>
        <v>59374.499999999964</v>
      </c>
      <c r="H32" s="237">
        <f>G32+H31</f>
        <v>15186328.32</v>
      </c>
      <c r="I32" s="238">
        <f t="shared" si="11"/>
        <v>24709946.359999999</v>
      </c>
      <c r="J32" s="61">
        <v>18953.45</v>
      </c>
      <c r="K32" s="237">
        <f t="shared" si="12"/>
        <v>78327.949999999968</v>
      </c>
      <c r="L32" s="1809">
        <f>L31-F32</f>
        <v>287</v>
      </c>
      <c r="M32" s="1809"/>
      <c r="N32" s="457">
        <f t="shared" si="13"/>
        <v>1.7169161387933535E-3</v>
      </c>
      <c r="O32" s="458">
        <f t="shared" si="13"/>
        <v>0.43913889264958139</v>
      </c>
    </row>
    <row r="33" spans="2:15" s="60" customFormat="1" ht="26.4">
      <c r="B33" s="970" t="s">
        <v>231</v>
      </c>
      <c r="C33" s="1799">
        <v>45105</v>
      </c>
      <c r="D33" s="1800"/>
      <c r="E33" s="1801"/>
      <c r="F33" s="969"/>
      <c r="G33" s="971"/>
      <c r="H33" s="971"/>
      <c r="I33" s="972">
        <v>1950558.57</v>
      </c>
      <c r="J33" s="971"/>
      <c r="K33" s="971"/>
      <c r="L33" s="1810">
        <v>0</v>
      </c>
      <c r="M33" s="1810"/>
      <c r="N33" s="973"/>
      <c r="O33" s="974"/>
    </row>
    <row r="34" spans="2:15" s="60" customFormat="1" ht="15.6">
      <c r="B34" s="459" t="s">
        <v>232</v>
      </c>
      <c r="C34" s="460">
        <v>45078</v>
      </c>
      <c r="D34" s="460" t="s">
        <v>208</v>
      </c>
      <c r="E34" s="460">
        <v>45148</v>
      </c>
      <c r="F34" s="236">
        <f t="shared" ref="F34:F39" si="14">E34-C34+1</f>
        <v>71</v>
      </c>
      <c r="G34" s="237">
        <f>'8.1 - CRONOGRAMA'!AC88</f>
        <v>5949074.1299999999</v>
      </c>
      <c r="H34" s="237">
        <f>G34+H32</f>
        <v>21135402.449999999</v>
      </c>
      <c r="I34" s="238">
        <f t="shared" ref="I34:I39" si="15">($B$4+$I$19+$I$26+$I$33-H34)</f>
        <v>20711430.800000001</v>
      </c>
      <c r="J34" s="61">
        <v>1899056.13</v>
      </c>
      <c r="K34" s="237">
        <f t="shared" ref="K34:K39" si="16">G34+J34</f>
        <v>7848130.2599999998</v>
      </c>
      <c r="L34" s="1809">
        <f>L32-F34</f>
        <v>216</v>
      </c>
      <c r="M34" s="1809"/>
      <c r="N34" s="457">
        <f t="shared" ref="N34:O39" si="17">(G34/$B$4)</f>
        <v>0.17202774565975351</v>
      </c>
      <c r="O34" s="458">
        <f t="shared" si="17"/>
        <v>0.61116663830933493</v>
      </c>
    </row>
    <row r="35" spans="2:15" s="60" customFormat="1" ht="15.6">
      <c r="B35" s="459" t="s">
        <v>233</v>
      </c>
      <c r="C35" s="460">
        <v>45149</v>
      </c>
      <c r="D35" s="460" t="s">
        <v>208</v>
      </c>
      <c r="E35" s="460">
        <v>45169</v>
      </c>
      <c r="F35" s="236">
        <f t="shared" si="14"/>
        <v>21</v>
      </c>
      <c r="G35" s="237">
        <f>'8.1 - CRONOGRAMA'!AD88</f>
        <v>436329.33000000007</v>
      </c>
      <c r="H35" s="237">
        <f>G35+H34</f>
        <v>21571731.780000001</v>
      </c>
      <c r="I35" s="238">
        <f t="shared" si="15"/>
        <v>20275101.469999999</v>
      </c>
      <c r="J35" s="61">
        <v>139284.51</v>
      </c>
      <c r="K35" s="237">
        <f t="shared" si="16"/>
        <v>575613.84000000008</v>
      </c>
      <c r="L35" s="1809">
        <f>L34-F35</f>
        <v>195</v>
      </c>
      <c r="M35" s="1809"/>
      <c r="N35" s="457">
        <f t="shared" si="17"/>
        <v>1.2617215614546505E-2</v>
      </c>
      <c r="O35" s="458">
        <f t="shared" si="17"/>
        <v>0.62378385392388147</v>
      </c>
    </row>
    <row r="36" spans="2:15" s="60" customFormat="1" ht="15.6">
      <c r="B36" s="459" t="s">
        <v>234</v>
      </c>
      <c r="C36" s="460">
        <v>45170</v>
      </c>
      <c r="D36" s="460" t="s">
        <v>208</v>
      </c>
      <c r="E36" s="460">
        <v>45199</v>
      </c>
      <c r="F36" s="236">
        <f t="shared" si="14"/>
        <v>30</v>
      </c>
      <c r="G36" s="237">
        <f>'8.1 - CRONOGRAMA'!AE88</f>
        <v>56421.020000000026</v>
      </c>
      <c r="H36" s="237">
        <f>G36+H35</f>
        <v>21628152.800000001</v>
      </c>
      <c r="I36" s="238">
        <f t="shared" si="15"/>
        <v>20218680.449999999</v>
      </c>
      <c r="J36" s="61">
        <v>18010.650000000001</v>
      </c>
      <c r="K36" s="237">
        <f t="shared" si="16"/>
        <v>74431.670000000027</v>
      </c>
      <c r="L36" s="1809">
        <f>L35-F36</f>
        <v>165</v>
      </c>
      <c r="M36" s="1809"/>
      <c r="N36" s="457">
        <f t="shared" si="17"/>
        <v>1.6315111673392225E-3</v>
      </c>
      <c r="O36" s="458">
        <f t="shared" si="17"/>
        <v>0.62541536509122064</v>
      </c>
    </row>
    <row r="37" spans="2:15" s="60" customFormat="1" ht="15.6">
      <c r="B37" s="459" t="s">
        <v>235</v>
      </c>
      <c r="C37" s="460">
        <v>45200</v>
      </c>
      <c r="D37" s="460" t="s">
        <v>208</v>
      </c>
      <c r="E37" s="460">
        <v>45230</v>
      </c>
      <c r="F37" s="236">
        <f t="shared" si="14"/>
        <v>31</v>
      </c>
      <c r="G37" s="61">
        <f>'8.1 - CRONOGRAMA'!AF88</f>
        <v>1503899.81</v>
      </c>
      <c r="H37" s="237">
        <f>G37+H36</f>
        <v>23132052.609999999</v>
      </c>
      <c r="I37" s="238">
        <f t="shared" si="15"/>
        <v>18714780.640000001</v>
      </c>
      <c r="J37" s="61">
        <v>480073.05</v>
      </c>
      <c r="K37" s="237">
        <f t="shared" si="16"/>
        <v>1983972.86</v>
      </c>
      <c r="L37" s="1809">
        <f>L36-F37</f>
        <v>134</v>
      </c>
      <c r="M37" s="1809"/>
      <c r="N37" s="457">
        <f t="shared" si="17"/>
        <v>4.3487858506888639E-2</v>
      </c>
      <c r="O37" s="458">
        <f t="shared" si="17"/>
        <v>0.66890322359810928</v>
      </c>
    </row>
    <row r="38" spans="2:15" s="60" customFormat="1" ht="15.6">
      <c r="B38" s="459" t="s">
        <v>236</v>
      </c>
      <c r="C38" s="460">
        <v>45231</v>
      </c>
      <c r="D38" s="460" t="s">
        <v>208</v>
      </c>
      <c r="E38" s="460">
        <v>45270</v>
      </c>
      <c r="F38" s="236">
        <f t="shared" si="14"/>
        <v>40</v>
      </c>
      <c r="G38" s="61">
        <f>'8.1 - CRONOGRAMA'!AG88</f>
        <v>9410115.3200000003</v>
      </c>
      <c r="H38" s="237">
        <f>G38+H37</f>
        <v>32542167.93</v>
      </c>
      <c r="I38" s="238">
        <f t="shared" si="15"/>
        <v>9304665.3200000003</v>
      </c>
      <c r="J38" s="61">
        <v>3003885.45</v>
      </c>
      <c r="K38" s="237">
        <f t="shared" si="16"/>
        <v>12414000.77</v>
      </c>
      <c r="L38" s="1809">
        <f>L37-F38</f>
        <v>94</v>
      </c>
      <c r="M38" s="1809"/>
      <c r="N38" s="457">
        <f t="shared" si="17"/>
        <v>0.2721097248956133</v>
      </c>
      <c r="O38" s="458">
        <f t="shared" si="17"/>
        <v>0.94101294849372252</v>
      </c>
    </row>
    <row r="39" spans="2:15" s="60" customFormat="1" ht="15.6">
      <c r="B39" s="459" t="s">
        <v>237</v>
      </c>
      <c r="C39" s="460">
        <v>45271</v>
      </c>
      <c r="D39" s="460" t="s">
        <v>208</v>
      </c>
      <c r="E39" s="460">
        <v>45291</v>
      </c>
      <c r="F39" s="236">
        <f t="shared" si="14"/>
        <v>21</v>
      </c>
      <c r="G39" s="61">
        <f>'8.1 - CRONOGRAMA'!AH88</f>
        <v>195017.55000000002</v>
      </c>
      <c r="H39" s="237">
        <f>G39+H38</f>
        <v>32737185.48</v>
      </c>
      <c r="I39" s="238">
        <f t="shared" si="15"/>
        <v>9109647.7699999996</v>
      </c>
      <c r="J39" s="61">
        <v>69989.25</v>
      </c>
      <c r="K39" s="237">
        <f t="shared" si="16"/>
        <v>265006.80000000005</v>
      </c>
      <c r="L39" s="1809">
        <f>L38-F39</f>
        <v>73</v>
      </c>
      <c r="M39" s="1809"/>
      <c r="N39" s="457">
        <f t="shared" si="17"/>
        <v>5.6392690286729144E-3</v>
      </c>
      <c r="O39" s="458">
        <f t="shared" si="17"/>
        <v>0.94665221752239548</v>
      </c>
    </row>
    <row r="40" spans="2:15" s="60" customFormat="1" ht="26.4">
      <c r="B40" s="970" t="s">
        <v>238</v>
      </c>
      <c r="C40" s="1799">
        <v>45315</v>
      </c>
      <c r="D40" s="1800"/>
      <c r="E40" s="1801"/>
      <c r="F40" s="969"/>
      <c r="G40" s="971"/>
      <c r="H40" s="971"/>
      <c r="I40" s="972">
        <v>830194.74</v>
      </c>
      <c r="J40" s="971"/>
      <c r="K40" s="971"/>
      <c r="L40" s="1810">
        <v>348</v>
      </c>
      <c r="M40" s="1810"/>
      <c r="N40" s="973"/>
      <c r="O40" s="974"/>
    </row>
    <row r="41" spans="2:15" s="60" customFormat="1" ht="15.6">
      <c r="B41" s="459" t="s">
        <v>239</v>
      </c>
      <c r="C41" s="460">
        <v>45292</v>
      </c>
      <c r="D41" s="460" t="s">
        <v>208</v>
      </c>
      <c r="E41" s="460">
        <v>45322</v>
      </c>
      <c r="F41" s="236">
        <f t="shared" ref="F41:F46" si="18">E41-C41+1</f>
        <v>31</v>
      </c>
      <c r="G41" s="61">
        <f>'8.1 - CRONOGRAMA'!AI88</f>
        <v>2994006.14</v>
      </c>
      <c r="H41" s="237">
        <f>G41+H39</f>
        <v>35731191.619999997</v>
      </c>
      <c r="I41" s="238">
        <f>($B$4+$I$19+$I$26+$I$33+$I$40-H41)</f>
        <v>6945836.3700000048</v>
      </c>
      <c r="J41" s="61">
        <v>424606.07</v>
      </c>
      <c r="K41" s="237">
        <f t="shared" ref="K41:K47" si="19">G41+J41</f>
        <v>3418612.21</v>
      </c>
      <c r="L41" s="1809">
        <f>L40-F41+L39</f>
        <v>390</v>
      </c>
      <c r="M41" s="1809"/>
      <c r="N41" s="457">
        <f t="shared" ref="N41:N43" si="20">(G41/$B$4)</f>
        <v>8.657685473414338E-2</v>
      </c>
      <c r="O41" s="458">
        <f t="shared" ref="O41:O43" si="21">(H41/$B$4)</f>
        <v>1.0332290722565387</v>
      </c>
    </row>
    <row r="42" spans="2:15" s="60" customFormat="1" ht="15.6">
      <c r="B42" s="459" t="s">
        <v>240</v>
      </c>
      <c r="C42" s="460">
        <v>45323</v>
      </c>
      <c r="D42" s="460" t="s">
        <v>208</v>
      </c>
      <c r="E42" s="460">
        <v>45351</v>
      </c>
      <c r="F42" s="236">
        <f t="shared" si="18"/>
        <v>29</v>
      </c>
      <c r="G42" s="61">
        <f>'8.1 - CRONOGRAMA'!AJ88</f>
        <v>1122526.96</v>
      </c>
      <c r="H42" s="237">
        <f>G42+H41</f>
        <v>36853718.579999998</v>
      </c>
      <c r="I42" s="238">
        <f>($B$4+$I$19+$I$26+$I$33+$I$40-H42)</f>
        <v>5823309.4100000039</v>
      </c>
      <c r="J42" s="61">
        <v>402860.26</v>
      </c>
      <c r="K42" s="237">
        <f t="shared" si="19"/>
        <v>1525387.22</v>
      </c>
      <c r="L42" s="1809">
        <f t="shared" ref="L42:L47" si="22">L41-F42</f>
        <v>361</v>
      </c>
      <c r="M42" s="1809"/>
      <c r="N42" s="457">
        <f t="shared" si="20"/>
        <v>3.2459804358009624E-2</v>
      </c>
      <c r="O42" s="458">
        <f t="shared" si="21"/>
        <v>1.0656888766145485</v>
      </c>
    </row>
    <row r="43" spans="2:15" s="60" customFormat="1" ht="15.6">
      <c r="B43" s="459" t="s">
        <v>241</v>
      </c>
      <c r="C43" s="460">
        <v>45352</v>
      </c>
      <c r="D43" s="460" t="s">
        <v>208</v>
      </c>
      <c r="E43" s="460">
        <v>45382</v>
      </c>
      <c r="F43" s="236">
        <f t="shared" si="18"/>
        <v>31</v>
      </c>
      <c r="G43" s="61">
        <f>'8.1 - CRONOGRAMA'!AK88</f>
        <v>574808.20999999973</v>
      </c>
      <c r="H43" s="237">
        <f t="shared" ref="H43:H47" si="23">G43+H42</f>
        <v>37428526.789999999</v>
      </c>
      <c r="I43" s="238">
        <f>($B$4+$I$19+$I$26+$I$33+$I$40-H43)</f>
        <v>5248501.200000003</v>
      </c>
      <c r="J43" s="61">
        <v>206291.16</v>
      </c>
      <c r="K43" s="237">
        <f t="shared" si="19"/>
        <v>781099.36999999976</v>
      </c>
      <c r="L43" s="1809">
        <f t="shared" si="22"/>
        <v>330</v>
      </c>
      <c r="M43" s="1809"/>
      <c r="N43" s="457">
        <f t="shared" si="20"/>
        <v>1.6621571423084309E-2</v>
      </c>
      <c r="O43" s="458">
        <f t="shared" si="21"/>
        <v>1.0823104480376327</v>
      </c>
    </row>
    <row r="44" spans="2:15" s="60" customFormat="1" ht="15.6">
      <c r="B44" s="459" t="s">
        <v>242</v>
      </c>
      <c r="C44" s="460">
        <v>45383</v>
      </c>
      <c r="D44" s="460" t="s">
        <v>208</v>
      </c>
      <c r="E44" s="460">
        <v>45412</v>
      </c>
      <c r="F44" s="236">
        <f t="shared" si="18"/>
        <v>30</v>
      </c>
      <c r="G44" s="61">
        <f>'8.1 - CRONOGRAMA'!AL88</f>
        <v>203525.07</v>
      </c>
      <c r="H44" s="237">
        <f t="shared" si="23"/>
        <v>37632051.859999999</v>
      </c>
      <c r="I44" s="238">
        <f t="shared" ref="I44:I47" si="24">($B$4+$I$19+$I$26+$I$33+$I$40-H44)</f>
        <v>5044976.1300000027</v>
      </c>
      <c r="J44" s="61">
        <v>73042.490000000005</v>
      </c>
      <c r="K44" s="237">
        <f t="shared" si="19"/>
        <v>276567.56</v>
      </c>
      <c r="L44" s="1809">
        <f t="shared" si="22"/>
        <v>300</v>
      </c>
      <c r="M44" s="1809"/>
      <c r="N44" s="457">
        <f t="shared" ref="N44:N47" si="25">(G44/$B$4)</f>
        <v>5.8852786521494446E-3</v>
      </c>
      <c r="O44" s="458">
        <f t="shared" ref="O44:O47" si="26">(H44/$B$4)</f>
        <v>1.0881957266897822</v>
      </c>
    </row>
    <row r="45" spans="2:15" s="60" customFormat="1" ht="15.6">
      <c r="B45" s="459" t="s">
        <v>243</v>
      </c>
      <c r="C45" s="460">
        <v>45413</v>
      </c>
      <c r="D45" s="460" t="s">
        <v>208</v>
      </c>
      <c r="E45" s="460">
        <v>45443</v>
      </c>
      <c r="F45" s="236">
        <f t="shared" si="18"/>
        <v>31</v>
      </c>
      <c r="G45" s="61">
        <f>'8.1 - CRONOGRAMA'!AM88</f>
        <v>197252.59000000005</v>
      </c>
      <c r="H45" s="237">
        <f t="shared" si="23"/>
        <v>37829304.450000003</v>
      </c>
      <c r="I45" s="238">
        <f t="shared" si="24"/>
        <v>4847723.5399999991</v>
      </c>
      <c r="J45" s="61">
        <v>70791.38</v>
      </c>
      <c r="K45" s="237">
        <f t="shared" si="19"/>
        <v>268043.97000000009</v>
      </c>
      <c r="L45" s="1809">
        <f t="shared" si="22"/>
        <v>269</v>
      </c>
      <c r="M45" s="1809"/>
      <c r="N45" s="457">
        <f t="shared" si="25"/>
        <v>5.7038990676096428E-3</v>
      </c>
      <c r="O45" s="458">
        <f t="shared" si="26"/>
        <v>1.0938996257573919</v>
      </c>
    </row>
    <row r="46" spans="2:15" s="60" customFormat="1" ht="15.6">
      <c r="B46" s="459" t="s">
        <v>244</v>
      </c>
      <c r="C46" s="460">
        <v>45444</v>
      </c>
      <c r="D46" s="460" t="s">
        <v>208</v>
      </c>
      <c r="E46" s="460">
        <v>45473</v>
      </c>
      <c r="F46" s="236">
        <f t="shared" si="18"/>
        <v>30</v>
      </c>
      <c r="G46" s="61">
        <f>'8.1 - CRONOGRAMA'!AN88</f>
        <v>79540.39</v>
      </c>
      <c r="H46" s="237">
        <f t="shared" si="23"/>
        <v>37908844.840000004</v>
      </c>
      <c r="I46" s="238">
        <f t="shared" si="24"/>
        <v>4768183.1499999985</v>
      </c>
      <c r="J46" s="61">
        <v>28546.01</v>
      </c>
      <c r="K46" s="237">
        <f t="shared" si="19"/>
        <v>108086.39999999999</v>
      </c>
      <c r="L46" s="1809">
        <f t="shared" si="22"/>
        <v>239</v>
      </c>
      <c r="M46" s="1809"/>
      <c r="N46" s="457">
        <f t="shared" si="25"/>
        <v>2.3000476513809387E-3</v>
      </c>
      <c r="O46" s="458">
        <f t="shared" si="26"/>
        <v>1.0961996734087729</v>
      </c>
    </row>
    <row r="47" spans="2:15" s="60" customFormat="1" ht="15.6">
      <c r="B47" s="1068" t="s">
        <v>245</v>
      </c>
      <c r="C47" s="462">
        <v>45474</v>
      </c>
      <c r="D47" s="462" t="s">
        <v>208</v>
      </c>
      <c r="E47" s="462">
        <v>45504</v>
      </c>
      <c r="F47" s="1196">
        <f t="shared" ref="F47" si="27">E47-C47+1</f>
        <v>31</v>
      </c>
      <c r="G47" s="1141">
        <f>'8.1 - CRONOGRAMA'!AO88</f>
        <v>27347.43</v>
      </c>
      <c r="H47" s="1197">
        <f t="shared" si="23"/>
        <v>37936192.270000003</v>
      </c>
      <c r="I47" s="1198">
        <f t="shared" si="24"/>
        <v>4740835.7199999988</v>
      </c>
      <c r="J47" s="1141">
        <v>9814.64</v>
      </c>
      <c r="K47" s="1197">
        <f t="shared" si="19"/>
        <v>37162.07</v>
      </c>
      <c r="L47" s="1815">
        <f t="shared" si="22"/>
        <v>208</v>
      </c>
      <c r="M47" s="1815"/>
      <c r="N47" s="1199">
        <f t="shared" si="25"/>
        <v>7.9079813592571806E-4</v>
      </c>
      <c r="O47" s="1200">
        <f t="shared" si="26"/>
        <v>1.0969904715446985</v>
      </c>
    </row>
    <row r="48" spans="2:15" s="58" customFormat="1" ht="20.25" customHeight="1">
      <c r="B48" s="1811" t="s">
        <v>246</v>
      </c>
      <c r="C48" s="1812"/>
      <c r="D48" s="1812"/>
      <c r="E48" s="1812"/>
      <c r="F48" s="203">
        <f>SUBTOTAL(9,F10:F47)</f>
        <v>1127</v>
      </c>
      <c r="G48" s="63">
        <f>SUBTOTAL(9,G10:G47)</f>
        <v>37936192.270000003</v>
      </c>
      <c r="H48" s="63"/>
      <c r="I48" s="63">
        <f>I47</f>
        <v>4740835.7199999988</v>
      </c>
      <c r="J48" s="63">
        <f>SUM(J10:J41)</f>
        <v>8044429.4800000004</v>
      </c>
      <c r="K48" s="63">
        <f>SUM(K10:K41)</f>
        <v>43775621.100000001</v>
      </c>
      <c r="L48" s="1813">
        <f>SUM($C$4+$H$4+$K$4+N4)-($F$48)</f>
        <v>208</v>
      </c>
      <c r="M48" s="1814"/>
      <c r="N48" s="64"/>
      <c r="O48" s="215">
        <f>($G$48/$B$4)</f>
        <v>1.0969904715446985</v>
      </c>
    </row>
    <row r="49" spans="2:13" ht="15.75" hidden="1" customHeight="1">
      <c r="B49" s="1806" t="s">
        <v>247</v>
      </c>
      <c r="C49" s="1807"/>
      <c r="D49" s="1807"/>
      <c r="E49" s="1807"/>
      <c r="F49" s="1807"/>
      <c r="G49" s="1807"/>
      <c r="H49" s="1807"/>
      <c r="I49" s="1807"/>
      <c r="J49" s="1807"/>
      <c r="K49" s="1807"/>
      <c r="L49" s="1807"/>
      <c r="M49" s="1808"/>
    </row>
    <row r="50" spans="2:13" ht="12.75" hidden="1" customHeight="1">
      <c r="B50" s="1802" t="s">
        <v>248</v>
      </c>
      <c r="C50" s="1803"/>
      <c r="D50" s="1803"/>
      <c r="E50" s="1803"/>
      <c r="F50" s="1803"/>
      <c r="G50" s="1803"/>
      <c r="H50" s="65" t="e">
        <f>-1*#REF!</f>
        <v>#REF!</v>
      </c>
      <c r="I50" s="1804"/>
      <c r="J50" s="1804"/>
      <c r="K50" s="1804"/>
      <c r="L50" s="1804"/>
      <c r="M50" s="1805"/>
    </row>
    <row r="51" spans="2:13" ht="12.75" hidden="1" customHeight="1">
      <c r="B51" s="1817" t="s">
        <v>249</v>
      </c>
      <c r="C51" s="1818"/>
      <c r="D51" s="1818"/>
      <c r="E51" s="1818"/>
      <c r="F51" s="1818"/>
      <c r="G51" s="1819"/>
      <c r="H51" s="66" t="e">
        <f>H50/B4</f>
        <v>#REF!</v>
      </c>
      <c r="I51" s="1820"/>
      <c r="J51" s="1820"/>
      <c r="K51" s="1820"/>
      <c r="L51" s="1820"/>
      <c r="M51" s="1821"/>
    </row>
    <row r="52" spans="2:13" ht="12.75" hidden="1" customHeight="1">
      <c r="B52" s="1822" t="s">
        <v>250</v>
      </c>
      <c r="C52" s="1823"/>
      <c r="D52" s="1823"/>
      <c r="E52" s="1823"/>
      <c r="F52" s="1823"/>
      <c r="G52" s="1823"/>
      <c r="H52" s="67" t="e">
        <f>-1*#REF!</f>
        <v>#REF!</v>
      </c>
      <c r="I52" s="1820" t="e">
        <f>#REF!</f>
        <v>#REF!</v>
      </c>
      <c r="J52" s="1820"/>
      <c r="K52" s="1820"/>
      <c r="L52" s="1820"/>
      <c r="M52" s="1821"/>
    </row>
    <row r="53" spans="2:13" ht="12.75" hidden="1" customHeight="1">
      <c r="B53" s="1824"/>
      <c r="C53" s="1825"/>
      <c r="D53" s="1825"/>
      <c r="E53" s="1825"/>
      <c r="F53" s="1825"/>
      <c r="G53" s="1825"/>
      <c r="H53" s="1826"/>
      <c r="I53" s="12"/>
      <c r="J53" s="12"/>
      <c r="K53" s="12"/>
      <c r="L53" s="12"/>
      <c r="M53" s="1283"/>
    </row>
    <row r="54" spans="2:13" ht="12.75" hidden="1" customHeight="1">
      <c r="B54" s="1827" t="s">
        <v>251</v>
      </c>
      <c r="C54" s="1828"/>
      <c r="D54" s="1828"/>
      <c r="E54" s="1828"/>
      <c r="F54" s="1828"/>
      <c r="G54" s="1828"/>
      <c r="H54" s="68" t="e">
        <f>J4+H50</f>
        <v>#REF!</v>
      </c>
      <c r="I54" s="12"/>
      <c r="J54" s="12"/>
      <c r="K54" s="12"/>
      <c r="L54" s="12"/>
      <c r="M54" s="1283"/>
    </row>
    <row r="55" spans="2:13" ht="12.75" hidden="1" customHeight="1">
      <c r="B55" s="1829" t="s">
        <v>249</v>
      </c>
      <c r="C55" s="1830"/>
      <c r="D55" s="1830"/>
      <c r="E55" s="1830"/>
      <c r="F55" s="1830"/>
      <c r="G55" s="1831"/>
      <c r="H55" s="69" t="e">
        <f>(H54/B4)-100%</f>
        <v>#REF!</v>
      </c>
      <c r="I55" s="12"/>
      <c r="J55" s="12"/>
      <c r="K55" s="12"/>
      <c r="L55" s="12"/>
      <c r="M55" s="1283"/>
    </row>
    <row r="56" spans="2:13" ht="12.75" hidden="1" customHeight="1">
      <c r="B56" s="1832" t="s">
        <v>252</v>
      </c>
      <c r="C56" s="1833"/>
      <c r="D56" s="1833"/>
      <c r="E56" s="1833"/>
      <c r="F56" s="1833"/>
      <c r="G56" s="1833"/>
      <c r="H56" s="70" t="e">
        <f>1560+H52</f>
        <v>#REF!</v>
      </c>
      <c r="I56" s="1284"/>
      <c r="J56" s="1284"/>
      <c r="K56" s="1284"/>
      <c r="L56" s="1284"/>
      <c r="M56" s="1285"/>
    </row>
    <row r="57" spans="2:13" ht="15.75" customHeight="1"/>
    <row r="58" spans="2:13" ht="15.75" customHeight="1">
      <c r="B58" s="212"/>
      <c r="J58" s="1816"/>
      <c r="K58" s="1816"/>
    </row>
    <row r="59" spans="2:13" ht="15.75" customHeight="1">
      <c r="G59" s="14"/>
      <c r="I59" s="71"/>
    </row>
    <row r="60" spans="2:13" ht="15.75" customHeight="1">
      <c r="G60" s="14"/>
      <c r="M60" s="14"/>
    </row>
    <row r="61" spans="2:13" ht="15.75" customHeight="1">
      <c r="H61" s="72"/>
      <c r="K61" s="14"/>
      <c r="L61" s="14"/>
    </row>
    <row r="62" spans="2:13" ht="15.75" customHeight="1">
      <c r="I62" s="73"/>
    </row>
    <row r="63" spans="2:13" ht="15.75" customHeight="1">
      <c r="I63" s="73"/>
    </row>
    <row r="64" spans="2:13" ht="15.75" customHeight="1"/>
    <row r="65" ht="15.75" customHeight="1"/>
    <row r="66" ht="15.75" customHeight="1"/>
    <row r="67" ht="15.75" customHeight="1"/>
    <row r="68" ht="15.75" customHeight="1"/>
    <row r="69" ht="15.75" customHeight="1"/>
  </sheetData>
  <mergeCells count="75">
    <mergeCell ref="B1:O1"/>
    <mergeCell ref="B2:F2"/>
    <mergeCell ref="G2:I2"/>
    <mergeCell ref="J2:L2"/>
    <mergeCell ref="M2:O2"/>
    <mergeCell ref="G8:K8"/>
    <mergeCell ref="L11:M11"/>
    <mergeCell ref="C26:E26"/>
    <mergeCell ref="L8:M9"/>
    <mergeCell ref="N8:O8"/>
    <mergeCell ref="L10:M10"/>
    <mergeCell ref="L12:M12"/>
    <mergeCell ref="L13:M13"/>
    <mergeCell ref="L26:M26"/>
    <mergeCell ref="C19:E19"/>
    <mergeCell ref="L28:M28"/>
    <mergeCell ref="L29:M29"/>
    <mergeCell ref="L30:M30"/>
    <mergeCell ref="L31:M31"/>
    <mergeCell ref="C3:E3"/>
    <mergeCell ref="C4:E4"/>
    <mergeCell ref="B5:F5"/>
    <mergeCell ref="L14:M14"/>
    <mergeCell ref="G5:I5"/>
    <mergeCell ref="J5:L5"/>
    <mergeCell ref="M5:O5"/>
    <mergeCell ref="B6:O6"/>
    <mergeCell ref="B7:O7"/>
    <mergeCell ref="B8:B9"/>
    <mergeCell ref="C8:E9"/>
    <mergeCell ref="F8:F9"/>
    <mergeCell ref="L27:M27"/>
    <mergeCell ref="L15:M15"/>
    <mergeCell ref="L16:M16"/>
    <mergeCell ref="L17:M17"/>
    <mergeCell ref="L18:M18"/>
    <mergeCell ref="L20:M20"/>
    <mergeCell ref="L21:M21"/>
    <mergeCell ref="L22:M22"/>
    <mergeCell ref="L23:M23"/>
    <mergeCell ref="L24:M24"/>
    <mergeCell ref="L25:M25"/>
    <mergeCell ref="L19:M19"/>
    <mergeCell ref="L46:M46"/>
    <mergeCell ref="L32:M32"/>
    <mergeCell ref="L34:M34"/>
    <mergeCell ref="L36:M36"/>
    <mergeCell ref="L37:M37"/>
    <mergeCell ref="L35:M35"/>
    <mergeCell ref="L33:M33"/>
    <mergeCell ref="J58:K58"/>
    <mergeCell ref="B51:G51"/>
    <mergeCell ref="I51:M51"/>
    <mergeCell ref="B52:G52"/>
    <mergeCell ref="I52:M52"/>
    <mergeCell ref="B53:H53"/>
    <mergeCell ref="B54:G54"/>
    <mergeCell ref="B55:G55"/>
    <mergeCell ref="B56:G56"/>
    <mergeCell ref="C33:E33"/>
    <mergeCell ref="B50:G50"/>
    <mergeCell ref="I50:M50"/>
    <mergeCell ref="B49:M49"/>
    <mergeCell ref="L38:M38"/>
    <mergeCell ref="L39:M39"/>
    <mergeCell ref="L40:M40"/>
    <mergeCell ref="B48:E48"/>
    <mergeCell ref="L48:M48"/>
    <mergeCell ref="C40:E40"/>
    <mergeCell ref="L41:M41"/>
    <mergeCell ref="L42:M42"/>
    <mergeCell ref="L47:M47"/>
    <mergeCell ref="L43:M43"/>
    <mergeCell ref="L44:M44"/>
    <mergeCell ref="L45:M45"/>
  </mergeCells>
  <printOptions horizontalCentered="1"/>
  <pageMargins left="0.19685039370078741" right="0.19685039370078741" top="0.39370078740157483" bottom="0.39370078740157483" header="0" footer="0"/>
  <pageSetup paperSize="9" scale="74" fitToHeight="0" orientation="landscape" r:id="rId1"/>
  <headerFooter scaleWithDoc="0">
    <oddHeader>&amp;C&amp;R&amp;"Times New Roman,Itálico"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BJ104"/>
  <sheetViews>
    <sheetView view="pageBreakPreview" topLeftCell="Z1" zoomScale="55" zoomScaleNormal="40" zoomScaleSheetLayoutView="55" workbookViewId="0">
      <selection activeCell="J72" sqref="J72"/>
    </sheetView>
  </sheetViews>
  <sheetFormatPr defaultColWidth="9.109375" defaultRowHeight="15"/>
  <cols>
    <col min="1" max="1" width="2.109375" style="84" customWidth="1"/>
    <col min="2" max="2" width="14.88671875" style="97" customWidth="1"/>
    <col min="3" max="3" width="28.44140625" style="97" customWidth="1"/>
    <col min="4" max="4" width="12.33203125" style="97" customWidth="1"/>
    <col min="5" max="8" width="15.6640625" style="84" customWidth="1"/>
    <col min="9" max="9" width="17.44140625" style="84" customWidth="1"/>
    <col min="10" max="10" width="18.33203125" style="84" customWidth="1"/>
    <col min="11" max="11" width="18.6640625" style="84" bestFit="1" customWidth="1"/>
    <col min="12" max="12" width="16.6640625" style="84" customWidth="1"/>
    <col min="13" max="41" width="15.6640625" style="84" customWidth="1"/>
    <col min="42" max="42" width="2.109375" style="84" customWidth="1"/>
    <col min="43" max="43" width="16.6640625" style="84" customWidth="1"/>
    <col min="44" max="44" width="15" style="84" bestFit="1" customWidth="1"/>
    <col min="45" max="45" width="15.6640625" style="84" bestFit="1" customWidth="1"/>
    <col min="46" max="46" width="16.44140625" style="84" bestFit="1" customWidth="1"/>
    <col min="47" max="47" width="10.33203125" style="84" bestFit="1" customWidth="1"/>
    <col min="48" max="16384" width="9.109375" style="84"/>
  </cols>
  <sheetData>
    <row r="1" spans="1:44" ht="9.9" customHeight="1">
      <c r="A1" s="1286"/>
      <c r="B1" s="1287"/>
      <c r="C1" s="1287"/>
      <c r="D1" s="1287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1096"/>
      <c r="T1" s="1096"/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6"/>
      <c r="AF1" s="1096"/>
      <c r="AG1" s="1096"/>
      <c r="AH1" s="1096"/>
      <c r="AI1" s="1096"/>
      <c r="AJ1" s="1096"/>
      <c r="AK1" s="1096"/>
      <c r="AL1" s="1096"/>
      <c r="AM1" s="1096"/>
      <c r="AN1" s="1096"/>
      <c r="AO1" s="1096"/>
      <c r="AP1" s="1288"/>
    </row>
    <row r="2" spans="1:44" ht="12" customHeight="1">
      <c r="A2" s="1413"/>
      <c r="B2" s="1878" t="s">
        <v>253</v>
      </c>
      <c r="C2" s="1878"/>
      <c r="D2" s="1878"/>
      <c r="E2" s="1878"/>
      <c r="F2" s="1878"/>
      <c r="G2" s="1878"/>
      <c r="H2" s="1878"/>
      <c r="I2" s="1878"/>
      <c r="J2" s="1878"/>
      <c r="K2" s="1878"/>
      <c r="L2" s="1878"/>
      <c r="M2" s="1878"/>
      <c r="N2" s="1878"/>
      <c r="O2" s="1878"/>
      <c r="P2" s="1878"/>
      <c r="Q2" s="1878"/>
      <c r="R2" s="1878"/>
      <c r="S2" s="1878"/>
      <c r="T2" s="1878"/>
      <c r="U2" s="1878"/>
      <c r="V2" s="1878"/>
      <c r="W2" s="1878"/>
      <c r="X2" s="1878"/>
      <c r="Y2" s="1878"/>
      <c r="Z2" s="1878"/>
      <c r="AA2" s="1878"/>
      <c r="AB2" s="1878"/>
      <c r="AC2" s="1878"/>
      <c r="AD2" s="1878"/>
      <c r="AE2" s="1878"/>
      <c r="AF2" s="1878"/>
      <c r="AG2" s="1878"/>
      <c r="AH2" s="1878"/>
      <c r="AI2" s="1878"/>
      <c r="AJ2" s="1878"/>
      <c r="AK2" s="1878"/>
      <c r="AL2" s="1878"/>
      <c r="AM2" s="1878"/>
      <c r="AN2" s="1878"/>
      <c r="AO2" s="1878"/>
      <c r="AP2" s="697"/>
    </row>
    <row r="3" spans="1:44" ht="12" customHeight="1">
      <c r="A3" s="1413"/>
      <c r="B3" s="1878"/>
      <c r="C3" s="1878"/>
      <c r="D3" s="1878"/>
      <c r="E3" s="1878"/>
      <c r="F3" s="1878"/>
      <c r="G3" s="1878"/>
      <c r="H3" s="1878"/>
      <c r="I3" s="1878"/>
      <c r="J3" s="1878"/>
      <c r="K3" s="1878"/>
      <c r="L3" s="1878"/>
      <c r="M3" s="1878"/>
      <c r="N3" s="1878"/>
      <c r="O3" s="1878"/>
      <c r="P3" s="1878"/>
      <c r="Q3" s="1878"/>
      <c r="R3" s="1878"/>
      <c r="S3" s="1878"/>
      <c r="T3" s="1878"/>
      <c r="U3" s="1878"/>
      <c r="V3" s="1878"/>
      <c r="W3" s="1878"/>
      <c r="X3" s="1878"/>
      <c r="Y3" s="1878"/>
      <c r="Z3" s="1878"/>
      <c r="AA3" s="1878"/>
      <c r="AB3" s="1878"/>
      <c r="AC3" s="1878"/>
      <c r="AD3" s="1878"/>
      <c r="AE3" s="1878"/>
      <c r="AF3" s="1878"/>
      <c r="AG3" s="1878"/>
      <c r="AH3" s="1878"/>
      <c r="AI3" s="1878"/>
      <c r="AJ3" s="1878"/>
      <c r="AK3" s="1878"/>
      <c r="AL3" s="1878"/>
      <c r="AM3" s="1878"/>
      <c r="AN3" s="1878"/>
      <c r="AO3" s="1878"/>
      <c r="AP3" s="697"/>
    </row>
    <row r="4" spans="1:44" s="85" customFormat="1" ht="15.6">
      <c r="A4" s="1414"/>
      <c r="B4" s="642" t="s">
        <v>254</v>
      </c>
      <c r="C4" s="642" t="str">
        <f>'INFORM.CONTRA.'!H98</f>
        <v>Região do bairro Pontal das Graças, paralelamente ao “Canal do Dique”</v>
      </c>
      <c r="D4" s="642"/>
      <c r="E4" s="643"/>
      <c r="F4" s="643"/>
      <c r="G4" s="643"/>
      <c r="H4" s="643"/>
      <c r="I4" s="643"/>
      <c r="J4" s="644"/>
      <c r="K4" s="644" t="s">
        <v>255</v>
      </c>
      <c r="L4" s="645" t="str">
        <f>'INFORM.CONTRA.'!J24</f>
        <v>009/2021</v>
      </c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644"/>
      <c r="AG4" s="644"/>
      <c r="AH4" s="644"/>
      <c r="AI4" s="644"/>
      <c r="AJ4" s="644"/>
      <c r="AK4" s="644"/>
      <c r="AL4" s="644"/>
      <c r="AM4" s="644"/>
      <c r="AN4" s="644"/>
      <c r="AO4" s="644"/>
      <c r="AP4" s="698"/>
    </row>
    <row r="5" spans="1:44" s="85" customFormat="1" ht="15.6">
      <c r="A5" s="1414"/>
      <c r="B5" s="642" t="s">
        <v>256</v>
      </c>
      <c r="C5" s="1877" t="str">
        <f>LEFT('INFORM.CONTRA.'!$J$29,115)</f>
        <v>Execução das Obras de Construção da Estação de Bombeamento de Águas Pluviais Laranja, no Município de Vila Velha/ES</v>
      </c>
      <c r="D5" s="1877"/>
      <c r="E5" s="1877"/>
      <c r="F5" s="1877"/>
      <c r="G5" s="1877"/>
      <c r="H5" s="1877"/>
      <c r="I5" s="1877"/>
      <c r="J5" s="644"/>
      <c r="K5" s="644" t="s">
        <v>257</v>
      </c>
      <c r="L5" s="646" t="str">
        <f>'INFORM.CONTRA.'!J22</f>
        <v>DP Barros Pavimentação e Construção Ltda</v>
      </c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98"/>
      <c r="AQ5" s="95"/>
    </row>
    <row r="6" spans="1:44" s="85" customFormat="1" ht="30" customHeight="1">
      <c r="A6" s="1414"/>
      <c r="B6" s="86" t="s">
        <v>258</v>
      </c>
      <c r="C6" s="86" t="s">
        <v>259</v>
      </c>
      <c r="D6" s="86"/>
      <c r="E6" s="87">
        <v>44378</v>
      </c>
      <c r="F6" s="87">
        <f>E6+31</f>
        <v>44409</v>
      </c>
      <c r="G6" s="87">
        <f>F6+31</f>
        <v>44440</v>
      </c>
      <c r="H6" s="87">
        <f>G6+31</f>
        <v>44471</v>
      </c>
      <c r="I6" s="87">
        <f>H6+30</f>
        <v>44501</v>
      </c>
      <c r="J6" s="87">
        <f>I6+31</f>
        <v>44532</v>
      </c>
      <c r="K6" s="87">
        <f>J6+30</f>
        <v>44562</v>
      </c>
      <c r="L6" s="87">
        <f>K6+31</f>
        <v>44593</v>
      </c>
      <c r="M6" s="87">
        <f>L6+31</f>
        <v>44624</v>
      </c>
      <c r="N6" s="87">
        <f>M6+30</f>
        <v>44654</v>
      </c>
      <c r="O6" s="87">
        <f>N6+31</f>
        <v>44685</v>
      </c>
      <c r="P6" s="87">
        <f>O6+30</f>
        <v>44715</v>
      </c>
      <c r="Q6" s="87">
        <f t="shared" ref="Q6:AM6" si="0">P6+31</f>
        <v>44746</v>
      </c>
      <c r="R6" s="87">
        <f t="shared" si="0"/>
        <v>44777</v>
      </c>
      <c r="S6" s="87">
        <f t="shared" si="0"/>
        <v>44808</v>
      </c>
      <c r="T6" s="87">
        <f t="shared" si="0"/>
        <v>44839</v>
      </c>
      <c r="U6" s="87">
        <f t="shared" si="0"/>
        <v>44870</v>
      </c>
      <c r="V6" s="87">
        <f t="shared" si="0"/>
        <v>44901</v>
      </c>
      <c r="W6" s="87">
        <f t="shared" si="0"/>
        <v>44932</v>
      </c>
      <c r="X6" s="87">
        <f t="shared" si="0"/>
        <v>44963</v>
      </c>
      <c r="Y6" s="87">
        <f t="shared" si="0"/>
        <v>44994</v>
      </c>
      <c r="Z6" s="87">
        <f t="shared" si="0"/>
        <v>45025</v>
      </c>
      <c r="AA6" s="87">
        <f t="shared" si="0"/>
        <v>45056</v>
      </c>
      <c r="AB6" s="87">
        <f t="shared" si="0"/>
        <v>45087</v>
      </c>
      <c r="AC6" s="87">
        <f t="shared" si="0"/>
        <v>45118</v>
      </c>
      <c r="AD6" s="87">
        <f t="shared" si="0"/>
        <v>45149</v>
      </c>
      <c r="AE6" s="87">
        <f t="shared" si="0"/>
        <v>45180</v>
      </c>
      <c r="AF6" s="87">
        <f t="shared" si="0"/>
        <v>45211</v>
      </c>
      <c r="AG6" s="87">
        <f t="shared" si="0"/>
        <v>45242</v>
      </c>
      <c r="AH6" s="87">
        <f t="shared" si="0"/>
        <v>45273</v>
      </c>
      <c r="AI6" s="87">
        <f>AH6+31</f>
        <v>45304</v>
      </c>
      <c r="AJ6" s="87">
        <f t="shared" si="0"/>
        <v>45335</v>
      </c>
      <c r="AK6" s="87">
        <f t="shared" si="0"/>
        <v>45366</v>
      </c>
      <c r="AL6" s="87">
        <f t="shared" si="0"/>
        <v>45397</v>
      </c>
      <c r="AM6" s="87">
        <f t="shared" si="0"/>
        <v>45428</v>
      </c>
      <c r="AN6" s="87">
        <f t="shared" ref="AN6" si="1">AM6+31</f>
        <v>45459</v>
      </c>
      <c r="AO6" s="87">
        <f t="shared" ref="AO6" si="2">AN6+31</f>
        <v>45490</v>
      </c>
      <c r="AP6" s="698"/>
    </row>
    <row r="7" spans="1:44" s="85" customFormat="1" ht="4.5" customHeight="1">
      <c r="A7" s="1414"/>
      <c r="B7" s="94"/>
      <c r="C7" s="94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8"/>
      <c r="Y7" s="648"/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8"/>
      <c r="AK7" s="648"/>
      <c r="AL7" s="648"/>
      <c r="AM7" s="648"/>
      <c r="AN7" s="648"/>
      <c r="AO7" s="648"/>
      <c r="AP7" s="698"/>
    </row>
    <row r="8" spans="1:44" s="640" customFormat="1" ht="20.100000000000001" customHeight="1">
      <c r="A8" s="1415"/>
      <c r="B8" s="1289" t="s">
        <v>260</v>
      </c>
      <c r="C8" s="1879" t="s">
        <v>261</v>
      </c>
      <c r="D8" s="1880"/>
      <c r="E8" s="1880"/>
      <c r="F8" s="1880"/>
      <c r="G8" s="1880"/>
      <c r="H8" s="1880"/>
      <c r="I8" s="1880"/>
      <c r="J8" s="1880"/>
      <c r="K8" s="1880"/>
      <c r="L8" s="1880"/>
      <c r="M8" s="1880"/>
      <c r="N8" s="1880"/>
      <c r="O8" s="1880"/>
      <c r="P8" s="1880"/>
      <c r="Q8" s="1880"/>
      <c r="R8" s="1880"/>
      <c r="S8" s="1880"/>
      <c r="T8" s="1880"/>
      <c r="U8" s="1880"/>
      <c r="V8" s="1880"/>
      <c r="W8" s="1880"/>
      <c r="X8" s="1880"/>
      <c r="Y8" s="1880"/>
      <c r="Z8" s="1880"/>
      <c r="AA8" s="1880"/>
      <c r="AB8" s="1880"/>
      <c r="AC8" s="1880"/>
      <c r="AD8" s="1880"/>
      <c r="AE8" s="1880"/>
      <c r="AF8" s="1880"/>
      <c r="AG8" s="1880"/>
      <c r="AH8" s="1880"/>
      <c r="AI8" s="1880"/>
      <c r="AJ8" s="1880"/>
      <c r="AK8" s="1880"/>
      <c r="AL8" s="1880"/>
      <c r="AM8" s="1880"/>
      <c r="AN8" s="1880"/>
      <c r="AO8" s="1881"/>
      <c r="AP8" s="699"/>
    </row>
    <row r="9" spans="1:44" s="85" customFormat="1" ht="15.6" customHeight="1">
      <c r="A9" s="1414"/>
      <c r="B9" s="1872" t="s">
        <v>262</v>
      </c>
      <c r="C9" s="1875" t="s">
        <v>263</v>
      </c>
      <c r="D9" s="88" t="s">
        <v>264</v>
      </c>
      <c r="E9" s="89">
        <f>IF(E11&gt;0,E11/$C12,"")</f>
        <v>0.95592053788127784</v>
      </c>
      <c r="F9" s="89" t="str">
        <f>IF(F11&gt;0,F11/$C12,"")</f>
        <v/>
      </c>
      <c r="G9" s="89" t="str">
        <f t="shared" ref="G9:W9" si="3">IF(G11&gt;0,G11/$C12,"")</f>
        <v/>
      </c>
      <c r="H9" s="89" t="str">
        <f t="shared" si="3"/>
        <v/>
      </c>
      <c r="I9" s="89" t="str">
        <f t="shared" si="3"/>
        <v/>
      </c>
      <c r="J9" s="89" t="str">
        <f t="shared" si="3"/>
        <v/>
      </c>
      <c r="K9" s="89" t="str">
        <f t="shared" si="3"/>
        <v/>
      </c>
      <c r="L9" s="89" t="str">
        <f t="shared" si="3"/>
        <v/>
      </c>
      <c r="M9" s="89" t="str">
        <f t="shared" si="3"/>
        <v/>
      </c>
      <c r="N9" s="89" t="str">
        <f t="shared" si="3"/>
        <v/>
      </c>
      <c r="O9" s="89" t="str">
        <f t="shared" si="3"/>
        <v/>
      </c>
      <c r="P9" s="89" t="str">
        <f t="shared" si="3"/>
        <v/>
      </c>
      <c r="Q9" s="89" t="str">
        <f t="shared" si="3"/>
        <v/>
      </c>
      <c r="R9" s="89">
        <f t="shared" si="3"/>
        <v>3.4302789280934373E-2</v>
      </c>
      <c r="S9" s="89" t="str">
        <f t="shared" si="3"/>
        <v/>
      </c>
      <c r="T9" s="89" t="str">
        <f t="shared" si="3"/>
        <v/>
      </c>
      <c r="U9" s="89" t="str">
        <f t="shared" si="3"/>
        <v/>
      </c>
      <c r="V9" s="89" t="str">
        <f t="shared" si="3"/>
        <v/>
      </c>
      <c r="W9" s="89" t="str">
        <f t="shared" si="3"/>
        <v/>
      </c>
      <c r="X9" s="89"/>
      <c r="Y9" s="89" t="str">
        <f>IF(Y11&gt;0,Y11/$C12,"")</f>
        <v/>
      </c>
      <c r="Z9" s="89" t="str">
        <f>IF(Z11&gt;0,Z11/$C12,"")</f>
        <v/>
      </c>
      <c r="AA9" s="89" t="str">
        <f>IF(AA11&gt;0,AA11/$C12,"")</f>
        <v/>
      </c>
      <c r="AB9" s="89"/>
      <c r="AC9" s="89" t="str">
        <f t="shared" ref="AC9:AM9" si="4">IF(AC11&gt;0,AC11/$C12,"")</f>
        <v/>
      </c>
      <c r="AD9" s="89" t="str">
        <f t="shared" si="4"/>
        <v/>
      </c>
      <c r="AE9" s="89" t="str">
        <f t="shared" si="4"/>
        <v/>
      </c>
      <c r="AF9" s="89" t="str">
        <f t="shared" si="4"/>
        <v/>
      </c>
      <c r="AG9" s="89" t="str">
        <f t="shared" si="4"/>
        <v/>
      </c>
      <c r="AH9" s="89" t="str">
        <f t="shared" si="4"/>
        <v/>
      </c>
      <c r="AI9" s="89" t="str">
        <f t="shared" si="4"/>
        <v/>
      </c>
      <c r="AJ9" s="89" t="str">
        <f t="shared" si="4"/>
        <v/>
      </c>
      <c r="AK9" s="89" t="str">
        <f t="shared" si="4"/>
        <v/>
      </c>
      <c r="AL9" s="89" t="str">
        <f t="shared" si="4"/>
        <v/>
      </c>
      <c r="AM9" s="89" t="str">
        <f t="shared" si="4"/>
        <v/>
      </c>
      <c r="AN9" s="89"/>
      <c r="AO9" s="89" t="str">
        <f>IF(AO11&gt;0,AO11/$C12,"")</f>
        <v/>
      </c>
      <c r="AP9" s="698"/>
      <c r="AQ9" s="91">
        <f>SUM(E9:AO9)</f>
        <v>0.99022332716221217</v>
      </c>
    </row>
    <row r="10" spans="1:44" s="85" customFormat="1" ht="15.6">
      <c r="A10" s="1414"/>
      <c r="B10" s="1873"/>
      <c r="C10" s="1876"/>
      <c r="D10" s="88" t="s">
        <v>265</v>
      </c>
      <c r="E10" s="90">
        <f t="shared" ref="E10:AO10" si="5">IF(E12&gt;0,E12/$C12,0)</f>
        <v>0.95592053788127784</v>
      </c>
      <c r="F10" s="90">
        <f t="shared" si="5"/>
        <v>0</v>
      </c>
      <c r="G10" s="90">
        <f t="shared" si="5"/>
        <v>0</v>
      </c>
      <c r="H10" s="90">
        <f t="shared" si="5"/>
        <v>0</v>
      </c>
      <c r="I10" s="90">
        <f t="shared" si="5"/>
        <v>0</v>
      </c>
      <c r="J10" s="90">
        <f t="shared" si="5"/>
        <v>0</v>
      </c>
      <c r="K10" s="90">
        <f t="shared" si="5"/>
        <v>0</v>
      </c>
      <c r="L10" s="90">
        <f t="shared" si="5"/>
        <v>0</v>
      </c>
      <c r="M10" s="90">
        <f t="shared" si="5"/>
        <v>0</v>
      </c>
      <c r="N10" s="90">
        <f t="shared" si="5"/>
        <v>0</v>
      </c>
      <c r="O10" s="90">
        <f t="shared" si="5"/>
        <v>0</v>
      </c>
      <c r="P10" s="90">
        <f t="shared" si="5"/>
        <v>0</v>
      </c>
      <c r="Q10" s="90">
        <f t="shared" si="5"/>
        <v>0</v>
      </c>
      <c r="R10" s="90">
        <f t="shared" si="5"/>
        <v>3.4302789280934373E-2</v>
      </c>
      <c r="S10" s="90">
        <f t="shared" si="5"/>
        <v>0</v>
      </c>
      <c r="T10" s="90">
        <f t="shared" si="5"/>
        <v>0</v>
      </c>
      <c r="U10" s="90">
        <f t="shared" si="5"/>
        <v>0</v>
      </c>
      <c r="V10" s="90">
        <f t="shared" si="5"/>
        <v>0</v>
      </c>
      <c r="W10" s="90">
        <f t="shared" si="5"/>
        <v>0</v>
      </c>
      <c r="X10" s="90">
        <f t="shared" si="5"/>
        <v>0</v>
      </c>
      <c r="Y10" s="90">
        <f t="shared" si="5"/>
        <v>0</v>
      </c>
      <c r="Z10" s="90">
        <f t="shared" si="5"/>
        <v>0</v>
      </c>
      <c r="AA10" s="90">
        <f t="shared" si="5"/>
        <v>0</v>
      </c>
      <c r="AB10" s="90">
        <f t="shared" si="5"/>
        <v>0</v>
      </c>
      <c r="AC10" s="90">
        <f t="shared" si="5"/>
        <v>0</v>
      </c>
      <c r="AD10" s="90">
        <f t="shared" si="5"/>
        <v>0</v>
      </c>
      <c r="AE10" s="90">
        <f t="shared" si="5"/>
        <v>0</v>
      </c>
      <c r="AF10" s="90">
        <f t="shared" si="5"/>
        <v>0</v>
      </c>
      <c r="AG10" s="90">
        <f t="shared" si="5"/>
        <v>0</v>
      </c>
      <c r="AH10" s="90">
        <f t="shared" si="5"/>
        <v>9.7766728377877577E-3</v>
      </c>
      <c r="AI10" s="90">
        <f t="shared" si="5"/>
        <v>0</v>
      </c>
      <c r="AJ10" s="90">
        <f t="shared" si="5"/>
        <v>0</v>
      </c>
      <c r="AK10" s="90">
        <f t="shared" si="5"/>
        <v>0</v>
      </c>
      <c r="AL10" s="90">
        <f t="shared" si="5"/>
        <v>0</v>
      </c>
      <c r="AM10" s="90">
        <f t="shared" si="5"/>
        <v>0</v>
      </c>
      <c r="AN10" s="90">
        <f t="shared" ref="AN10" si="6">IF(AN12&gt;0,AN12/$C12,0)</f>
        <v>0</v>
      </c>
      <c r="AO10" s="90">
        <f t="shared" si="5"/>
        <v>0</v>
      </c>
      <c r="AP10" s="698"/>
      <c r="AQ10" s="240">
        <f>SUM(E10:AO10)</f>
        <v>0.99999999999999989</v>
      </c>
    </row>
    <row r="11" spans="1:44" s="85" customFormat="1" ht="15.6">
      <c r="A11" s="1414"/>
      <c r="B11" s="1873"/>
      <c r="C11" s="86" t="s">
        <v>266</v>
      </c>
      <c r="D11" s="88" t="s">
        <v>267</v>
      </c>
      <c r="E11" s="92">
        <f t="shared" ref="E11:S11" si="7">VLOOKUP($B9,$D$73:$S$87,E$72+1,FALSE)</f>
        <v>70702.55</v>
      </c>
      <c r="F11" s="92">
        <f t="shared" si="7"/>
        <v>0</v>
      </c>
      <c r="G11" s="92">
        <f t="shared" si="7"/>
        <v>0</v>
      </c>
      <c r="H11" s="92">
        <f t="shared" si="7"/>
        <v>0</v>
      </c>
      <c r="I11" s="92">
        <f t="shared" si="7"/>
        <v>0</v>
      </c>
      <c r="J11" s="92">
        <f t="shared" si="7"/>
        <v>0</v>
      </c>
      <c r="K11" s="92">
        <f t="shared" si="7"/>
        <v>0</v>
      </c>
      <c r="L11" s="92">
        <f t="shared" si="7"/>
        <v>0</v>
      </c>
      <c r="M11" s="92">
        <f t="shared" si="7"/>
        <v>0</v>
      </c>
      <c r="N11" s="92">
        <f t="shared" si="7"/>
        <v>0</v>
      </c>
      <c r="O11" s="92">
        <f t="shared" si="7"/>
        <v>0</v>
      </c>
      <c r="P11" s="92">
        <f t="shared" si="7"/>
        <v>0</v>
      </c>
      <c r="Q11" s="92">
        <f t="shared" si="7"/>
        <v>0</v>
      </c>
      <c r="R11" s="92">
        <f t="shared" si="7"/>
        <v>2537.13</v>
      </c>
      <c r="S11" s="92">
        <f t="shared" si="7"/>
        <v>0</v>
      </c>
      <c r="T11" s="92">
        <f t="shared" ref="T11:AO11" si="8">VLOOKUP($B9,$D$73:$AO$87,T$72+1,FALSE)</f>
        <v>0</v>
      </c>
      <c r="U11" s="92">
        <f t="shared" si="8"/>
        <v>0</v>
      </c>
      <c r="V11" s="92">
        <f t="shared" si="8"/>
        <v>0</v>
      </c>
      <c r="W11" s="92">
        <f t="shared" si="8"/>
        <v>0</v>
      </c>
      <c r="X11" s="92">
        <f t="shared" si="8"/>
        <v>0</v>
      </c>
      <c r="Y11" s="92">
        <f t="shared" si="8"/>
        <v>0</v>
      </c>
      <c r="Z11" s="92">
        <f t="shared" si="8"/>
        <v>0</v>
      </c>
      <c r="AA11" s="92">
        <f t="shared" si="8"/>
        <v>0</v>
      </c>
      <c r="AB11" s="92">
        <f t="shared" si="8"/>
        <v>0</v>
      </c>
      <c r="AC11" s="92">
        <f t="shared" si="8"/>
        <v>0</v>
      </c>
      <c r="AD11" s="92">
        <f t="shared" si="8"/>
        <v>0</v>
      </c>
      <c r="AE11" s="92">
        <f t="shared" si="8"/>
        <v>0</v>
      </c>
      <c r="AF11" s="92">
        <f t="shared" si="8"/>
        <v>0</v>
      </c>
      <c r="AG11" s="92">
        <f t="shared" si="8"/>
        <v>0</v>
      </c>
      <c r="AH11" s="92">
        <f t="shared" si="8"/>
        <v>0</v>
      </c>
      <c r="AI11" s="92">
        <f t="shared" si="8"/>
        <v>0</v>
      </c>
      <c r="AJ11" s="92">
        <f t="shared" si="8"/>
        <v>0</v>
      </c>
      <c r="AK11" s="92">
        <f t="shared" si="8"/>
        <v>0</v>
      </c>
      <c r="AL11" s="92">
        <f t="shared" si="8"/>
        <v>0</v>
      </c>
      <c r="AM11" s="92">
        <f t="shared" si="8"/>
        <v>0</v>
      </c>
      <c r="AN11" s="92">
        <f t="shared" si="8"/>
        <v>0</v>
      </c>
      <c r="AO11" s="92">
        <f t="shared" si="8"/>
        <v>0</v>
      </c>
      <c r="AP11" s="698"/>
      <c r="AQ11" s="120">
        <f>SUM(E11:AO11)</f>
        <v>73239.680000000008</v>
      </c>
    </row>
    <row r="12" spans="1:44" s="85" customFormat="1" ht="15.6">
      <c r="A12" s="1414"/>
      <c r="B12" s="1874"/>
      <c r="C12" s="647">
        <f>'[43]11 - FINANCEIRA'!G9</f>
        <v>73962.790000000008</v>
      </c>
      <c r="D12" s="88" t="s">
        <v>268</v>
      </c>
      <c r="E12" s="239">
        <v>70702.55</v>
      </c>
      <c r="F12" s="239">
        <v>0</v>
      </c>
      <c r="G12" s="239">
        <v>0</v>
      </c>
      <c r="H12" s="239">
        <v>0</v>
      </c>
      <c r="I12" s="239">
        <v>0</v>
      </c>
      <c r="J12" s="239">
        <v>0</v>
      </c>
      <c r="K12" s="239">
        <v>0</v>
      </c>
      <c r="L12" s="239">
        <v>0</v>
      </c>
      <c r="M12" s="239">
        <v>0</v>
      </c>
      <c r="N12" s="239">
        <v>0</v>
      </c>
      <c r="O12" s="239">
        <v>0</v>
      </c>
      <c r="P12" s="239">
        <v>0</v>
      </c>
      <c r="Q12" s="239">
        <v>0</v>
      </c>
      <c r="R12" s="239">
        <v>2537.13</v>
      </c>
      <c r="S12" s="239">
        <v>0</v>
      </c>
      <c r="T12" s="239">
        <v>0</v>
      </c>
      <c r="U12" s="239">
        <v>0</v>
      </c>
      <c r="V12" s="239">
        <v>0</v>
      </c>
      <c r="W12" s="239">
        <v>0</v>
      </c>
      <c r="X12" s="239">
        <v>0</v>
      </c>
      <c r="Y12" s="239">
        <v>0</v>
      </c>
      <c r="Z12" s="239">
        <v>0</v>
      </c>
      <c r="AA12" s="239">
        <v>0</v>
      </c>
      <c r="AB12" s="239">
        <v>0</v>
      </c>
      <c r="AC12" s="239">
        <v>0</v>
      </c>
      <c r="AD12" s="239">
        <v>0</v>
      </c>
      <c r="AE12" s="239">
        <v>0</v>
      </c>
      <c r="AF12" s="239">
        <v>0</v>
      </c>
      <c r="AG12" s="239">
        <v>0</v>
      </c>
      <c r="AH12" s="239">
        <v>723.11</v>
      </c>
      <c r="AI12" s="239">
        <v>0</v>
      </c>
      <c r="AJ12" s="239">
        <v>0</v>
      </c>
      <c r="AK12" s="239">
        <v>0</v>
      </c>
      <c r="AL12" s="239">
        <v>0</v>
      </c>
      <c r="AM12" s="239">
        <v>0</v>
      </c>
      <c r="AN12" s="239">
        <v>0</v>
      </c>
      <c r="AO12" s="239">
        <v>0</v>
      </c>
      <c r="AP12" s="698"/>
      <c r="AQ12" s="120">
        <f>SUM(E12:AO12)</f>
        <v>73962.790000000008</v>
      </c>
      <c r="AR12" s="85" t="str">
        <f>IF(C12=AQ12,"Ok","NÃO")</f>
        <v>Ok</v>
      </c>
    </row>
    <row r="13" spans="1:44" s="85" customFormat="1" ht="4.5" customHeight="1">
      <c r="A13" s="1414"/>
      <c r="B13" s="94"/>
      <c r="C13" s="94"/>
      <c r="D13" s="648"/>
      <c r="E13" s="648"/>
      <c r="F13" s="648"/>
      <c r="G13" s="648"/>
      <c r="H13" s="648"/>
      <c r="I13" s="648"/>
      <c r="J13" s="648"/>
      <c r="K13" s="648"/>
      <c r="L13" s="648"/>
      <c r="M13" s="648"/>
      <c r="N13" s="648"/>
      <c r="O13" s="648"/>
      <c r="P13" s="648"/>
      <c r="Q13" s="648"/>
      <c r="R13" s="648"/>
      <c r="S13" s="648"/>
      <c r="T13" s="648"/>
      <c r="U13" s="648"/>
      <c r="V13" s="648"/>
      <c r="W13" s="648"/>
      <c r="X13" s="648"/>
      <c r="Y13" s="648"/>
      <c r="Z13" s="648"/>
      <c r="AA13" s="648"/>
      <c r="AB13" s="648"/>
      <c r="AC13" s="648"/>
      <c r="AD13" s="648"/>
      <c r="AE13" s="648"/>
      <c r="AF13" s="648"/>
      <c r="AG13" s="648"/>
      <c r="AH13" s="648"/>
      <c r="AI13" s="648"/>
      <c r="AJ13" s="648"/>
      <c r="AK13" s="648"/>
      <c r="AL13" s="648"/>
      <c r="AM13" s="648"/>
      <c r="AN13" s="648"/>
      <c r="AO13" s="648"/>
      <c r="AP13" s="698"/>
    </row>
    <row r="14" spans="1:44" s="85" customFormat="1" ht="15.6">
      <c r="A14" s="1414"/>
      <c r="B14" s="1872" t="s">
        <v>269</v>
      </c>
      <c r="C14" s="1875" t="s">
        <v>270</v>
      </c>
      <c r="D14" s="88" t="s">
        <v>264</v>
      </c>
      <c r="E14" s="89">
        <f>IF(E16&gt;0,E16/$C17,"")</f>
        <v>5.3397917871602078E-2</v>
      </c>
      <c r="F14" s="89">
        <f>IF(F16&gt;0,F16/$C17,"")</f>
        <v>3.1900148723456992E-2</v>
      </c>
      <c r="G14" s="89">
        <f t="shared" ref="G14:AM14" si="9">IF(G16&gt;0,G16/$C17,"")</f>
        <v>3.1900148723456992E-2</v>
      </c>
      <c r="H14" s="89">
        <f t="shared" si="9"/>
        <v>3.1900148723456992E-2</v>
      </c>
      <c r="I14" s="89" t="str">
        <f t="shared" si="9"/>
        <v/>
      </c>
      <c r="J14" s="89">
        <f t="shared" si="9"/>
        <v>7.4422902141236438E-2</v>
      </c>
      <c r="K14" s="89">
        <f t="shared" si="9"/>
        <v>2.1271506111008722E-2</v>
      </c>
      <c r="L14" s="89">
        <f t="shared" si="9"/>
        <v>3.1900148723456992E-2</v>
      </c>
      <c r="M14" s="89">
        <f t="shared" si="9"/>
        <v>3.1900148723456999E-2</v>
      </c>
      <c r="N14" s="89" t="str">
        <f t="shared" si="9"/>
        <v/>
      </c>
      <c r="O14" s="89">
        <f t="shared" si="9"/>
        <v>6.3800297446913984E-2</v>
      </c>
      <c r="P14" s="89">
        <f t="shared" si="9"/>
        <v>3.1900148723456971E-2</v>
      </c>
      <c r="Q14" s="89">
        <f t="shared" si="9"/>
        <v>3.1900148723457013E-2</v>
      </c>
      <c r="R14" s="89">
        <f t="shared" si="9"/>
        <v>3.1900148723457013E-2</v>
      </c>
      <c r="S14" s="89">
        <f t="shared" si="9"/>
        <v>3.1906186641582818E-2</v>
      </c>
      <c r="T14" s="89" t="str">
        <f t="shared" si="9"/>
        <v/>
      </c>
      <c r="U14" s="89" t="str">
        <f t="shared" si="9"/>
        <v/>
      </c>
      <c r="V14" s="89">
        <f t="shared" si="9"/>
        <v>9.5700446170370976E-2</v>
      </c>
      <c r="W14" s="89">
        <f t="shared" si="9"/>
        <v>3.1900148723457013E-2</v>
      </c>
      <c r="X14" s="89">
        <f t="shared" si="9"/>
        <v>3.1900148723457013E-2</v>
      </c>
      <c r="Y14" s="89">
        <f t="shared" si="9"/>
        <v>3.1900148723457013E-2</v>
      </c>
      <c r="Z14" s="89">
        <f t="shared" si="9"/>
        <v>3.1900148723456929E-2</v>
      </c>
      <c r="AA14" s="89">
        <f t="shared" si="9"/>
        <v>3.1900148723457013E-2</v>
      </c>
      <c r="AB14" s="89" t="str">
        <f t="shared" si="9"/>
        <v/>
      </c>
      <c r="AC14" s="89">
        <f t="shared" si="9"/>
        <v>7.4079138039519737E-2</v>
      </c>
      <c r="AD14" s="89">
        <f t="shared" si="9"/>
        <v>2.1621308130851245E-2</v>
      </c>
      <c r="AE14" s="89">
        <f t="shared" si="9"/>
        <v>3.1900148723457013E-2</v>
      </c>
      <c r="AF14" s="89">
        <f t="shared" si="9"/>
        <v>3.1900148723457013E-2</v>
      </c>
      <c r="AG14" s="89">
        <f t="shared" si="9"/>
        <v>3.1900148723456929E-2</v>
      </c>
      <c r="AH14" s="89">
        <f t="shared" si="9"/>
        <v>3.1900148723456929E-2</v>
      </c>
      <c r="AI14" s="89">
        <f t="shared" si="9"/>
        <v>3.1900148723456929E-2</v>
      </c>
      <c r="AJ14" s="89">
        <f t="shared" si="9"/>
        <v>3.1900148723456943E-2</v>
      </c>
      <c r="AK14" s="89">
        <f t="shared" si="9"/>
        <v>2.4955351184385334E-2</v>
      </c>
      <c r="AL14" s="89">
        <f t="shared" si="9"/>
        <v>2.4955351184385275E-2</v>
      </c>
      <c r="AM14" s="89">
        <f t="shared" si="9"/>
        <v>2.4955351184385275E-2</v>
      </c>
      <c r="AN14" s="89" t="str">
        <f>IF(AN16&gt;0,AN16/$C17,"")</f>
        <v/>
      </c>
      <c r="AO14" s="89" t="str">
        <f>IF(AO16&gt;0,AO16/$C17,"")</f>
        <v/>
      </c>
      <c r="AP14" s="698"/>
      <c r="AQ14" s="91">
        <f>SUM(E14:AO14)</f>
        <v>1.1171685818519246</v>
      </c>
    </row>
    <row r="15" spans="1:44" s="85" customFormat="1" ht="15.6">
      <c r="A15" s="1414"/>
      <c r="B15" s="1873"/>
      <c r="C15" s="1876"/>
      <c r="D15" s="88" t="s">
        <v>265</v>
      </c>
      <c r="E15" s="90">
        <f t="shared" ref="E15:S15" si="10">IF(E17&gt;0,E17/$C17,0)</f>
        <v>5.3397917871602078E-2</v>
      </c>
      <c r="F15" s="90">
        <f t="shared" si="10"/>
        <v>3.1900148723456992E-2</v>
      </c>
      <c r="G15" s="90">
        <f t="shared" si="10"/>
        <v>3.1900148723456992E-2</v>
      </c>
      <c r="H15" s="90">
        <f t="shared" si="10"/>
        <v>3.1900148723456992E-2</v>
      </c>
      <c r="I15" s="90">
        <f t="shared" si="10"/>
        <v>0</v>
      </c>
      <c r="J15" s="90">
        <f t="shared" si="10"/>
        <v>7.4422902141236438E-2</v>
      </c>
      <c r="K15" s="90">
        <f t="shared" si="10"/>
        <v>2.1271506111008722E-2</v>
      </c>
      <c r="L15" s="90">
        <f t="shared" si="10"/>
        <v>3.1900148723456992E-2</v>
      </c>
      <c r="M15" s="90">
        <f t="shared" si="10"/>
        <v>3.1900148723456999E-2</v>
      </c>
      <c r="N15" s="90">
        <f t="shared" si="10"/>
        <v>0</v>
      </c>
      <c r="O15" s="90">
        <f t="shared" si="10"/>
        <v>6.3800297446913984E-2</v>
      </c>
      <c r="P15" s="90">
        <f t="shared" si="10"/>
        <v>3.1900148723456971E-2</v>
      </c>
      <c r="Q15" s="90">
        <f t="shared" si="10"/>
        <v>3.1900148723457013E-2</v>
      </c>
      <c r="R15" s="90">
        <f t="shared" si="10"/>
        <v>3.1900148723457013E-2</v>
      </c>
      <c r="S15" s="90">
        <f t="shared" si="10"/>
        <v>3.1906186641582818E-2</v>
      </c>
      <c r="T15" s="90">
        <f>IF(T17&gt;0,T17/$C17,0)</f>
        <v>0</v>
      </c>
      <c r="U15" s="90">
        <f>IF(U17&gt;0,U17/$C17,0)</f>
        <v>0</v>
      </c>
      <c r="V15" s="90">
        <f>IF(V17&gt;0,V17/$C17,0)</f>
        <v>9.5700446170370976E-2</v>
      </c>
      <c r="W15" s="90">
        <f>IF(W17&gt;0,W17/$C17,0)</f>
        <v>3.1900148723457013E-2</v>
      </c>
      <c r="X15" s="90">
        <f>IF(X17&gt;0,X17/$C17,0)</f>
        <v>3.1900148723457013E-2</v>
      </c>
      <c r="Y15" s="90">
        <f t="shared" ref="Y15:AM15" si="11">IF(Y17&gt;0,Y17/$C17,0)</f>
        <v>3.1900148723457013E-2</v>
      </c>
      <c r="Z15" s="90">
        <f t="shared" si="11"/>
        <v>3.1900148723456929E-2</v>
      </c>
      <c r="AA15" s="90">
        <f t="shared" si="11"/>
        <v>3.1900148723457013E-2</v>
      </c>
      <c r="AB15" s="90">
        <f t="shared" si="11"/>
        <v>3.1900148723457013E-2</v>
      </c>
      <c r="AC15" s="90">
        <f t="shared" si="11"/>
        <v>3.1900148723457013E-2</v>
      </c>
      <c r="AD15" s="90">
        <f t="shared" si="11"/>
        <v>3.1900148723457013E-2</v>
      </c>
      <c r="AE15" s="90">
        <f t="shared" si="11"/>
        <v>3.1900148723457013E-2</v>
      </c>
      <c r="AF15" s="90">
        <f t="shared" si="11"/>
        <v>3.1900148723457013E-2</v>
      </c>
      <c r="AG15" s="90">
        <f t="shared" si="11"/>
        <v>3.1900148723457013E-2</v>
      </c>
      <c r="AH15" s="90">
        <f t="shared" si="11"/>
        <v>5.3397917871602078E-2</v>
      </c>
      <c r="AI15" s="90">
        <f t="shared" si="11"/>
        <v>0</v>
      </c>
      <c r="AJ15" s="90">
        <f t="shared" si="11"/>
        <v>0</v>
      </c>
      <c r="AK15" s="90">
        <f t="shared" si="11"/>
        <v>0</v>
      </c>
      <c r="AL15" s="90">
        <f t="shared" si="11"/>
        <v>0</v>
      </c>
      <c r="AM15" s="90">
        <f t="shared" si="11"/>
        <v>0</v>
      </c>
      <c r="AN15" s="90">
        <f>IF(AN17&gt;0,AN17/$C17,0)</f>
        <v>0</v>
      </c>
      <c r="AO15" s="90">
        <f>IF(AO17&gt;0,AO17/$C17,0)</f>
        <v>0</v>
      </c>
      <c r="AP15" s="698"/>
      <c r="AQ15" s="240">
        <f>SUM(E15:AO15)</f>
        <v>1.0000000000000002</v>
      </c>
    </row>
    <row r="16" spans="1:44" s="85" customFormat="1" ht="15.6">
      <c r="A16" s="1414"/>
      <c r="B16" s="1873"/>
      <c r="C16" s="86" t="s">
        <v>266</v>
      </c>
      <c r="D16" s="88" t="s">
        <v>267</v>
      </c>
      <c r="E16" s="92">
        <f t="shared" ref="E16:S16" si="12">VLOOKUP($B14,$D$73:$S$87,E$72+1,FALSE)</f>
        <v>6721.26</v>
      </c>
      <c r="F16" s="92">
        <f t="shared" si="12"/>
        <v>4015.31</v>
      </c>
      <c r="G16" s="92">
        <f t="shared" si="12"/>
        <v>4015.31</v>
      </c>
      <c r="H16" s="92">
        <f t="shared" si="12"/>
        <v>4015.3100000000004</v>
      </c>
      <c r="I16" s="92">
        <f t="shared" si="12"/>
        <v>0</v>
      </c>
      <c r="J16" s="92">
        <f t="shared" si="12"/>
        <v>9367.7000000000007</v>
      </c>
      <c r="K16" s="92">
        <f t="shared" si="12"/>
        <v>2677.4700000000012</v>
      </c>
      <c r="L16" s="92">
        <f t="shared" si="12"/>
        <v>4015.31</v>
      </c>
      <c r="M16" s="92">
        <f t="shared" si="12"/>
        <v>4015.3100000000013</v>
      </c>
      <c r="N16" s="92">
        <f t="shared" si="12"/>
        <v>0</v>
      </c>
      <c r="O16" s="92">
        <f t="shared" si="12"/>
        <v>8030.62</v>
      </c>
      <c r="P16" s="92">
        <f t="shared" si="12"/>
        <v>4015.3099999999977</v>
      </c>
      <c r="Q16" s="92">
        <f t="shared" si="12"/>
        <v>4015.3100000000031</v>
      </c>
      <c r="R16" s="92">
        <f t="shared" si="12"/>
        <v>4015.3100000000031</v>
      </c>
      <c r="S16" s="92">
        <f t="shared" si="12"/>
        <v>4016.0699999999997</v>
      </c>
      <c r="T16" s="92">
        <f t="shared" ref="T16:AO16" si="13">VLOOKUP($B14,$D$73:$AO$87,T$72+1,FALSE)</f>
        <v>0</v>
      </c>
      <c r="U16" s="92">
        <f t="shared" si="13"/>
        <v>0</v>
      </c>
      <c r="V16" s="92">
        <f t="shared" si="13"/>
        <v>12045.93</v>
      </c>
      <c r="W16" s="92">
        <f t="shared" si="13"/>
        <v>4015.3100000000031</v>
      </c>
      <c r="X16" s="92">
        <f t="shared" si="13"/>
        <v>4015.3100000000031</v>
      </c>
      <c r="Y16" s="92">
        <f t="shared" si="13"/>
        <v>4015.3100000000031</v>
      </c>
      <c r="Z16" s="92">
        <f t="shared" si="13"/>
        <v>4015.3099999999922</v>
      </c>
      <c r="AA16" s="92">
        <f t="shared" si="13"/>
        <v>4015.3100000000031</v>
      </c>
      <c r="AB16" s="92">
        <f t="shared" si="13"/>
        <v>0</v>
      </c>
      <c r="AC16" s="92">
        <f t="shared" si="13"/>
        <v>9324.4299999999985</v>
      </c>
      <c r="AD16" s="92">
        <f t="shared" si="13"/>
        <v>2721.5000000000036</v>
      </c>
      <c r="AE16" s="92">
        <f t="shared" si="13"/>
        <v>4015.3100000000031</v>
      </c>
      <c r="AF16" s="92">
        <f t="shared" si="13"/>
        <v>4015.3100000000031</v>
      </c>
      <c r="AG16" s="92">
        <f t="shared" si="13"/>
        <v>4015.3099999999922</v>
      </c>
      <c r="AH16" s="92">
        <f t="shared" si="13"/>
        <v>4015.3099999999922</v>
      </c>
      <c r="AI16" s="92">
        <f t="shared" si="13"/>
        <v>4015.3099999999922</v>
      </c>
      <c r="AJ16" s="92">
        <f t="shared" si="13"/>
        <v>4015.309999999994</v>
      </c>
      <c r="AK16" s="92">
        <f t="shared" si="13"/>
        <v>3141.1600000000035</v>
      </c>
      <c r="AL16" s="92">
        <f t="shared" si="13"/>
        <v>3141.1599999999962</v>
      </c>
      <c r="AM16" s="92">
        <f t="shared" si="13"/>
        <v>3141.1599999999962</v>
      </c>
      <c r="AN16" s="92">
        <f t="shared" si="13"/>
        <v>0</v>
      </c>
      <c r="AO16" s="92">
        <f t="shared" si="13"/>
        <v>0</v>
      </c>
      <c r="AP16" s="698"/>
      <c r="AQ16" s="120">
        <f>SUM(E16:AO16)</f>
        <v>140619.34999999998</v>
      </c>
    </row>
    <row r="17" spans="1:46" s="85" customFormat="1" ht="15.6">
      <c r="A17" s="1414"/>
      <c r="B17" s="1874"/>
      <c r="C17" s="647">
        <f>'[43]11 - FINANCEIRA'!G17</f>
        <v>125871.20000000001</v>
      </c>
      <c r="D17" s="88" t="s">
        <v>268</v>
      </c>
      <c r="E17" s="239">
        <v>6721.26</v>
      </c>
      <c r="F17" s="239">
        <v>4015.31</v>
      </c>
      <c r="G17" s="239">
        <v>4015.31</v>
      </c>
      <c r="H17" s="239">
        <v>4015.3100000000004</v>
      </c>
      <c r="I17" s="239">
        <v>0</v>
      </c>
      <c r="J17" s="239">
        <v>9367.7000000000007</v>
      </c>
      <c r="K17" s="239">
        <v>2677.4700000000012</v>
      </c>
      <c r="L17" s="239">
        <v>4015.31</v>
      </c>
      <c r="M17" s="239">
        <v>4015.3100000000013</v>
      </c>
      <c r="N17" s="239">
        <v>0</v>
      </c>
      <c r="O17" s="239">
        <v>8030.62</v>
      </c>
      <c r="P17" s="239">
        <v>4015.3099999999977</v>
      </c>
      <c r="Q17" s="239">
        <v>4015.3100000000031</v>
      </c>
      <c r="R17" s="239">
        <v>4015.3100000000031</v>
      </c>
      <c r="S17" s="239">
        <v>4016.0699999999997</v>
      </c>
      <c r="T17" s="239">
        <v>0</v>
      </c>
      <c r="U17" s="239">
        <v>0</v>
      </c>
      <c r="V17" s="239">
        <v>12045.93</v>
      </c>
      <c r="W17" s="239">
        <v>4015.3100000000031</v>
      </c>
      <c r="X17" s="239">
        <v>4015.3100000000031</v>
      </c>
      <c r="Y17" s="239">
        <v>4015.3100000000031</v>
      </c>
      <c r="Z17" s="239">
        <v>4015.3099999999922</v>
      </c>
      <c r="AA17" s="239">
        <v>4015.3100000000031</v>
      </c>
      <c r="AB17" s="239">
        <v>4015.3100000000031</v>
      </c>
      <c r="AC17" s="239">
        <v>4015.3100000000031</v>
      </c>
      <c r="AD17" s="239">
        <v>4015.3100000000031</v>
      </c>
      <c r="AE17" s="239">
        <v>4015.3100000000031</v>
      </c>
      <c r="AF17" s="239">
        <v>4015.3100000000031</v>
      </c>
      <c r="AG17" s="239">
        <v>4015.3100000000031</v>
      </c>
      <c r="AH17" s="239">
        <f>4015.31+2705.95</f>
        <v>6721.26</v>
      </c>
      <c r="AI17" s="239"/>
      <c r="AJ17" s="239"/>
      <c r="AK17" s="239"/>
      <c r="AL17" s="239"/>
      <c r="AM17" s="239"/>
      <c r="AN17" s="239"/>
      <c r="AO17" s="239"/>
      <c r="AP17" s="698"/>
      <c r="AQ17" s="120">
        <f>SUM(E17:AO17)</f>
        <v>125871.19999999997</v>
      </c>
      <c r="AR17" s="85" t="str">
        <f>IF(C17=AQ17,"Ok","NÃO")</f>
        <v>Ok</v>
      </c>
    </row>
    <row r="18" spans="1:46" s="85" customFormat="1" ht="5.0999999999999996" customHeight="1">
      <c r="A18" s="1414"/>
      <c r="B18" s="94"/>
      <c r="C18" s="94"/>
      <c r="D18" s="648"/>
      <c r="E18" s="648"/>
      <c r="F18" s="648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648"/>
      <c r="AP18" s="698"/>
    </row>
    <row r="19" spans="1:46" s="641" customFormat="1" ht="20.100000000000001" customHeight="1">
      <c r="A19" s="1414"/>
      <c r="B19" s="1129" t="s">
        <v>271</v>
      </c>
      <c r="C19" s="1130" t="s">
        <v>272</v>
      </c>
      <c r="D19" s="1097"/>
      <c r="E19" s="1097"/>
      <c r="F19" s="1097"/>
      <c r="G19" s="1097"/>
      <c r="H19" s="1097"/>
      <c r="I19" s="1097"/>
      <c r="J19" s="1097"/>
      <c r="K19" s="1097"/>
      <c r="L19" s="1097"/>
      <c r="M19" s="1097"/>
      <c r="N19" s="1097"/>
      <c r="O19" s="1097"/>
      <c r="P19" s="1097"/>
      <c r="Q19" s="1097"/>
      <c r="R19" s="1097"/>
      <c r="S19" s="1097"/>
      <c r="T19" s="1097"/>
      <c r="U19" s="1097"/>
      <c r="V19" s="1097"/>
      <c r="W19" s="1097"/>
      <c r="X19" s="1097"/>
      <c r="Y19" s="1097"/>
      <c r="Z19" s="1097"/>
      <c r="AA19" s="1097"/>
      <c r="AB19" s="1097"/>
      <c r="AC19" s="1097"/>
      <c r="AD19" s="1097"/>
      <c r="AE19" s="1097"/>
      <c r="AF19" s="1097"/>
      <c r="AG19" s="1097"/>
      <c r="AH19" s="1097"/>
      <c r="AI19" s="1097"/>
      <c r="AJ19" s="1097"/>
      <c r="AK19" s="1097"/>
      <c r="AL19" s="1131"/>
      <c r="AM19" s="1131"/>
      <c r="AN19" s="1131"/>
      <c r="AO19" s="1131"/>
      <c r="AP19" s="698"/>
    </row>
    <row r="20" spans="1:46" s="85" customFormat="1" ht="15.6">
      <c r="A20" s="1414"/>
      <c r="B20" s="1872" t="s">
        <v>273</v>
      </c>
      <c r="C20" s="1875" t="s">
        <v>274</v>
      </c>
      <c r="D20" s="88" t="s">
        <v>264</v>
      </c>
      <c r="E20" s="89" t="str">
        <f>IF(E22&gt;0,E22/$C23,"")</f>
        <v/>
      </c>
      <c r="F20" s="89">
        <f>IF(F22&gt;0,F22/$C23,"")</f>
        <v>0.14929026667070139</v>
      </c>
      <c r="G20" s="89">
        <f t="shared" ref="G20:S20" si="14">IF(G22&gt;0,G22/$C23,"")</f>
        <v>0.23572147369058111</v>
      </c>
      <c r="H20" s="89">
        <f t="shared" si="14"/>
        <v>0.14747979801556671</v>
      </c>
      <c r="I20" s="89" t="str">
        <f t="shared" si="14"/>
        <v/>
      </c>
      <c r="J20" s="89">
        <f t="shared" si="14"/>
        <v>2.8122784799531807E-2</v>
      </c>
      <c r="K20" s="89">
        <f t="shared" si="14"/>
        <v>8.0350813712947982E-3</v>
      </c>
      <c r="L20" s="89">
        <f t="shared" si="14"/>
        <v>1.2052622056942203E-2</v>
      </c>
      <c r="M20" s="89">
        <f t="shared" si="14"/>
        <v>1.2052622056942203E-2</v>
      </c>
      <c r="N20" s="89" t="str">
        <f t="shared" si="14"/>
        <v/>
      </c>
      <c r="O20" s="89">
        <f t="shared" si="14"/>
        <v>2.4105244113884393E-2</v>
      </c>
      <c r="P20" s="89">
        <f t="shared" si="14"/>
        <v>1.2052622056942203E-2</v>
      </c>
      <c r="Q20" s="89">
        <f t="shared" si="14"/>
        <v>1.2052622056942189E-2</v>
      </c>
      <c r="R20" s="89">
        <f>IF(R22&gt;0,R22/$C23,"")</f>
        <v>1.2052622056942189E-2</v>
      </c>
      <c r="S20" s="89">
        <f t="shared" si="14"/>
        <v>1.2052622056942189E-2</v>
      </c>
      <c r="T20" s="89">
        <f>IF(T22&gt;0,T22/$C23,"")</f>
        <v>1.2052622056942189E-2</v>
      </c>
      <c r="U20" s="89">
        <f>IF(U22&gt;0,U22/$C23,"")</f>
        <v>1.2052622056942189E-2</v>
      </c>
      <c r="V20" s="89">
        <f>IF(V22&gt;0,V22/$C23,"")</f>
        <v>1.2052622056942189E-2</v>
      </c>
      <c r="W20" s="89">
        <f>IF(W22&gt;0,W22/$C23,"")</f>
        <v>1.2052622056942189E-2</v>
      </c>
      <c r="X20" s="89">
        <f>IF(X22&gt;0,X22/$C23,"")</f>
        <v>1.2052622056942189E-2</v>
      </c>
      <c r="Y20" s="89">
        <f t="shared" ref="Y20:AM20" si="15">IF(Y22&gt;0,Y22/$C23,"")</f>
        <v>1.2052622056942189E-2</v>
      </c>
      <c r="Z20" s="89">
        <f t="shared" si="15"/>
        <v>1.0445605782683257E-2</v>
      </c>
      <c r="AA20" s="89">
        <f t="shared" si="15"/>
        <v>1.2454376125506915E-2</v>
      </c>
      <c r="AB20" s="89" t="str">
        <f t="shared" si="15"/>
        <v/>
      </c>
      <c r="AC20" s="89">
        <f t="shared" si="15"/>
        <v>2.8524538868096541E-2</v>
      </c>
      <c r="AD20" s="89">
        <f t="shared" si="15"/>
        <v>8.4368354398595378E-3</v>
      </c>
      <c r="AE20" s="89">
        <f t="shared" si="15"/>
        <v>1.2052622056942248E-2</v>
      </c>
      <c r="AF20" s="89">
        <f t="shared" si="15"/>
        <v>3.6157866170826572E-2</v>
      </c>
      <c r="AG20" s="89">
        <f t="shared" si="15"/>
        <v>3.6157866170826627E-2</v>
      </c>
      <c r="AH20" s="89">
        <f t="shared" si="15"/>
        <v>3.6157866170826572E-2</v>
      </c>
      <c r="AI20" s="89">
        <f t="shared" si="15"/>
        <v>4.8210488227768879E-3</v>
      </c>
      <c r="AJ20" s="89" t="str">
        <f t="shared" si="15"/>
        <v/>
      </c>
      <c r="AK20" s="89" t="str">
        <f t="shared" si="15"/>
        <v/>
      </c>
      <c r="AL20" s="89" t="str">
        <f t="shared" si="15"/>
        <v/>
      </c>
      <c r="AM20" s="89">
        <f t="shared" si="15"/>
        <v>7.7405261046788257E-2</v>
      </c>
      <c r="AN20" s="89" t="str">
        <f>IF(AN22&gt;0,AN22/$C23,"")</f>
        <v/>
      </c>
      <c r="AO20" s="89" t="str">
        <f>IF(AO22&gt;0,AO22/$C23,"")</f>
        <v/>
      </c>
      <c r="AP20" s="698"/>
      <c r="AQ20" s="91">
        <f>SUM(E20:AO20)</f>
        <v>1.0000000000000007</v>
      </c>
    </row>
    <row r="21" spans="1:46" s="85" customFormat="1" ht="15.6">
      <c r="A21" s="1414"/>
      <c r="B21" s="1873"/>
      <c r="C21" s="1876"/>
      <c r="D21" s="88" t="s">
        <v>265</v>
      </c>
      <c r="E21" s="90">
        <f>IF(E23&gt;0,E23/$C23,0)</f>
        <v>0</v>
      </c>
      <c r="F21" s="90">
        <f>IF(F23&gt;0,F23/$C23,0)</f>
        <v>0.14929026667070139</v>
      </c>
      <c r="G21" s="90">
        <f t="shared" ref="G21:S21" si="16">IF(G23&gt;0,G23/$C23,0)</f>
        <v>0.23572147369058111</v>
      </c>
      <c r="H21" s="90">
        <f t="shared" si="16"/>
        <v>0.14747979801556671</v>
      </c>
      <c r="I21" s="90">
        <f t="shared" si="16"/>
        <v>0</v>
      </c>
      <c r="J21" s="90">
        <f t="shared" si="16"/>
        <v>2.8122784799531807E-2</v>
      </c>
      <c r="K21" s="90">
        <f t="shared" si="16"/>
        <v>8.0350813712947982E-3</v>
      </c>
      <c r="L21" s="90">
        <f t="shared" si="16"/>
        <v>1.2052622056942203E-2</v>
      </c>
      <c r="M21" s="90">
        <f t="shared" si="16"/>
        <v>1.2052622056942203E-2</v>
      </c>
      <c r="N21" s="90">
        <f t="shared" si="16"/>
        <v>0</v>
      </c>
      <c r="O21" s="90">
        <f t="shared" si="16"/>
        <v>2.4105244113884393E-2</v>
      </c>
      <c r="P21" s="90">
        <f t="shared" si="16"/>
        <v>1.2052622056942203E-2</v>
      </c>
      <c r="Q21" s="90">
        <f t="shared" si="16"/>
        <v>1.2052622056942189E-2</v>
      </c>
      <c r="R21" s="90">
        <f>IF(R23&gt;0,R23/$C23,0)</f>
        <v>1.2052622056942189E-2</v>
      </c>
      <c r="S21" s="90">
        <f t="shared" si="16"/>
        <v>1.2052622056942189E-2</v>
      </c>
      <c r="T21" s="90">
        <f>IF(T23&gt;0,T23/$C23,0)</f>
        <v>1.2052622056942189E-2</v>
      </c>
      <c r="U21" s="90">
        <f>IF(U23&gt;0,U23/$C23,0)</f>
        <v>1.2052622056942189E-2</v>
      </c>
      <c r="V21" s="90">
        <f>IF(V23&gt;0,V23/$C23,0)</f>
        <v>1.2052622056942189E-2</v>
      </c>
      <c r="W21" s="90">
        <f>IF(W23&gt;0,W23/$C23,0)</f>
        <v>1.2052622056942189E-2</v>
      </c>
      <c r="X21" s="90">
        <f>IF(X23&gt;0,X23/$C23,0)</f>
        <v>1.2052622056942189E-2</v>
      </c>
      <c r="Y21" s="90">
        <f t="shared" ref="Y21:AM21" si="17">IF(Y23&gt;0,Y23/$C23,0)</f>
        <v>1.2052622056942189E-2</v>
      </c>
      <c r="Z21" s="90">
        <f t="shared" si="17"/>
        <v>1.0445605782683257E-2</v>
      </c>
      <c r="AA21" s="90">
        <f t="shared" si="17"/>
        <v>1.2454376125506915E-2</v>
      </c>
      <c r="AB21" s="90">
        <f t="shared" si="17"/>
        <v>1.2454376125506915E-2</v>
      </c>
      <c r="AC21" s="90">
        <f t="shared" si="17"/>
        <v>2.7480235824487553E-2</v>
      </c>
      <c r="AD21" s="90">
        <f t="shared" si="17"/>
        <v>2.7480235824487553E-2</v>
      </c>
      <c r="AE21" s="90">
        <f t="shared" si="17"/>
        <v>2.7480235824487553E-2</v>
      </c>
      <c r="AF21" s="90">
        <f t="shared" si="17"/>
        <v>2.7480235824487553E-2</v>
      </c>
      <c r="AG21" s="90">
        <f t="shared" si="17"/>
        <v>2.7480235824487553E-2</v>
      </c>
      <c r="AH21" s="90">
        <f t="shared" si="17"/>
        <v>8.9858349498998527E-2</v>
      </c>
      <c r="AI21" s="90">
        <f t="shared" si="17"/>
        <v>0</v>
      </c>
      <c r="AJ21" s="90">
        <f t="shared" si="17"/>
        <v>0</v>
      </c>
      <c r="AK21" s="90">
        <f t="shared" si="17"/>
        <v>0</v>
      </c>
      <c r="AL21" s="90">
        <f t="shared" si="17"/>
        <v>0</v>
      </c>
      <c r="AM21" s="90">
        <f t="shared" si="17"/>
        <v>0</v>
      </c>
      <c r="AN21" s="90">
        <f>IF(AN23&gt;0,AN23/$C23,0)</f>
        <v>0</v>
      </c>
      <c r="AO21" s="90">
        <f>IF(AO23&gt;0,AO23/$C23,0)</f>
        <v>0</v>
      </c>
      <c r="AP21" s="698"/>
      <c r="AQ21" s="240">
        <f>SUM(E21:AO21)</f>
        <v>1.0000000000000004</v>
      </c>
    </row>
    <row r="22" spans="1:46" s="85" customFormat="1" ht="15.6">
      <c r="A22" s="1414"/>
      <c r="B22" s="1873"/>
      <c r="C22" s="86" t="s">
        <v>266</v>
      </c>
      <c r="D22" s="88" t="s">
        <v>267</v>
      </c>
      <c r="E22" s="92">
        <f t="shared" ref="E22:S22" si="18">VLOOKUP($B20,$D$73:$S$87,E$72+1,FALSE)</f>
        <v>0</v>
      </c>
      <c r="F22" s="92">
        <f t="shared" si="18"/>
        <v>2318.7600000000002</v>
      </c>
      <c r="G22" s="92">
        <f t="shared" si="18"/>
        <v>3661.2</v>
      </c>
      <c r="H22" s="92">
        <f t="shared" si="18"/>
        <v>2290.6400000000003</v>
      </c>
      <c r="I22" s="92">
        <f t="shared" si="18"/>
        <v>0</v>
      </c>
      <c r="J22" s="92">
        <f t="shared" si="18"/>
        <v>436.80000000000007</v>
      </c>
      <c r="K22" s="92">
        <f t="shared" si="18"/>
        <v>124.79999999999995</v>
      </c>
      <c r="L22" s="92">
        <f t="shared" si="18"/>
        <v>187.20000000000005</v>
      </c>
      <c r="M22" s="92">
        <f t="shared" si="18"/>
        <v>187.20000000000005</v>
      </c>
      <c r="N22" s="92">
        <f t="shared" si="18"/>
        <v>0</v>
      </c>
      <c r="O22" s="92">
        <f t="shared" si="18"/>
        <v>374.39999999999986</v>
      </c>
      <c r="P22" s="92">
        <f t="shared" si="18"/>
        <v>187.20000000000005</v>
      </c>
      <c r="Q22" s="92">
        <f t="shared" si="18"/>
        <v>187.19999999999982</v>
      </c>
      <c r="R22" s="92">
        <f t="shared" si="18"/>
        <v>187.19999999999982</v>
      </c>
      <c r="S22" s="92">
        <f t="shared" si="18"/>
        <v>187.19999999999982</v>
      </c>
      <c r="T22" s="92">
        <f t="shared" ref="T22:AO22" si="19">VLOOKUP($B20,$D$73:$AO$87,T$72+1,FALSE)</f>
        <v>187.19999999999982</v>
      </c>
      <c r="U22" s="92">
        <f t="shared" si="19"/>
        <v>187.19999999999982</v>
      </c>
      <c r="V22" s="92">
        <f t="shared" si="19"/>
        <v>187.19999999999982</v>
      </c>
      <c r="W22" s="92">
        <f t="shared" si="19"/>
        <v>187.19999999999982</v>
      </c>
      <c r="X22" s="92">
        <f t="shared" si="19"/>
        <v>187.19999999999982</v>
      </c>
      <c r="Y22" s="92">
        <f t="shared" si="19"/>
        <v>187.19999999999982</v>
      </c>
      <c r="Z22" s="92">
        <f t="shared" si="19"/>
        <v>162.24000000000024</v>
      </c>
      <c r="AA22" s="92">
        <f t="shared" si="19"/>
        <v>193.4399999999996</v>
      </c>
      <c r="AB22" s="92">
        <f t="shared" si="19"/>
        <v>0</v>
      </c>
      <c r="AC22" s="92">
        <f t="shared" si="19"/>
        <v>443.03999999999996</v>
      </c>
      <c r="AD22" s="92">
        <f t="shared" si="19"/>
        <v>131.03999999999996</v>
      </c>
      <c r="AE22" s="92">
        <f t="shared" si="19"/>
        <v>187.20000000000073</v>
      </c>
      <c r="AF22" s="92">
        <f t="shared" si="19"/>
        <v>561.59999999999945</v>
      </c>
      <c r="AG22" s="92">
        <f t="shared" si="19"/>
        <v>561.60000000000036</v>
      </c>
      <c r="AH22" s="92">
        <f t="shared" si="19"/>
        <v>561.59999999999945</v>
      </c>
      <c r="AI22" s="92">
        <f t="shared" si="19"/>
        <v>74.880000000000109</v>
      </c>
      <c r="AJ22" s="92">
        <f t="shared" si="19"/>
        <v>0</v>
      </c>
      <c r="AK22" s="92">
        <f t="shared" si="19"/>
        <v>0</v>
      </c>
      <c r="AL22" s="92">
        <f t="shared" si="19"/>
        <v>0</v>
      </c>
      <c r="AM22" s="92">
        <f t="shared" si="19"/>
        <v>1202.25</v>
      </c>
      <c r="AN22" s="92">
        <f t="shared" si="19"/>
        <v>0</v>
      </c>
      <c r="AO22" s="92">
        <f t="shared" si="19"/>
        <v>0</v>
      </c>
      <c r="AP22" s="698"/>
      <c r="AQ22" s="120">
        <f>SUM(E22:AO22)</f>
        <v>15531.89000000001</v>
      </c>
    </row>
    <row r="23" spans="1:46" s="85" customFormat="1" ht="15.6">
      <c r="A23" s="1414"/>
      <c r="B23" s="1874"/>
      <c r="C23" s="647">
        <f>'[43]11 - FINANCEIRA'!G25</f>
        <v>15531.89</v>
      </c>
      <c r="D23" s="88" t="s">
        <v>268</v>
      </c>
      <c r="E23" s="239">
        <v>0</v>
      </c>
      <c r="F23" s="239">
        <v>2318.7600000000002</v>
      </c>
      <c r="G23" s="239">
        <v>3661.2</v>
      </c>
      <c r="H23" s="239">
        <v>2290.6400000000003</v>
      </c>
      <c r="I23" s="239">
        <v>0</v>
      </c>
      <c r="J23" s="239">
        <v>436.80000000000007</v>
      </c>
      <c r="K23" s="239">
        <v>124.79999999999995</v>
      </c>
      <c r="L23" s="239">
        <v>187.20000000000005</v>
      </c>
      <c r="M23" s="239">
        <v>187.20000000000005</v>
      </c>
      <c r="N23" s="239">
        <v>0</v>
      </c>
      <c r="O23" s="239">
        <v>374.39999999999986</v>
      </c>
      <c r="P23" s="239">
        <v>187.20000000000005</v>
      </c>
      <c r="Q23" s="239">
        <v>187.19999999999982</v>
      </c>
      <c r="R23" s="239">
        <v>187.19999999999982</v>
      </c>
      <c r="S23" s="239">
        <v>187.19999999999982</v>
      </c>
      <c r="T23" s="239">
        <v>187.19999999999982</v>
      </c>
      <c r="U23" s="239">
        <v>187.19999999999982</v>
      </c>
      <c r="V23" s="239">
        <v>187.19999999999982</v>
      </c>
      <c r="W23" s="239">
        <v>187.19999999999982</v>
      </c>
      <c r="X23" s="239">
        <v>187.19999999999982</v>
      </c>
      <c r="Y23" s="239">
        <v>187.19999999999982</v>
      </c>
      <c r="Z23" s="239">
        <v>162.24000000000024</v>
      </c>
      <c r="AA23" s="239">
        <v>193.4399999999996</v>
      </c>
      <c r="AB23" s="239">
        <v>193.4399999999996</v>
      </c>
      <c r="AC23" s="239">
        <f>193.44+233.38</f>
        <v>426.82</v>
      </c>
      <c r="AD23" s="239">
        <f>193.44+233.38</f>
        <v>426.82</v>
      </c>
      <c r="AE23" s="239">
        <f>193.44+233.38</f>
        <v>426.82</v>
      </c>
      <c r="AF23" s="239">
        <f>193.44+233.38</f>
        <v>426.82</v>
      </c>
      <c r="AG23" s="239">
        <f>193.44+233.38</f>
        <v>426.82</v>
      </c>
      <c r="AH23" s="239">
        <f>193.44+1202.23</f>
        <v>1395.67</v>
      </c>
      <c r="AI23" s="239">
        <v>0</v>
      </c>
      <c r="AJ23" s="239">
        <v>0</v>
      </c>
      <c r="AK23" s="239">
        <v>0</v>
      </c>
      <c r="AL23" s="239">
        <v>0</v>
      </c>
      <c r="AM23" s="239">
        <v>0</v>
      </c>
      <c r="AN23" s="239">
        <v>0</v>
      </c>
      <c r="AO23" s="239">
        <v>0</v>
      </c>
      <c r="AP23" s="698"/>
      <c r="AQ23" s="120">
        <f>SUM(E23:AO23)</f>
        <v>15531.890000000005</v>
      </c>
      <c r="AR23" s="85" t="str">
        <f>IF(C23=AQ23,"Ok","NÃO")</f>
        <v>Ok</v>
      </c>
      <c r="AS23" s="95"/>
      <c r="AT23" s="95"/>
    </row>
    <row r="24" spans="1:46" s="85" customFormat="1" ht="5.0999999999999996" customHeight="1">
      <c r="A24" s="1414"/>
      <c r="B24" s="94"/>
      <c r="C24" s="94"/>
      <c r="D24" s="648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239"/>
      <c r="AC24" s="239"/>
      <c r="AD24" s="239"/>
      <c r="AE24" s="239"/>
      <c r="AF24" s="239"/>
      <c r="AG24" s="239"/>
      <c r="AH24" s="239"/>
      <c r="AI24" s="648"/>
      <c r="AJ24" s="648"/>
      <c r="AK24" s="648"/>
      <c r="AL24" s="648"/>
      <c r="AM24" s="648"/>
      <c r="AN24" s="648"/>
      <c r="AO24" s="648"/>
      <c r="AP24" s="698"/>
    </row>
    <row r="25" spans="1:46" s="85" customFormat="1" ht="15.6">
      <c r="A25" s="1414"/>
      <c r="B25" s="1872" t="s">
        <v>275</v>
      </c>
      <c r="C25" s="1875" t="s">
        <v>276</v>
      </c>
      <c r="D25" s="88" t="s">
        <v>264</v>
      </c>
      <c r="E25" s="89" t="str">
        <f>IF(E27&gt;0,E27/$C28,"")</f>
        <v/>
      </c>
      <c r="F25" s="89">
        <f>IF(F27&gt;0,F27/$C28,"")</f>
        <v>2.4012742887114025E-2</v>
      </c>
      <c r="G25" s="89">
        <f t="shared" ref="G25:S25" si="20">IF(G27&gt;0,G27/$C28,"")</f>
        <v>1.4929464905313666E-3</v>
      </c>
      <c r="H25" s="89">
        <f t="shared" si="20"/>
        <v>3.2699942408556393E-2</v>
      </c>
      <c r="I25" s="89" t="str">
        <f t="shared" si="20"/>
        <v/>
      </c>
      <c r="J25" s="89">
        <f t="shared" si="20"/>
        <v>6.0577519889121641E-2</v>
      </c>
      <c r="K25" s="89">
        <f t="shared" si="20"/>
        <v>0.13397684183761949</v>
      </c>
      <c r="L25" s="89">
        <f t="shared" si="20"/>
        <v>7.7815010822485708E-2</v>
      </c>
      <c r="M25" s="89">
        <f t="shared" si="20"/>
        <v>7.4373648117469521E-2</v>
      </c>
      <c r="N25" s="89" t="str">
        <f t="shared" si="20"/>
        <v/>
      </c>
      <c r="O25" s="89">
        <f t="shared" si="20"/>
        <v>0.10101281398202323</v>
      </c>
      <c r="P25" s="89">
        <f t="shared" si="20"/>
        <v>8.8785092330532656E-3</v>
      </c>
      <c r="Q25" s="89">
        <f t="shared" si="20"/>
        <v>2.6285999735895915E-2</v>
      </c>
      <c r="R25" s="89">
        <f>IF(R27&gt;0,R27/$C28,"")</f>
        <v>4.627180927527807E-3</v>
      </c>
      <c r="S25" s="89">
        <f t="shared" si="20"/>
        <v>3.5427280202529072E-3</v>
      </c>
      <c r="T25" s="89">
        <f>IF(T27&gt;0,T27/$C28,"")</f>
        <v>6.1514075625391362E-3</v>
      </c>
      <c r="U25" s="89">
        <f>IF(U27&gt;0,U27/$C28,"")</f>
        <v>1.4976729986558577E-2</v>
      </c>
      <c r="V25" s="89">
        <f>IF(V27&gt;0,V27/$C28,"")</f>
        <v>2.0238887283611853E-3</v>
      </c>
      <c r="W25" s="89">
        <f>IF(W27&gt;0,W27/$C28,"")</f>
        <v>1.2909245411222531E-2</v>
      </c>
      <c r="X25" s="89">
        <f>IF(X27&gt;0,X27/$C28,"")</f>
        <v>6.1205810236505459E-3</v>
      </c>
      <c r="Y25" s="89">
        <f t="shared" ref="Y25:AM25" si="21">IF(Y27&gt;0,Y27/$C28,"")</f>
        <v>3.9668523550865269E-3</v>
      </c>
      <c r="Z25" s="89">
        <f t="shared" si="21"/>
        <v>8.8186612569788221E-3</v>
      </c>
      <c r="AA25" s="89">
        <f t="shared" si="21"/>
        <v>1.2589298124914704E-2</v>
      </c>
      <c r="AB25" s="89" t="str">
        <f t="shared" si="21"/>
        <v/>
      </c>
      <c r="AC25" s="89">
        <f t="shared" si="21"/>
        <v>2.9437884401417438E-2</v>
      </c>
      <c r="AD25" s="89">
        <f t="shared" si="21"/>
        <v>3.1082826047714516E-3</v>
      </c>
      <c r="AE25" s="89">
        <f t="shared" si="21"/>
        <v>3.1634018979000873E-3</v>
      </c>
      <c r="AF25" s="89">
        <f t="shared" si="21"/>
        <v>0.11178946688110779</v>
      </c>
      <c r="AG25" s="89">
        <f t="shared" si="21"/>
        <v>5.8661611039723558E-3</v>
      </c>
      <c r="AH25" s="89" t="str">
        <f t="shared" si="21"/>
        <v/>
      </c>
      <c r="AI25" s="89">
        <f t="shared" si="21"/>
        <v>3.0118379781349746E-2</v>
      </c>
      <c r="AJ25" s="89" t="str">
        <f t="shared" si="21"/>
        <v/>
      </c>
      <c r="AK25" s="89">
        <f t="shared" si="21"/>
        <v>7.9788011838646099E-3</v>
      </c>
      <c r="AL25" s="89" t="str">
        <f t="shared" si="21"/>
        <v/>
      </c>
      <c r="AM25" s="89">
        <f t="shared" si="21"/>
        <v>3.0860776790068226E-3</v>
      </c>
      <c r="AN25" s="89" t="str">
        <f>IF(AN27&gt;0,AN27/$C28,"")</f>
        <v/>
      </c>
      <c r="AO25" s="89" t="str">
        <f>IF(AO27&gt;0,AO27/$C28,"")</f>
        <v/>
      </c>
      <c r="AP25" s="698"/>
      <c r="AQ25" s="91">
        <f>SUM(E25:AO25)</f>
        <v>0.81140100433435369</v>
      </c>
    </row>
    <row r="26" spans="1:46" s="85" customFormat="1" ht="15.6">
      <c r="A26" s="1414"/>
      <c r="B26" s="1873"/>
      <c r="C26" s="1876"/>
      <c r="D26" s="88" t="s">
        <v>265</v>
      </c>
      <c r="E26" s="90">
        <f>IF(E28&gt;0,E28/$C28,0)</f>
        <v>0</v>
      </c>
      <c r="F26" s="90">
        <f>IF(F28&gt;0,F28/$C28,0)</f>
        <v>2.4012742887114025E-2</v>
      </c>
      <c r="G26" s="90">
        <f t="shared" ref="G26:S26" si="22">IF(G28&gt;0,G28/$C28,0)</f>
        <v>1.4929464905313666E-3</v>
      </c>
      <c r="H26" s="90">
        <f t="shared" si="22"/>
        <v>3.2699942408556393E-2</v>
      </c>
      <c r="I26" s="90">
        <f t="shared" si="22"/>
        <v>0</v>
      </c>
      <c r="J26" s="90">
        <f t="shared" si="22"/>
        <v>6.0577519889121641E-2</v>
      </c>
      <c r="K26" s="90">
        <f t="shared" si="22"/>
        <v>0.13397684183761949</v>
      </c>
      <c r="L26" s="90">
        <f t="shared" si="22"/>
        <v>7.7815010822485708E-2</v>
      </c>
      <c r="M26" s="90">
        <f t="shared" si="22"/>
        <v>7.4373648117469521E-2</v>
      </c>
      <c r="N26" s="90">
        <f t="shared" si="22"/>
        <v>0</v>
      </c>
      <c r="O26" s="90">
        <f t="shared" si="22"/>
        <v>0.10101281398202323</v>
      </c>
      <c r="P26" s="90">
        <f t="shared" si="22"/>
        <v>8.8785092330532656E-3</v>
      </c>
      <c r="Q26" s="90">
        <f t="shared" si="22"/>
        <v>2.6285999735895915E-2</v>
      </c>
      <c r="R26" s="90">
        <f>IF(R28&gt;0,R28/$C28,0)</f>
        <v>4.627180927527807E-3</v>
      </c>
      <c r="S26" s="90">
        <f t="shared" si="22"/>
        <v>3.5427280202529072E-3</v>
      </c>
      <c r="T26" s="90">
        <f>IF(T28&gt;0,T28/$C28,0)</f>
        <v>6.1514075625391362E-3</v>
      </c>
      <c r="U26" s="90">
        <f>IF(U28&gt;0,U28/$C28,0)</f>
        <v>1.4976729986558577E-2</v>
      </c>
      <c r="V26" s="90">
        <f>IF(V28&gt;0,V28/$C28,0)</f>
        <v>2.0238887283611853E-3</v>
      </c>
      <c r="W26" s="90">
        <f>IF(W28&gt;0,W28/$C28,0)</f>
        <v>1.2909245411222531E-2</v>
      </c>
      <c r="X26" s="90">
        <f>IF(X28&gt;0,X28/$C28,0)</f>
        <v>6.1205810236505459E-3</v>
      </c>
      <c r="Y26" s="90">
        <f t="shared" ref="Y26:AM26" si="23">IF(Y28&gt;0,Y28/$C28,0)</f>
        <v>3.9668523550865269E-3</v>
      </c>
      <c r="Z26" s="90">
        <f t="shared" si="23"/>
        <v>8.8186612569788221E-3</v>
      </c>
      <c r="AA26" s="90">
        <f t="shared" si="23"/>
        <v>1.2589298124914704E-2</v>
      </c>
      <c r="AB26" s="90">
        <f t="shared" si="23"/>
        <v>7.9312129863080283E-3</v>
      </c>
      <c r="AC26" s="90">
        <f t="shared" si="23"/>
        <v>0.12507207940424292</v>
      </c>
      <c r="AD26" s="90">
        <f t="shared" si="23"/>
        <v>0.12507207940424292</v>
      </c>
      <c r="AE26" s="90">
        <f t="shared" si="23"/>
        <v>0.12507207940424292</v>
      </c>
      <c r="AF26" s="90">
        <f t="shared" si="23"/>
        <v>0</v>
      </c>
      <c r="AG26" s="90">
        <f t="shared" si="23"/>
        <v>0</v>
      </c>
      <c r="AH26" s="90">
        <f t="shared" si="23"/>
        <v>0</v>
      </c>
      <c r="AI26" s="90">
        <f t="shared" si="23"/>
        <v>0</v>
      </c>
      <c r="AJ26" s="90">
        <f t="shared" si="23"/>
        <v>0</v>
      </c>
      <c r="AK26" s="90">
        <f t="shared" si="23"/>
        <v>0</v>
      </c>
      <c r="AL26" s="90">
        <f t="shared" si="23"/>
        <v>0</v>
      </c>
      <c r="AM26" s="90">
        <f t="shared" si="23"/>
        <v>0</v>
      </c>
      <c r="AN26" s="90">
        <f>IF(AN28&gt;0,AN28/$C28,0)</f>
        <v>0</v>
      </c>
      <c r="AO26" s="90">
        <f>IF(AO28&gt;0,AO28/$C28,0)</f>
        <v>0</v>
      </c>
      <c r="AP26" s="698"/>
      <c r="AQ26" s="240">
        <f>SUM(E26:AO26)</f>
        <v>1</v>
      </c>
    </row>
    <row r="27" spans="1:46" s="85" customFormat="1" ht="15.6">
      <c r="A27" s="1414"/>
      <c r="B27" s="1873"/>
      <c r="C27" s="86" t="s">
        <v>266</v>
      </c>
      <c r="D27" s="88" t="s">
        <v>267</v>
      </c>
      <c r="E27" s="92">
        <f t="shared" ref="E27:S27" si="24">VLOOKUP($B25,$D$73:$S$87,E$72+1,FALSE)</f>
        <v>0</v>
      </c>
      <c r="F27" s="92">
        <f t="shared" si="24"/>
        <v>77288.740000000005</v>
      </c>
      <c r="G27" s="92">
        <f t="shared" si="24"/>
        <v>4805.28</v>
      </c>
      <c r="H27" s="92">
        <f t="shared" si="24"/>
        <v>105249.84</v>
      </c>
      <c r="I27" s="92">
        <f t="shared" si="24"/>
        <v>0</v>
      </c>
      <c r="J27" s="92">
        <f t="shared" si="24"/>
        <v>194978.15000000002</v>
      </c>
      <c r="K27" s="92">
        <f t="shared" si="24"/>
        <v>431225.26</v>
      </c>
      <c r="L27" s="92">
        <f t="shared" si="24"/>
        <v>250459.69000000003</v>
      </c>
      <c r="M27" s="92">
        <f t="shared" si="24"/>
        <v>239383.12999999998</v>
      </c>
      <c r="N27" s="92">
        <f t="shared" si="24"/>
        <v>0</v>
      </c>
      <c r="O27" s="92">
        <f t="shared" si="24"/>
        <v>325125.42</v>
      </c>
      <c r="P27" s="92">
        <f t="shared" si="24"/>
        <v>28576.86</v>
      </c>
      <c r="Q27" s="92">
        <f t="shared" si="24"/>
        <v>84605.570000000022</v>
      </c>
      <c r="R27" s="92">
        <f t="shared" si="24"/>
        <v>14893.30000000001</v>
      </c>
      <c r="S27" s="92">
        <f t="shared" si="24"/>
        <v>11402.820000000007</v>
      </c>
      <c r="T27" s="92">
        <f t="shared" ref="T27:AO27" si="25">VLOOKUP($B25,$D$73:$AO$87,T$72+1,FALSE)</f>
        <v>19799.259999999995</v>
      </c>
      <c r="U27" s="92">
        <f t="shared" si="25"/>
        <v>48204.93</v>
      </c>
      <c r="V27" s="92">
        <f t="shared" si="25"/>
        <v>6514.2000000000044</v>
      </c>
      <c r="W27" s="92">
        <f t="shared" si="25"/>
        <v>41550.409999999996</v>
      </c>
      <c r="X27" s="92">
        <f t="shared" si="25"/>
        <v>19700.039999999964</v>
      </c>
      <c r="Y27" s="92">
        <f t="shared" si="25"/>
        <v>12767.930000000022</v>
      </c>
      <c r="Z27" s="92">
        <f t="shared" si="25"/>
        <v>28384.230000000036</v>
      </c>
      <c r="AA27" s="92">
        <f t="shared" si="25"/>
        <v>40520.60999999995</v>
      </c>
      <c r="AB27" s="92">
        <f t="shared" si="25"/>
        <v>0</v>
      </c>
      <c r="AC27" s="92">
        <f t="shared" si="25"/>
        <v>94750.39999999998</v>
      </c>
      <c r="AD27" s="92">
        <f t="shared" si="25"/>
        <v>10004.490000000005</v>
      </c>
      <c r="AE27" s="92">
        <f t="shared" si="25"/>
        <v>10181.900000000005</v>
      </c>
      <c r="AF27" s="92">
        <f t="shared" si="25"/>
        <v>359811.75000000006</v>
      </c>
      <c r="AG27" s="92">
        <f t="shared" si="25"/>
        <v>18881.149999999976</v>
      </c>
      <c r="AH27" s="92">
        <f t="shared" si="25"/>
        <v>0</v>
      </c>
      <c r="AI27" s="92">
        <f t="shared" si="25"/>
        <v>96940.680000000037</v>
      </c>
      <c r="AJ27" s="92">
        <f t="shared" si="25"/>
        <v>0</v>
      </c>
      <c r="AK27" s="92">
        <f t="shared" si="25"/>
        <v>25681.01</v>
      </c>
      <c r="AL27" s="92">
        <f t="shared" si="25"/>
        <v>0</v>
      </c>
      <c r="AM27" s="92">
        <f t="shared" si="25"/>
        <v>9933.0200000000186</v>
      </c>
      <c r="AN27" s="92">
        <f t="shared" si="25"/>
        <v>0</v>
      </c>
      <c r="AO27" s="92">
        <f t="shared" si="25"/>
        <v>0</v>
      </c>
      <c r="AP27" s="698"/>
      <c r="AQ27" s="120">
        <f>SUM(E27:AO27)</f>
        <v>2611620.0699999994</v>
      </c>
    </row>
    <row r="28" spans="1:46" s="85" customFormat="1" ht="15.6">
      <c r="A28" s="1414"/>
      <c r="B28" s="1874"/>
      <c r="C28" s="647">
        <f>'[43]11 - FINANCEIRA'!G32</f>
        <v>3218655.2100000004</v>
      </c>
      <c r="D28" s="88" t="s">
        <v>268</v>
      </c>
      <c r="E28" s="239">
        <v>0</v>
      </c>
      <c r="F28" s="239">
        <v>77288.740000000005</v>
      </c>
      <c r="G28" s="239">
        <v>4805.28</v>
      </c>
      <c r="H28" s="239">
        <v>105249.84</v>
      </c>
      <c r="I28" s="239">
        <v>0</v>
      </c>
      <c r="J28" s="239">
        <v>194978.15000000002</v>
      </c>
      <c r="K28" s="239">
        <v>431225.26</v>
      </c>
      <c r="L28" s="239">
        <v>250459.69000000003</v>
      </c>
      <c r="M28" s="239">
        <v>239383.12999999998</v>
      </c>
      <c r="N28" s="239">
        <v>0</v>
      </c>
      <c r="O28" s="239">
        <v>325125.42</v>
      </c>
      <c r="P28" s="239">
        <v>28576.86</v>
      </c>
      <c r="Q28" s="239">
        <v>84605.570000000022</v>
      </c>
      <c r="R28" s="239">
        <v>14893.30000000001</v>
      </c>
      <c r="S28" s="239">
        <v>11402.820000000007</v>
      </c>
      <c r="T28" s="239">
        <v>19799.259999999995</v>
      </c>
      <c r="U28" s="239">
        <v>48204.93</v>
      </c>
      <c r="V28" s="239">
        <v>6514.2000000000044</v>
      </c>
      <c r="W28" s="239">
        <v>41550.409999999996</v>
      </c>
      <c r="X28" s="239">
        <v>19700.039999999964</v>
      </c>
      <c r="Y28" s="239">
        <v>12767.930000000022</v>
      </c>
      <c r="Z28" s="239">
        <v>28384.230000000036</v>
      </c>
      <c r="AA28" s="239">
        <v>40520.60999999995</v>
      </c>
      <c r="AB28" s="239">
        <v>25527.839999999997</v>
      </c>
      <c r="AC28" s="239">
        <v>402563.9000000002</v>
      </c>
      <c r="AD28" s="239">
        <v>402563.9000000002</v>
      </c>
      <c r="AE28" s="239">
        <v>402563.9000000002</v>
      </c>
      <c r="AF28" s="239">
        <v>0</v>
      </c>
      <c r="AG28" s="239">
        <v>0</v>
      </c>
      <c r="AH28" s="239">
        <v>0</v>
      </c>
      <c r="AI28" s="239">
        <v>0</v>
      </c>
      <c r="AJ28" s="239">
        <v>0</v>
      </c>
      <c r="AK28" s="239">
        <v>0</v>
      </c>
      <c r="AL28" s="239">
        <v>0</v>
      </c>
      <c r="AM28" s="239">
        <v>0</v>
      </c>
      <c r="AN28" s="239">
        <v>0</v>
      </c>
      <c r="AO28" s="239">
        <v>0</v>
      </c>
      <c r="AP28" s="698"/>
      <c r="AQ28" s="120">
        <f>SUM(E28:AO28)</f>
        <v>3218655.2100000009</v>
      </c>
      <c r="AR28" s="85" t="str">
        <f>IF(C28=AQ28,"Ok","NÃO")</f>
        <v>Ok</v>
      </c>
      <c r="AS28" s="95"/>
      <c r="AT28" s="95"/>
    </row>
    <row r="29" spans="1:46" s="85" customFormat="1" ht="5.0999999999999996" customHeight="1">
      <c r="A29" s="1414"/>
      <c r="B29" s="94"/>
      <c r="C29" s="94"/>
      <c r="D29" s="648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  <c r="AA29" s="648"/>
      <c r="AB29" s="648"/>
      <c r="AC29" s="648"/>
      <c r="AD29" s="648"/>
      <c r="AE29" s="648"/>
      <c r="AF29" s="648"/>
      <c r="AG29" s="648"/>
      <c r="AH29" s="648"/>
      <c r="AI29" s="648"/>
      <c r="AJ29" s="648"/>
      <c r="AK29" s="648"/>
      <c r="AL29" s="648"/>
      <c r="AM29" s="648"/>
      <c r="AN29" s="648"/>
      <c r="AO29" s="648"/>
      <c r="AP29" s="698"/>
    </row>
    <row r="30" spans="1:46" s="85" customFormat="1" ht="15.6">
      <c r="A30" s="1414"/>
      <c r="B30" s="1872" t="s">
        <v>277</v>
      </c>
      <c r="C30" s="1875" t="s">
        <v>278</v>
      </c>
      <c r="D30" s="88" t="s">
        <v>264</v>
      </c>
      <c r="E30" s="89" t="str">
        <f>IF(E32&gt;0,E32/$C33,"")</f>
        <v/>
      </c>
      <c r="F30" s="89" t="str">
        <f>IF(F32&gt;0,F32/$C33,"")</f>
        <v/>
      </c>
      <c r="G30" s="89" t="str">
        <f t="shared" ref="G30:AM30" si="26">IF(G32&gt;0,G32/$C33,"")</f>
        <v/>
      </c>
      <c r="H30" s="89" t="str">
        <f t="shared" si="26"/>
        <v/>
      </c>
      <c r="I30" s="89" t="str">
        <f t="shared" si="26"/>
        <v/>
      </c>
      <c r="J30" s="89" t="str">
        <f t="shared" si="26"/>
        <v/>
      </c>
      <c r="K30" s="89" t="str">
        <f t="shared" si="26"/>
        <v/>
      </c>
      <c r="L30" s="89" t="str">
        <f t="shared" si="26"/>
        <v/>
      </c>
      <c r="M30" s="89" t="str">
        <f t="shared" si="26"/>
        <v/>
      </c>
      <c r="N30" s="89" t="str">
        <f t="shared" si="26"/>
        <v/>
      </c>
      <c r="O30" s="89" t="str">
        <f t="shared" si="26"/>
        <v/>
      </c>
      <c r="P30" s="89" t="str">
        <f t="shared" si="26"/>
        <v/>
      </c>
      <c r="Q30" s="89" t="str">
        <f t="shared" si="26"/>
        <v/>
      </c>
      <c r="R30" s="89" t="str">
        <f t="shared" si="26"/>
        <v/>
      </c>
      <c r="S30" s="89" t="str">
        <f t="shared" si="26"/>
        <v/>
      </c>
      <c r="T30" s="89" t="str">
        <f t="shared" si="26"/>
        <v/>
      </c>
      <c r="U30" s="89" t="str">
        <f t="shared" si="26"/>
        <v/>
      </c>
      <c r="V30" s="89" t="str">
        <f t="shared" si="26"/>
        <v/>
      </c>
      <c r="W30" s="89" t="str">
        <f t="shared" si="26"/>
        <v/>
      </c>
      <c r="X30" s="89" t="str">
        <f t="shared" si="26"/>
        <v/>
      </c>
      <c r="Y30" s="89" t="str">
        <f t="shared" si="26"/>
        <v/>
      </c>
      <c r="Z30" s="89" t="str">
        <f t="shared" si="26"/>
        <v/>
      </c>
      <c r="AA30" s="89" t="str">
        <f t="shared" si="26"/>
        <v/>
      </c>
      <c r="AB30" s="89" t="str">
        <f t="shared" si="26"/>
        <v/>
      </c>
      <c r="AC30" s="89" t="str">
        <f t="shared" si="26"/>
        <v/>
      </c>
      <c r="AD30" s="89" t="str">
        <f t="shared" si="26"/>
        <v/>
      </c>
      <c r="AE30" s="89" t="str">
        <f t="shared" si="26"/>
        <v/>
      </c>
      <c r="AF30" s="89" t="str">
        <f t="shared" si="26"/>
        <v/>
      </c>
      <c r="AG30" s="89" t="str">
        <f t="shared" si="26"/>
        <v/>
      </c>
      <c r="AH30" s="89" t="str">
        <f t="shared" si="26"/>
        <v/>
      </c>
      <c r="AI30" s="89" t="str">
        <f t="shared" si="26"/>
        <v/>
      </c>
      <c r="AJ30" s="89">
        <f t="shared" si="26"/>
        <v>2.4117468683727588E-2</v>
      </c>
      <c r="AK30" s="89">
        <f t="shared" si="26"/>
        <v>2.6419237345035873E-2</v>
      </c>
      <c r="AL30" s="89">
        <f t="shared" si="26"/>
        <v>0.21063002737776398</v>
      </c>
      <c r="AM30" s="89">
        <f t="shared" si="26"/>
        <v>0.21289698780423771</v>
      </c>
      <c r="AN30" s="89">
        <f>IF(AN32&gt;0,AN32/$C33,"")</f>
        <v>2.118731177948836E-2</v>
      </c>
      <c r="AO30" s="89">
        <f>IF(AO32&gt;0,AO32/$C33,"")</f>
        <v>4.1586534100566237E-2</v>
      </c>
      <c r="AP30" s="698"/>
      <c r="AQ30" s="91">
        <f>SUM(E30:AO30)</f>
        <v>0.53683756709081976</v>
      </c>
    </row>
    <row r="31" spans="1:46" s="85" customFormat="1" ht="15.6">
      <c r="A31" s="1414"/>
      <c r="B31" s="1873"/>
      <c r="C31" s="1876"/>
      <c r="D31" s="88" t="s">
        <v>265</v>
      </c>
      <c r="E31" s="90">
        <f>IF(E33&gt;0,E33/$C33,0)</f>
        <v>0</v>
      </c>
      <c r="F31" s="90">
        <f>IF(F33&gt;0,F33/$C33,0)</f>
        <v>0</v>
      </c>
      <c r="G31" s="90">
        <f t="shared" ref="G31:AM31" si="27">IF(G33&gt;0,G33/$C33,0)</f>
        <v>0</v>
      </c>
      <c r="H31" s="90">
        <f t="shared" si="27"/>
        <v>0</v>
      </c>
      <c r="I31" s="90">
        <f t="shared" si="27"/>
        <v>0</v>
      </c>
      <c r="J31" s="90">
        <f t="shared" si="27"/>
        <v>0</v>
      </c>
      <c r="K31" s="90">
        <f t="shared" si="27"/>
        <v>0</v>
      </c>
      <c r="L31" s="90">
        <f t="shared" si="27"/>
        <v>0</v>
      </c>
      <c r="M31" s="90">
        <f t="shared" si="27"/>
        <v>0</v>
      </c>
      <c r="N31" s="90">
        <f t="shared" si="27"/>
        <v>0</v>
      </c>
      <c r="O31" s="90">
        <f t="shared" si="27"/>
        <v>0</v>
      </c>
      <c r="P31" s="90">
        <f t="shared" si="27"/>
        <v>0</v>
      </c>
      <c r="Q31" s="90">
        <f t="shared" si="27"/>
        <v>0</v>
      </c>
      <c r="R31" s="90">
        <f t="shared" si="27"/>
        <v>0</v>
      </c>
      <c r="S31" s="90">
        <f t="shared" si="27"/>
        <v>0</v>
      </c>
      <c r="T31" s="90">
        <f t="shared" si="27"/>
        <v>0</v>
      </c>
      <c r="U31" s="90">
        <f t="shared" si="27"/>
        <v>0</v>
      </c>
      <c r="V31" s="90">
        <f t="shared" si="27"/>
        <v>0</v>
      </c>
      <c r="W31" s="90">
        <f t="shared" si="27"/>
        <v>0</v>
      </c>
      <c r="X31" s="90">
        <f t="shared" si="27"/>
        <v>0</v>
      </c>
      <c r="Y31" s="90">
        <f t="shared" si="27"/>
        <v>0</v>
      </c>
      <c r="Z31" s="90">
        <f t="shared" si="27"/>
        <v>0</v>
      </c>
      <c r="AA31" s="90">
        <f t="shared" si="27"/>
        <v>0</v>
      </c>
      <c r="AB31" s="90">
        <f t="shared" si="27"/>
        <v>0</v>
      </c>
      <c r="AC31" s="90">
        <f t="shared" si="27"/>
        <v>3.3677446214852455E-2</v>
      </c>
      <c r="AD31" s="90">
        <f t="shared" si="27"/>
        <v>0.20754641922943751</v>
      </c>
      <c r="AE31" s="90">
        <f t="shared" si="27"/>
        <v>0.46456089062001099</v>
      </c>
      <c r="AF31" s="90">
        <f t="shared" si="27"/>
        <v>0.15219405701929498</v>
      </c>
      <c r="AG31" s="90">
        <f t="shared" si="27"/>
        <v>0.14202118691640417</v>
      </c>
      <c r="AH31" s="90">
        <f t="shared" si="27"/>
        <v>0</v>
      </c>
      <c r="AI31" s="90">
        <f t="shared" si="27"/>
        <v>0</v>
      </c>
      <c r="AJ31" s="90">
        <f t="shared" si="27"/>
        <v>0</v>
      </c>
      <c r="AK31" s="90">
        <f t="shared" si="27"/>
        <v>0</v>
      </c>
      <c r="AL31" s="90">
        <f t="shared" si="27"/>
        <v>0</v>
      </c>
      <c r="AM31" s="90">
        <f t="shared" si="27"/>
        <v>0</v>
      </c>
      <c r="AN31" s="90">
        <f>IF(AN33&gt;0,AN33/$C33,0)</f>
        <v>0</v>
      </c>
      <c r="AO31" s="90">
        <f>IF(AO33&gt;0,AO33/$C33,0)</f>
        <v>0</v>
      </c>
      <c r="AP31" s="698"/>
      <c r="AQ31" s="240">
        <f>SUM(E31:AO31)</f>
        <v>1</v>
      </c>
    </row>
    <row r="32" spans="1:46" s="85" customFormat="1" ht="15.6">
      <c r="A32" s="1414"/>
      <c r="B32" s="1873"/>
      <c r="C32" s="86" t="s">
        <v>266</v>
      </c>
      <c r="D32" s="88" t="s">
        <v>267</v>
      </c>
      <c r="E32" s="92">
        <f t="shared" ref="E32:S32" si="28">VLOOKUP($B30,$D$73:$S$87,E$72+1,FALSE)</f>
        <v>0</v>
      </c>
      <c r="F32" s="92">
        <f t="shared" si="28"/>
        <v>0</v>
      </c>
      <c r="G32" s="92">
        <f t="shared" si="28"/>
        <v>0</v>
      </c>
      <c r="H32" s="92">
        <f t="shared" si="28"/>
        <v>0</v>
      </c>
      <c r="I32" s="92">
        <f t="shared" si="28"/>
        <v>0</v>
      </c>
      <c r="J32" s="92">
        <f t="shared" si="28"/>
        <v>0</v>
      </c>
      <c r="K32" s="92">
        <f t="shared" si="28"/>
        <v>0</v>
      </c>
      <c r="L32" s="92">
        <f t="shared" si="28"/>
        <v>0</v>
      </c>
      <c r="M32" s="92">
        <f t="shared" si="28"/>
        <v>0</v>
      </c>
      <c r="N32" s="92">
        <f t="shared" si="28"/>
        <v>0</v>
      </c>
      <c r="O32" s="92">
        <f t="shared" si="28"/>
        <v>0</v>
      </c>
      <c r="P32" s="92">
        <f t="shared" si="28"/>
        <v>0</v>
      </c>
      <c r="Q32" s="92">
        <f t="shared" si="28"/>
        <v>0</v>
      </c>
      <c r="R32" s="92">
        <f t="shared" si="28"/>
        <v>0</v>
      </c>
      <c r="S32" s="92">
        <f t="shared" si="28"/>
        <v>0</v>
      </c>
      <c r="T32" s="92">
        <f t="shared" ref="T32:AO32" si="29">VLOOKUP($B30,$D$73:$AO$87,T$72+1,FALSE)</f>
        <v>0</v>
      </c>
      <c r="U32" s="92">
        <f t="shared" si="29"/>
        <v>0</v>
      </c>
      <c r="V32" s="92">
        <f t="shared" si="29"/>
        <v>0</v>
      </c>
      <c r="W32" s="92">
        <f t="shared" si="29"/>
        <v>0</v>
      </c>
      <c r="X32" s="92">
        <f t="shared" si="29"/>
        <v>0</v>
      </c>
      <c r="Y32" s="92">
        <f t="shared" si="29"/>
        <v>0</v>
      </c>
      <c r="Z32" s="92">
        <f t="shared" si="29"/>
        <v>0</v>
      </c>
      <c r="AA32" s="92">
        <f t="shared" si="29"/>
        <v>0</v>
      </c>
      <c r="AB32" s="92">
        <f t="shared" si="29"/>
        <v>0</v>
      </c>
      <c r="AC32" s="92">
        <f t="shared" si="29"/>
        <v>0</v>
      </c>
      <c r="AD32" s="92">
        <f t="shared" si="29"/>
        <v>0</v>
      </c>
      <c r="AE32" s="92">
        <f t="shared" si="29"/>
        <v>0</v>
      </c>
      <c r="AF32" s="92">
        <f t="shared" si="29"/>
        <v>0</v>
      </c>
      <c r="AG32" s="92">
        <f t="shared" si="29"/>
        <v>0</v>
      </c>
      <c r="AH32" s="92">
        <f t="shared" si="29"/>
        <v>0</v>
      </c>
      <c r="AI32" s="92">
        <f t="shared" si="29"/>
        <v>0</v>
      </c>
      <c r="AJ32" s="92">
        <f t="shared" si="29"/>
        <v>15859.72</v>
      </c>
      <c r="AK32" s="92">
        <f t="shared" si="29"/>
        <v>17373.37</v>
      </c>
      <c r="AL32" s="92">
        <f t="shared" si="29"/>
        <v>138510.94</v>
      </c>
      <c r="AM32" s="92">
        <f t="shared" si="29"/>
        <v>140001.70000000001</v>
      </c>
      <c r="AN32" s="92">
        <f t="shared" si="29"/>
        <v>13932.840000000002</v>
      </c>
      <c r="AO32" s="92">
        <f t="shared" si="29"/>
        <v>27347.43</v>
      </c>
      <c r="AP32" s="698"/>
      <c r="AQ32" s="120">
        <f>SUM(E32:AO32)</f>
        <v>353026</v>
      </c>
    </row>
    <row r="33" spans="1:47" s="85" customFormat="1" ht="15.6">
      <c r="A33" s="1414"/>
      <c r="B33" s="1874"/>
      <c r="C33" s="647">
        <f>'[43]11 - FINANCEIRA'!G54</f>
        <v>657603.01</v>
      </c>
      <c r="D33" s="88" t="s">
        <v>268</v>
      </c>
      <c r="E33" s="239">
        <v>0</v>
      </c>
      <c r="F33" s="239">
        <v>0</v>
      </c>
      <c r="G33" s="239">
        <v>0</v>
      </c>
      <c r="H33" s="239">
        <v>0</v>
      </c>
      <c r="I33" s="239">
        <v>0</v>
      </c>
      <c r="J33" s="239">
        <v>0</v>
      </c>
      <c r="K33" s="239">
        <v>0</v>
      </c>
      <c r="L33" s="239">
        <v>0</v>
      </c>
      <c r="M33" s="239">
        <v>0</v>
      </c>
      <c r="N33" s="239">
        <v>0</v>
      </c>
      <c r="O33" s="239">
        <v>0</v>
      </c>
      <c r="P33" s="239">
        <v>0</v>
      </c>
      <c r="Q33" s="239">
        <v>0</v>
      </c>
      <c r="R33" s="239">
        <v>0</v>
      </c>
      <c r="S33" s="239">
        <v>0</v>
      </c>
      <c r="T33" s="239">
        <v>0</v>
      </c>
      <c r="U33" s="239">
        <v>0</v>
      </c>
      <c r="V33" s="239">
        <v>0</v>
      </c>
      <c r="W33" s="239">
        <v>0</v>
      </c>
      <c r="X33" s="239">
        <v>0</v>
      </c>
      <c r="Y33" s="239">
        <v>0</v>
      </c>
      <c r="Z33" s="239">
        <v>0</v>
      </c>
      <c r="AA33" s="239">
        <v>0</v>
      </c>
      <c r="AB33" s="239">
        <v>0</v>
      </c>
      <c r="AC33" s="239">
        <f>20397.05+1749.34000000008</f>
        <v>22146.390000000079</v>
      </c>
      <c r="AD33" s="239">
        <v>136483.15</v>
      </c>
      <c r="AE33" s="239">
        <v>305496.64</v>
      </c>
      <c r="AF33" s="239">
        <v>100083.27</v>
      </c>
      <c r="AG33" s="239">
        <v>93393.56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39">
        <v>0</v>
      </c>
      <c r="AP33" s="698"/>
      <c r="AQ33" s="120">
        <f>SUM(E33:AO33)</f>
        <v>657603.01</v>
      </c>
      <c r="AR33" s="85" t="str">
        <f>IF(C33=AQ33,"Ok","NÃO")</f>
        <v>Ok</v>
      </c>
    </row>
    <row r="34" spans="1:47" s="85" customFormat="1" ht="5.0999999999999996" customHeight="1">
      <c r="A34" s="1414"/>
      <c r="B34" s="94"/>
      <c r="C34" s="94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648"/>
      <c r="W34" s="648"/>
      <c r="X34" s="648"/>
      <c r="Y34" s="648"/>
      <c r="Z34" s="648"/>
      <c r="AA34" s="648"/>
      <c r="AB34" s="648"/>
      <c r="AC34" s="648"/>
      <c r="AD34" s="648"/>
      <c r="AE34" s="648"/>
      <c r="AF34" s="648"/>
      <c r="AG34" s="648"/>
      <c r="AH34" s="648"/>
      <c r="AI34" s="648"/>
      <c r="AJ34" s="648"/>
      <c r="AK34" s="648"/>
      <c r="AL34" s="648"/>
      <c r="AM34" s="648"/>
      <c r="AN34" s="648"/>
      <c r="AO34" s="648"/>
      <c r="AP34" s="698"/>
    </row>
    <row r="35" spans="1:47" s="85" customFormat="1" ht="15.6" customHeight="1">
      <c r="A35" s="1414"/>
      <c r="B35" s="1872" t="s">
        <v>279</v>
      </c>
      <c r="C35" s="1875" t="s">
        <v>280</v>
      </c>
      <c r="D35" s="88" t="s">
        <v>264</v>
      </c>
      <c r="E35" s="89" t="str">
        <f>IF(E37&gt;0,E37/$C38,"")</f>
        <v/>
      </c>
      <c r="F35" s="89" t="str">
        <f>IF(F37&gt;0,F37/$C38,"")</f>
        <v/>
      </c>
      <c r="G35" s="89" t="str">
        <f t="shared" ref="G35:AM35" si="30">IF(G37&gt;0,G37/$C38,"")</f>
        <v/>
      </c>
      <c r="H35" s="89" t="str">
        <f t="shared" si="30"/>
        <v/>
      </c>
      <c r="I35" s="89" t="str">
        <f t="shared" si="30"/>
        <v/>
      </c>
      <c r="J35" s="89" t="str">
        <f t="shared" si="30"/>
        <v/>
      </c>
      <c r="K35" s="89" t="str">
        <f t="shared" si="30"/>
        <v/>
      </c>
      <c r="L35" s="89" t="str">
        <f t="shared" si="30"/>
        <v/>
      </c>
      <c r="M35" s="89" t="str">
        <f t="shared" si="30"/>
        <v/>
      </c>
      <c r="N35" s="89" t="str">
        <f t="shared" si="30"/>
        <v/>
      </c>
      <c r="O35" s="89" t="str">
        <f t="shared" si="30"/>
        <v/>
      </c>
      <c r="P35" s="89" t="str">
        <f t="shared" si="30"/>
        <v/>
      </c>
      <c r="Q35" s="89" t="str">
        <f t="shared" si="30"/>
        <v/>
      </c>
      <c r="R35" s="89" t="str">
        <f t="shared" si="30"/>
        <v/>
      </c>
      <c r="S35" s="89" t="str">
        <f t="shared" si="30"/>
        <v/>
      </c>
      <c r="T35" s="89" t="str">
        <f t="shared" si="30"/>
        <v/>
      </c>
      <c r="U35" s="89" t="str">
        <f t="shared" si="30"/>
        <v/>
      </c>
      <c r="V35" s="89" t="str">
        <f t="shared" si="30"/>
        <v/>
      </c>
      <c r="W35" s="89" t="str">
        <f t="shared" si="30"/>
        <v/>
      </c>
      <c r="X35" s="89" t="str">
        <f t="shared" si="30"/>
        <v/>
      </c>
      <c r="Y35" s="89" t="str">
        <f t="shared" si="30"/>
        <v/>
      </c>
      <c r="Z35" s="89" t="str">
        <f t="shared" si="30"/>
        <v/>
      </c>
      <c r="AA35" s="89" t="str">
        <f t="shared" si="30"/>
        <v/>
      </c>
      <c r="AB35" s="89" t="str">
        <f t="shared" si="30"/>
        <v/>
      </c>
      <c r="AC35" s="89" t="str">
        <f t="shared" si="30"/>
        <v/>
      </c>
      <c r="AD35" s="89" t="str">
        <f t="shared" si="30"/>
        <v/>
      </c>
      <c r="AE35" s="89" t="str">
        <f t="shared" si="30"/>
        <v/>
      </c>
      <c r="AF35" s="89" t="str">
        <f t="shared" si="30"/>
        <v/>
      </c>
      <c r="AG35" s="89" t="str">
        <f t="shared" si="30"/>
        <v/>
      </c>
      <c r="AH35" s="89" t="str">
        <f t="shared" si="30"/>
        <v/>
      </c>
      <c r="AI35" s="89" t="str">
        <f t="shared" si="30"/>
        <v/>
      </c>
      <c r="AJ35" s="89" t="str">
        <f t="shared" si="30"/>
        <v/>
      </c>
      <c r="AK35" s="89" t="str">
        <f t="shared" si="30"/>
        <v/>
      </c>
      <c r="AL35" s="89" t="str">
        <f t="shared" si="30"/>
        <v/>
      </c>
      <c r="AM35" s="89">
        <f t="shared" si="30"/>
        <v>9.4813715861139042E-2</v>
      </c>
      <c r="AN35" s="89" t="str">
        <f>IF(AN37&gt;0,AN37/$C38,"")</f>
        <v/>
      </c>
      <c r="AO35" s="89" t="str">
        <f>IF(AO37&gt;0,AO37/$C38,"")</f>
        <v/>
      </c>
      <c r="AP35" s="698"/>
      <c r="AQ35" s="91">
        <f>SUM(E35:AO35)</f>
        <v>9.4813715861139042E-2</v>
      </c>
    </row>
    <row r="36" spans="1:47" s="85" customFormat="1" ht="15.6">
      <c r="A36" s="1414"/>
      <c r="B36" s="1873"/>
      <c r="C36" s="1876"/>
      <c r="D36" s="88" t="s">
        <v>265</v>
      </c>
      <c r="E36" s="90">
        <f>IF(E38&gt;0,E38/$C38,0)</f>
        <v>0</v>
      </c>
      <c r="F36" s="90">
        <f>IF(F38&gt;0,F38/$C38,0)</f>
        <v>0</v>
      </c>
      <c r="G36" s="90">
        <f t="shared" ref="G36:AM36" si="31">IF(G38&gt;0,G38/$C38,0)</f>
        <v>0</v>
      </c>
      <c r="H36" s="90">
        <f t="shared" si="31"/>
        <v>0</v>
      </c>
      <c r="I36" s="90">
        <f t="shared" si="31"/>
        <v>0</v>
      </c>
      <c r="J36" s="90">
        <f t="shared" si="31"/>
        <v>0</v>
      </c>
      <c r="K36" s="90">
        <f t="shared" si="31"/>
        <v>0</v>
      </c>
      <c r="L36" s="90">
        <f t="shared" si="31"/>
        <v>0</v>
      </c>
      <c r="M36" s="90">
        <f t="shared" si="31"/>
        <v>0</v>
      </c>
      <c r="N36" s="90">
        <f t="shared" si="31"/>
        <v>0</v>
      </c>
      <c r="O36" s="90">
        <f t="shared" si="31"/>
        <v>0</v>
      </c>
      <c r="P36" s="90">
        <f t="shared" si="31"/>
        <v>0</v>
      </c>
      <c r="Q36" s="90">
        <f t="shared" si="31"/>
        <v>0</v>
      </c>
      <c r="R36" s="90">
        <f t="shared" si="31"/>
        <v>0</v>
      </c>
      <c r="S36" s="90">
        <f t="shared" si="31"/>
        <v>0</v>
      </c>
      <c r="T36" s="90">
        <f t="shared" si="31"/>
        <v>0</v>
      </c>
      <c r="U36" s="90">
        <f t="shared" si="31"/>
        <v>0</v>
      </c>
      <c r="V36" s="90">
        <f t="shared" si="31"/>
        <v>0</v>
      </c>
      <c r="W36" s="90">
        <f t="shared" si="31"/>
        <v>0</v>
      </c>
      <c r="X36" s="90">
        <f t="shared" si="31"/>
        <v>0</v>
      </c>
      <c r="Y36" s="90">
        <f t="shared" si="31"/>
        <v>0</v>
      </c>
      <c r="Z36" s="90">
        <f t="shared" si="31"/>
        <v>0</v>
      </c>
      <c r="AA36" s="90">
        <f t="shared" si="31"/>
        <v>0</v>
      </c>
      <c r="AB36" s="90">
        <f t="shared" si="31"/>
        <v>0</v>
      </c>
      <c r="AC36" s="90">
        <f t="shared" si="31"/>
        <v>0</v>
      </c>
      <c r="AD36" s="90">
        <f t="shared" si="31"/>
        <v>0</v>
      </c>
      <c r="AE36" s="90">
        <f t="shared" si="31"/>
        <v>0.39999998661263791</v>
      </c>
      <c r="AF36" s="90">
        <f t="shared" si="31"/>
        <v>0.60000001338736197</v>
      </c>
      <c r="AG36" s="90">
        <f t="shared" si="31"/>
        <v>0</v>
      </c>
      <c r="AH36" s="90">
        <f t="shared" si="31"/>
        <v>0</v>
      </c>
      <c r="AI36" s="90">
        <f t="shared" si="31"/>
        <v>0</v>
      </c>
      <c r="AJ36" s="90">
        <f t="shared" si="31"/>
        <v>0</v>
      </c>
      <c r="AK36" s="90">
        <f t="shared" si="31"/>
        <v>0</v>
      </c>
      <c r="AL36" s="90">
        <f t="shared" si="31"/>
        <v>0</v>
      </c>
      <c r="AM36" s="90">
        <f t="shared" si="31"/>
        <v>0</v>
      </c>
      <c r="AN36" s="90">
        <f>IF(AN38&gt;0,AN38/$C38,0)</f>
        <v>0</v>
      </c>
      <c r="AO36" s="90">
        <f>IF(AO38&gt;0,AO38/$C38,0)</f>
        <v>0</v>
      </c>
      <c r="AP36" s="698"/>
      <c r="AQ36" s="240">
        <f>SUM(E36:AO36)</f>
        <v>0.99999999999999989</v>
      </c>
    </row>
    <row r="37" spans="1:47" s="85" customFormat="1" ht="15.6">
      <c r="A37" s="1414"/>
      <c r="B37" s="1873"/>
      <c r="C37" s="86" t="s">
        <v>266</v>
      </c>
      <c r="D37" s="88" t="s">
        <v>267</v>
      </c>
      <c r="E37" s="92">
        <f t="shared" ref="E37:S37" si="32">VLOOKUP($B35,$D$73:$S$87,E$72+1,FALSE)</f>
        <v>0</v>
      </c>
      <c r="F37" s="92">
        <f t="shared" si="32"/>
        <v>0</v>
      </c>
      <c r="G37" s="92">
        <f t="shared" si="32"/>
        <v>0</v>
      </c>
      <c r="H37" s="92">
        <f t="shared" si="32"/>
        <v>0</v>
      </c>
      <c r="I37" s="92">
        <f t="shared" si="32"/>
        <v>0</v>
      </c>
      <c r="J37" s="92">
        <f t="shared" si="32"/>
        <v>0</v>
      </c>
      <c r="K37" s="92">
        <f t="shared" si="32"/>
        <v>0</v>
      </c>
      <c r="L37" s="92">
        <f t="shared" si="32"/>
        <v>0</v>
      </c>
      <c r="M37" s="92">
        <f t="shared" si="32"/>
        <v>0</v>
      </c>
      <c r="N37" s="92">
        <f t="shared" si="32"/>
        <v>0</v>
      </c>
      <c r="O37" s="92">
        <f t="shared" si="32"/>
        <v>0</v>
      </c>
      <c r="P37" s="92">
        <f t="shared" si="32"/>
        <v>0</v>
      </c>
      <c r="Q37" s="92">
        <f t="shared" si="32"/>
        <v>0</v>
      </c>
      <c r="R37" s="92">
        <f t="shared" si="32"/>
        <v>0</v>
      </c>
      <c r="S37" s="92">
        <f t="shared" si="32"/>
        <v>0</v>
      </c>
      <c r="T37" s="92">
        <f t="shared" ref="T37:AO37" si="33">VLOOKUP($B35,$D$73:$AO$87,T$72+1,FALSE)</f>
        <v>0</v>
      </c>
      <c r="U37" s="92">
        <f t="shared" si="33"/>
        <v>0</v>
      </c>
      <c r="V37" s="92">
        <f t="shared" si="33"/>
        <v>0</v>
      </c>
      <c r="W37" s="92">
        <f t="shared" si="33"/>
        <v>0</v>
      </c>
      <c r="X37" s="92">
        <f t="shared" si="33"/>
        <v>0</v>
      </c>
      <c r="Y37" s="92">
        <f t="shared" si="33"/>
        <v>0</v>
      </c>
      <c r="Z37" s="92">
        <f t="shared" si="33"/>
        <v>0</v>
      </c>
      <c r="AA37" s="92">
        <f t="shared" si="33"/>
        <v>0</v>
      </c>
      <c r="AB37" s="92">
        <f t="shared" si="33"/>
        <v>0</v>
      </c>
      <c r="AC37" s="92">
        <f t="shared" si="33"/>
        <v>0</v>
      </c>
      <c r="AD37" s="92">
        <f t="shared" si="33"/>
        <v>0</v>
      </c>
      <c r="AE37" s="92">
        <f t="shared" si="33"/>
        <v>0</v>
      </c>
      <c r="AF37" s="92">
        <f t="shared" si="33"/>
        <v>0</v>
      </c>
      <c r="AG37" s="92">
        <f t="shared" si="33"/>
        <v>0</v>
      </c>
      <c r="AH37" s="92">
        <f t="shared" si="33"/>
        <v>0</v>
      </c>
      <c r="AI37" s="92">
        <f t="shared" si="33"/>
        <v>0</v>
      </c>
      <c r="AJ37" s="92">
        <f t="shared" si="33"/>
        <v>0</v>
      </c>
      <c r="AK37" s="92">
        <f t="shared" si="33"/>
        <v>0</v>
      </c>
      <c r="AL37" s="92">
        <f t="shared" si="33"/>
        <v>0</v>
      </c>
      <c r="AM37" s="92">
        <f t="shared" si="33"/>
        <v>28329.32</v>
      </c>
      <c r="AN37" s="92">
        <f t="shared" si="33"/>
        <v>0</v>
      </c>
      <c r="AO37" s="92">
        <f t="shared" si="33"/>
        <v>0</v>
      </c>
      <c r="AP37" s="698"/>
      <c r="AQ37" s="120">
        <f>SUM(E37:AO37)</f>
        <v>28329.32</v>
      </c>
    </row>
    <row r="38" spans="1:47" s="85" customFormat="1" ht="15.6">
      <c r="A38" s="1414"/>
      <c r="B38" s="1874"/>
      <c r="C38" s="649">
        <f>'[43]11 - FINANCEIRA'!G203</f>
        <v>298789.26</v>
      </c>
      <c r="D38" s="88" t="s">
        <v>268</v>
      </c>
      <c r="E38" s="239">
        <v>0</v>
      </c>
      <c r="F38" s="239">
        <v>0</v>
      </c>
      <c r="G38" s="239">
        <v>0</v>
      </c>
      <c r="H38" s="239">
        <v>0</v>
      </c>
      <c r="I38" s="239">
        <v>0</v>
      </c>
      <c r="J38" s="93">
        <v>0</v>
      </c>
      <c r="K38" s="239">
        <v>0</v>
      </c>
      <c r="L38" s="239">
        <v>0</v>
      </c>
      <c r="M38" s="239">
        <v>0</v>
      </c>
      <c r="N38" s="239">
        <v>0</v>
      </c>
      <c r="O38" s="239">
        <v>0</v>
      </c>
      <c r="P38" s="239">
        <v>0</v>
      </c>
      <c r="Q38" s="239">
        <v>0</v>
      </c>
      <c r="R38" s="239">
        <v>0</v>
      </c>
      <c r="S38" s="239">
        <v>0</v>
      </c>
      <c r="T38" s="239">
        <v>0</v>
      </c>
      <c r="U38" s="239">
        <v>0</v>
      </c>
      <c r="V38" s="239">
        <v>0</v>
      </c>
      <c r="W38" s="239">
        <v>0</v>
      </c>
      <c r="X38" s="239">
        <v>0</v>
      </c>
      <c r="Y38" s="239">
        <v>0</v>
      </c>
      <c r="Z38" s="239">
        <v>0</v>
      </c>
      <c r="AA38" s="239">
        <v>0</v>
      </c>
      <c r="AB38" s="239">
        <v>0</v>
      </c>
      <c r="AC38" s="239"/>
      <c r="AD38" s="239"/>
      <c r="AE38" s="239">
        <v>119515.7</v>
      </c>
      <c r="AF38" s="239">
        <f>89636.78+89636.78</f>
        <v>179273.56</v>
      </c>
      <c r="AG38" s="239">
        <v>0</v>
      </c>
      <c r="AH38" s="239">
        <v>0</v>
      </c>
      <c r="AI38" s="239">
        <v>0</v>
      </c>
      <c r="AJ38" s="239">
        <v>0</v>
      </c>
      <c r="AK38" s="239">
        <v>0</v>
      </c>
      <c r="AL38" s="239">
        <v>0</v>
      </c>
      <c r="AM38" s="239">
        <v>0</v>
      </c>
      <c r="AN38" s="239">
        <v>0</v>
      </c>
      <c r="AO38" s="239">
        <v>0</v>
      </c>
      <c r="AP38" s="698"/>
      <c r="AQ38" s="120">
        <f>SUM(E38:AO38)</f>
        <v>298789.26</v>
      </c>
      <c r="AR38" s="85" t="str">
        <f>IF(C38=AQ38,"Ok","NÃO")</f>
        <v>Ok</v>
      </c>
    </row>
    <row r="39" spans="1:47" s="85" customFormat="1" ht="5.0999999999999996" customHeight="1">
      <c r="A39" s="1414"/>
      <c r="B39" s="94"/>
      <c r="C39" s="94"/>
      <c r="D39" s="648"/>
      <c r="E39" s="648"/>
      <c r="F39" s="648"/>
      <c r="G39" s="648"/>
      <c r="H39" s="648"/>
      <c r="I39" s="648"/>
      <c r="J39" s="648"/>
      <c r="K39" s="648"/>
      <c r="L39" s="648"/>
      <c r="M39" s="648"/>
      <c r="N39" s="648"/>
      <c r="O39" s="648"/>
      <c r="P39" s="648"/>
      <c r="Q39" s="648"/>
      <c r="R39" s="648"/>
      <c r="S39" s="648"/>
      <c r="T39" s="648"/>
      <c r="U39" s="648"/>
      <c r="V39" s="648"/>
      <c r="W39" s="648"/>
      <c r="X39" s="648"/>
      <c r="Y39" s="648"/>
      <c r="Z39" s="648"/>
      <c r="AA39" s="648"/>
      <c r="AB39" s="648"/>
      <c r="AC39" s="648"/>
      <c r="AD39" s="648"/>
      <c r="AE39" s="648"/>
      <c r="AF39" s="648"/>
      <c r="AG39" s="648"/>
      <c r="AH39" s="648"/>
      <c r="AI39" s="648"/>
      <c r="AJ39" s="648"/>
      <c r="AK39" s="648"/>
      <c r="AL39" s="648"/>
      <c r="AM39" s="648"/>
      <c r="AN39" s="648"/>
      <c r="AO39" s="648"/>
      <c r="AP39" s="698"/>
    </row>
    <row r="40" spans="1:47" s="85" customFormat="1" ht="15.6">
      <c r="A40" s="1414"/>
      <c r="B40" s="1872" t="s">
        <v>281</v>
      </c>
      <c r="C40" s="1875" t="s">
        <v>282</v>
      </c>
      <c r="D40" s="88" t="s">
        <v>264</v>
      </c>
      <c r="E40" s="89" t="str">
        <f>IF(E42&gt;0,E42/$C43,"")</f>
        <v/>
      </c>
      <c r="F40" s="89" t="str">
        <f>IF(F42&gt;0,F42/$C43,"")</f>
        <v/>
      </c>
      <c r="G40" s="89" t="str">
        <f t="shared" ref="G40:AM40" si="34">IF(G42&gt;0,G42/$C43,"")</f>
        <v/>
      </c>
      <c r="H40" s="89" t="str">
        <f t="shared" si="34"/>
        <v/>
      </c>
      <c r="I40" s="89" t="str">
        <f t="shared" si="34"/>
        <v/>
      </c>
      <c r="J40" s="89" t="str">
        <f t="shared" si="34"/>
        <v/>
      </c>
      <c r="K40" s="89" t="str">
        <f t="shared" si="34"/>
        <v/>
      </c>
      <c r="L40" s="89" t="str">
        <f t="shared" si="34"/>
        <v/>
      </c>
      <c r="M40" s="89" t="str">
        <f t="shared" si="34"/>
        <v/>
      </c>
      <c r="N40" s="89" t="str">
        <f t="shared" si="34"/>
        <v/>
      </c>
      <c r="O40" s="89" t="str">
        <f t="shared" si="34"/>
        <v/>
      </c>
      <c r="P40" s="89" t="str">
        <f t="shared" si="34"/>
        <v/>
      </c>
      <c r="Q40" s="89" t="str">
        <f t="shared" si="34"/>
        <v/>
      </c>
      <c r="R40" s="89" t="str">
        <f t="shared" si="34"/>
        <v/>
      </c>
      <c r="S40" s="89" t="str">
        <f t="shared" si="34"/>
        <v/>
      </c>
      <c r="T40" s="89" t="str">
        <f t="shared" si="34"/>
        <v/>
      </c>
      <c r="U40" s="89" t="str">
        <f t="shared" si="34"/>
        <v/>
      </c>
      <c r="V40" s="89" t="str">
        <f t="shared" si="34"/>
        <v/>
      </c>
      <c r="W40" s="89" t="str">
        <f t="shared" si="34"/>
        <v/>
      </c>
      <c r="X40" s="89" t="str">
        <f t="shared" si="34"/>
        <v/>
      </c>
      <c r="Y40" s="89" t="str">
        <f t="shared" si="34"/>
        <v/>
      </c>
      <c r="Z40" s="89" t="str">
        <f t="shared" si="34"/>
        <v/>
      </c>
      <c r="AA40" s="89" t="str">
        <f t="shared" si="34"/>
        <v/>
      </c>
      <c r="AB40" s="89" t="str">
        <f t="shared" si="34"/>
        <v/>
      </c>
      <c r="AC40" s="89" t="str">
        <f t="shared" si="34"/>
        <v/>
      </c>
      <c r="AD40" s="89" t="str">
        <f t="shared" si="34"/>
        <v/>
      </c>
      <c r="AE40" s="89">
        <f t="shared" si="34"/>
        <v>2.9776395696093578E-3</v>
      </c>
      <c r="AF40" s="89">
        <f t="shared" si="34"/>
        <v>0.15055920749558552</v>
      </c>
      <c r="AG40" s="89">
        <f t="shared" si="34"/>
        <v>0.51002040138557181</v>
      </c>
      <c r="AH40" s="89" t="str">
        <f t="shared" si="34"/>
        <v/>
      </c>
      <c r="AI40" s="89">
        <f t="shared" si="34"/>
        <v>2.7636661777312502E-2</v>
      </c>
      <c r="AJ40" s="89">
        <f t="shared" si="34"/>
        <v>0.10841474959171567</v>
      </c>
      <c r="AK40" s="89">
        <f t="shared" si="34"/>
        <v>5.4363504289387826E-2</v>
      </c>
      <c r="AL40" s="89">
        <f t="shared" si="34"/>
        <v>3.5836109977336709E-3</v>
      </c>
      <c r="AM40" s="89" t="str">
        <f t="shared" si="34"/>
        <v/>
      </c>
      <c r="AN40" s="89">
        <f>IF(AN42&gt;0,AN42/$C43,"")</f>
        <v>8.6684722073382108E-3</v>
      </c>
      <c r="AO40" s="89" t="str">
        <f>IF(AO42&gt;0,AO42/$C43,"")</f>
        <v/>
      </c>
      <c r="AP40" s="698"/>
      <c r="AQ40" s="91">
        <f>SUM(E40:AO40)</f>
        <v>0.86622424731425463</v>
      </c>
    </row>
    <row r="41" spans="1:47" s="85" customFormat="1" ht="15.6">
      <c r="A41" s="1414"/>
      <c r="B41" s="1873"/>
      <c r="C41" s="1876"/>
      <c r="D41" s="88" t="s">
        <v>265</v>
      </c>
      <c r="E41" s="90">
        <f>IF(E43&gt;0,E43/$C43,0)</f>
        <v>0</v>
      </c>
      <c r="F41" s="90">
        <f>IF(F43&gt;0,F43/$C43,0)</f>
        <v>0</v>
      </c>
      <c r="G41" s="90">
        <f t="shared" ref="G41:AM41" si="35">IF(G43&gt;0,G43/$C43,0)</f>
        <v>0</v>
      </c>
      <c r="H41" s="90">
        <f t="shared" si="35"/>
        <v>0</v>
      </c>
      <c r="I41" s="90">
        <f t="shared" si="35"/>
        <v>0</v>
      </c>
      <c r="J41" s="90">
        <f t="shared" si="35"/>
        <v>0</v>
      </c>
      <c r="K41" s="90">
        <f t="shared" si="35"/>
        <v>0</v>
      </c>
      <c r="L41" s="90">
        <f t="shared" si="35"/>
        <v>0</v>
      </c>
      <c r="M41" s="90">
        <f t="shared" si="35"/>
        <v>0</v>
      </c>
      <c r="N41" s="90">
        <f t="shared" si="35"/>
        <v>0</v>
      </c>
      <c r="O41" s="90">
        <f t="shared" si="35"/>
        <v>0</v>
      </c>
      <c r="P41" s="90">
        <f t="shared" si="35"/>
        <v>0</v>
      </c>
      <c r="Q41" s="90">
        <f t="shared" si="35"/>
        <v>0</v>
      </c>
      <c r="R41" s="90">
        <f t="shared" si="35"/>
        <v>0</v>
      </c>
      <c r="S41" s="90">
        <f t="shared" si="35"/>
        <v>0</v>
      </c>
      <c r="T41" s="90">
        <f t="shared" si="35"/>
        <v>0</v>
      </c>
      <c r="U41" s="90">
        <f t="shared" si="35"/>
        <v>0</v>
      </c>
      <c r="V41" s="90">
        <f t="shared" si="35"/>
        <v>0</v>
      </c>
      <c r="W41" s="90">
        <f t="shared" si="35"/>
        <v>0</v>
      </c>
      <c r="X41" s="90">
        <f t="shared" si="35"/>
        <v>0</v>
      </c>
      <c r="Y41" s="90">
        <f t="shared" si="35"/>
        <v>0</v>
      </c>
      <c r="Z41" s="90">
        <f t="shared" si="35"/>
        <v>0</v>
      </c>
      <c r="AA41" s="90">
        <f t="shared" si="35"/>
        <v>0</v>
      </c>
      <c r="AB41" s="90">
        <f t="shared" si="35"/>
        <v>0</v>
      </c>
      <c r="AC41" s="90">
        <f t="shared" si="35"/>
        <v>0</v>
      </c>
      <c r="AD41" s="90">
        <f t="shared" si="35"/>
        <v>0</v>
      </c>
      <c r="AE41" s="90">
        <f t="shared" si="35"/>
        <v>0.45009999940331824</v>
      </c>
      <c r="AF41" s="90">
        <f t="shared" si="35"/>
        <v>0.5194999999180816</v>
      </c>
      <c r="AG41" s="90">
        <f t="shared" si="35"/>
        <v>2.2699999850433205E-2</v>
      </c>
      <c r="AH41" s="90">
        <f t="shared" si="35"/>
        <v>7.700000828166631E-3</v>
      </c>
      <c r="AI41" s="90">
        <f t="shared" si="35"/>
        <v>0</v>
      </c>
      <c r="AJ41" s="90">
        <f t="shared" si="35"/>
        <v>0</v>
      </c>
      <c r="AK41" s="90">
        <f t="shared" si="35"/>
        <v>0</v>
      </c>
      <c r="AL41" s="90">
        <f t="shared" si="35"/>
        <v>0</v>
      </c>
      <c r="AM41" s="90">
        <f t="shared" si="35"/>
        <v>0</v>
      </c>
      <c r="AN41" s="90">
        <f>IF(AN43&gt;0,AN43/$C43,0)</f>
        <v>0</v>
      </c>
      <c r="AO41" s="90">
        <f>IF(AO43&gt;0,AO43/$C43,0)</f>
        <v>0</v>
      </c>
      <c r="AP41" s="698"/>
      <c r="AQ41" s="240">
        <f>SUM(E41:AO41)</f>
        <v>0.99999999999999978</v>
      </c>
    </row>
    <row r="42" spans="1:47" s="85" customFormat="1" ht="15.6">
      <c r="A42" s="1414"/>
      <c r="B42" s="1873"/>
      <c r="C42" s="86" t="s">
        <v>266</v>
      </c>
      <c r="D42" s="88" t="s">
        <v>267</v>
      </c>
      <c r="E42" s="92">
        <f t="shared" ref="E42:S42" si="36">VLOOKUP($B40,$D$73:$S$87,E$72+1,FALSE)</f>
        <v>0</v>
      </c>
      <c r="F42" s="92">
        <f t="shared" si="36"/>
        <v>0</v>
      </c>
      <c r="G42" s="92">
        <f t="shared" si="36"/>
        <v>0</v>
      </c>
      <c r="H42" s="92">
        <f t="shared" si="36"/>
        <v>0</v>
      </c>
      <c r="I42" s="92">
        <f t="shared" si="36"/>
        <v>0</v>
      </c>
      <c r="J42" s="92">
        <f t="shared" si="36"/>
        <v>0</v>
      </c>
      <c r="K42" s="92">
        <f t="shared" si="36"/>
        <v>0</v>
      </c>
      <c r="L42" s="92">
        <f t="shared" si="36"/>
        <v>0</v>
      </c>
      <c r="M42" s="92">
        <f t="shared" si="36"/>
        <v>0</v>
      </c>
      <c r="N42" s="92">
        <f t="shared" si="36"/>
        <v>0</v>
      </c>
      <c r="O42" s="92">
        <f t="shared" si="36"/>
        <v>0</v>
      </c>
      <c r="P42" s="92">
        <f t="shared" si="36"/>
        <v>0</v>
      </c>
      <c r="Q42" s="92">
        <f t="shared" si="36"/>
        <v>0</v>
      </c>
      <c r="R42" s="92">
        <f t="shared" si="36"/>
        <v>0</v>
      </c>
      <c r="S42" s="92">
        <f t="shared" si="36"/>
        <v>0</v>
      </c>
      <c r="T42" s="92">
        <f t="shared" ref="T42:AO42" si="37">VLOOKUP($B40,$D$73:$AO$87,T$72+1,FALSE)</f>
        <v>0</v>
      </c>
      <c r="U42" s="92">
        <f t="shared" si="37"/>
        <v>0</v>
      </c>
      <c r="V42" s="92">
        <f t="shared" si="37"/>
        <v>0</v>
      </c>
      <c r="W42" s="92">
        <f t="shared" si="37"/>
        <v>0</v>
      </c>
      <c r="X42" s="92">
        <f t="shared" si="37"/>
        <v>0</v>
      </c>
      <c r="Y42" s="92">
        <f t="shared" si="37"/>
        <v>0</v>
      </c>
      <c r="Z42" s="92">
        <f t="shared" si="37"/>
        <v>0</v>
      </c>
      <c r="AA42" s="92">
        <f t="shared" si="37"/>
        <v>0</v>
      </c>
      <c r="AB42" s="92">
        <f t="shared" si="37"/>
        <v>0</v>
      </c>
      <c r="AC42" s="92">
        <f t="shared" si="37"/>
        <v>0</v>
      </c>
      <c r="AD42" s="92">
        <f t="shared" si="37"/>
        <v>0</v>
      </c>
      <c r="AE42" s="92">
        <f t="shared" si="37"/>
        <v>22536.34</v>
      </c>
      <c r="AF42" s="92">
        <f t="shared" si="37"/>
        <v>1139511.1499999999</v>
      </c>
      <c r="AG42" s="92">
        <f t="shared" si="37"/>
        <v>3860102.2399999998</v>
      </c>
      <c r="AH42" s="92">
        <f t="shared" si="37"/>
        <v>0</v>
      </c>
      <c r="AI42" s="92">
        <f t="shared" si="37"/>
        <v>209168.77000000005</v>
      </c>
      <c r="AJ42" s="92">
        <f t="shared" si="37"/>
        <v>820539.76</v>
      </c>
      <c r="AK42" s="92">
        <f t="shared" si="37"/>
        <v>411451.54999999981</v>
      </c>
      <c r="AL42" s="92">
        <f t="shared" si="37"/>
        <v>27122.649999999998</v>
      </c>
      <c r="AM42" s="92">
        <f t="shared" si="37"/>
        <v>0</v>
      </c>
      <c r="AN42" s="92">
        <f t="shared" si="37"/>
        <v>65607.55</v>
      </c>
      <c r="AO42" s="92">
        <f t="shared" si="37"/>
        <v>0</v>
      </c>
      <c r="AP42" s="698"/>
      <c r="AQ42" s="120">
        <f>SUM(E42:AO42)</f>
        <v>6556040.0099999998</v>
      </c>
    </row>
    <row r="43" spans="1:47" s="85" customFormat="1" ht="15.6">
      <c r="A43" s="1414"/>
      <c r="B43" s="1874"/>
      <c r="C43" s="649">
        <f>'[43]11 - FINANCEIRA'!G205</f>
        <v>7568525.160000002</v>
      </c>
      <c r="D43" s="88" t="s">
        <v>268</v>
      </c>
      <c r="E43" s="239">
        <v>0</v>
      </c>
      <c r="F43" s="239">
        <v>0</v>
      </c>
      <c r="G43" s="239">
        <v>0</v>
      </c>
      <c r="H43" s="239">
        <v>0</v>
      </c>
      <c r="I43" s="239">
        <v>0</v>
      </c>
      <c r="J43" s="239">
        <v>0</v>
      </c>
      <c r="K43" s="239">
        <v>0</v>
      </c>
      <c r="L43" s="239">
        <v>0</v>
      </c>
      <c r="M43" s="239">
        <v>0</v>
      </c>
      <c r="N43" s="239">
        <v>0</v>
      </c>
      <c r="O43" s="239">
        <v>0</v>
      </c>
      <c r="P43" s="239">
        <v>0</v>
      </c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93">
        <v>3406593.17</v>
      </c>
      <c r="AF43" s="93">
        <f>573694.21+3358154.61</f>
        <v>3931848.82</v>
      </c>
      <c r="AG43" s="93">
        <v>171805.52</v>
      </c>
      <c r="AH43" s="93">
        <v>58277.65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698"/>
      <c r="AQ43" s="120">
        <f>SUM(E43:AO43)</f>
        <v>7568525.1600000001</v>
      </c>
      <c r="AR43" s="85" t="str">
        <f>IF(C43=AQ43,"Ok","NÃO")</f>
        <v>Ok</v>
      </c>
      <c r="AS43" s="120"/>
      <c r="AU43" s="120"/>
    </row>
    <row r="44" spans="1:47" s="85" customFormat="1" ht="5.0999999999999996" customHeight="1">
      <c r="A44" s="1414"/>
      <c r="B44" s="94"/>
      <c r="C44" s="94"/>
      <c r="D44" s="648"/>
      <c r="E44" s="648"/>
      <c r="F44" s="648"/>
      <c r="G44" s="648"/>
      <c r="H44" s="648"/>
      <c r="I44" s="648"/>
      <c r="J44" s="648"/>
      <c r="K44" s="648"/>
      <c r="L44" s="648"/>
      <c r="M44" s="648"/>
      <c r="N44" s="648"/>
      <c r="O44" s="648"/>
      <c r="P44" s="648"/>
      <c r="Q44" s="648"/>
      <c r="R44" s="648"/>
      <c r="S44" s="648"/>
      <c r="T44" s="648"/>
      <c r="U44" s="648"/>
      <c r="V44" s="648"/>
      <c r="W44" s="648"/>
      <c r="X44" s="648"/>
      <c r="Y44" s="648"/>
      <c r="Z44" s="648"/>
      <c r="AA44" s="648"/>
      <c r="AB44" s="648"/>
      <c r="AC44" s="648"/>
      <c r="AD44" s="648"/>
      <c r="AE44" s="648"/>
      <c r="AF44" s="648"/>
      <c r="AG44" s="648"/>
      <c r="AH44" s="648"/>
      <c r="AI44" s="239">
        <v>0</v>
      </c>
      <c r="AJ44" s="239">
        <v>0</v>
      </c>
      <c r="AK44" s="239">
        <v>0</v>
      </c>
      <c r="AL44" s="239">
        <v>0</v>
      </c>
      <c r="AM44" s="239">
        <v>0</v>
      </c>
      <c r="AN44" s="239">
        <v>0</v>
      </c>
      <c r="AO44" s="239">
        <v>0</v>
      </c>
      <c r="AP44" s="698"/>
    </row>
    <row r="45" spans="1:47" s="85" customFormat="1" ht="15.6">
      <c r="A45" s="1414"/>
      <c r="B45" s="1872" t="s">
        <v>283</v>
      </c>
      <c r="C45" s="1875" t="s">
        <v>284</v>
      </c>
      <c r="D45" s="88" t="s">
        <v>264</v>
      </c>
      <c r="E45" s="89" t="str">
        <f>IF(E47&gt;0,E47/$C48,"")</f>
        <v/>
      </c>
      <c r="F45" s="89" t="str">
        <f>IF(F47&gt;0,F47/$C48,"")</f>
        <v/>
      </c>
      <c r="G45" s="89" t="str">
        <f t="shared" ref="G45:S45" si="38">IF(G47&gt;0,G47/$C48,"")</f>
        <v/>
      </c>
      <c r="H45" s="89" t="str">
        <f t="shared" si="38"/>
        <v/>
      </c>
      <c r="I45" s="89" t="str">
        <f t="shared" si="38"/>
        <v/>
      </c>
      <c r="J45" s="89">
        <f t="shared" si="38"/>
        <v>8.7300941771012081E-2</v>
      </c>
      <c r="K45" s="89" t="str">
        <f t="shared" si="38"/>
        <v/>
      </c>
      <c r="L45" s="89" t="str">
        <f t="shared" si="38"/>
        <v/>
      </c>
      <c r="M45" s="89" t="str">
        <f t="shared" si="38"/>
        <v/>
      </c>
      <c r="N45" s="89" t="str">
        <f t="shared" si="38"/>
        <v/>
      </c>
      <c r="O45" s="89">
        <f t="shared" si="38"/>
        <v>0.13095141307826946</v>
      </c>
      <c r="P45" s="89">
        <f t="shared" si="38"/>
        <v>0.13095141307826946</v>
      </c>
      <c r="Q45" s="89" t="str">
        <f t="shared" si="38"/>
        <v/>
      </c>
      <c r="R45" s="89" t="str">
        <f>IF(R47&gt;0,R47/$C48,"")</f>
        <v/>
      </c>
      <c r="S45" s="89" t="str">
        <f t="shared" si="38"/>
        <v/>
      </c>
      <c r="T45" s="89" t="str">
        <f>IF(T47&gt;0,T47/$C48,"")</f>
        <v/>
      </c>
      <c r="U45" s="89" t="str">
        <f>IF(U47&gt;0,U47/$C48,"")</f>
        <v/>
      </c>
      <c r="V45" s="89" t="str">
        <f>IF(V47&gt;0,V47/$C48,"")</f>
        <v/>
      </c>
      <c r="W45" s="89" t="str">
        <f>IF(W47&gt;0,W47/$C48,"")</f>
        <v/>
      </c>
      <c r="X45" s="89" t="str">
        <f>IF(X47&gt;0,X47/$C48,"")</f>
        <v/>
      </c>
      <c r="Y45" s="89" t="str">
        <f t="shared" ref="Y45:AM45" si="39">IF(Y47&gt;0,Y47/$C48,"")</f>
        <v/>
      </c>
      <c r="Z45" s="89" t="str">
        <f t="shared" si="39"/>
        <v/>
      </c>
      <c r="AA45" s="89" t="str">
        <f t="shared" si="39"/>
        <v/>
      </c>
      <c r="AB45" s="89" t="str">
        <f t="shared" si="39"/>
        <v/>
      </c>
      <c r="AC45" s="89">
        <f t="shared" si="39"/>
        <v>0.20757189215006583</v>
      </c>
      <c r="AD45" s="89">
        <f t="shared" si="39"/>
        <v>1.4411997834015084E-2</v>
      </c>
      <c r="AE45" s="89" t="str">
        <f t="shared" si="39"/>
        <v/>
      </c>
      <c r="AF45" s="89" t="str">
        <f t="shared" si="39"/>
        <v/>
      </c>
      <c r="AG45" s="89">
        <f t="shared" si="39"/>
        <v>0.23278520383950901</v>
      </c>
      <c r="AH45" s="89">
        <f t="shared" si="39"/>
        <v>7.9239107766153009E-3</v>
      </c>
      <c r="AI45" s="89">
        <f t="shared" si="39"/>
        <v>2.6611479763033678E-2</v>
      </c>
      <c r="AJ45" s="89">
        <f t="shared" si="39"/>
        <v>7.9258875250925679E-3</v>
      </c>
      <c r="AK45" s="89" t="str">
        <f t="shared" si="39"/>
        <v/>
      </c>
      <c r="AL45" s="89">
        <f t="shared" si="39"/>
        <v>8.4793863772568943E-4</v>
      </c>
      <c r="AM45" s="89" t="str">
        <f t="shared" si="39"/>
        <v/>
      </c>
      <c r="AN45" s="89" t="str">
        <f>IF(AN47&gt;0,AN47/$C48,"")</f>
        <v/>
      </c>
      <c r="AO45" s="89" t="str">
        <f>IF(AO47&gt;0,AO47/$C48,"")</f>
        <v/>
      </c>
      <c r="AP45" s="698"/>
      <c r="AQ45" s="91">
        <f>SUM(E45:AO45)</f>
        <v>0.84728207845360803</v>
      </c>
    </row>
    <row r="46" spans="1:47" s="85" customFormat="1" ht="15.6">
      <c r="A46" s="1414"/>
      <c r="B46" s="1873"/>
      <c r="C46" s="1876"/>
      <c r="D46" s="88" t="s">
        <v>265</v>
      </c>
      <c r="E46" s="90">
        <f>IF(E48&gt;0,E48/$C48,0)</f>
        <v>0</v>
      </c>
      <c r="F46" s="90">
        <f>IF(F48&gt;0,F48/$C48,0)</f>
        <v>0</v>
      </c>
      <c r="G46" s="90">
        <f t="shared" ref="G46:S46" si="40">IF(G48&gt;0,G48/$C48,0)</f>
        <v>0</v>
      </c>
      <c r="H46" s="90">
        <f t="shared" si="40"/>
        <v>0</v>
      </c>
      <c r="I46" s="90">
        <f t="shared" si="40"/>
        <v>0</v>
      </c>
      <c r="J46" s="90">
        <f t="shared" si="40"/>
        <v>8.7300941771012081E-2</v>
      </c>
      <c r="K46" s="90">
        <f t="shared" si="40"/>
        <v>0</v>
      </c>
      <c r="L46" s="90">
        <f t="shared" si="40"/>
        <v>0</v>
      </c>
      <c r="M46" s="90">
        <f t="shared" si="40"/>
        <v>0</v>
      </c>
      <c r="N46" s="90">
        <f t="shared" si="40"/>
        <v>0</v>
      </c>
      <c r="O46" s="90">
        <f t="shared" si="40"/>
        <v>0.13095141307826946</v>
      </c>
      <c r="P46" s="90">
        <f t="shared" si="40"/>
        <v>0.13095141307826946</v>
      </c>
      <c r="Q46" s="90">
        <f t="shared" si="40"/>
        <v>0</v>
      </c>
      <c r="R46" s="90">
        <f>IF(R48&gt;0,R48/$C48,0)</f>
        <v>0</v>
      </c>
      <c r="S46" s="90">
        <f t="shared" si="40"/>
        <v>0</v>
      </c>
      <c r="T46" s="90">
        <f>IF(T48&gt;0,T48/$C48,0)</f>
        <v>0</v>
      </c>
      <c r="U46" s="90">
        <f>IF(U48&gt;0,U48/$C48,0)</f>
        <v>0</v>
      </c>
      <c r="V46" s="90">
        <f>IF(V48&gt;0,V48/$C48,0)</f>
        <v>0</v>
      </c>
      <c r="W46" s="90">
        <f>IF(W48&gt;0,W48/$C48,0)</f>
        <v>0</v>
      </c>
      <c r="X46" s="90">
        <f>IF(X48&gt;0,X48/$C48,0)</f>
        <v>0</v>
      </c>
      <c r="Y46" s="90">
        <f t="shared" ref="Y46:AM46" si="41">IF(Y48&gt;0,Y48/$C48,0)</f>
        <v>0</v>
      </c>
      <c r="Z46" s="90">
        <f t="shared" si="41"/>
        <v>0</v>
      </c>
      <c r="AA46" s="90">
        <f t="shared" si="41"/>
        <v>0</v>
      </c>
      <c r="AB46" s="90">
        <f t="shared" si="41"/>
        <v>0</v>
      </c>
      <c r="AC46" s="90">
        <f t="shared" si="41"/>
        <v>0</v>
      </c>
      <c r="AD46" s="90">
        <f t="shared" si="41"/>
        <v>0</v>
      </c>
      <c r="AE46" s="90">
        <f t="shared" si="41"/>
        <v>0.18941148448884174</v>
      </c>
      <c r="AF46" s="90">
        <f t="shared" si="41"/>
        <v>0.28678435577603284</v>
      </c>
      <c r="AG46" s="90">
        <f t="shared" si="41"/>
        <v>0.16174920412076479</v>
      </c>
      <c r="AH46" s="90">
        <f t="shared" si="41"/>
        <v>1.2851187686810041E-2</v>
      </c>
      <c r="AI46" s="90">
        <f t="shared" si="41"/>
        <v>0</v>
      </c>
      <c r="AJ46" s="90">
        <f t="shared" si="41"/>
        <v>0</v>
      </c>
      <c r="AK46" s="90">
        <f t="shared" si="41"/>
        <v>0</v>
      </c>
      <c r="AL46" s="90">
        <f t="shared" si="41"/>
        <v>0</v>
      </c>
      <c r="AM46" s="90">
        <f t="shared" si="41"/>
        <v>0</v>
      </c>
      <c r="AN46" s="90">
        <f>IF(AN48&gt;0,AN48/$C48,0)</f>
        <v>0</v>
      </c>
      <c r="AO46" s="90">
        <f>IF(AO48&gt;0,AO48/$C48,0)</f>
        <v>0</v>
      </c>
      <c r="AP46" s="698"/>
      <c r="AQ46" s="240">
        <f>SUM(E46:AO46)</f>
        <v>1.0000000000000004</v>
      </c>
    </row>
    <row r="47" spans="1:47" s="85" customFormat="1" ht="15.6">
      <c r="A47" s="1414"/>
      <c r="B47" s="1873"/>
      <c r="C47" s="86" t="s">
        <v>266</v>
      </c>
      <c r="D47" s="88" t="s">
        <v>267</v>
      </c>
      <c r="E47" s="92">
        <f t="shared" ref="E47:S47" si="42">VLOOKUP($B45,$D$73:$S$87,E$72+1,FALSE)</f>
        <v>0</v>
      </c>
      <c r="F47" s="92">
        <f t="shared" si="42"/>
        <v>0</v>
      </c>
      <c r="G47" s="92">
        <f t="shared" si="42"/>
        <v>0</v>
      </c>
      <c r="H47" s="92">
        <f t="shared" si="42"/>
        <v>0</v>
      </c>
      <c r="I47" s="92">
        <f t="shared" si="42"/>
        <v>0</v>
      </c>
      <c r="J47" s="92">
        <f t="shared" si="42"/>
        <v>2069962.46</v>
      </c>
      <c r="K47" s="92">
        <f t="shared" si="42"/>
        <v>0</v>
      </c>
      <c r="L47" s="92">
        <f t="shared" si="42"/>
        <v>0</v>
      </c>
      <c r="M47" s="92">
        <f t="shared" si="42"/>
        <v>0</v>
      </c>
      <c r="N47" s="92">
        <f t="shared" si="42"/>
        <v>0</v>
      </c>
      <c r="O47" s="92">
        <f t="shared" si="42"/>
        <v>3104943.7</v>
      </c>
      <c r="P47" s="92">
        <f t="shared" si="42"/>
        <v>3104943.7</v>
      </c>
      <c r="Q47" s="92">
        <f t="shared" si="42"/>
        <v>0</v>
      </c>
      <c r="R47" s="92">
        <f t="shared" si="42"/>
        <v>0</v>
      </c>
      <c r="S47" s="92">
        <f t="shared" si="42"/>
        <v>0</v>
      </c>
      <c r="T47" s="92">
        <f t="shared" ref="T47:AO47" si="43">VLOOKUP($B45,$D$73:$AO$87,T$72+1,FALSE)</f>
        <v>0</v>
      </c>
      <c r="U47" s="92">
        <f t="shared" si="43"/>
        <v>0</v>
      </c>
      <c r="V47" s="92">
        <f t="shared" si="43"/>
        <v>0</v>
      </c>
      <c r="W47" s="92">
        <f t="shared" si="43"/>
        <v>0</v>
      </c>
      <c r="X47" s="92">
        <f t="shared" si="43"/>
        <v>0</v>
      </c>
      <c r="Y47" s="92">
        <f t="shared" si="43"/>
        <v>0</v>
      </c>
      <c r="Z47" s="92">
        <f t="shared" si="43"/>
        <v>0</v>
      </c>
      <c r="AA47" s="92">
        <f t="shared" si="43"/>
        <v>0</v>
      </c>
      <c r="AB47" s="92">
        <f t="shared" si="43"/>
        <v>0</v>
      </c>
      <c r="AC47" s="92">
        <f t="shared" si="43"/>
        <v>4921665.4000000004</v>
      </c>
      <c r="AD47" s="92">
        <f t="shared" si="43"/>
        <v>341717.9</v>
      </c>
      <c r="AE47" s="92">
        <f t="shared" si="43"/>
        <v>0</v>
      </c>
      <c r="AF47" s="92">
        <f t="shared" si="43"/>
        <v>0</v>
      </c>
      <c r="AG47" s="92">
        <f t="shared" si="43"/>
        <v>5519489.5200000005</v>
      </c>
      <c r="AH47" s="92">
        <f t="shared" si="43"/>
        <v>187881.11000000002</v>
      </c>
      <c r="AI47" s="92">
        <f t="shared" si="43"/>
        <v>630975.6</v>
      </c>
      <c r="AJ47" s="92">
        <f t="shared" si="43"/>
        <v>187927.98</v>
      </c>
      <c r="AK47" s="92">
        <f t="shared" si="43"/>
        <v>0</v>
      </c>
      <c r="AL47" s="92">
        <f t="shared" si="43"/>
        <v>20105.18</v>
      </c>
      <c r="AM47" s="92">
        <f t="shared" si="43"/>
        <v>0</v>
      </c>
      <c r="AN47" s="92">
        <f t="shared" si="43"/>
        <v>0</v>
      </c>
      <c r="AO47" s="92">
        <f t="shared" si="43"/>
        <v>0</v>
      </c>
      <c r="AP47" s="698"/>
      <c r="AQ47" s="120">
        <f>SUM(E47:AO47)</f>
        <v>20089612.550000004</v>
      </c>
    </row>
    <row r="48" spans="1:47" s="85" customFormat="1" ht="15.6">
      <c r="A48" s="1414"/>
      <c r="B48" s="1874"/>
      <c r="C48" s="650">
        <f>'[43]11 - FINANCEIRA'!G400</f>
        <v>23710654.409999989</v>
      </c>
      <c r="D48" s="88" t="s">
        <v>268</v>
      </c>
      <c r="E48" s="239">
        <v>0</v>
      </c>
      <c r="F48" s="239">
        <v>0</v>
      </c>
      <c r="G48" s="239">
        <v>0</v>
      </c>
      <c r="H48" s="239">
        <v>0</v>
      </c>
      <c r="I48" s="239">
        <v>0</v>
      </c>
      <c r="J48" s="239">
        <v>2069962.46</v>
      </c>
      <c r="K48" s="239">
        <v>0</v>
      </c>
      <c r="L48" s="239">
        <v>0</v>
      </c>
      <c r="M48" s="239">
        <v>0</v>
      </c>
      <c r="N48" s="239">
        <v>0</v>
      </c>
      <c r="O48" s="239">
        <v>3104943.7</v>
      </c>
      <c r="P48" s="239">
        <v>3104943.7</v>
      </c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f>9665976.41-P48-J48</f>
        <v>4491070.25</v>
      </c>
      <c r="AF48" s="239">
        <f>9904788.45-O48</f>
        <v>6799844.7499999991</v>
      </c>
      <c r="AG48" s="239">
        <v>3835179.48</v>
      </c>
      <c r="AH48" s="239">
        <f>238812.04+66000-101.97</f>
        <v>304710.07000000007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698"/>
      <c r="AQ48" s="120">
        <f>SUM(E48:AO48)</f>
        <v>23710654.41</v>
      </c>
      <c r="AR48" s="85" t="str">
        <f>IF(C48=AQ48,"Ok","NÃO")</f>
        <v>Ok</v>
      </c>
      <c r="AT48" s="95"/>
      <c r="AU48" s="95"/>
    </row>
    <row r="49" spans="1:45" s="85" customFormat="1" ht="5.0999999999999996" customHeight="1">
      <c r="A49" s="1414"/>
      <c r="B49" s="94"/>
      <c r="C49" s="94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48"/>
      <c r="R49" s="648"/>
      <c r="S49" s="648"/>
      <c r="T49" s="648"/>
      <c r="U49" s="648"/>
      <c r="V49" s="648"/>
      <c r="W49" s="648"/>
      <c r="X49" s="648"/>
      <c r="Y49" s="648"/>
      <c r="Z49" s="648"/>
      <c r="AA49" s="648"/>
      <c r="AB49" s="648"/>
      <c r="AC49" s="648"/>
      <c r="AD49" s="648"/>
      <c r="AE49" s="648"/>
      <c r="AF49" s="648"/>
      <c r="AG49" s="648"/>
      <c r="AH49" s="648"/>
      <c r="AI49" s="648"/>
      <c r="AJ49" s="648"/>
      <c r="AK49" s="648"/>
      <c r="AL49" s="648"/>
      <c r="AM49" s="648"/>
      <c r="AN49" s="648"/>
      <c r="AO49" s="648"/>
      <c r="AP49" s="698"/>
    </row>
    <row r="50" spans="1:45" s="641" customFormat="1" ht="20.100000000000001" customHeight="1">
      <c r="A50" s="1414"/>
      <c r="B50" s="1129" t="s">
        <v>285</v>
      </c>
      <c r="C50" s="1889" t="s">
        <v>286</v>
      </c>
      <c r="D50" s="1890"/>
      <c r="E50" s="1890"/>
      <c r="F50" s="1890"/>
      <c r="G50" s="1890"/>
      <c r="H50" s="1890"/>
      <c r="I50" s="1890"/>
      <c r="J50" s="1890"/>
      <c r="K50" s="1890"/>
      <c r="L50" s="1890"/>
      <c r="M50" s="1890"/>
      <c r="N50" s="1890"/>
      <c r="O50" s="1890"/>
      <c r="P50" s="1890"/>
      <c r="Q50" s="1890"/>
      <c r="R50" s="1890"/>
      <c r="S50" s="1890"/>
      <c r="T50" s="1890"/>
      <c r="U50" s="1890"/>
      <c r="V50" s="1890"/>
      <c r="W50" s="1890"/>
      <c r="X50" s="1890"/>
      <c r="Y50" s="1890"/>
      <c r="Z50" s="1890"/>
      <c r="AA50" s="1890"/>
      <c r="AB50" s="1890"/>
      <c r="AC50" s="1890"/>
      <c r="AD50" s="1890"/>
      <c r="AE50" s="1890"/>
      <c r="AF50" s="1890"/>
      <c r="AG50" s="1890"/>
      <c r="AH50" s="1890"/>
      <c r="AI50" s="1890"/>
      <c r="AJ50" s="1890"/>
      <c r="AK50" s="1890"/>
      <c r="AL50" s="1890"/>
      <c r="AM50" s="1890"/>
      <c r="AN50" s="1890"/>
      <c r="AO50" s="1891"/>
      <c r="AP50" s="698"/>
    </row>
    <row r="51" spans="1:45" s="85" customFormat="1" ht="15.6" customHeight="1">
      <c r="A51" s="1414"/>
      <c r="B51" s="1872" t="s">
        <v>287</v>
      </c>
      <c r="C51" s="1875" t="s">
        <v>288</v>
      </c>
      <c r="D51" s="88" t="s">
        <v>264</v>
      </c>
      <c r="E51" s="89" t="str">
        <f>IF(E53&gt;0,E53/$C54,"")</f>
        <v/>
      </c>
      <c r="F51" s="89" t="str">
        <f>IF(F53&gt;0,F53/$C54,"")</f>
        <v/>
      </c>
      <c r="G51" s="89" t="str">
        <f t="shared" ref="G51:S51" si="44">IF(G53&gt;0,G53/$C54,"")</f>
        <v/>
      </c>
      <c r="H51" s="89" t="str">
        <f t="shared" si="44"/>
        <v/>
      </c>
      <c r="I51" s="89" t="str">
        <f t="shared" si="44"/>
        <v/>
      </c>
      <c r="J51" s="89" t="str">
        <f t="shared" si="44"/>
        <v/>
      </c>
      <c r="K51" s="89" t="str">
        <f t="shared" si="44"/>
        <v/>
      </c>
      <c r="L51" s="89" t="str">
        <f t="shared" si="44"/>
        <v/>
      </c>
      <c r="M51" s="89" t="str">
        <f t="shared" si="44"/>
        <v/>
      </c>
      <c r="N51" s="89" t="str">
        <f t="shared" si="44"/>
        <v/>
      </c>
      <c r="O51" s="89" t="str">
        <f t="shared" si="44"/>
        <v/>
      </c>
      <c r="P51" s="89" t="str">
        <f t="shared" si="44"/>
        <v/>
      </c>
      <c r="Q51" s="89" t="str">
        <f t="shared" si="44"/>
        <v/>
      </c>
      <c r="R51" s="89" t="str">
        <f>IF(R53&gt;0,R53/$C54,"")</f>
        <v/>
      </c>
      <c r="S51" s="89" t="str">
        <f t="shared" si="44"/>
        <v/>
      </c>
      <c r="T51" s="89" t="str">
        <f>IF(T53&gt;0,T53/$C54,"")</f>
        <v/>
      </c>
      <c r="U51" s="89" t="str">
        <f>IF(U53&gt;0,U53/$C54,"")</f>
        <v/>
      </c>
      <c r="V51" s="89" t="str">
        <f>IF(V53&gt;0,V53/$C54,"")</f>
        <v/>
      </c>
      <c r="W51" s="89" t="str">
        <f>IF(W53&gt;0,W53/$C54,"")</f>
        <v/>
      </c>
      <c r="X51" s="89" t="str">
        <f>IF(X53&gt;0,X53/$C54,"")</f>
        <v/>
      </c>
      <c r="Y51" s="89" t="str">
        <f t="shared" ref="Y51:AM51" si="45">IF(Y53&gt;0,Y53/$C54,"")</f>
        <v/>
      </c>
      <c r="Z51" s="89" t="str">
        <f t="shared" si="45"/>
        <v/>
      </c>
      <c r="AA51" s="89" t="str">
        <f t="shared" si="45"/>
        <v/>
      </c>
      <c r="AB51" s="89" t="str">
        <f t="shared" si="45"/>
        <v/>
      </c>
      <c r="AC51" s="89" t="str">
        <f t="shared" si="45"/>
        <v/>
      </c>
      <c r="AD51" s="89" t="str">
        <f t="shared" si="45"/>
        <v/>
      </c>
      <c r="AE51" s="89" t="str">
        <f t="shared" si="45"/>
        <v/>
      </c>
      <c r="AF51" s="89" t="str">
        <f t="shared" si="45"/>
        <v/>
      </c>
      <c r="AG51" s="89" t="str">
        <f t="shared" si="45"/>
        <v/>
      </c>
      <c r="AH51" s="89" t="str">
        <f t="shared" si="45"/>
        <v/>
      </c>
      <c r="AI51" s="89" t="str">
        <f t="shared" si="45"/>
        <v/>
      </c>
      <c r="AJ51" s="89" t="str">
        <f t="shared" si="45"/>
        <v/>
      </c>
      <c r="AK51" s="89" t="str">
        <f t="shared" si="45"/>
        <v/>
      </c>
      <c r="AL51" s="89" t="str">
        <f t="shared" si="45"/>
        <v/>
      </c>
      <c r="AM51" s="89" t="str">
        <f t="shared" si="45"/>
        <v/>
      </c>
      <c r="AN51" s="89" t="str">
        <f>IF(AN53&gt;0,AN53/$C54,"")</f>
        <v/>
      </c>
      <c r="AO51" s="89" t="str">
        <f>IF(AO53&gt;0,AO53/$C54,"")</f>
        <v/>
      </c>
      <c r="AP51" s="698"/>
      <c r="AQ51" s="91">
        <f>SUM(E51:AO51)</f>
        <v>0</v>
      </c>
    </row>
    <row r="52" spans="1:45" s="85" customFormat="1" ht="15.6">
      <c r="A52" s="1414"/>
      <c r="B52" s="1873"/>
      <c r="C52" s="1876"/>
      <c r="D52" s="88" t="s">
        <v>265</v>
      </c>
      <c r="E52" s="90">
        <f>IF(E54&gt;0,E54/$C54,0)</f>
        <v>0</v>
      </c>
      <c r="F52" s="90">
        <f>IF(F54&gt;0,F54/$C54,0)</f>
        <v>0</v>
      </c>
      <c r="G52" s="90">
        <f t="shared" ref="G52:S52" si="46">IF(G54&gt;0,G54/$C54,0)</f>
        <v>0</v>
      </c>
      <c r="H52" s="90">
        <f t="shared" si="46"/>
        <v>0</v>
      </c>
      <c r="I52" s="90">
        <f t="shared" si="46"/>
        <v>0</v>
      </c>
      <c r="J52" s="90">
        <f t="shared" si="46"/>
        <v>0</v>
      </c>
      <c r="K52" s="90">
        <f t="shared" si="46"/>
        <v>0</v>
      </c>
      <c r="L52" s="90">
        <f t="shared" si="46"/>
        <v>0</v>
      </c>
      <c r="M52" s="90">
        <f t="shared" si="46"/>
        <v>0</v>
      </c>
      <c r="N52" s="90">
        <f t="shared" si="46"/>
        <v>0</v>
      </c>
      <c r="O52" s="90">
        <f t="shared" si="46"/>
        <v>0</v>
      </c>
      <c r="P52" s="90">
        <f t="shared" si="46"/>
        <v>0</v>
      </c>
      <c r="Q52" s="90">
        <f t="shared" si="46"/>
        <v>0</v>
      </c>
      <c r="R52" s="90">
        <f>IF(R54&gt;0,R54/$C54,0)</f>
        <v>0</v>
      </c>
      <c r="S52" s="90">
        <f t="shared" si="46"/>
        <v>0</v>
      </c>
      <c r="T52" s="90">
        <f>IF(T54&gt;0,T54/$C54,0)</f>
        <v>0</v>
      </c>
      <c r="U52" s="90">
        <f>IF(U54&gt;0,U54/$C54,0)</f>
        <v>0</v>
      </c>
      <c r="V52" s="90">
        <f>IF(V54&gt;0,V54/$C54,0)</f>
        <v>0</v>
      </c>
      <c r="W52" s="90">
        <f>IF(W54&gt;0,W54/$C54,0)</f>
        <v>0</v>
      </c>
      <c r="X52" s="90">
        <f>IF(X54&gt;0,X54/$C54,0)</f>
        <v>0</v>
      </c>
      <c r="Y52" s="90">
        <f t="shared" ref="Y52:AM52" si="47">IF(Y54&gt;0,Y54/$C54,0)</f>
        <v>0</v>
      </c>
      <c r="Z52" s="90">
        <f t="shared" si="47"/>
        <v>0</v>
      </c>
      <c r="AA52" s="90">
        <f t="shared" si="47"/>
        <v>0</v>
      </c>
      <c r="AB52" s="90">
        <f t="shared" si="47"/>
        <v>0</v>
      </c>
      <c r="AC52" s="90">
        <f t="shared" si="47"/>
        <v>0</v>
      </c>
      <c r="AD52" s="90">
        <f t="shared" si="47"/>
        <v>0</v>
      </c>
      <c r="AE52" s="90">
        <f t="shared" si="47"/>
        <v>0</v>
      </c>
      <c r="AF52" s="90">
        <f t="shared" si="47"/>
        <v>0</v>
      </c>
      <c r="AG52" s="90">
        <f t="shared" si="47"/>
        <v>0</v>
      </c>
      <c r="AH52" s="90">
        <f t="shared" si="47"/>
        <v>0</v>
      </c>
      <c r="AI52" s="90">
        <f t="shared" si="47"/>
        <v>0.16666666666666669</v>
      </c>
      <c r="AJ52" s="90">
        <f t="shared" si="47"/>
        <v>0.16666666666666669</v>
      </c>
      <c r="AK52" s="90">
        <f t="shared" si="47"/>
        <v>0.16666666666666669</v>
      </c>
      <c r="AL52" s="90">
        <f t="shared" si="47"/>
        <v>0.16666666666666669</v>
      </c>
      <c r="AM52" s="90">
        <f t="shared" si="47"/>
        <v>0.16666666666666669</v>
      </c>
      <c r="AN52" s="90">
        <f>IF(AN54&gt;0,AN54/$C54,0)</f>
        <v>0.16666666666666669</v>
      </c>
      <c r="AO52" s="90">
        <f>IF(AO54&gt;0,AO54/$C54,0)</f>
        <v>0</v>
      </c>
      <c r="AP52" s="698"/>
      <c r="AQ52" s="240">
        <f>SUM(E52:AO52)</f>
        <v>1.0000000000000002</v>
      </c>
      <c r="AS52" s="91"/>
    </row>
    <row r="53" spans="1:45" s="85" customFormat="1" ht="15.6">
      <c r="A53" s="1414"/>
      <c r="B53" s="1873"/>
      <c r="C53" s="86" t="s">
        <v>266</v>
      </c>
      <c r="D53" s="88" t="s">
        <v>267</v>
      </c>
      <c r="E53" s="92">
        <f t="shared" ref="E53:S53" si="48">VLOOKUP($B51,$D$73:$S$87,E$72+1,FALSE)</f>
        <v>0</v>
      </c>
      <c r="F53" s="92">
        <f t="shared" si="48"/>
        <v>0</v>
      </c>
      <c r="G53" s="92">
        <f t="shared" si="48"/>
        <v>0</v>
      </c>
      <c r="H53" s="92">
        <f t="shared" si="48"/>
        <v>0</v>
      </c>
      <c r="I53" s="92">
        <f t="shared" si="48"/>
        <v>0</v>
      </c>
      <c r="J53" s="92">
        <f t="shared" si="48"/>
        <v>0</v>
      </c>
      <c r="K53" s="92">
        <f t="shared" si="48"/>
        <v>0</v>
      </c>
      <c r="L53" s="92">
        <f t="shared" si="48"/>
        <v>0</v>
      </c>
      <c r="M53" s="92">
        <f t="shared" si="48"/>
        <v>0</v>
      </c>
      <c r="N53" s="92">
        <f t="shared" si="48"/>
        <v>0</v>
      </c>
      <c r="O53" s="92">
        <f t="shared" si="48"/>
        <v>0</v>
      </c>
      <c r="P53" s="92">
        <f t="shared" si="48"/>
        <v>0</v>
      </c>
      <c r="Q53" s="92">
        <f t="shared" si="48"/>
        <v>0</v>
      </c>
      <c r="R53" s="92">
        <f t="shared" si="48"/>
        <v>0</v>
      </c>
      <c r="S53" s="92">
        <f t="shared" si="48"/>
        <v>0</v>
      </c>
      <c r="T53" s="92">
        <f t="shared" ref="T53:AO53" si="49">VLOOKUP($B51,$D$73:$AO$87,T$72+1,FALSE)</f>
        <v>0</v>
      </c>
      <c r="U53" s="92">
        <f t="shared" si="49"/>
        <v>0</v>
      </c>
      <c r="V53" s="92">
        <f t="shared" si="49"/>
        <v>0</v>
      </c>
      <c r="W53" s="92">
        <f t="shared" si="49"/>
        <v>0</v>
      </c>
      <c r="X53" s="92">
        <f t="shared" si="49"/>
        <v>0</v>
      </c>
      <c r="Y53" s="92">
        <f t="shared" si="49"/>
        <v>0</v>
      </c>
      <c r="Z53" s="92">
        <f t="shared" si="49"/>
        <v>0</v>
      </c>
      <c r="AA53" s="92">
        <f t="shared" si="49"/>
        <v>0</v>
      </c>
      <c r="AB53" s="92">
        <f t="shared" si="49"/>
        <v>0</v>
      </c>
      <c r="AC53" s="92">
        <f t="shared" si="49"/>
        <v>0</v>
      </c>
      <c r="AD53" s="92">
        <f t="shared" si="49"/>
        <v>0</v>
      </c>
      <c r="AE53" s="92">
        <f t="shared" si="49"/>
        <v>0</v>
      </c>
      <c r="AF53" s="92">
        <f t="shared" si="49"/>
        <v>0</v>
      </c>
      <c r="AG53" s="92">
        <f t="shared" si="49"/>
        <v>0</v>
      </c>
      <c r="AH53" s="92">
        <f t="shared" si="49"/>
        <v>0</v>
      </c>
      <c r="AI53" s="92">
        <f t="shared" si="49"/>
        <v>0</v>
      </c>
      <c r="AJ53" s="92">
        <f t="shared" si="49"/>
        <v>0</v>
      </c>
      <c r="AK53" s="92">
        <f t="shared" si="49"/>
        <v>0</v>
      </c>
      <c r="AL53" s="92">
        <f t="shared" si="49"/>
        <v>0</v>
      </c>
      <c r="AM53" s="92">
        <f t="shared" si="49"/>
        <v>0</v>
      </c>
      <c r="AN53" s="92">
        <f t="shared" si="49"/>
        <v>0</v>
      </c>
      <c r="AO53" s="92">
        <f t="shared" si="49"/>
        <v>0</v>
      </c>
      <c r="AP53" s="698"/>
      <c r="AQ53" s="120">
        <f>SUM(E53:AO53)</f>
        <v>0</v>
      </c>
    </row>
    <row r="54" spans="1:45" s="85" customFormat="1" ht="15.6">
      <c r="A54" s="1414"/>
      <c r="B54" s="1874"/>
      <c r="C54" s="650">
        <f>'[43]11 - FINANCEIRA'!G432</f>
        <v>318116.88</v>
      </c>
      <c r="D54" s="88" t="s">
        <v>268</v>
      </c>
      <c r="E54" s="239">
        <v>0</v>
      </c>
      <c r="F54" s="239">
        <v>0</v>
      </c>
      <c r="G54" s="239">
        <v>0</v>
      </c>
      <c r="H54" s="239">
        <v>0</v>
      </c>
      <c r="I54" s="239">
        <v>0</v>
      </c>
      <c r="J54" s="239">
        <v>0</v>
      </c>
      <c r="K54" s="239">
        <v>0</v>
      </c>
      <c r="L54" s="239">
        <v>0</v>
      </c>
      <c r="M54" s="239">
        <v>0</v>
      </c>
      <c r="N54" s="239">
        <v>0</v>
      </c>
      <c r="O54" s="239">
        <v>0</v>
      </c>
      <c r="P54" s="239">
        <v>0</v>
      </c>
      <c r="Q54" s="239">
        <v>0</v>
      </c>
      <c r="R54" s="239">
        <v>0</v>
      </c>
      <c r="S54" s="239">
        <v>0</v>
      </c>
      <c r="T54" s="239">
        <v>0</v>
      </c>
      <c r="U54" s="239">
        <v>0</v>
      </c>
      <c r="V54" s="239">
        <v>0</v>
      </c>
      <c r="W54" s="239">
        <v>0</v>
      </c>
      <c r="X54" s="239">
        <v>0</v>
      </c>
      <c r="Y54" s="239">
        <v>0</v>
      </c>
      <c r="Z54" s="239">
        <v>0</v>
      </c>
      <c r="AA54" s="239">
        <v>0</v>
      </c>
      <c r="AB54" s="239">
        <v>0</v>
      </c>
      <c r="AC54" s="239">
        <v>0</v>
      </c>
      <c r="AD54" s="239">
        <v>0</v>
      </c>
      <c r="AE54" s="239">
        <v>0</v>
      </c>
      <c r="AF54" s="239">
        <v>0</v>
      </c>
      <c r="AG54" s="239">
        <v>0</v>
      </c>
      <c r="AH54" s="239">
        <v>0</v>
      </c>
      <c r="AI54" s="239">
        <v>53019.48</v>
      </c>
      <c r="AJ54" s="239">
        <v>53019.48</v>
      </c>
      <c r="AK54" s="239">
        <v>53019.48</v>
      </c>
      <c r="AL54" s="239">
        <v>53019.48</v>
      </c>
      <c r="AM54" s="239">
        <v>53019.48</v>
      </c>
      <c r="AN54" s="239">
        <v>53019.48</v>
      </c>
      <c r="AO54" s="239"/>
      <c r="AP54" s="698"/>
      <c r="AQ54" s="120">
        <f>SUM(E54:AO54)</f>
        <v>318116.88</v>
      </c>
      <c r="AR54" s="85" t="str">
        <f>IF(C54=AQ54,"Ok","NÃO")</f>
        <v>Ok</v>
      </c>
    </row>
    <row r="55" spans="1:45" s="85" customFormat="1" ht="5.0999999999999996" customHeight="1">
      <c r="A55" s="1414"/>
      <c r="B55" s="94"/>
      <c r="C55" s="94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48"/>
      <c r="O55" s="648"/>
      <c r="P55" s="648"/>
      <c r="Q55" s="648"/>
      <c r="R55" s="648"/>
      <c r="S55" s="648"/>
      <c r="T55" s="648"/>
      <c r="U55" s="648"/>
      <c r="V55" s="648"/>
      <c r="W55" s="648"/>
      <c r="X55" s="648"/>
      <c r="Y55" s="648"/>
      <c r="Z55" s="648"/>
      <c r="AA55" s="648"/>
      <c r="AB55" s="648"/>
      <c r="AC55" s="648"/>
      <c r="AD55" s="648"/>
      <c r="AE55" s="648"/>
      <c r="AF55" s="648"/>
      <c r="AG55" s="648"/>
      <c r="AH55" s="648"/>
      <c r="AI55" s="648"/>
      <c r="AJ55" s="239"/>
      <c r="AK55" s="239"/>
      <c r="AL55" s="239"/>
      <c r="AM55" s="239"/>
      <c r="AN55" s="239"/>
      <c r="AO55" s="239"/>
      <c r="AP55" s="698"/>
    </row>
    <row r="56" spans="1:45" s="641" customFormat="1" ht="20.100000000000001" customHeight="1">
      <c r="A56" s="1414"/>
      <c r="B56" s="1129" t="s">
        <v>289</v>
      </c>
      <c r="C56" s="1889" t="s">
        <v>290</v>
      </c>
      <c r="D56" s="1890"/>
      <c r="E56" s="1890"/>
      <c r="F56" s="1890"/>
      <c r="G56" s="1890"/>
      <c r="H56" s="1890"/>
      <c r="I56" s="1890"/>
      <c r="J56" s="1890"/>
      <c r="K56" s="1890"/>
      <c r="L56" s="1890"/>
      <c r="M56" s="1890"/>
      <c r="N56" s="1890"/>
      <c r="O56" s="1890"/>
      <c r="P56" s="1890"/>
      <c r="Q56" s="1890"/>
      <c r="R56" s="1890"/>
      <c r="S56" s="1890"/>
      <c r="T56" s="1890"/>
      <c r="U56" s="1890"/>
      <c r="V56" s="1890"/>
      <c r="W56" s="1890"/>
      <c r="X56" s="1890"/>
      <c r="Y56" s="1890"/>
      <c r="Z56" s="1890"/>
      <c r="AA56" s="1890"/>
      <c r="AB56" s="1890"/>
      <c r="AC56" s="1890"/>
      <c r="AD56" s="1890"/>
      <c r="AE56" s="1890"/>
      <c r="AF56" s="1890"/>
      <c r="AG56" s="1890"/>
      <c r="AH56" s="1890"/>
      <c r="AI56" s="1890"/>
      <c r="AJ56" s="1890"/>
      <c r="AK56" s="1890"/>
      <c r="AL56" s="1890"/>
      <c r="AM56" s="1890"/>
      <c r="AN56" s="1890"/>
      <c r="AO56" s="1891"/>
      <c r="AP56" s="698"/>
    </row>
    <row r="57" spans="1:45" s="85" customFormat="1" ht="15.6">
      <c r="A57" s="1414"/>
      <c r="B57" s="1872" t="s">
        <v>291</v>
      </c>
      <c r="C57" s="1875" t="s">
        <v>292</v>
      </c>
      <c r="D57" s="88" t="s">
        <v>264</v>
      </c>
      <c r="E57" s="89" t="str">
        <f>IF(E59&gt;0,E59/$C60,"")</f>
        <v/>
      </c>
      <c r="F57" s="89" t="str">
        <f>IF(F59&gt;0,F59/$C60,"")</f>
        <v/>
      </c>
      <c r="G57" s="89" t="str">
        <f t="shared" ref="G57:AM57" si="50">IF(G59&gt;0,G59/$C60,"")</f>
        <v/>
      </c>
      <c r="H57" s="89" t="str">
        <f t="shared" si="50"/>
        <v/>
      </c>
      <c r="I57" s="89" t="str">
        <f t="shared" si="50"/>
        <v/>
      </c>
      <c r="J57" s="89" t="str">
        <f t="shared" si="50"/>
        <v/>
      </c>
      <c r="K57" s="89" t="str">
        <f t="shared" si="50"/>
        <v/>
      </c>
      <c r="L57" s="89" t="str">
        <f t="shared" si="50"/>
        <v/>
      </c>
      <c r="M57" s="89" t="str">
        <f t="shared" si="50"/>
        <v/>
      </c>
      <c r="N57" s="89" t="str">
        <f t="shared" si="50"/>
        <v/>
      </c>
      <c r="O57" s="89">
        <f t="shared" si="50"/>
        <v>4.3046703586774065E-2</v>
      </c>
      <c r="P57" s="89">
        <f t="shared" si="50"/>
        <v>2.4995445393790872E-3</v>
      </c>
      <c r="Q57" s="89">
        <f t="shared" si="50"/>
        <v>2.4995445393790824E-3</v>
      </c>
      <c r="R57" s="89">
        <f t="shared" si="50"/>
        <v>7.1830113208879573E-3</v>
      </c>
      <c r="S57" s="89" t="str">
        <f t="shared" si="50"/>
        <v/>
      </c>
      <c r="T57" s="89">
        <f t="shared" si="50"/>
        <v>2.3659206265161055E-2</v>
      </c>
      <c r="U57" s="89">
        <f t="shared" si="50"/>
        <v>4.4639880466488341E-2</v>
      </c>
      <c r="V57" s="89">
        <f t="shared" si="50"/>
        <v>1.9374894753881478E-2</v>
      </c>
      <c r="W57" s="89">
        <f t="shared" si="50"/>
        <v>5.320064224487478E-2</v>
      </c>
      <c r="X57" s="89">
        <f t="shared" si="50"/>
        <v>0.19095358741921298</v>
      </c>
      <c r="Y57" s="89">
        <f t="shared" si="50"/>
        <v>0.41709843887501369</v>
      </c>
      <c r="Z57" s="89">
        <f t="shared" si="50"/>
        <v>2.4995445393790872E-3</v>
      </c>
      <c r="AA57" s="89">
        <f t="shared" si="50"/>
        <v>2.4995445393790872E-3</v>
      </c>
      <c r="AB57" s="89" t="str">
        <f t="shared" si="50"/>
        <v/>
      </c>
      <c r="AC57" s="89">
        <f t="shared" si="50"/>
        <v>0.15751346928440882</v>
      </c>
      <c r="AD57" s="89">
        <f t="shared" si="50"/>
        <v>1.395334999120619E-2</v>
      </c>
      <c r="AE57" s="89">
        <f t="shared" si="50"/>
        <v>3.3281889688263704E-3</v>
      </c>
      <c r="AF57" s="89" t="str">
        <f t="shared" si="50"/>
        <v/>
      </c>
      <c r="AG57" s="89">
        <f t="shared" si="50"/>
        <v>1.2058971060012347E-3</v>
      </c>
      <c r="AH57" s="89">
        <f t="shared" si="50"/>
        <v>4.3684520836789173E-4</v>
      </c>
      <c r="AI57" s="89">
        <f t="shared" si="50"/>
        <v>0.35036484911469967</v>
      </c>
      <c r="AJ57" s="89">
        <f t="shared" si="50"/>
        <v>1.6074791897540196E-2</v>
      </c>
      <c r="AK57" s="89">
        <f t="shared" si="50"/>
        <v>1.9996356315032677E-2</v>
      </c>
      <c r="AL57" s="89">
        <f t="shared" si="50"/>
        <v>2.4995445393790872E-3</v>
      </c>
      <c r="AM57" s="89">
        <f t="shared" si="50"/>
        <v>2.4995445393790872E-3</v>
      </c>
      <c r="AN57" s="89" t="str">
        <f>IF(AN59&gt;0,AN59/$C60,"")</f>
        <v/>
      </c>
      <c r="AO57" s="89" t="str">
        <f>IF(AO59&gt;0,AO59/$C60,"")</f>
        <v/>
      </c>
      <c r="AP57" s="698"/>
      <c r="AQ57" s="91">
        <f>SUM(E57:AO57)</f>
        <v>1.377027380054652</v>
      </c>
    </row>
    <row r="58" spans="1:45" s="85" customFormat="1" ht="15.6">
      <c r="A58" s="1414"/>
      <c r="B58" s="1873"/>
      <c r="C58" s="1876"/>
      <c r="D58" s="88" t="s">
        <v>265</v>
      </c>
      <c r="E58" s="90">
        <f>IF(E60&gt;0,E60/$C60,0)</f>
        <v>0</v>
      </c>
      <c r="F58" s="90">
        <f>IF(F60&gt;0,F60/$C60,0)</f>
        <v>0</v>
      </c>
      <c r="G58" s="90">
        <f t="shared" ref="G58:AM58" si="51">IF(G60&gt;0,G60/$C60,0)</f>
        <v>0</v>
      </c>
      <c r="H58" s="90">
        <f t="shared" si="51"/>
        <v>0</v>
      </c>
      <c r="I58" s="90">
        <f t="shared" si="51"/>
        <v>0</v>
      </c>
      <c r="J58" s="90">
        <f t="shared" si="51"/>
        <v>0</v>
      </c>
      <c r="K58" s="90">
        <f t="shared" si="51"/>
        <v>0</v>
      </c>
      <c r="L58" s="90">
        <f t="shared" si="51"/>
        <v>0</v>
      </c>
      <c r="M58" s="90">
        <f t="shared" si="51"/>
        <v>0</v>
      </c>
      <c r="N58" s="90">
        <f t="shared" si="51"/>
        <v>0</v>
      </c>
      <c r="O58" s="90">
        <f t="shared" si="51"/>
        <v>4.3046703586774065E-2</v>
      </c>
      <c r="P58" s="90">
        <f t="shared" si="51"/>
        <v>2.4995445393790872E-3</v>
      </c>
      <c r="Q58" s="90">
        <f t="shared" si="51"/>
        <v>2.4995445393790824E-3</v>
      </c>
      <c r="R58" s="90">
        <f t="shared" si="51"/>
        <v>7.1830113208879573E-3</v>
      </c>
      <c r="S58" s="90">
        <f t="shared" si="51"/>
        <v>0</v>
      </c>
      <c r="T58" s="90">
        <f t="shared" si="51"/>
        <v>2.3659206265161055E-2</v>
      </c>
      <c r="U58" s="90">
        <f t="shared" si="51"/>
        <v>4.4639880466488341E-2</v>
      </c>
      <c r="V58" s="90">
        <f t="shared" si="51"/>
        <v>1.9374894753881478E-2</v>
      </c>
      <c r="W58" s="90">
        <f t="shared" si="51"/>
        <v>5.320064224487478E-2</v>
      </c>
      <c r="X58" s="90">
        <f t="shared" si="51"/>
        <v>0.19095358741921298</v>
      </c>
      <c r="Y58" s="90">
        <f t="shared" si="51"/>
        <v>0.41709843887501369</v>
      </c>
      <c r="Z58" s="90">
        <f t="shared" si="51"/>
        <v>2.4995445393790872E-3</v>
      </c>
      <c r="AA58" s="90">
        <f t="shared" si="51"/>
        <v>2.4995445393790872E-3</v>
      </c>
      <c r="AB58" s="90">
        <f t="shared" si="51"/>
        <v>6.3615152303396469E-2</v>
      </c>
      <c r="AC58" s="90">
        <f t="shared" si="51"/>
        <v>6.3615152303396469E-2</v>
      </c>
      <c r="AD58" s="90">
        <f t="shared" si="51"/>
        <v>6.3615152303396469E-2</v>
      </c>
      <c r="AE58" s="90">
        <f t="shared" si="51"/>
        <v>0</v>
      </c>
      <c r="AF58" s="90">
        <f t="shared" si="51"/>
        <v>0</v>
      </c>
      <c r="AG58" s="90">
        <f t="shared" si="51"/>
        <v>0</v>
      </c>
      <c r="AH58" s="90">
        <f t="shared" si="51"/>
        <v>0</v>
      </c>
      <c r="AI58" s="90">
        <f t="shared" si="51"/>
        <v>0</v>
      </c>
      <c r="AJ58" s="90">
        <f t="shared" si="51"/>
        <v>0</v>
      </c>
      <c r="AK58" s="90">
        <f t="shared" si="51"/>
        <v>0</v>
      </c>
      <c r="AL58" s="90">
        <f t="shared" si="51"/>
        <v>0</v>
      </c>
      <c r="AM58" s="90">
        <f t="shared" si="51"/>
        <v>0</v>
      </c>
      <c r="AN58" s="90">
        <f>IF(AN60&gt;0,AN60/$C60,0)</f>
        <v>0</v>
      </c>
      <c r="AO58" s="90">
        <f>IF(AO60&gt;0,AO60/$C60,0)</f>
        <v>0</v>
      </c>
      <c r="AP58" s="698"/>
      <c r="AQ58" s="240">
        <f>SUM(E58:AO58)</f>
        <v>0.99999999999999989</v>
      </c>
    </row>
    <row r="59" spans="1:45" s="85" customFormat="1" ht="15.6">
      <c r="A59" s="1414"/>
      <c r="B59" s="1873"/>
      <c r="C59" s="86" t="s">
        <v>266</v>
      </c>
      <c r="D59" s="88" t="s">
        <v>267</v>
      </c>
      <c r="E59" s="92">
        <f t="shared" ref="E59:S59" si="52">VLOOKUP($B57,$D$73:$S$87,E$72+1,FALSE)</f>
        <v>0</v>
      </c>
      <c r="F59" s="92">
        <f t="shared" si="52"/>
        <v>0</v>
      </c>
      <c r="G59" s="92">
        <f t="shared" si="52"/>
        <v>0</v>
      </c>
      <c r="H59" s="92">
        <f t="shared" si="52"/>
        <v>0</v>
      </c>
      <c r="I59" s="92">
        <f t="shared" si="52"/>
        <v>0</v>
      </c>
      <c r="J59" s="92">
        <f t="shared" si="52"/>
        <v>0</v>
      </c>
      <c r="K59" s="92">
        <f t="shared" si="52"/>
        <v>0</v>
      </c>
      <c r="L59" s="92">
        <f t="shared" si="52"/>
        <v>0</v>
      </c>
      <c r="M59" s="92">
        <f t="shared" si="52"/>
        <v>0</v>
      </c>
      <c r="N59" s="92">
        <f t="shared" si="52"/>
        <v>0</v>
      </c>
      <c r="O59" s="92">
        <f t="shared" si="52"/>
        <v>252215.95</v>
      </c>
      <c r="P59" s="92">
        <f t="shared" si="52"/>
        <v>14645.140000000014</v>
      </c>
      <c r="Q59" s="92">
        <f t="shared" si="52"/>
        <v>14645.139999999985</v>
      </c>
      <c r="R59" s="92">
        <f t="shared" si="52"/>
        <v>42086.149999999994</v>
      </c>
      <c r="S59" s="92">
        <f t="shared" si="52"/>
        <v>0</v>
      </c>
      <c r="T59" s="92">
        <f t="shared" ref="T59:AO59" si="53">VLOOKUP($B57,$D$73:$AO$87,T$72+1,FALSE)</f>
        <v>138622.21</v>
      </c>
      <c r="U59" s="92">
        <f t="shared" si="53"/>
        <v>261550.57</v>
      </c>
      <c r="V59" s="92">
        <f t="shared" si="53"/>
        <v>113519.90000000001</v>
      </c>
      <c r="W59" s="92">
        <f t="shared" si="53"/>
        <v>311709.13000000006</v>
      </c>
      <c r="X59" s="92">
        <f t="shared" si="53"/>
        <v>1118820.6399999999</v>
      </c>
      <c r="Y59" s="92">
        <f t="shared" si="53"/>
        <v>2443831.2400000002</v>
      </c>
      <c r="Z59" s="92">
        <f t="shared" si="53"/>
        <v>14645.140000000014</v>
      </c>
      <c r="AA59" s="92">
        <f t="shared" si="53"/>
        <v>14645.140000000014</v>
      </c>
      <c r="AB59" s="92">
        <f t="shared" si="53"/>
        <v>0</v>
      </c>
      <c r="AC59" s="92">
        <f t="shared" si="53"/>
        <v>922890.85999999975</v>
      </c>
      <c r="AD59" s="92">
        <f t="shared" si="53"/>
        <v>81754.399999999994</v>
      </c>
      <c r="AE59" s="92">
        <f t="shared" si="53"/>
        <v>19500.270000000019</v>
      </c>
      <c r="AF59" s="92">
        <f t="shared" si="53"/>
        <v>0</v>
      </c>
      <c r="AG59" s="92">
        <f t="shared" si="53"/>
        <v>7065.5</v>
      </c>
      <c r="AH59" s="92">
        <f t="shared" si="53"/>
        <v>2559.5299999999988</v>
      </c>
      <c r="AI59" s="92">
        <f t="shared" si="53"/>
        <v>2052830.9000000001</v>
      </c>
      <c r="AJ59" s="92">
        <f t="shared" si="53"/>
        <v>94184.189999999857</v>
      </c>
      <c r="AK59" s="92">
        <f t="shared" si="53"/>
        <v>117161.12</v>
      </c>
      <c r="AL59" s="92">
        <f t="shared" si="53"/>
        <v>14645.140000000014</v>
      </c>
      <c r="AM59" s="92">
        <f t="shared" si="53"/>
        <v>14645.140000000014</v>
      </c>
      <c r="AN59" s="92">
        <f t="shared" si="53"/>
        <v>0</v>
      </c>
      <c r="AO59" s="92">
        <f t="shared" si="53"/>
        <v>0</v>
      </c>
      <c r="AP59" s="698"/>
      <c r="AQ59" s="120">
        <f>SUM(E59:AO59)</f>
        <v>8068173.3999999985</v>
      </c>
    </row>
    <row r="60" spans="1:45" s="85" customFormat="1" ht="15.6">
      <c r="A60" s="1414"/>
      <c r="B60" s="1874"/>
      <c r="C60" s="650">
        <f>'[43]11 - FINANCEIRA'!G434</f>
        <v>5859123.4400000004</v>
      </c>
      <c r="D60" s="88" t="s">
        <v>268</v>
      </c>
      <c r="E60" s="239">
        <v>0</v>
      </c>
      <c r="F60" s="239">
        <v>0</v>
      </c>
      <c r="G60" s="239">
        <v>0</v>
      </c>
      <c r="H60" s="239">
        <v>0</v>
      </c>
      <c r="I60" s="239">
        <v>0</v>
      </c>
      <c r="J60" s="239">
        <v>0</v>
      </c>
      <c r="K60" s="239">
        <v>0</v>
      </c>
      <c r="L60" s="239">
        <v>0</v>
      </c>
      <c r="M60" s="239">
        <v>0</v>
      </c>
      <c r="N60" s="239">
        <v>0</v>
      </c>
      <c r="O60" s="239">
        <v>252215.95</v>
      </c>
      <c r="P60" s="239">
        <v>14645.140000000014</v>
      </c>
      <c r="Q60" s="239">
        <v>14645.139999999985</v>
      </c>
      <c r="R60" s="239">
        <v>42086.149999999994</v>
      </c>
      <c r="S60" s="239">
        <v>0</v>
      </c>
      <c r="T60" s="239">
        <v>138622.21</v>
      </c>
      <c r="U60" s="239">
        <v>261550.57</v>
      </c>
      <c r="V60" s="239">
        <v>113519.90000000001</v>
      </c>
      <c r="W60" s="239">
        <v>311709.13000000006</v>
      </c>
      <c r="X60" s="239">
        <v>1118820.6399999999</v>
      </c>
      <c r="Y60" s="239">
        <v>2443831.2400000002</v>
      </c>
      <c r="Z60" s="239">
        <v>14645.140000000014</v>
      </c>
      <c r="AA60" s="239">
        <v>14645.140000000014</v>
      </c>
      <c r="AB60" s="239">
        <v>372729.03000000026</v>
      </c>
      <c r="AC60" s="239">
        <v>372729.03000000026</v>
      </c>
      <c r="AD60" s="239">
        <v>372729.03000000026</v>
      </c>
      <c r="AE60" s="239">
        <v>0</v>
      </c>
      <c r="AF60" s="239">
        <v>0</v>
      </c>
      <c r="AG60" s="239">
        <v>0</v>
      </c>
      <c r="AH60" s="239">
        <v>0</v>
      </c>
      <c r="AI60" s="239">
        <v>0</v>
      </c>
      <c r="AJ60" s="239">
        <v>0</v>
      </c>
      <c r="AK60" s="239">
        <v>0</v>
      </c>
      <c r="AL60" s="239">
        <v>0</v>
      </c>
      <c r="AM60" s="239">
        <v>0</v>
      </c>
      <c r="AN60" s="239">
        <v>0</v>
      </c>
      <c r="AO60" s="239">
        <v>0</v>
      </c>
      <c r="AP60" s="698"/>
      <c r="AQ60" s="120">
        <f>SUM(E60:AO60)</f>
        <v>5859123.4400000004</v>
      </c>
      <c r="AR60" s="85" t="str">
        <f>IF(C60=AQ60,"Ok","NÃO")</f>
        <v>Ok</v>
      </c>
      <c r="AS60" s="95"/>
    </row>
    <row r="61" spans="1:45" s="85" customFormat="1" ht="5.0999999999999996" customHeight="1">
      <c r="A61" s="1414"/>
      <c r="B61" s="94"/>
      <c r="C61" s="94">
        <v>0</v>
      </c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  <c r="AF61" s="648"/>
      <c r="AG61" s="648"/>
      <c r="AH61" s="648"/>
      <c r="AI61" s="648"/>
      <c r="AJ61" s="648"/>
      <c r="AK61" s="648"/>
      <c r="AL61" s="648"/>
      <c r="AM61" s="648"/>
      <c r="AN61" s="648"/>
      <c r="AO61" s="648"/>
      <c r="AP61" s="698"/>
    </row>
    <row r="62" spans="1:45" s="85" customFormat="1" ht="5.0999999999999996" customHeight="1">
      <c r="A62" s="1414"/>
      <c r="B62" s="94"/>
      <c r="C62" s="94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98"/>
    </row>
    <row r="63" spans="1:45" s="85" customFormat="1" ht="5.0999999999999996" customHeight="1">
      <c r="A63" s="1414"/>
      <c r="B63" s="94"/>
      <c r="C63" s="94"/>
      <c r="D63" s="648"/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98"/>
    </row>
    <row r="64" spans="1:45" s="85" customFormat="1" ht="15.6">
      <c r="A64" s="1414"/>
      <c r="B64" s="1132"/>
      <c r="C64" s="1132" t="s">
        <v>293</v>
      </c>
      <c r="D64" s="1133"/>
      <c r="E64" s="1134"/>
      <c r="F64" s="1134"/>
      <c r="G64" s="1134"/>
      <c r="H64" s="1134"/>
      <c r="I64" s="1134"/>
      <c r="J64" s="1134"/>
      <c r="K64" s="1134"/>
      <c r="L64" s="1134"/>
      <c r="M64" s="1134"/>
      <c r="N64" s="1134"/>
      <c r="O64" s="1134"/>
      <c r="P64" s="1134"/>
      <c r="Q64" s="1134"/>
      <c r="R64" s="1134"/>
      <c r="S64" s="1098"/>
      <c r="T64" s="1098"/>
      <c r="U64" s="1098"/>
      <c r="V64" s="1098"/>
      <c r="W64" s="1098"/>
      <c r="X64" s="1098"/>
      <c r="Y64" s="1098"/>
      <c r="Z64" s="1098"/>
      <c r="AA64" s="1098"/>
      <c r="AB64" s="1098"/>
      <c r="AC64" s="1098"/>
      <c r="AD64" s="1098"/>
      <c r="AE64" s="1098"/>
      <c r="AF64" s="1098"/>
      <c r="AG64" s="1098"/>
      <c r="AH64" s="1098"/>
      <c r="AI64" s="1098"/>
      <c r="AJ64" s="1098"/>
      <c r="AK64" s="1098"/>
      <c r="AL64" s="1098"/>
      <c r="AM64" s="1098"/>
      <c r="AN64" s="1098"/>
      <c r="AO64" s="1098"/>
      <c r="AP64" s="698"/>
    </row>
    <row r="65" spans="1:62" s="85" customFormat="1" ht="15.6" customHeight="1">
      <c r="A65" s="1414"/>
      <c r="B65" s="1884" t="s">
        <v>294</v>
      </c>
      <c r="C65" s="1887" t="s">
        <v>293</v>
      </c>
      <c r="D65" s="88" t="s">
        <v>264</v>
      </c>
      <c r="E65" s="89">
        <f>IF(E67&gt;0,E67/$C68,0)</f>
        <v>1.8501713029862304E-3</v>
      </c>
      <c r="F65" s="89">
        <f t="shared" ref="F65:S65" si="54">IF(F67&gt;0,F67/$C68,0)</f>
        <v>1.9983067655424086E-3</v>
      </c>
      <c r="G65" s="89">
        <f t="shared" si="54"/>
        <v>2.9827322716229678E-4</v>
      </c>
      <c r="H65" s="89">
        <f t="shared" si="54"/>
        <v>2.6658119942684078E-3</v>
      </c>
      <c r="I65" s="89">
        <f t="shared" si="54"/>
        <v>0</v>
      </c>
      <c r="J65" s="89">
        <f t="shared" si="54"/>
        <v>5.4358835145548325E-2</v>
      </c>
      <c r="K65" s="89">
        <f t="shared" si="54"/>
        <v>1.0371813021239788E-2</v>
      </c>
      <c r="L65" s="89">
        <f t="shared" si="54"/>
        <v>6.0855787695715327E-3</v>
      </c>
      <c r="M65" s="89">
        <f t="shared" si="54"/>
        <v>5.8208858611780382E-3</v>
      </c>
      <c r="N65" s="89">
        <f t="shared" si="54"/>
        <v>0</v>
      </c>
      <c r="O65" s="89">
        <f t="shared" si="54"/>
        <v>8.8195206264502723E-2</v>
      </c>
      <c r="P65" s="89">
        <f t="shared" si="54"/>
        <v>7.5331105490521216E-2</v>
      </c>
      <c r="Q65" s="89">
        <f t="shared" si="54"/>
        <v>2.4721875459954913E-3</v>
      </c>
      <c r="R65" s="89">
        <f>IF(R67&gt;0,R67/$C68,0)</f>
        <v>1.522674120149821E-3</v>
      </c>
      <c r="S65" s="89">
        <f t="shared" si="54"/>
        <v>3.72933595877294E-4</v>
      </c>
      <c r="T65" s="89">
        <f>IF(T67&gt;0,T67/$C68,0)</f>
        <v>3.7902191798467812E-3</v>
      </c>
      <c r="U65" s="89">
        <f>IF(U67&gt;0,U67/$C68,0)</f>
        <v>7.4065986821117476E-3</v>
      </c>
      <c r="V65" s="89">
        <f>IF(V67&gt;0,V67/$C68,0)</f>
        <v>3.1607464586343587E-3</v>
      </c>
      <c r="W65" s="89">
        <f>IF(W67&gt;0,W67/$C68,0)</f>
        <v>8.5421529477382879E-3</v>
      </c>
      <c r="X65" s="89">
        <f>IF(X67&gt;0,X67/$C68,0)</f>
        <v>2.7307279936170561E-2</v>
      </c>
      <c r="Y65" s="89">
        <f t="shared" ref="Y65:AM65" si="55">IF(Y67&gt;0,Y67/$C68,0)</f>
        <v>5.8804967757028558E-2</v>
      </c>
      <c r="Z65" s="89">
        <f t="shared" si="55"/>
        <v>1.1280882287550409E-3</v>
      </c>
      <c r="AA65" s="89">
        <f t="shared" si="55"/>
        <v>1.4188528829717354E-3</v>
      </c>
      <c r="AB65" s="89">
        <f t="shared" si="55"/>
        <v>0</v>
      </c>
      <c r="AC65" s="89">
        <f t="shared" si="55"/>
        <v>0.14216306630562064</v>
      </c>
      <c r="AD65" s="89">
        <f t="shared" si="55"/>
        <v>1.0426818378186363E-2</v>
      </c>
      <c r="AE65" s="89">
        <f t="shared" si="55"/>
        <v>1.3482745435701526E-3</v>
      </c>
      <c r="AF65" s="89">
        <f t="shared" si="55"/>
        <v>3.5938198740522384E-2</v>
      </c>
      <c r="AG65" s="89">
        <f t="shared" si="55"/>
        <v>0.22487042839735075</v>
      </c>
      <c r="AH65" s="89">
        <f t="shared" si="55"/>
        <v>4.6602702009715408E-3</v>
      </c>
      <c r="AI65" s="89">
        <f t="shared" si="55"/>
        <v>7.154677922970433E-2</v>
      </c>
      <c r="AJ65" s="89">
        <f t="shared" si="55"/>
        <v>2.6824657275589667E-2</v>
      </c>
      <c r="AK65" s="89">
        <f t="shared" si="55"/>
        <v>1.3736002592263055E-2</v>
      </c>
      <c r="AL65" s="89">
        <f t="shared" si="55"/>
        <v>4.8635716061023572E-3</v>
      </c>
      <c r="AM65" s="89">
        <f t="shared" si="55"/>
        <v>4.7136802161726315E-3</v>
      </c>
      <c r="AN65" s="89">
        <f>IF(AN67&gt;0,AN67/$C68,0)</f>
        <v>1.9007505185592512E-3</v>
      </c>
      <c r="AO65" s="89">
        <f>IF(AO67&gt;0,AO67/$C68,0)</f>
        <v>6.5351253311384091E-4</v>
      </c>
      <c r="AP65" s="698"/>
      <c r="AQ65" s="91">
        <f>SUM(E65:AO65)</f>
        <v>0.90654869971552754</v>
      </c>
      <c r="AU65" s="85">
        <v>2</v>
      </c>
      <c r="BD65" s="1882" t="s">
        <v>295</v>
      </c>
      <c r="BE65" s="1882"/>
      <c r="BF65" s="1882"/>
      <c r="BG65" s="1882"/>
      <c r="BH65" s="1882"/>
      <c r="BI65" s="1882"/>
    </row>
    <row r="66" spans="1:62" s="85" customFormat="1" ht="15.6">
      <c r="A66" s="1414"/>
      <c r="B66" s="1885"/>
      <c r="C66" s="1888"/>
      <c r="D66" s="88" t="s">
        <v>265</v>
      </c>
      <c r="E66" s="90">
        <f>IF(E68&gt;0,E68/$C68,0)</f>
        <v>1.8501713029862304E-3</v>
      </c>
      <c r="F66" s="90">
        <f t="shared" ref="F66:S66" si="56">IF(F68&gt;0,F68/$C68,0)</f>
        <v>1.9983067655424086E-3</v>
      </c>
      <c r="G66" s="90">
        <f t="shared" si="56"/>
        <v>2.9827322716229678E-4</v>
      </c>
      <c r="H66" s="90">
        <f t="shared" si="56"/>
        <v>2.6658119942684078E-3</v>
      </c>
      <c r="I66" s="90">
        <f t="shared" si="56"/>
        <v>0</v>
      </c>
      <c r="J66" s="90">
        <f t="shared" si="56"/>
        <v>5.4358835145548325E-2</v>
      </c>
      <c r="K66" s="90">
        <f t="shared" si="56"/>
        <v>1.0371813021239788E-2</v>
      </c>
      <c r="L66" s="90">
        <f t="shared" si="56"/>
        <v>6.0855787695715327E-3</v>
      </c>
      <c r="M66" s="90">
        <f t="shared" si="56"/>
        <v>5.8208858611780382E-3</v>
      </c>
      <c r="N66" s="90">
        <f t="shared" si="56"/>
        <v>0</v>
      </c>
      <c r="O66" s="90">
        <f t="shared" si="56"/>
        <v>8.8195206264502723E-2</v>
      </c>
      <c r="P66" s="90">
        <f t="shared" si="56"/>
        <v>7.5331105490521216E-2</v>
      </c>
      <c r="Q66" s="90">
        <f t="shared" si="56"/>
        <v>2.4721875459954913E-3</v>
      </c>
      <c r="R66" s="90">
        <f>IF(R68&gt;0,R68/$C68,0)</f>
        <v>1.522674120149821E-3</v>
      </c>
      <c r="S66" s="90">
        <f t="shared" si="56"/>
        <v>3.72933595877294E-4</v>
      </c>
      <c r="T66" s="90">
        <f>IF(T68&gt;0,T68/$C68,0)</f>
        <v>3.7902191798467812E-3</v>
      </c>
      <c r="U66" s="90">
        <f>IF(U68&gt;0,U68/$C68,0)</f>
        <v>7.4065986821117476E-3</v>
      </c>
      <c r="V66" s="90">
        <f>IF(V68&gt;0,V68/$C68,0)</f>
        <v>3.1607464586343587E-3</v>
      </c>
      <c r="W66" s="90">
        <f>IF(W68&gt;0,W68/$C68,0)</f>
        <v>8.5421529477382879E-3</v>
      </c>
      <c r="X66" s="90">
        <f>IF(X68&gt;0,X68/$C68,0)</f>
        <v>2.7307279936170561E-2</v>
      </c>
      <c r="Y66" s="90">
        <f t="shared" ref="Y66:AM66" si="57">IF(Y68&gt;0,Y68/$C68,0)</f>
        <v>5.8804967757028558E-2</v>
      </c>
      <c r="Z66" s="90">
        <f t="shared" si="57"/>
        <v>1.1280882287550409E-3</v>
      </c>
      <c r="AA66" s="90">
        <f t="shared" si="57"/>
        <v>1.4188528829717354E-3</v>
      </c>
      <c r="AB66" s="90">
        <f t="shared" si="57"/>
        <v>9.6175884467912601E-3</v>
      </c>
      <c r="AC66" s="90">
        <f t="shared" si="57"/>
        <v>1.9162297065812038E-2</v>
      </c>
      <c r="AD66" s="90">
        <f t="shared" si="57"/>
        <v>2.189456498479489E-2</v>
      </c>
      <c r="AE66" s="90">
        <f t="shared" si="57"/>
        <v>0.20861033230035395</v>
      </c>
      <c r="AF66" s="90">
        <f t="shared" si="57"/>
        <v>0.26323359916368344</v>
      </c>
      <c r="AG66" s="90">
        <f t="shared" si="57"/>
        <v>9.809154889874494E-2</v>
      </c>
      <c r="AH66" s="90">
        <f t="shared" si="57"/>
        <v>8.8854455910352577E-3</v>
      </c>
      <c r="AI66" s="90">
        <f t="shared" si="57"/>
        <v>1.2669890618306229E-3</v>
      </c>
      <c r="AJ66" s="90">
        <f t="shared" si="57"/>
        <v>1.2669890618306229E-3</v>
      </c>
      <c r="AK66" s="90">
        <f t="shared" si="57"/>
        <v>1.2669890618306229E-3</v>
      </c>
      <c r="AL66" s="90">
        <f t="shared" si="57"/>
        <v>1.2669890618306229E-3</v>
      </c>
      <c r="AM66" s="90">
        <f t="shared" si="57"/>
        <v>1.2669890618306229E-3</v>
      </c>
      <c r="AN66" s="90">
        <f>IF(AN68&gt;0,AN68/$C68,0)</f>
        <v>1.2669890618306229E-3</v>
      </c>
      <c r="AO66" s="90">
        <f>IF(AO68&gt;0,AO68/$C68,0)</f>
        <v>0</v>
      </c>
      <c r="AP66" s="698"/>
      <c r="AQ66" s="240">
        <f>SUM(E66:AO66)</f>
        <v>1.0000000000000002</v>
      </c>
      <c r="BD66" s="1882"/>
      <c r="BE66" s="1882"/>
      <c r="BF66" s="1882"/>
      <c r="BG66" s="1882"/>
      <c r="BH66" s="1882"/>
      <c r="BI66" s="1882"/>
    </row>
    <row r="67" spans="1:62" s="85" customFormat="1" ht="15.6">
      <c r="A67" s="1414"/>
      <c r="B67" s="1885"/>
      <c r="C67" s="86" t="s">
        <v>266</v>
      </c>
      <c r="D67" s="88" t="s">
        <v>267</v>
      </c>
      <c r="E67" s="92">
        <f t="shared" ref="E67:N67" si="58">E53+E22+E37+E16+E11+E27+E32+E42+E47</f>
        <v>77423.81</v>
      </c>
      <c r="F67" s="92">
        <f t="shared" si="58"/>
        <v>83622.81</v>
      </c>
      <c r="G67" s="92">
        <f t="shared" si="58"/>
        <v>12481.79</v>
      </c>
      <c r="H67" s="92">
        <f t="shared" si="58"/>
        <v>111555.79</v>
      </c>
      <c r="I67" s="92">
        <f t="shared" si="58"/>
        <v>0</v>
      </c>
      <c r="J67" s="92">
        <f t="shared" si="58"/>
        <v>2274745.11</v>
      </c>
      <c r="K67" s="92">
        <f t="shared" si="58"/>
        <v>434027.53</v>
      </c>
      <c r="L67" s="92">
        <f t="shared" si="58"/>
        <v>254662.20000000004</v>
      </c>
      <c r="M67" s="92">
        <f t="shared" si="58"/>
        <v>243585.63999999998</v>
      </c>
      <c r="N67" s="92">
        <f t="shared" si="58"/>
        <v>0</v>
      </c>
      <c r="O67" s="92">
        <f t="shared" ref="O67:AM67" si="59">O53+O22+O37+O16+O11+O27+O32+O42+O47+O59</f>
        <v>3690690.0900000003</v>
      </c>
      <c r="P67" s="92">
        <f t="shared" si="59"/>
        <v>3152368.2100000004</v>
      </c>
      <c r="Q67" s="92">
        <f t="shared" si="59"/>
        <v>103453.22000000002</v>
      </c>
      <c r="R67" s="92">
        <f t="shared" si="59"/>
        <v>63719.090000000011</v>
      </c>
      <c r="S67" s="92">
        <f t="shared" si="59"/>
        <v>15606.090000000007</v>
      </c>
      <c r="T67" s="92">
        <f t="shared" si="59"/>
        <v>158608.66999999998</v>
      </c>
      <c r="U67" s="92">
        <f t="shared" si="59"/>
        <v>309942.7</v>
      </c>
      <c r="V67" s="92">
        <f t="shared" si="59"/>
        <v>132267.23000000001</v>
      </c>
      <c r="W67" s="92">
        <f t="shared" si="59"/>
        <v>357462.05000000005</v>
      </c>
      <c r="X67" s="92">
        <f t="shared" si="59"/>
        <v>1142723.19</v>
      </c>
      <c r="Y67" s="92">
        <f t="shared" si="59"/>
        <v>2460801.6800000002</v>
      </c>
      <c r="Z67" s="92">
        <f t="shared" si="59"/>
        <v>47206.920000000042</v>
      </c>
      <c r="AA67" s="92">
        <f t="shared" si="59"/>
        <v>59374.499999999964</v>
      </c>
      <c r="AB67" s="92">
        <f t="shared" si="59"/>
        <v>0</v>
      </c>
      <c r="AC67" s="92">
        <f t="shared" si="59"/>
        <v>5949074.1299999999</v>
      </c>
      <c r="AD67" s="92">
        <f t="shared" si="59"/>
        <v>436329.33000000007</v>
      </c>
      <c r="AE67" s="92">
        <f t="shared" si="59"/>
        <v>56421.020000000026</v>
      </c>
      <c r="AF67" s="92">
        <f t="shared" si="59"/>
        <v>1503899.81</v>
      </c>
      <c r="AG67" s="92">
        <f t="shared" si="59"/>
        <v>9410115.3200000003</v>
      </c>
      <c r="AH67" s="92">
        <f t="shared" si="59"/>
        <v>195017.55000000002</v>
      </c>
      <c r="AI67" s="92">
        <f t="shared" si="59"/>
        <v>2994006.14</v>
      </c>
      <c r="AJ67" s="92">
        <f t="shared" si="59"/>
        <v>1122526.96</v>
      </c>
      <c r="AK67" s="92">
        <f t="shared" si="59"/>
        <v>574808.20999999973</v>
      </c>
      <c r="AL67" s="92">
        <f t="shared" si="59"/>
        <v>203525.07</v>
      </c>
      <c r="AM67" s="92">
        <f t="shared" si="59"/>
        <v>197252.59000000003</v>
      </c>
      <c r="AN67" s="92">
        <f>AN53+AN22+AN37+AN16+AN11+AN27+AN32+AN42+AN47+AN59</f>
        <v>79540.39</v>
      </c>
      <c r="AO67" s="92">
        <f>AO53+AO22+AO37+AO16+AO11+AO27+AO32+AO42+AO47+AO59</f>
        <v>27347.43</v>
      </c>
      <c r="AP67" s="698"/>
      <c r="AQ67" s="120">
        <f>SUM(E67:AO67)</f>
        <v>37936192.270000003</v>
      </c>
      <c r="AS67" s="1155"/>
      <c r="BD67" s="1882"/>
      <c r="BE67" s="1882"/>
      <c r="BF67" s="1882"/>
      <c r="BG67" s="1882"/>
      <c r="BH67" s="1882"/>
      <c r="BI67" s="1882"/>
    </row>
    <row r="68" spans="1:62" s="85" customFormat="1" ht="15.6">
      <c r="A68" s="1414"/>
      <c r="B68" s="1886"/>
      <c r="C68" s="649">
        <f>C12+C17+C23+C28+C33+C38+C43+C48+C54+C60</f>
        <v>41846833.249999993</v>
      </c>
      <c r="D68" s="88" t="s">
        <v>268</v>
      </c>
      <c r="E68" s="93">
        <f t="shared" ref="E68:AO68" si="60">E54+E23+E38+E17+E12+E48+E43+E33+E28+E60</f>
        <v>77423.81</v>
      </c>
      <c r="F68" s="93">
        <f t="shared" si="60"/>
        <v>83622.81</v>
      </c>
      <c r="G68" s="93">
        <f t="shared" si="60"/>
        <v>12481.79</v>
      </c>
      <c r="H68" s="93">
        <f t="shared" si="60"/>
        <v>111555.79</v>
      </c>
      <c r="I68" s="93">
        <f t="shared" si="60"/>
        <v>0</v>
      </c>
      <c r="J68" s="93">
        <f t="shared" si="60"/>
        <v>2274745.11</v>
      </c>
      <c r="K68" s="93">
        <f t="shared" si="60"/>
        <v>434027.53</v>
      </c>
      <c r="L68" s="93">
        <f t="shared" si="60"/>
        <v>254662.20000000004</v>
      </c>
      <c r="M68" s="93">
        <f t="shared" si="60"/>
        <v>243585.63999999998</v>
      </c>
      <c r="N68" s="93">
        <f t="shared" si="60"/>
        <v>0</v>
      </c>
      <c r="O68" s="93">
        <f t="shared" si="60"/>
        <v>3690690.0900000003</v>
      </c>
      <c r="P68" s="93">
        <f t="shared" si="60"/>
        <v>3152368.21</v>
      </c>
      <c r="Q68" s="93">
        <f t="shared" si="60"/>
        <v>103453.22000000002</v>
      </c>
      <c r="R68" s="93">
        <f t="shared" si="60"/>
        <v>63719.090000000011</v>
      </c>
      <c r="S68" s="93">
        <f t="shared" si="60"/>
        <v>15606.090000000007</v>
      </c>
      <c r="T68" s="93">
        <f t="shared" si="60"/>
        <v>158608.66999999998</v>
      </c>
      <c r="U68" s="93">
        <f t="shared" si="60"/>
        <v>309942.7</v>
      </c>
      <c r="V68" s="93">
        <f t="shared" si="60"/>
        <v>132267.23000000001</v>
      </c>
      <c r="W68" s="93">
        <f t="shared" si="60"/>
        <v>357462.05000000005</v>
      </c>
      <c r="X68" s="93">
        <f t="shared" si="60"/>
        <v>1142723.19</v>
      </c>
      <c r="Y68" s="93">
        <f t="shared" si="60"/>
        <v>2460801.6800000002</v>
      </c>
      <c r="Z68" s="93">
        <f t="shared" si="60"/>
        <v>47206.920000000042</v>
      </c>
      <c r="AA68" s="93">
        <f t="shared" si="60"/>
        <v>59374.499999999964</v>
      </c>
      <c r="AB68" s="93">
        <f t="shared" si="60"/>
        <v>402465.62000000029</v>
      </c>
      <c r="AC68" s="93">
        <f t="shared" si="60"/>
        <v>801881.45000000054</v>
      </c>
      <c r="AD68" s="93">
        <f t="shared" si="60"/>
        <v>916218.21000000043</v>
      </c>
      <c r="AE68" s="93">
        <f t="shared" si="60"/>
        <v>8729681.7899999991</v>
      </c>
      <c r="AF68" s="93">
        <f t="shared" si="60"/>
        <v>11015492.529999999</v>
      </c>
      <c r="AG68" s="93">
        <f t="shared" si="60"/>
        <v>4104820.69</v>
      </c>
      <c r="AH68" s="93">
        <f t="shared" si="60"/>
        <v>371827.76000000007</v>
      </c>
      <c r="AI68" s="93">
        <f t="shared" si="60"/>
        <v>53019.48</v>
      </c>
      <c r="AJ68" s="93">
        <f t="shared" si="60"/>
        <v>53019.48</v>
      </c>
      <c r="AK68" s="93">
        <f t="shared" si="60"/>
        <v>53019.48</v>
      </c>
      <c r="AL68" s="93">
        <f t="shared" si="60"/>
        <v>53019.48</v>
      </c>
      <c r="AM68" s="93">
        <f t="shared" si="60"/>
        <v>53019.48</v>
      </c>
      <c r="AN68" s="93">
        <f t="shared" ref="AN68" si="61">AN54+AN23+AN38+AN17+AN12+AN48+AN43+AN33+AN28+AN60</f>
        <v>53019.48</v>
      </c>
      <c r="AO68" s="93">
        <f t="shared" si="60"/>
        <v>0</v>
      </c>
      <c r="AP68" s="698"/>
      <c r="AQ68" s="120">
        <f>SUM(E68:AO68)</f>
        <v>41846833.249999978</v>
      </c>
      <c r="AR68" s="85" t="str">
        <f>IF(C68=AQ68,"Ok","NÃO")</f>
        <v>Ok</v>
      </c>
      <c r="BC68" s="1883" t="s">
        <v>296</v>
      </c>
      <c r="BD68" s="1883"/>
      <c r="BE68" s="1883"/>
      <c r="BF68" s="1883"/>
      <c r="BG68" s="1883"/>
      <c r="BH68" s="1883"/>
      <c r="BI68" s="1883"/>
      <c r="BJ68" s="1883"/>
    </row>
    <row r="69" spans="1:62" s="85" customFormat="1" ht="7.5" customHeight="1">
      <c r="A69" s="700"/>
      <c r="B69" s="651"/>
      <c r="C69" s="652"/>
      <c r="D69" s="652"/>
      <c r="E69" s="653"/>
      <c r="F69" s="653"/>
      <c r="G69" s="653"/>
      <c r="H69" s="653"/>
      <c r="I69" s="653"/>
      <c r="J69" s="653"/>
      <c r="K69" s="653"/>
      <c r="L69" s="653"/>
      <c r="M69" s="653"/>
      <c r="N69" s="653"/>
      <c r="O69" s="653"/>
      <c r="P69" s="653"/>
      <c r="Q69" s="653"/>
      <c r="R69" s="653"/>
      <c r="S69" s="653"/>
      <c r="T69" s="653"/>
      <c r="U69" s="653"/>
      <c r="V69" s="653"/>
      <c r="W69" s="653"/>
      <c r="X69" s="653"/>
      <c r="Y69" s="653"/>
      <c r="Z69" s="653"/>
      <c r="AA69" s="653"/>
      <c r="AB69" s="653"/>
      <c r="AC69" s="653"/>
      <c r="AD69" s="653"/>
      <c r="AE69" s="653"/>
      <c r="AF69" s="653"/>
      <c r="AG69" s="653"/>
      <c r="AH69" s="653"/>
      <c r="AI69" s="653"/>
      <c r="AJ69" s="653"/>
      <c r="AK69" s="653"/>
      <c r="AL69" s="653"/>
      <c r="AM69" s="653"/>
      <c r="AN69" s="653"/>
      <c r="AO69" s="653"/>
      <c r="AP69" s="701"/>
      <c r="AQ69" s="96">
        <f>SUM(E69:AO69)</f>
        <v>0</v>
      </c>
      <c r="BC69" s="1883"/>
      <c r="BD69" s="1883"/>
      <c r="BE69" s="1883"/>
      <c r="BF69" s="1883"/>
      <c r="BG69" s="1883"/>
      <c r="BH69" s="1883"/>
      <c r="BI69" s="1883"/>
      <c r="BJ69" s="1883"/>
    </row>
    <row r="70" spans="1:62" ht="7.5" customHeight="1">
      <c r="BC70" s="1883"/>
      <c r="BD70" s="1883"/>
      <c r="BE70" s="1883"/>
      <c r="BF70" s="1883"/>
      <c r="BG70" s="1883"/>
      <c r="BH70" s="1883"/>
      <c r="BI70" s="1883"/>
      <c r="BJ70" s="1883"/>
    </row>
    <row r="71" spans="1:62" ht="15.6">
      <c r="D71" s="227" t="s">
        <v>297</v>
      </c>
      <c r="E71" s="228"/>
      <c r="F71" s="228"/>
    </row>
    <row r="72" spans="1:62">
      <c r="D72" s="98"/>
      <c r="E72" s="814" t="s">
        <v>298</v>
      </c>
      <c r="F72" s="814" t="s">
        <v>299</v>
      </c>
      <c r="G72" s="814" t="s">
        <v>300</v>
      </c>
      <c r="H72" s="814" t="s">
        <v>301</v>
      </c>
      <c r="I72" s="814" t="s">
        <v>302</v>
      </c>
      <c r="J72" s="814" t="s">
        <v>303</v>
      </c>
      <c r="K72" s="814" t="s">
        <v>304</v>
      </c>
      <c r="L72" s="814" t="s">
        <v>305</v>
      </c>
      <c r="M72" s="814" t="s">
        <v>56</v>
      </c>
      <c r="N72" s="814" t="s">
        <v>306</v>
      </c>
      <c r="O72" s="814" t="s">
        <v>307</v>
      </c>
      <c r="P72" s="814" t="s">
        <v>308</v>
      </c>
      <c r="Q72" s="814" t="s">
        <v>309</v>
      </c>
      <c r="R72" s="814" t="s">
        <v>310</v>
      </c>
      <c r="S72" s="814" t="s">
        <v>311</v>
      </c>
      <c r="T72" s="814" t="s">
        <v>312</v>
      </c>
      <c r="U72" s="814" t="s">
        <v>313</v>
      </c>
      <c r="V72" s="814" t="s">
        <v>314</v>
      </c>
      <c r="W72" s="814" t="s">
        <v>315</v>
      </c>
      <c r="X72" s="814" t="s">
        <v>316</v>
      </c>
      <c r="Y72" s="814" t="s">
        <v>317</v>
      </c>
      <c r="Z72" s="814" t="s">
        <v>318</v>
      </c>
      <c r="AA72" s="814" t="s">
        <v>319</v>
      </c>
      <c r="AB72" s="814" t="s">
        <v>320</v>
      </c>
      <c r="AC72" s="814" t="s">
        <v>321</v>
      </c>
      <c r="AD72" s="814" t="s">
        <v>322</v>
      </c>
      <c r="AE72" s="814" t="s">
        <v>323</v>
      </c>
      <c r="AF72" s="814" t="s">
        <v>324</v>
      </c>
      <c r="AG72" s="814" t="s">
        <v>325</v>
      </c>
      <c r="AH72" s="814" t="s">
        <v>326</v>
      </c>
      <c r="AI72" s="814" t="s">
        <v>327</v>
      </c>
      <c r="AJ72" s="814" t="s">
        <v>328</v>
      </c>
      <c r="AK72" s="814" t="s">
        <v>329</v>
      </c>
      <c r="AL72" s="814" t="s">
        <v>54</v>
      </c>
      <c r="AM72" s="814" t="s">
        <v>330</v>
      </c>
      <c r="AN72" s="814" t="s">
        <v>331</v>
      </c>
      <c r="AO72" s="814" t="s">
        <v>332</v>
      </c>
    </row>
    <row r="73" spans="1:62" ht="15.6">
      <c r="C73" s="119" t="str">
        <f>C9</f>
        <v>IMPLANTAÇÃO DO CANTEIRO DE OBRAS</v>
      </c>
      <c r="D73" s="98" t="s">
        <v>262</v>
      </c>
      <c r="E73" s="999">
        <v>70702.55</v>
      </c>
      <c r="F73" s="999"/>
      <c r="G73" s="999"/>
      <c r="H73" s="999"/>
      <c r="I73" s="99"/>
      <c r="J73" s="999"/>
      <c r="K73" s="99"/>
      <c r="L73" s="999"/>
      <c r="M73" s="999"/>
      <c r="N73" s="999"/>
      <c r="O73" s="99"/>
      <c r="P73" s="999"/>
      <c r="Q73" s="999"/>
      <c r="R73" s="99">
        <v>2537.13</v>
      </c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Q73" s="120">
        <f t="shared" ref="AQ73:AQ81" si="62">SUM(E73:AO73)</f>
        <v>73239.680000000008</v>
      </c>
      <c r="AS73" s="84">
        <f>VLOOKUP(D73,'11 - FINANCEIRA'!A:M,11,FALSE)</f>
        <v>0</v>
      </c>
    </row>
    <row r="74" spans="1:62" ht="15.6">
      <c r="C74" s="119" t="str">
        <f>C14</f>
        <v>CANTEIRO DE OBRAS</v>
      </c>
      <c r="D74" s="98" t="s">
        <v>269</v>
      </c>
      <c r="E74" s="999">
        <v>6721.26</v>
      </c>
      <c r="F74" s="999">
        <v>4015.31</v>
      </c>
      <c r="G74" s="999">
        <v>4015.31</v>
      </c>
      <c r="H74" s="99">
        <v>4015.3100000000004</v>
      </c>
      <c r="I74" s="99"/>
      <c r="J74" s="99">
        <v>9367.7000000000007</v>
      </c>
      <c r="K74" s="99">
        <v>2677.4700000000012</v>
      </c>
      <c r="L74" s="99">
        <v>4015.31</v>
      </c>
      <c r="M74" s="99">
        <v>4015.3100000000013</v>
      </c>
      <c r="N74" s="99"/>
      <c r="O74" s="99">
        <v>8030.62</v>
      </c>
      <c r="P74" s="99">
        <v>4015.3099999999977</v>
      </c>
      <c r="Q74" s="99">
        <v>4015.3100000000031</v>
      </c>
      <c r="R74" s="99">
        <v>4015.3100000000031</v>
      </c>
      <c r="S74" s="99">
        <v>4016.0699999999997</v>
      </c>
      <c r="T74" s="99"/>
      <c r="U74" s="99"/>
      <c r="V74" s="99">
        <v>12045.93</v>
      </c>
      <c r="W74" s="99">
        <v>4015.3100000000031</v>
      </c>
      <c r="X74" s="99">
        <v>4015.3100000000031</v>
      </c>
      <c r="Y74" s="99">
        <v>4015.3100000000031</v>
      </c>
      <c r="Z74" s="99">
        <v>4015.3099999999922</v>
      </c>
      <c r="AA74" s="99">
        <v>4015.3100000000031</v>
      </c>
      <c r="AB74" s="99"/>
      <c r="AC74" s="99">
        <v>9324.4299999999985</v>
      </c>
      <c r="AD74" s="99">
        <v>2721.5000000000036</v>
      </c>
      <c r="AE74" s="99">
        <v>4015.3100000000031</v>
      </c>
      <c r="AF74" s="99">
        <v>4015.3100000000031</v>
      </c>
      <c r="AG74" s="99">
        <v>4015.3099999999922</v>
      </c>
      <c r="AH74" s="99">
        <v>4015.3099999999922</v>
      </c>
      <c r="AI74" s="99">
        <v>4015.3099999999922</v>
      </c>
      <c r="AJ74" s="99">
        <v>4015.309999999994</v>
      </c>
      <c r="AK74" s="99">
        <v>3141.1600000000035</v>
      </c>
      <c r="AL74" s="99">
        <v>3141.1599999999962</v>
      </c>
      <c r="AM74" s="99">
        <v>3141.1599999999962</v>
      </c>
      <c r="AN74" s="99"/>
      <c r="AO74" s="99"/>
      <c r="AQ74" s="120">
        <f t="shared" si="62"/>
        <v>140619.34999999998</v>
      </c>
    </row>
    <row r="75" spans="1:62" ht="15.6">
      <c r="C75" s="119" t="str">
        <f>C20</f>
        <v>SERVIÇOS DIVERSOS</v>
      </c>
      <c r="D75" s="98" t="s">
        <v>273</v>
      </c>
      <c r="E75" s="999"/>
      <c r="F75" s="999">
        <v>2318.7600000000002</v>
      </c>
      <c r="G75" s="999">
        <v>3661.2</v>
      </c>
      <c r="H75" s="99">
        <v>2290.6400000000003</v>
      </c>
      <c r="I75" s="99"/>
      <c r="J75" s="99">
        <v>436.80000000000007</v>
      </c>
      <c r="K75" s="99">
        <v>124.79999999999995</v>
      </c>
      <c r="L75" s="99">
        <v>187.20000000000005</v>
      </c>
      <c r="M75" s="99">
        <v>187.20000000000005</v>
      </c>
      <c r="N75" s="99"/>
      <c r="O75" s="99">
        <v>374.39999999999986</v>
      </c>
      <c r="P75" s="99">
        <v>187.20000000000005</v>
      </c>
      <c r="Q75" s="99">
        <v>187.19999999999982</v>
      </c>
      <c r="R75" s="99">
        <v>187.19999999999982</v>
      </c>
      <c r="S75" s="99">
        <v>187.19999999999982</v>
      </c>
      <c r="T75" s="99">
        <v>187.19999999999982</v>
      </c>
      <c r="U75" s="99">
        <v>187.19999999999982</v>
      </c>
      <c r="V75" s="99">
        <v>187.19999999999982</v>
      </c>
      <c r="W75" s="99">
        <v>187.19999999999982</v>
      </c>
      <c r="X75" s="99">
        <v>187.19999999999982</v>
      </c>
      <c r="Y75" s="99">
        <v>187.19999999999982</v>
      </c>
      <c r="Z75" s="99">
        <v>162.24000000000024</v>
      </c>
      <c r="AA75" s="99">
        <v>193.4399999999996</v>
      </c>
      <c r="AB75" s="99"/>
      <c r="AC75" s="99">
        <v>443.03999999999996</v>
      </c>
      <c r="AD75" s="99">
        <v>131.03999999999996</v>
      </c>
      <c r="AE75" s="99">
        <v>187.20000000000073</v>
      </c>
      <c r="AF75" s="99">
        <v>561.59999999999945</v>
      </c>
      <c r="AG75" s="99">
        <v>561.60000000000036</v>
      </c>
      <c r="AH75" s="99">
        <v>561.59999999999945</v>
      </c>
      <c r="AI75" s="99">
        <v>74.880000000000109</v>
      </c>
      <c r="AJ75" s="99"/>
      <c r="AK75" s="99"/>
      <c r="AL75" s="99"/>
      <c r="AM75" s="99">
        <v>1202.25</v>
      </c>
      <c r="AN75" s="99"/>
      <c r="AO75" s="99"/>
      <c r="AQ75" s="120">
        <f t="shared" si="62"/>
        <v>15531.89000000001</v>
      </c>
    </row>
    <row r="76" spans="1:62" ht="15.6">
      <c r="C76" s="119" t="str">
        <f>C25</f>
        <v>ESTRUTURA</v>
      </c>
      <c r="D76" s="98" t="s">
        <v>275</v>
      </c>
      <c r="E76" s="999"/>
      <c r="F76" s="999">
        <v>77288.740000000005</v>
      </c>
      <c r="G76" s="1000">
        <v>4805.28</v>
      </c>
      <c r="H76" s="233">
        <v>105249.84</v>
      </c>
      <c r="I76" s="99"/>
      <c r="J76" s="99">
        <v>194978.15000000002</v>
      </c>
      <c r="K76" s="233">
        <v>431225.26</v>
      </c>
      <c r="L76" s="233">
        <v>250459.69000000003</v>
      </c>
      <c r="M76" s="233">
        <v>239383.12999999998</v>
      </c>
      <c r="N76" s="233"/>
      <c r="O76" s="233">
        <v>325125.42</v>
      </c>
      <c r="P76" s="99">
        <v>28576.86</v>
      </c>
      <c r="Q76" s="99">
        <v>84605.570000000022</v>
      </c>
      <c r="R76" s="99">
        <v>14893.30000000001</v>
      </c>
      <c r="S76" s="99">
        <v>11402.820000000007</v>
      </c>
      <c r="T76" s="99">
        <v>19799.259999999995</v>
      </c>
      <c r="U76" s="99">
        <v>48204.93</v>
      </c>
      <c r="V76" s="99">
        <v>6514.2000000000044</v>
      </c>
      <c r="W76" s="99">
        <v>41550.409999999996</v>
      </c>
      <c r="X76" s="99">
        <v>19700.039999999964</v>
      </c>
      <c r="Y76" s="99">
        <v>12767.930000000022</v>
      </c>
      <c r="Z76" s="99">
        <v>28384.230000000036</v>
      </c>
      <c r="AA76" s="99">
        <v>40520.60999999995</v>
      </c>
      <c r="AB76" s="99"/>
      <c r="AC76" s="99">
        <v>94750.39999999998</v>
      </c>
      <c r="AD76" s="99">
        <v>10004.490000000005</v>
      </c>
      <c r="AE76" s="99">
        <v>10181.900000000005</v>
      </c>
      <c r="AF76" s="99">
        <v>359811.75000000006</v>
      </c>
      <c r="AG76" s="99">
        <v>18881.149999999976</v>
      </c>
      <c r="AH76" s="99"/>
      <c r="AI76" s="99">
        <v>96940.680000000037</v>
      </c>
      <c r="AJ76" s="99"/>
      <c r="AK76" s="99">
        <v>25681.01</v>
      </c>
      <c r="AL76" s="99"/>
      <c r="AM76" s="99">
        <v>9933.0200000000186</v>
      </c>
      <c r="AN76" s="99"/>
      <c r="AO76" s="99"/>
      <c r="AQ76" s="120">
        <f t="shared" si="62"/>
        <v>2611620.0699999994</v>
      </c>
    </row>
    <row r="77" spans="1:62" ht="15.6">
      <c r="C77" s="119" t="str">
        <f>C30</f>
        <v>ARQUITETURA</v>
      </c>
      <c r="D77" s="98" t="s">
        <v>277</v>
      </c>
      <c r="E77" s="999"/>
      <c r="F77" s="999"/>
      <c r="G77" s="999"/>
      <c r="H77" s="999"/>
      <c r="I77" s="99"/>
      <c r="J77" s="99"/>
      <c r="K77" s="233"/>
      <c r="L77" s="1000"/>
      <c r="M77" s="1000"/>
      <c r="N77" s="9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>
        <v>15859.72</v>
      </c>
      <c r="AK77" s="99">
        <v>17373.37</v>
      </c>
      <c r="AL77" s="99">
        <v>138510.94</v>
      </c>
      <c r="AM77" s="99">
        <v>140001.70000000001</v>
      </c>
      <c r="AN77" s="99">
        <v>13932.840000000002</v>
      </c>
      <c r="AO77" s="99">
        <v>27347.43</v>
      </c>
      <c r="AQ77" s="120">
        <f t="shared" si="62"/>
        <v>353026</v>
      </c>
    </row>
    <row r="78" spans="1:62" ht="15.6">
      <c r="C78" s="119" t="str">
        <f>C35</f>
        <v>FIXAÇÃO E PROTEÇÃO DAS MARGENS</v>
      </c>
      <c r="D78" s="98" t="s">
        <v>279</v>
      </c>
      <c r="E78" s="999"/>
      <c r="F78" s="999"/>
      <c r="G78" s="999"/>
      <c r="H78" s="999"/>
      <c r="I78" s="99"/>
      <c r="J78" s="99"/>
      <c r="K78" s="233"/>
      <c r="L78" s="1000"/>
      <c r="M78" s="1000"/>
      <c r="N78" s="1000"/>
      <c r="O78" s="233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>
        <f>14164.66*2</f>
        <v>28329.32</v>
      </c>
      <c r="AN78" s="99"/>
      <c r="AO78" s="99"/>
      <c r="AQ78" s="1247">
        <f t="shared" si="62"/>
        <v>28329.32</v>
      </c>
      <c r="AR78" s="1246"/>
    </row>
    <row r="79" spans="1:62" ht="15.6">
      <c r="C79" s="119" t="str">
        <f>C40</f>
        <v>ELÉTRICA</v>
      </c>
      <c r="D79" s="98" t="s">
        <v>281</v>
      </c>
      <c r="E79" s="999"/>
      <c r="F79" s="999"/>
      <c r="G79" s="999"/>
      <c r="H79" s="999"/>
      <c r="I79" s="99"/>
      <c r="J79" s="99"/>
      <c r="K79" s="233"/>
      <c r="L79" s="1000"/>
      <c r="M79" s="1000"/>
      <c r="N79" s="1000"/>
      <c r="O79" s="233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>
        <v>22536.34</v>
      </c>
      <c r="AF79" s="99">
        <v>1139511.1499999999</v>
      </c>
      <c r="AG79" s="99">
        <v>3860102.2399999998</v>
      </c>
      <c r="AH79" s="99"/>
      <c r="AI79" s="99">
        <v>209168.77000000005</v>
      </c>
      <c r="AJ79" s="99">
        <v>820539.76</v>
      </c>
      <c r="AK79" s="99">
        <v>411451.54999999981</v>
      </c>
      <c r="AL79" s="99">
        <v>27122.649999999998</v>
      </c>
      <c r="AM79" s="99"/>
      <c r="AN79" s="99">
        <v>65607.55</v>
      </c>
      <c r="AO79" s="99"/>
      <c r="AQ79" s="120">
        <f>SUM(E79:AO79)</f>
        <v>6556040.0099999998</v>
      </c>
    </row>
    <row r="80" spans="1:62" ht="15.6">
      <c r="C80" s="119" t="str">
        <f>C45</f>
        <v>HIDROMECANICO</v>
      </c>
      <c r="D80" s="98" t="s">
        <v>283</v>
      </c>
      <c r="E80" s="999"/>
      <c r="F80" s="999"/>
      <c r="G80" s="999"/>
      <c r="H80" s="999"/>
      <c r="I80" s="99"/>
      <c r="J80" s="99">
        <v>2069962.46</v>
      </c>
      <c r="K80" s="233"/>
      <c r="L80" s="1000"/>
      <c r="M80" s="1000"/>
      <c r="N80" s="999"/>
      <c r="O80" s="99">
        <v>3104943.7</v>
      </c>
      <c r="P80" s="99">
        <v>3104943.7</v>
      </c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>
        <v>4921665.4000000004</v>
      </c>
      <c r="AD80" s="99">
        <v>341717.9</v>
      </c>
      <c r="AE80" s="99"/>
      <c r="AF80" s="99"/>
      <c r="AG80" s="99">
        <v>5519489.5200000005</v>
      </c>
      <c r="AH80" s="99">
        <v>187881.11000000002</v>
      </c>
      <c r="AI80" s="99">
        <v>630975.6</v>
      </c>
      <c r="AJ80" s="99">
        <v>187927.98</v>
      </c>
      <c r="AK80" s="99"/>
      <c r="AL80" s="99">
        <v>20105.18</v>
      </c>
      <c r="AM80" s="99"/>
      <c r="AN80" s="99"/>
      <c r="AO80" s="99"/>
      <c r="AQ80" s="120">
        <f t="shared" si="62"/>
        <v>20089612.550000004</v>
      </c>
    </row>
    <row r="81" spans="3:43" ht="15.6">
      <c r="C81" s="119" t="str">
        <f>C51</f>
        <v>SERVIÇO DE OPERAÇÃO ASSISTIDA</v>
      </c>
      <c r="D81" s="98" t="s">
        <v>287</v>
      </c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233"/>
      <c r="P81" s="233"/>
      <c r="Q81" s="233"/>
      <c r="R81" s="233"/>
      <c r="S81" s="1001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Q81" s="120">
        <f t="shared" si="62"/>
        <v>0</v>
      </c>
    </row>
    <row r="82" spans="3:43" ht="15.6">
      <c r="C82" s="119" t="s">
        <v>333</v>
      </c>
      <c r="D82" s="98" t="s">
        <v>291</v>
      </c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">
        <v>252215.95</v>
      </c>
      <c r="P82" s="99">
        <v>14645.140000000014</v>
      </c>
      <c r="Q82" s="99">
        <v>14645.139999999985</v>
      </c>
      <c r="R82" s="99">
        <v>42086.149999999994</v>
      </c>
      <c r="S82" s="99"/>
      <c r="T82" s="99">
        <v>138622.21</v>
      </c>
      <c r="U82" s="99">
        <v>261550.57</v>
      </c>
      <c r="V82" s="99">
        <v>113519.90000000001</v>
      </c>
      <c r="W82" s="99">
        <v>311709.13000000006</v>
      </c>
      <c r="X82" s="99">
        <v>1118820.6399999999</v>
      </c>
      <c r="Y82" s="99">
        <v>2443831.2400000002</v>
      </c>
      <c r="Z82" s="99">
        <v>14645.140000000014</v>
      </c>
      <c r="AA82" s="99">
        <v>14645.140000000014</v>
      </c>
      <c r="AB82" s="99"/>
      <c r="AC82" s="99">
        <v>922890.85999999975</v>
      </c>
      <c r="AD82" s="99">
        <v>81754.399999999994</v>
      </c>
      <c r="AE82" s="99">
        <v>19500.270000000019</v>
      </c>
      <c r="AF82" s="99"/>
      <c r="AG82" s="99">
        <v>7065.5</v>
      </c>
      <c r="AH82" s="99">
        <v>2559.5299999999988</v>
      </c>
      <c r="AI82" s="99">
        <v>2052830.9000000001</v>
      </c>
      <c r="AJ82" s="99">
        <v>94184.189999999857</v>
      </c>
      <c r="AK82" s="99">
        <v>117161.12</v>
      </c>
      <c r="AL82" s="99">
        <v>14645.140000000014</v>
      </c>
      <c r="AM82" s="99">
        <v>14645.140000000014</v>
      </c>
      <c r="AN82" s="99"/>
      <c r="AO82" s="99"/>
      <c r="AQ82" s="120">
        <f>SUM(E82:AO82)</f>
        <v>8068173.3999999985</v>
      </c>
    </row>
    <row r="83" spans="3:43">
      <c r="C83" s="119"/>
      <c r="D83" s="98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Q83" s="100">
        <f t="shared" ref="AQ83:AQ87" si="63">SUM(E83:S83)</f>
        <v>0</v>
      </c>
    </row>
    <row r="84" spans="3:43">
      <c r="C84" s="119"/>
      <c r="D84" s="98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Q84" s="100">
        <f t="shared" si="63"/>
        <v>0</v>
      </c>
    </row>
    <row r="85" spans="3:43">
      <c r="C85" s="119"/>
      <c r="D85" s="98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Q85" s="100">
        <f t="shared" si="63"/>
        <v>0</v>
      </c>
    </row>
    <row r="86" spans="3:43">
      <c r="C86" s="119"/>
      <c r="D86" s="98"/>
      <c r="E86" s="999"/>
      <c r="F86" s="999"/>
      <c r="G86" s="999"/>
      <c r="H86" s="999"/>
      <c r="I86" s="999"/>
      <c r="J86" s="999"/>
      <c r="K86" s="999"/>
      <c r="L86" s="999"/>
      <c r="M86" s="999"/>
      <c r="N86" s="999"/>
      <c r="O86" s="999"/>
      <c r="P86" s="999"/>
      <c r="Q86" s="999"/>
      <c r="R86" s="999"/>
      <c r="S86" s="9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Q86" s="100">
        <f t="shared" si="63"/>
        <v>0</v>
      </c>
    </row>
    <row r="87" spans="3:43">
      <c r="C87" s="119"/>
      <c r="D87" s="98"/>
      <c r="E87" s="999"/>
      <c r="F87" s="999"/>
      <c r="G87" s="999"/>
      <c r="H87" s="999"/>
      <c r="I87" s="999"/>
      <c r="J87" s="999"/>
      <c r="K87" s="999"/>
      <c r="L87" s="999"/>
      <c r="M87" s="999"/>
      <c r="N87" s="999"/>
      <c r="O87" s="999"/>
      <c r="P87" s="999"/>
      <c r="Q87" s="999"/>
      <c r="R87" s="999"/>
      <c r="S87" s="9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Q87" s="100">
        <f t="shared" si="63"/>
        <v>0</v>
      </c>
    </row>
    <row r="88" spans="3:43" ht="15.6">
      <c r="E88" s="102">
        <f t="shared" ref="E88:J88" si="64">SUM(E73:E87)</f>
        <v>77423.81</v>
      </c>
      <c r="F88" s="102">
        <f t="shared" si="64"/>
        <v>83622.81</v>
      </c>
      <c r="G88" s="102">
        <f t="shared" si="64"/>
        <v>12481.79</v>
      </c>
      <c r="H88" s="102">
        <f t="shared" si="64"/>
        <v>111555.79</v>
      </c>
      <c r="I88" s="102">
        <f t="shared" si="64"/>
        <v>0</v>
      </c>
      <c r="J88" s="102">
        <f t="shared" si="64"/>
        <v>2274745.11</v>
      </c>
      <c r="K88" s="102">
        <f>SUM(K73:K87)</f>
        <v>434027.53</v>
      </c>
      <c r="L88" s="102">
        <f>SUM(L73:L87)</f>
        <v>254662.20000000004</v>
      </c>
      <c r="M88" s="102">
        <f t="shared" ref="M88:T88" si="65">SUM(M73:M87)</f>
        <v>243585.63999999998</v>
      </c>
      <c r="N88" s="102">
        <f t="shared" si="65"/>
        <v>0</v>
      </c>
      <c r="O88" s="102">
        <f t="shared" si="65"/>
        <v>3690690.0900000003</v>
      </c>
      <c r="P88" s="102">
        <f t="shared" si="65"/>
        <v>3152368.2100000004</v>
      </c>
      <c r="Q88" s="102">
        <f t="shared" si="65"/>
        <v>103453.22000000002</v>
      </c>
      <c r="R88" s="102">
        <f t="shared" si="65"/>
        <v>63719.090000000011</v>
      </c>
      <c r="S88" s="102">
        <f t="shared" si="65"/>
        <v>15606.090000000007</v>
      </c>
      <c r="T88" s="102">
        <f t="shared" si="65"/>
        <v>158608.66999999998</v>
      </c>
      <c r="U88" s="102">
        <f>SUM(U73:U87)</f>
        <v>309942.7</v>
      </c>
      <c r="V88" s="102">
        <f>SUM(V73:V87)</f>
        <v>132267.23000000001</v>
      </c>
      <c r="W88" s="102">
        <f>SUM(W73:W87)</f>
        <v>357462.05000000005</v>
      </c>
      <c r="X88" s="102">
        <f t="shared" ref="X88:AC88" si="66">SUM(X73:X87)</f>
        <v>1142723.19</v>
      </c>
      <c r="Y88" s="102">
        <f t="shared" si="66"/>
        <v>2460801.6800000002</v>
      </c>
      <c r="Z88" s="102">
        <f t="shared" si="66"/>
        <v>47206.920000000042</v>
      </c>
      <c r="AA88" s="102">
        <f>SUM(AA73:AA87)</f>
        <v>59374.499999999964</v>
      </c>
      <c r="AB88" s="102">
        <f t="shared" si="66"/>
        <v>0</v>
      </c>
      <c r="AC88" s="102">
        <f t="shared" si="66"/>
        <v>5949074.1299999999</v>
      </c>
      <c r="AD88" s="102">
        <f t="shared" ref="AD88:AO88" si="67">SUM(AD73:AD87)</f>
        <v>436329.33000000007</v>
      </c>
      <c r="AE88" s="102">
        <f t="shared" si="67"/>
        <v>56421.020000000026</v>
      </c>
      <c r="AF88" s="102">
        <f t="shared" si="67"/>
        <v>1503899.81</v>
      </c>
      <c r="AG88" s="102">
        <f t="shared" si="67"/>
        <v>9410115.3200000003</v>
      </c>
      <c r="AH88" s="102">
        <f t="shared" si="67"/>
        <v>195017.55000000002</v>
      </c>
      <c r="AI88" s="102">
        <f t="shared" si="67"/>
        <v>2994006.14</v>
      </c>
      <c r="AJ88" s="102">
        <f t="shared" si="67"/>
        <v>1122526.96</v>
      </c>
      <c r="AK88" s="102">
        <f t="shared" si="67"/>
        <v>574808.20999999973</v>
      </c>
      <c r="AL88" s="102">
        <f t="shared" si="67"/>
        <v>203525.07</v>
      </c>
      <c r="AM88" s="102">
        <f t="shared" si="67"/>
        <v>197252.59000000005</v>
      </c>
      <c r="AN88" s="102">
        <f t="shared" si="67"/>
        <v>79540.39</v>
      </c>
      <c r="AO88" s="102">
        <f t="shared" si="67"/>
        <v>27347.43</v>
      </c>
      <c r="AP88" s="102"/>
      <c r="AQ88" s="120">
        <f>SUM(E88:AO88)</f>
        <v>37936192.270000003</v>
      </c>
    </row>
    <row r="89" spans="3:43">
      <c r="F89" s="100"/>
      <c r="H89" s="103"/>
      <c r="I89" s="104"/>
      <c r="J89" s="104"/>
      <c r="K89" s="104"/>
      <c r="L89" s="104"/>
      <c r="M89" s="104"/>
      <c r="N89" s="104"/>
    </row>
    <row r="93" spans="3:43">
      <c r="G93" s="101"/>
    </row>
    <row r="94" spans="3:43">
      <c r="G94" s="101"/>
    </row>
    <row r="95" spans="3:43">
      <c r="G95" s="101"/>
    </row>
    <row r="96" spans="3:43">
      <c r="G96" s="101"/>
    </row>
    <row r="97" spans="7:7">
      <c r="G97" s="101"/>
    </row>
    <row r="98" spans="7:7">
      <c r="G98" s="101"/>
    </row>
    <row r="99" spans="7:7">
      <c r="G99" s="101"/>
    </row>
    <row r="100" spans="7:7">
      <c r="G100" s="101"/>
    </row>
    <row r="101" spans="7:7">
      <c r="G101" s="101"/>
    </row>
    <row r="102" spans="7:7">
      <c r="G102" s="101"/>
    </row>
    <row r="103" spans="7:7">
      <c r="G103" s="101"/>
    </row>
    <row r="104" spans="7:7">
      <c r="G104" s="101"/>
    </row>
  </sheetData>
  <mergeCells count="29">
    <mergeCell ref="B40:B43"/>
    <mergeCell ref="C40:C41"/>
    <mergeCell ref="BD65:BI67"/>
    <mergeCell ref="BC68:BJ70"/>
    <mergeCell ref="B45:B48"/>
    <mergeCell ref="C45:C46"/>
    <mergeCell ref="B51:B54"/>
    <mergeCell ref="C51:C52"/>
    <mergeCell ref="B65:B68"/>
    <mergeCell ref="C65:C66"/>
    <mergeCell ref="B57:B60"/>
    <mergeCell ref="C57:C58"/>
    <mergeCell ref="C50:AO50"/>
    <mergeCell ref="C56:AO56"/>
    <mergeCell ref="B14:B17"/>
    <mergeCell ref="C14:C15"/>
    <mergeCell ref="B30:B33"/>
    <mergeCell ref="C30:C31"/>
    <mergeCell ref="B35:B38"/>
    <mergeCell ref="C35:C36"/>
    <mergeCell ref="B20:B23"/>
    <mergeCell ref="C20:C21"/>
    <mergeCell ref="B25:B28"/>
    <mergeCell ref="C25:C26"/>
    <mergeCell ref="B9:B12"/>
    <mergeCell ref="C9:C10"/>
    <mergeCell ref="C5:I5"/>
    <mergeCell ref="B2:AO3"/>
    <mergeCell ref="C8:AO8"/>
  </mergeCells>
  <phoneticPr fontId="98" type="noConversion"/>
  <printOptions horizontalCentered="1"/>
  <pageMargins left="0.19685039370078741" right="0.19685039370078741" top="0.59055118110236227" bottom="0.39370078740157483" header="0" footer="0"/>
  <pageSetup paperSize="9" scale="49" firstPageNumber="2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BI131"/>
  <sheetViews>
    <sheetView view="pageBreakPreview" topLeftCell="U1" zoomScale="70" zoomScaleNormal="55" zoomScaleSheetLayoutView="70" workbookViewId="0">
      <selection activeCell="AT5" sqref="AT5"/>
    </sheetView>
  </sheetViews>
  <sheetFormatPr defaultColWidth="9.109375" defaultRowHeight="13.2"/>
  <cols>
    <col min="1" max="1" width="0.88671875" style="84" customWidth="1"/>
    <col min="2" max="2" width="10" style="84" customWidth="1"/>
    <col min="3" max="3" width="13.5546875" style="84" customWidth="1"/>
    <col min="4" max="4" width="13.88671875" style="84" customWidth="1"/>
    <col min="5" max="5" width="13.109375" style="84" customWidth="1"/>
    <col min="6" max="6" width="13.88671875" style="84" customWidth="1"/>
    <col min="7" max="7" width="14.5546875" style="84" customWidth="1"/>
    <col min="8" max="8" width="14.6640625" style="84" customWidth="1"/>
    <col min="9" max="9" width="11.5546875" style="84" bestFit="1" customWidth="1"/>
    <col min="10" max="10" width="12.6640625" style="84" bestFit="1" customWidth="1"/>
    <col min="11" max="13" width="11.5546875" style="84" bestFit="1" customWidth="1"/>
    <col min="14" max="14" width="11" style="84" bestFit="1" customWidth="1"/>
    <col min="15" max="15" width="11.5546875" style="84" bestFit="1" customWidth="1"/>
    <col min="16" max="16" width="11" style="84" bestFit="1" customWidth="1"/>
    <col min="17" max="17" width="11.5546875" style="84" bestFit="1" customWidth="1"/>
    <col min="18" max="40" width="11.5546875" style="84" customWidth="1"/>
    <col min="41" max="41" width="12.6640625" style="84" bestFit="1" customWidth="1"/>
    <col min="42" max="42" width="10.44140625" style="84" bestFit="1" customWidth="1"/>
    <col min="43" max="43" width="11.5546875" style="84" bestFit="1" customWidth="1"/>
    <col min="44" max="44" width="12.6640625" style="84" bestFit="1" customWidth="1"/>
    <col min="45" max="47" width="11.5546875" style="84" bestFit="1" customWidth="1"/>
    <col min="48" max="48" width="11" style="84" customWidth="1"/>
    <col min="49" max="49" width="11.5546875" style="84" bestFit="1" customWidth="1"/>
    <col min="50" max="50" width="1.109375" style="84" customWidth="1"/>
    <col min="51" max="16384" width="9.109375" style="84"/>
  </cols>
  <sheetData>
    <row r="1" spans="1:53">
      <c r="A1" s="1286"/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1096"/>
      <c r="T1" s="1096"/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6"/>
      <c r="AF1" s="1096"/>
      <c r="AG1" s="1096"/>
      <c r="AH1" s="1096"/>
      <c r="AI1" s="1096"/>
      <c r="AJ1" s="1096"/>
      <c r="AK1" s="1096"/>
      <c r="AL1" s="1096"/>
      <c r="AM1" s="1096"/>
      <c r="AN1" s="1096"/>
      <c r="AO1" s="1096"/>
      <c r="AP1" s="1096"/>
      <c r="AQ1" s="1096"/>
      <c r="AR1" s="1096"/>
      <c r="AS1" s="1096"/>
      <c r="AT1" s="1096"/>
      <c r="AU1" s="1096"/>
      <c r="AV1" s="1288"/>
    </row>
    <row r="2" spans="1:53" ht="15" customHeight="1">
      <c r="A2" s="1893" t="s">
        <v>334</v>
      </c>
      <c r="B2" s="1893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  <c r="N2" s="1894"/>
      <c r="O2" s="1894"/>
      <c r="P2" s="1894"/>
      <c r="Q2" s="1894"/>
      <c r="R2" s="1894"/>
      <c r="S2" s="1894"/>
      <c r="T2" s="1894"/>
      <c r="U2" s="1894"/>
      <c r="V2" s="1894"/>
      <c r="W2" s="1894"/>
      <c r="X2" s="1894"/>
      <c r="Y2" s="1894"/>
      <c r="Z2" s="1894"/>
      <c r="AA2" s="1894"/>
      <c r="AB2" s="1894"/>
      <c r="AC2" s="1894"/>
      <c r="AD2" s="1894"/>
      <c r="AE2" s="1894"/>
      <c r="AF2" s="1894"/>
      <c r="AG2" s="1894"/>
      <c r="AH2" s="1894"/>
      <c r="AI2" s="1894"/>
      <c r="AJ2" s="1894"/>
      <c r="AK2" s="1894"/>
      <c r="AL2" s="1894"/>
      <c r="AM2" s="1894"/>
      <c r="AN2" s="1894"/>
      <c r="AO2" s="1895"/>
      <c r="AP2" s="1894"/>
      <c r="AQ2" s="1894"/>
      <c r="AR2" s="1894"/>
      <c r="AS2" s="1894"/>
      <c r="AT2" s="1894"/>
      <c r="AU2" s="1894"/>
      <c r="AV2" s="1895"/>
    </row>
    <row r="3" spans="1:53" ht="15" customHeight="1">
      <c r="A3" s="1893"/>
      <c r="B3" s="1893"/>
      <c r="C3" s="1894"/>
      <c r="D3" s="1894"/>
      <c r="E3" s="1894"/>
      <c r="F3" s="1894"/>
      <c r="G3" s="1894"/>
      <c r="H3" s="1894"/>
      <c r="I3" s="1894"/>
      <c r="J3" s="1894"/>
      <c r="K3" s="1894"/>
      <c r="L3" s="1894"/>
      <c r="M3" s="1894"/>
      <c r="N3" s="1894"/>
      <c r="O3" s="1894"/>
      <c r="P3" s="1894"/>
      <c r="Q3" s="1894"/>
      <c r="R3" s="1894"/>
      <c r="S3" s="1894"/>
      <c r="T3" s="1894"/>
      <c r="U3" s="1894"/>
      <c r="V3" s="1894"/>
      <c r="W3" s="1894"/>
      <c r="X3" s="1894"/>
      <c r="Y3" s="1894"/>
      <c r="Z3" s="1894"/>
      <c r="AA3" s="1894"/>
      <c r="AB3" s="1894"/>
      <c r="AC3" s="1894"/>
      <c r="AD3" s="1894"/>
      <c r="AE3" s="1894"/>
      <c r="AF3" s="1894"/>
      <c r="AG3" s="1894"/>
      <c r="AH3" s="1894"/>
      <c r="AI3" s="1894"/>
      <c r="AJ3" s="1894"/>
      <c r="AK3" s="1894"/>
      <c r="AL3" s="1894"/>
      <c r="AM3" s="1894"/>
      <c r="AN3" s="1894"/>
      <c r="AO3" s="1895"/>
      <c r="AP3" s="1894"/>
      <c r="AQ3" s="1894"/>
      <c r="AR3" s="1894"/>
      <c r="AS3" s="1894"/>
      <c r="AT3" s="1894"/>
      <c r="AU3" s="1894"/>
      <c r="AV3" s="1895"/>
    </row>
    <row r="4" spans="1:53" ht="13.8">
      <c r="A4" s="1413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6"/>
      <c r="AR4" s="105"/>
      <c r="AS4" s="105"/>
      <c r="AT4" s="105"/>
      <c r="AU4" s="105"/>
      <c r="AV4" s="697"/>
    </row>
    <row r="5" spans="1:53" ht="21.75" customHeight="1">
      <c r="A5" s="1413"/>
      <c r="B5" s="1896" t="s">
        <v>335</v>
      </c>
      <c r="C5" s="1896"/>
      <c r="D5" s="1897" t="s">
        <v>336</v>
      </c>
      <c r="E5" s="1898"/>
      <c r="F5" s="1898"/>
      <c r="G5" s="1898"/>
      <c r="H5" s="1898"/>
      <c r="I5" s="1898"/>
      <c r="J5" s="1898"/>
      <c r="K5" s="1898"/>
      <c r="L5" s="1898"/>
      <c r="M5" s="1898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896" t="s">
        <v>337</v>
      </c>
      <c r="AQ5" s="1896"/>
      <c r="AR5" s="1899">
        <v>45503</v>
      </c>
      <c r="AS5" s="1899"/>
      <c r="AT5" s="107"/>
      <c r="AU5" s="107"/>
      <c r="AV5" s="1290"/>
    </row>
    <row r="6" spans="1:53" ht="21.75" customHeight="1">
      <c r="A6" s="1413"/>
      <c r="B6" s="1896" t="s">
        <v>61</v>
      </c>
      <c r="C6" s="1896"/>
      <c r="D6" s="1897" t="str">
        <f>'INFORM.CONTRA.'!H98</f>
        <v>Região do bairro Pontal das Graças, paralelamente ao “Canal do Dique”</v>
      </c>
      <c r="E6" s="1900"/>
      <c r="F6" s="1900"/>
      <c r="G6" s="1900"/>
      <c r="H6" s="1900"/>
      <c r="I6" s="1900"/>
      <c r="J6" s="1900"/>
      <c r="K6" s="1900"/>
      <c r="L6" s="1900"/>
      <c r="M6" s="1900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896" t="s">
        <v>63</v>
      </c>
      <c r="AQ6" s="1896"/>
      <c r="AR6" s="177" t="str">
        <f>'INFORM.CONTRA.'!J24</f>
        <v>009/2021</v>
      </c>
      <c r="AS6" s="176"/>
      <c r="AT6" s="107"/>
      <c r="AU6" s="107"/>
      <c r="AV6" s="1290"/>
    </row>
    <row r="7" spans="1:53" ht="21.75" customHeight="1">
      <c r="A7" s="1413"/>
      <c r="B7" s="1896" t="s">
        <v>338</v>
      </c>
      <c r="C7" s="1896"/>
      <c r="D7" s="1897" t="str">
        <f>LEFT('INFORM.CONTRA.'!$J$29,115)</f>
        <v>Execução das Obras de Construção da Estação de Bombeamento de Águas Pluviais Laranja, no Município de Vila Velha/ES</v>
      </c>
      <c r="E7" s="1897"/>
      <c r="F7" s="1897"/>
      <c r="G7" s="1897"/>
      <c r="H7" s="1897"/>
      <c r="I7" s="1897"/>
      <c r="J7" s="1897"/>
      <c r="K7" s="1897"/>
      <c r="L7" s="1897"/>
      <c r="M7" s="1897"/>
      <c r="N7" s="1897"/>
      <c r="O7" s="1897"/>
      <c r="P7" s="108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896" t="s">
        <v>28</v>
      </c>
      <c r="AQ7" s="1896"/>
      <c r="AR7" s="108" t="str">
        <f>'INFORM.CONTRA.'!J22</f>
        <v>DP Barros Pavimentação e Construção Ltda</v>
      </c>
      <c r="AS7" s="109"/>
      <c r="AT7" s="109"/>
      <c r="AU7" s="109"/>
      <c r="AV7" s="1291"/>
      <c r="AW7" s="109"/>
      <c r="AX7" s="109"/>
      <c r="AY7" s="109"/>
      <c r="AZ7" s="109"/>
      <c r="BA7" s="109"/>
    </row>
    <row r="8" spans="1:53" ht="15" customHeight="1">
      <c r="A8" s="1413"/>
      <c r="B8" s="110"/>
      <c r="C8" s="111"/>
      <c r="D8" s="105"/>
      <c r="E8" s="1903"/>
      <c r="F8" s="1903"/>
      <c r="G8" s="1903"/>
      <c r="H8" s="1903"/>
      <c r="I8" s="1903"/>
      <c r="J8" s="1903"/>
      <c r="K8" s="1903"/>
      <c r="L8" s="1903"/>
      <c r="M8" s="1903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105"/>
      <c r="AU8" s="105"/>
      <c r="AV8" s="697"/>
    </row>
    <row r="9" spans="1:53" ht="15.6">
      <c r="A9" s="1413"/>
      <c r="B9" s="105"/>
      <c r="C9" s="105"/>
      <c r="D9" s="105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105"/>
      <c r="AU9" s="105"/>
      <c r="AV9" s="697"/>
    </row>
    <row r="10" spans="1:53" ht="7.5" customHeight="1">
      <c r="A10" s="1413"/>
      <c r="B10" s="105"/>
      <c r="C10" s="105"/>
      <c r="D10" s="105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105"/>
      <c r="AU10" s="105"/>
      <c r="AV10" s="697"/>
    </row>
    <row r="11" spans="1:53" ht="7.5" customHeight="1">
      <c r="A11" s="1413"/>
      <c r="B11" s="105"/>
      <c r="C11" s="105"/>
      <c r="D11" s="105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105"/>
      <c r="AU11" s="105"/>
      <c r="AV11" s="697"/>
    </row>
    <row r="12" spans="1:53" ht="7.5" customHeight="1">
      <c r="A12" s="1413"/>
      <c r="B12" s="105"/>
      <c r="C12" s="105"/>
      <c r="D12" s="105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105"/>
      <c r="AU12" s="105"/>
      <c r="AV12" s="697"/>
    </row>
    <row r="13" spans="1:53" ht="7.5" customHeight="1">
      <c r="A13" s="1413"/>
      <c r="B13" s="105"/>
      <c r="C13" s="105"/>
      <c r="D13" s="105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105"/>
      <c r="AU13" s="105"/>
      <c r="AV13" s="697"/>
    </row>
    <row r="14" spans="1:53" ht="7.5" customHeight="1">
      <c r="A14" s="1413"/>
      <c r="B14" s="105"/>
      <c r="C14" s="112">
        <f>'[44]04 - FINANCEIRO '!H33</f>
        <v>8162882.2800000003</v>
      </c>
      <c r="D14" s="105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105"/>
      <c r="AU14" s="105"/>
      <c r="AV14" s="697"/>
    </row>
    <row r="15" spans="1:53" ht="7.5" customHeight="1">
      <c r="A15" s="1413"/>
      <c r="B15" s="105"/>
      <c r="C15" s="105"/>
      <c r="D15" s="105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105"/>
      <c r="AU15" s="105"/>
      <c r="AV15" s="697"/>
    </row>
    <row r="16" spans="1:53" ht="7.5" customHeight="1">
      <c r="A16" s="1413"/>
      <c r="B16" s="105"/>
      <c r="C16" s="105"/>
      <c r="D16" s="105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105"/>
      <c r="AU16" s="105"/>
      <c r="AV16" s="697"/>
    </row>
    <row r="17" spans="1:48" ht="7.5" customHeight="1">
      <c r="A17" s="1413"/>
      <c r="B17" s="105"/>
      <c r="C17" s="105"/>
      <c r="D17" s="105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105"/>
      <c r="AU17" s="105"/>
      <c r="AV17" s="697"/>
    </row>
    <row r="18" spans="1:48" ht="7.5" customHeight="1">
      <c r="A18" s="1413"/>
      <c r="B18" s="105"/>
      <c r="C18" s="105"/>
      <c r="D18" s="105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105"/>
      <c r="AU18" s="105"/>
      <c r="AV18" s="697"/>
    </row>
    <row r="19" spans="1:48" ht="7.5" customHeight="1">
      <c r="A19" s="1413"/>
      <c r="B19" s="105"/>
      <c r="C19" s="105"/>
      <c r="D19" s="105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105"/>
      <c r="AU19" s="105"/>
      <c r="AV19" s="697"/>
    </row>
    <row r="20" spans="1:48" ht="7.5" customHeight="1">
      <c r="A20" s="1413"/>
      <c r="B20" s="105"/>
      <c r="C20" s="105"/>
      <c r="D20" s="105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105"/>
      <c r="AU20" s="105"/>
      <c r="AV20" s="697"/>
    </row>
    <row r="21" spans="1:48" ht="7.5" customHeight="1">
      <c r="A21" s="1413"/>
      <c r="B21" s="105"/>
      <c r="C21" s="105"/>
      <c r="D21" s="105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105"/>
      <c r="AU21" s="105"/>
      <c r="AV21" s="697"/>
    </row>
    <row r="22" spans="1:48" ht="7.5" customHeight="1">
      <c r="A22" s="1413"/>
      <c r="B22" s="105"/>
      <c r="C22" s="105"/>
      <c r="D22" s="105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105"/>
      <c r="AU22" s="105"/>
      <c r="AV22" s="697"/>
    </row>
    <row r="23" spans="1:48" ht="7.5" customHeight="1">
      <c r="A23" s="1413"/>
      <c r="B23" s="105"/>
      <c r="C23" s="105"/>
      <c r="D23" s="105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105"/>
      <c r="AU23" s="105"/>
      <c r="AV23" s="697"/>
    </row>
    <row r="24" spans="1:48" ht="7.5" customHeight="1">
      <c r="A24" s="1413"/>
      <c r="B24" s="105"/>
      <c r="C24" s="105"/>
      <c r="D24" s="105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105"/>
      <c r="AU24" s="105"/>
      <c r="AV24" s="697"/>
    </row>
    <row r="25" spans="1:48" ht="7.5" customHeight="1">
      <c r="A25" s="1413"/>
      <c r="B25" s="105"/>
      <c r="C25" s="105"/>
      <c r="D25" s="105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105"/>
      <c r="AU25" s="105"/>
      <c r="AV25" s="697"/>
    </row>
    <row r="26" spans="1:48" ht="7.5" customHeight="1">
      <c r="A26" s="1413"/>
      <c r="B26" s="105"/>
      <c r="C26" s="105"/>
      <c r="D26" s="105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105"/>
      <c r="AU26" s="105"/>
      <c r="AV26" s="697"/>
    </row>
    <row r="27" spans="1:48" ht="7.5" customHeight="1">
      <c r="A27" s="1413"/>
      <c r="B27" s="105"/>
      <c r="C27" s="105"/>
      <c r="D27" s="105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105"/>
      <c r="AU27" s="105"/>
      <c r="AV27" s="697"/>
    </row>
    <row r="28" spans="1:48" ht="7.5" customHeight="1">
      <c r="A28" s="1413"/>
      <c r="B28" s="105"/>
      <c r="C28" s="105"/>
      <c r="D28" s="105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105"/>
      <c r="AU28" s="105"/>
      <c r="AV28" s="697"/>
    </row>
    <row r="29" spans="1:48" ht="7.5" customHeight="1">
      <c r="A29" s="1413"/>
      <c r="B29" s="105"/>
      <c r="C29" s="105"/>
      <c r="D29" s="105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105"/>
      <c r="AU29" s="105"/>
      <c r="AV29" s="697"/>
    </row>
    <row r="30" spans="1:48" ht="7.5" customHeight="1">
      <c r="A30" s="1413"/>
      <c r="B30" s="105"/>
      <c r="C30" s="105"/>
      <c r="D30" s="105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105"/>
      <c r="AU30" s="105"/>
      <c r="AV30" s="697"/>
    </row>
    <row r="31" spans="1:48" ht="7.5" customHeight="1">
      <c r="A31" s="1413"/>
      <c r="B31" s="105"/>
      <c r="C31" s="105"/>
      <c r="D31" s="105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105"/>
      <c r="AU31" s="105"/>
      <c r="AV31" s="697"/>
    </row>
    <row r="32" spans="1:48" ht="7.5" customHeight="1">
      <c r="A32" s="1413"/>
      <c r="B32" s="105"/>
      <c r="C32" s="105"/>
      <c r="D32" s="105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105"/>
      <c r="AU32" s="105"/>
      <c r="AV32" s="697"/>
    </row>
    <row r="33" spans="1:48" ht="7.5" customHeight="1">
      <c r="A33" s="1413"/>
      <c r="B33" s="105"/>
      <c r="C33" s="105"/>
      <c r="D33" s="105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105"/>
      <c r="AU33" s="105"/>
      <c r="AV33" s="697"/>
    </row>
    <row r="34" spans="1:48" ht="7.5" customHeight="1">
      <c r="A34" s="1413"/>
      <c r="B34" s="105"/>
      <c r="C34" s="105"/>
      <c r="D34" s="105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105"/>
      <c r="AU34" s="105"/>
      <c r="AV34" s="697"/>
    </row>
    <row r="35" spans="1:48" ht="7.5" customHeight="1">
      <c r="A35" s="1413"/>
      <c r="B35" s="105"/>
      <c r="C35" s="105"/>
      <c r="D35" s="105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105"/>
      <c r="AU35" s="105"/>
      <c r="AV35" s="697"/>
    </row>
    <row r="36" spans="1:48" ht="7.5" customHeight="1">
      <c r="A36" s="1413"/>
      <c r="B36" s="105"/>
      <c r="C36" s="105"/>
      <c r="D36" s="105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105"/>
      <c r="AU36" s="105"/>
      <c r="AV36" s="697"/>
    </row>
    <row r="37" spans="1:48" ht="7.5" customHeight="1">
      <c r="A37" s="1413"/>
      <c r="B37" s="105"/>
      <c r="C37" s="105"/>
      <c r="D37" s="105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105"/>
      <c r="AU37" s="105"/>
      <c r="AV37" s="697"/>
    </row>
    <row r="38" spans="1:48" ht="7.5" customHeight="1">
      <c r="A38" s="1413"/>
      <c r="B38" s="105"/>
      <c r="C38" s="105"/>
      <c r="D38" s="105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105"/>
      <c r="AU38" s="105"/>
      <c r="AV38" s="697"/>
    </row>
    <row r="39" spans="1:48" ht="7.5" customHeight="1">
      <c r="A39" s="1413"/>
      <c r="B39" s="105"/>
      <c r="C39" s="105"/>
      <c r="D39" s="105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105"/>
      <c r="AU39" s="105"/>
      <c r="AV39" s="697"/>
    </row>
    <row r="40" spans="1:48" ht="7.5" customHeight="1">
      <c r="A40" s="1413"/>
      <c r="B40" s="105"/>
      <c r="C40" s="105"/>
      <c r="D40" s="105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105"/>
      <c r="AU40" s="105"/>
      <c r="AV40" s="697"/>
    </row>
    <row r="41" spans="1:48" ht="7.5" customHeight="1">
      <c r="A41" s="1413"/>
      <c r="B41" s="105"/>
      <c r="C41" s="105"/>
      <c r="D41" s="105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105"/>
      <c r="AU41" s="105"/>
      <c r="AV41" s="697"/>
    </row>
    <row r="42" spans="1:48" ht="7.5" customHeight="1">
      <c r="A42" s="1413"/>
      <c r="B42" s="105"/>
      <c r="C42" s="105"/>
      <c r="D42" s="105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105"/>
      <c r="AU42" s="105"/>
      <c r="AV42" s="697"/>
    </row>
    <row r="43" spans="1:48" ht="7.5" customHeight="1">
      <c r="A43" s="1413"/>
      <c r="B43" s="105"/>
      <c r="C43" s="105"/>
      <c r="D43" s="105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105"/>
      <c r="AU43" s="105"/>
      <c r="AV43" s="697"/>
    </row>
    <row r="44" spans="1:48" ht="7.5" customHeight="1">
      <c r="A44" s="1413"/>
      <c r="B44" s="105"/>
      <c r="C44" s="105"/>
      <c r="D44" s="105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105"/>
      <c r="AU44" s="105"/>
      <c r="AV44" s="697"/>
    </row>
    <row r="45" spans="1:48" ht="7.5" customHeight="1">
      <c r="A45" s="1413"/>
      <c r="B45" s="105"/>
      <c r="C45" s="105"/>
      <c r="D45" s="105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105"/>
      <c r="AU45" s="105"/>
      <c r="AV45" s="697"/>
    </row>
    <row r="46" spans="1:48" ht="7.5" customHeight="1">
      <c r="A46" s="1413"/>
      <c r="B46" s="105"/>
      <c r="C46" s="105"/>
      <c r="D46" s="105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105"/>
      <c r="AU46" s="105"/>
      <c r="AV46" s="697"/>
    </row>
    <row r="47" spans="1:48" ht="7.5" customHeight="1">
      <c r="A47" s="1413"/>
      <c r="B47" s="105"/>
      <c r="C47" s="105"/>
      <c r="D47" s="105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105"/>
      <c r="AU47" s="105"/>
      <c r="AV47" s="697"/>
    </row>
    <row r="48" spans="1:48" ht="7.5" customHeight="1">
      <c r="A48" s="1413"/>
      <c r="B48" s="105"/>
      <c r="C48" s="105"/>
      <c r="D48" s="105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105"/>
      <c r="AU48" s="105"/>
      <c r="AV48" s="697"/>
    </row>
    <row r="49" spans="1:61" ht="7.5" customHeight="1">
      <c r="A49" s="1413"/>
      <c r="B49" s="105"/>
      <c r="C49" s="105"/>
      <c r="D49" s="105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105"/>
      <c r="AU49" s="105"/>
      <c r="AV49" s="697"/>
    </row>
    <row r="50" spans="1:61" ht="7.5" customHeight="1">
      <c r="A50" s="1413"/>
      <c r="B50" s="105"/>
      <c r="C50" s="105"/>
      <c r="D50" s="105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105"/>
      <c r="AU50" s="105"/>
      <c r="AV50" s="697"/>
    </row>
    <row r="51" spans="1:61" ht="7.5" customHeight="1">
      <c r="A51" s="1413"/>
      <c r="B51" s="105"/>
      <c r="C51" s="105"/>
      <c r="D51" s="105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105"/>
      <c r="AU51" s="105"/>
      <c r="AV51" s="697"/>
    </row>
    <row r="52" spans="1:61" ht="7.5" customHeight="1">
      <c r="A52" s="1413"/>
      <c r="B52" s="105"/>
      <c r="C52" s="105"/>
      <c r="D52" s="105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105"/>
      <c r="AU52" s="105"/>
      <c r="AV52" s="697"/>
    </row>
    <row r="53" spans="1:61" ht="7.5" customHeight="1">
      <c r="A53" s="1413"/>
      <c r="B53" s="105"/>
      <c r="C53" s="105"/>
      <c r="D53" s="105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105"/>
      <c r="AU53" s="105"/>
      <c r="AV53" s="697"/>
    </row>
    <row r="54" spans="1:61" ht="7.5" customHeight="1">
      <c r="A54" s="1413"/>
      <c r="B54" s="105"/>
      <c r="C54" s="105"/>
      <c r="D54" s="105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105"/>
      <c r="AU54" s="105"/>
      <c r="AV54" s="697"/>
    </row>
    <row r="55" spans="1:61" ht="7.5" customHeight="1">
      <c r="A55" s="1413"/>
      <c r="B55" s="105"/>
      <c r="C55" s="105"/>
      <c r="D55" s="105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105"/>
      <c r="AU55" s="105"/>
      <c r="AV55" s="697"/>
    </row>
    <row r="56" spans="1:61" ht="7.5" customHeight="1">
      <c r="A56" s="1413"/>
      <c r="B56" s="105"/>
      <c r="C56" s="105"/>
      <c r="D56" s="105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105"/>
      <c r="AU56" s="105"/>
      <c r="AV56" s="697"/>
      <c r="BC56" s="1892"/>
      <c r="BD56" s="1892"/>
      <c r="BE56" s="1892"/>
      <c r="BF56" s="1892"/>
      <c r="BG56" s="1892"/>
      <c r="BH56" s="1892"/>
    </row>
    <row r="57" spans="1:61" ht="7.5" customHeight="1">
      <c r="A57" s="1413"/>
      <c r="B57" s="105"/>
      <c r="C57" s="105"/>
      <c r="D57" s="105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105"/>
      <c r="AU57" s="105"/>
      <c r="AV57" s="697"/>
      <c r="BC57" s="1892"/>
      <c r="BD57" s="1892"/>
      <c r="BE57" s="1892"/>
      <c r="BF57" s="1892"/>
      <c r="BG57" s="1892"/>
      <c r="BH57" s="1892"/>
    </row>
    <row r="58" spans="1:61" ht="7.5" customHeight="1">
      <c r="A58" s="1413"/>
      <c r="B58" s="105"/>
      <c r="C58" s="105"/>
      <c r="D58" s="105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105"/>
      <c r="AU58" s="105"/>
      <c r="AV58" s="697"/>
      <c r="BC58" s="1892"/>
      <c r="BD58" s="1892"/>
      <c r="BE58" s="1892"/>
      <c r="BF58" s="1892"/>
      <c r="BG58" s="1892"/>
      <c r="BH58" s="1892"/>
    </row>
    <row r="59" spans="1:61" ht="7.5" customHeight="1">
      <c r="A59" s="1413"/>
      <c r="B59" s="105"/>
      <c r="C59" s="105"/>
      <c r="D59" s="105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105"/>
      <c r="AU59" s="105"/>
      <c r="AV59" s="697"/>
      <c r="BB59" s="1883"/>
      <c r="BC59" s="1883"/>
      <c r="BD59" s="1883"/>
      <c r="BE59" s="1883"/>
      <c r="BF59" s="1883"/>
      <c r="BG59" s="1883"/>
      <c r="BH59" s="1883"/>
      <c r="BI59" s="1883"/>
    </row>
    <row r="60" spans="1:61" ht="7.5" customHeight="1">
      <c r="A60" s="1413"/>
      <c r="B60" s="105"/>
      <c r="C60" s="105"/>
      <c r="D60" s="105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105"/>
      <c r="AU60" s="105"/>
      <c r="AV60" s="697"/>
      <c r="BB60" s="1883"/>
      <c r="BC60" s="1883"/>
      <c r="BD60" s="1883"/>
      <c r="BE60" s="1883"/>
      <c r="BF60" s="1883"/>
      <c r="BG60" s="1883"/>
      <c r="BH60" s="1883"/>
      <c r="BI60" s="1883"/>
    </row>
    <row r="61" spans="1:61" ht="7.5" customHeight="1">
      <c r="A61" s="1413"/>
      <c r="B61" s="105"/>
      <c r="C61" s="105"/>
      <c r="D61" s="105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105"/>
      <c r="AU61" s="105"/>
      <c r="AV61" s="697"/>
      <c r="BB61" s="1883"/>
      <c r="BC61" s="1883"/>
      <c r="BD61" s="1883"/>
      <c r="BE61" s="1883"/>
      <c r="BF61" s="1883"/>
      <c r="BG61" s="1883"/>
      <c r="BH61" s="1883"/>
      <c r="BI61" s="1883"/>
    </row>
    <row r="62" spans="1:61" ht="7.5" customHeight="1">
      <c r="A62" s="1413"/>
      <c r="B62" s="105"/>
      <c r="C62" s="105"/>
      <c r="D62" s="105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105"/>
      <c r="AU62" s="105"/>
      <c r="AV62" s="697"/>
    </row>
    <row r="63" spans="1:61" ht="7.5" customHeight="1">
      <c r="A63" s="1413"/>
      <c r="B63" s="105"/>
      <c r="C63" s="105"/>
      <c r="D63" s="105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105"/>
      <c r="AU63" s="105"/>
      <c r="AV63" s="697"/>
    </row>
    <row r="64" spans="1:61" ht="7.5" customHeight="1">
      <c r="A64" s="1413"/>
      <c r="B64" s="105"/>
      <c r="C64" s="105"/>
      <c r="D64" s="105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105"/>
      <c r="AU64" s="105"/>
      <c r="AV64" s="697"/>
    </row>
    <row r="65" spans="1:48" ht="7.5" customHeight="1">
      <c r="A65" s="1413"/>
      <c r="B65" s="105"/>
      <c r="C65" s="105"/>
      <c r="D65" s="105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105"/>
      <c r="AU65" s="105"/>
      <c r="AV65" s="697"/>
    </row>
    <row r="66" spans="1:48" ht="7.5" customHeight="1">
      <c r="A66" s="1413"/>
      <c r="B66" s="105"/>
      <c r="C66" s="105"/>
      <c r="D66" s="105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105"/>
      <c r="AU66" s="105"/>
      <c r="AV66" s="697"/>
    </row>
    <row r="67" spans="1:48" ht="7.5" customHeight="1">
      <c r="A67" s="1413"/>
      <c r="B67" s="105"/>
      <c r="C67" s="105"/>
      <c r="D67" s="105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105"/>
      <c r="AU67" s="105"/>
      <c r="AV67" s="697"/>
    </row>
    <row r="68" spans="1:48" ht="7.5" customHeight="1">
      <c r="A68" s="1413"/>
      <c r="B68" s="105"/>
      <c r="C68" s="105"/>
      <c r="D68" s="105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105"/>
      <c r="AU68" s="105"/>
      <c r="AV68" s="697"/>
    </row>
    <row r="69" spans="1:48" ht="7.5" customHeight="1">
      <c r="A69" s="1413"/>
      <c r="B69" s="105"/>
      <c r="C69" s="105"/>
      <c r="D69" s="105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105"/>
      <c r="AU69" s="105"/>
      <c r="AV69" s="697"/>
    </row>
    <row r="70" spans="1:48" ht="7.5" customHeight="1">
      <c r="A70" s="1413"/>
      <c r="B70" s="105"/>
      <c r="C70" s="105"/>
      <c r="D70" s="105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105"/>
      <c r="AU70" s="105"/>
      <c r="AV70" s="697"/>
    </row>
    <row r="71" spans="1:48" ht="7.5" customHeight="1">
      <c r="A71" s="1413"/>
      <c r="B71" s="105"/>
      <c r="C71" s="105"/>
      <c r="D71" s="105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105"/>
      <c r="AU71" s="105"/>
      <c r="AV71" s="697"/>
    </row>
    <row r="72" spans="1:48" ht="7.5" customHeight="1">
      <c r="A72" s="1413"/>
      <c r="B72" s="105"/>
      <c r="C72" s="105"/>
      <c r="D72" s="105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105"/>
      <c r="AU72" s="105"/>
      <c r="AV72" s="697"/>
    </row>
    <row r="73" spans="1:48" ht="7.5" customHeight="1">
      <c r="A73" s="1413"/>
      <c r="B73" s="105"/>
      <c r="C73" s="105"/>
      <c r="D73" s="105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105"/>
      <c r="AU73" s="105"/>
      <c r="AV73" s="697"/>
    </row>
    <row r="74" spans="1:48" ht="7.5" customHeight="1">
      <c r="A74" s="1413"/>
      <c r="B74" s="105"/>
      <c r="C74" s="105"/>
      <c r="D74" s="105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105"/>
      <c r="AU74" s="105"/>
      <c r="AV74" s="697"/>
    </row>
    <row r="75" spans="1:48" ht="7.5" customHeight="1">
      <c r="A75" s="1413"/>
      <c r="B75" s="105"/>
      <c r="C75" s="105"/>
      <c r="D75" s="105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105"/>
      <c r="AU75" s="105"/>
      <c r="AV75" s="697"/>
    </row>
    <row r="76" spans="1:48" ht="7.5" customHeight="1">
      <c r="A76" s="1413"/>
      <c r="B76" s="105"/>
      <c r="C76" s="105"/>
      <c r="D76" s="105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105"/>
      <c r="AU76" s="105"/>
      <c r="AV76" s="697"/>
    </row>
    <row r="77" spans="1:48" ht="7.5" customHeight="1">
      <c r="A77" s="1413"/>
      <c r="B77" s="105"/>
      <c r="C77" s="105"/>
      <c r="D77" s="105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105"/>
      <c r="AU77" s="105"/>
      <c r="AV77" s="697"/>
    </row>
    <row r="78" spans="1:48" ht="7.5" customHeight="1">
      <c r="A78" s="1413"/>
      <c r="B78" s="105"/>
      <c r="C78" s="105"/>
      <c r="D78" s="105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105"/>
      <c r="AU78" s="105"/>
      <c r="AV78" s="697"/>
    </row>
    <row r="79" spans="1:48" ht="7.5" customHeight="1">
      <c r="A79" s="1413"/>
      <c r="B79" s="105"/>
      <c r="C79" s="105"/>
      <c r="D79" s="105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105"/>
      <c r="AU79" s="105"/>
      <c r="AV79" s="697"/>
    </row>
    <row r="80" spans="1:48" ht="7.5" customHeight="1">
      <c r="A80" s="1413"/>
      <c r="B80" s="105"/>
      <c r="C80" s="105"/>
      <c r="D80" s="105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105"/>
      <c r="AU80" s="105"/>
      <c r="AV80" s="697"/>
    </row>
    <row r="81" spans="1:48" ht="7.5" customHeight="1">
      <c r="A81" s="1413"/>
      <c r="B81" s="105"/>
      <c r="C81" s="105"/>
      <c r="D81" s="105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105"/>
      <c r="AU81" s="105"/>
      <c r="AV81" s="697"/>
    </row>
    <row r="82" spans="1:48" ht="7.5" customHeight="1">
      <c r="A82" s="1413"/>
      <c r="B82" s="105"/>
      <c r="C82" s="105"/>
      <c r="D82" s="105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105"/>
      <c r="AU82" s="105"/>
      <c r="AV82" s="697"/>
    </row>
    <row r="83" spans="1:48" ht="7.5" customHeight="1">
      <c r="A83" s="1413"/>
      <c r="B83" s="105"/>
      <c r="C83" s="105" t="s">
        <v>339</v>
      </c>
      <c r="D83" s="105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105"/>
      <c r="AU83" s="105"/>
      <c r="AV83" s="697"/>
    </row>
    <row r="84" spans="1:48" ht="7.5" customHeight="1">
      <c r="A84" s="1413"/>
      <c r="B84" s="105"/>
      <c r="C84" s="105"/>
      <c r="D84" s="105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105"/>
      <c r="AU84" s="105"/>
      <c r="AV84" s="697"/>
    </row>
    <row r="85" spans="1:48" ht="7.5" customHeight="1">
      <c r="A85" s="1413"/>
      <c r="B85" s="105"/>
      <c r="C85" s="105"/>
      <c r="D85" s="105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105"/>
      <c r="AU85" s="105"/>
      <c r="AV85" s="697"/>
    </row>
    <row r="86" spans="1:48" ht="7.5" customHeight="1">
      <c r="A86" s="1413"/>
      <c r="B86" s="105"/>
      <c r="C86" s="105"/>
      <c r="D86" s="105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105"/>
      <c r="AU86" s="105"/>
      <c r="AV86" s="697"/>
    </row>
    <row r="87" spans="1:48" ht="7.5" customHeight="1">
      <c r="A87" s="1413"/>
      <c r="B87" s="105"/>
      <c r="C87" s="105"/>
      <c r="D87" s="105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105"/>
      <c r="AU87" s="105"/>
      <c r="AV87" s="697"/>
    </row>
    <row r="88" spans="1:48" ht="7.5" customHeight="1">
      <c r="A88" s="1413"/>
      <c r="B88" s="105"/>
      <c r="C88" s="105"/>
      <c r="D88" s="105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105"/>
      <c r="AU88" s="105"/>
      <c r="AV88" s="697"/>
    </row>
    <row r="89" spans="1:48" ht="7.5" customHeight="1">
      <c r="A89" s="1413"/>
      <c r="B89" s="105"/>
      <c r="C89" s="105"/>
      <c r="D89" s="105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105"/>
      <c r="AU89" s="105"/>
      <c r="AV89" s="697"/>
    </row>
    <row r="90" spans="1:48" ht="7.5" customHeight="1">
      <c r="A90" s="1413"/>
      <c r="B90" s="105"/>
      <c r="C90" s="105"/>
      <c r="D90" s="105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105"/>
      <c r="AU90" s="105"/>
      <c r="AV90" s="697"/>
    </row>
    <row r="91" spans="1:48" ht="7.5" customHeight="1">
      <c r="A91" s="1413"/>
      <c r="B91" s="105"/>
      <c r="C91" s="105"/>
      <c r="D91" s="105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105"/>
      <c r="AU91" s="105"/>
      <c r="AV91" s="697"/>
    </row>
    <row r="92" spans="1:48" ht="7.5" customHeight="1">
      <c r="A92" s="1413"/>
      <c r="B92" s="105"/>
      <c r="C92" s="105"/>
      <c r="D92" s="105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105"/>
      <c r="AU92" s="105"/>
      <c r="AV92" s="697"/>
    </row>
    <row r="93" spans="1:48" ht="7.5" customHeight="1">
      <c r="A93" s="1413"/>
      <c r="B93" s="105"/>
      <c r="C93" s="105"/>
      <c r="D93" s="105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105"/>
      <c r="AU93" s="105"/>
      <c r="AV93" s="697"/>
    </row>
    <row r="94" spans="1:48" ht="7.5" customHeight="1">
      <c r="A94" s="1413"/>
      <c r="B94" s="105"/>
      <c r="C94" s="105"/>
      <c r="D94" s="105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105"/>
      <c r="AU94" s="105"/>
      <c r="AV94" s="697"/>
    </row>
    <row r="95" spans="1:48" ht="7.5" customHeight="1">
      <c r="A95" s="1413"/>
      <c r="B95" s="105"/>
      <c r="C95" s="105"/>
      <c r="D95" s="105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105"/>
      <c r="AU95" s="105"/>
      <c r="AV95" s="697"/>
    </row>
    <row r="96" spans="1:48" ht="7.5" customHeight="1">
      <c r="A96" s="1413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697"/>
    </row>
    <row r="97" spans="1:48" ht="7.5" customHeight="1">
      <c r="A97" s="1413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697"/>
    </row>
    <row r="98" spans="1:48" ht="7.5" customHeight="1">
      <c r="A98" s="1413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697"/>
    </row>
    <row r="99" spans="1:48" ht="7.5" customHeight="1">
      <c r="A99" s="1413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697"/>
    </row>
    <row r="100" spans="1:48" ht="7.5" customHeight="1">
      <c r="A100" s="1413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697"/>
    </row>
    <row r="101" spans="1:48" ht="7.5" customHeight="1">
      <c r="A101" s="1413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697"/>
    </row>
    <row r="102" spans="1:48" ht="7.5" customHeight="1">
      <c r="A102" s="1413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697"/>
    </row>
    <row r="103" spans="1:48" ht="7.5" customHeight="1">
      <c r="A103" s="1413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697"/>
    </row>
    <row r="104" spans="1:48" ht="7.5" customHeight="1">
      <c r="A104" s="1413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697"/>
    </row>
    <row r="105" spans="1:48" ht="7.5" customHeight="1">
      <c r="A105" s="1413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697"/>
    </row>
    <row r="106" spans="1:48" ht="7.5" customHeight="1">
      <c r="A106" s="1413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697"/>
    </row>
    <row r="107" spans="1:48" ht="7.5" customHeight="1">
      <c r="A107" s="1413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697"/>
    </row>
    <row r="108" spans="1:48" ht="7.5" customHeight="1">
      <c r="A108" s="1413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697"/>
    </row>
    <row r="109" spans="1:48" ht="7.5" customHeight="1">
      <c r="A109" s="1413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697"/>
    </row>
    <row r="110" spans="1:48" ht="7.5" customHeight="1">
      <c r="A110" s="1413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697"/>
    </row>
    <row r="111" spans="1:48" ht="7.5" customHeight="1">
      <c r="A111" s="1413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697"/>
    </row>
    <row r="112" spans="1:48" ht="7.5" customHeight="1">
      <c r="A112" s="1413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697"/>
    </row>
    <row r="113" spans="1:51" ht="7.5" customHeight="1">
      <c r="A113" s="1413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697"/>
    </row>
    <row r="114" spans="1:51" ht="7.5" customHeight="1">
      <c r="A114" s="1413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697"/>
    </row>
    <row r="115" spans="1:51" ht="7.5" customHeight="1">
      <c r="A115" s="1413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697"/>
    </row>
    <row r="116" spans="1:51" ht="7.5" customHeight="1">
      <c r="A116" s="1413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697"/>
    </row>
    <row r="117" spans="1:51" ht="7.5" customHeight="1">
      <c r="A117" s="1413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697"/>
    </row>
    <row r="118" spans="1:51" ht="7.5" customHeight="1">
      <c r="A118" s="1413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697"/>
    </row>
    <row r="119" spans="1:51" ht="7.5" customHeight="1">
      <c r="A119" s="1413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697"/>
    </row>
    <row r="120" spans="1:51" ht="7.5" customHeight="1">
      <c r="A120" s="1413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697"/>
    </row>
    <row r="121" spans="1:51" ht="7.5" customHeight="1">
      <c r="A121" s="1413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697"/>
    </row>
    <row r="122" spans="1:51" ht="7.5" customHeight="1">
      <c r="A122" s="1413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697"/>
    </row>
    <row r="123" spans="1:51" ht="14.4">
      <c r="A123" s="1292"/>
      <c r="B123" s="1293"/>
      <c r="C123" s="1901"/>
      <c r="D123" s="1901"/>
      <c r="E123" s="1901"/>
      <c r="F123" s="1901"/>
      <c r="G123" s="1901"/>
      <c r="H123" s="1901"/>
      <c r="I123" s="1901"/>
      <c r="J123" s="1901"/>
      <c r="K123" s="1901"/>
      <c r="L123" s="1901"/>
      <c r="M123" s="1901"/>
      <c r="N123" s="1901"/>
      <c r="O123" s="1901"/>
      <c r="P123" s="1901"/>
      <c r="Q123" s="1901"/>
      <c r="R123" s="1901"/>
      <c r="S123" s="1901"/>
      <c r="T123" s="1901"/>
      <c r="U123" s="1901"/>
      <c r="V123" s="1901"/>
      <c r="W123" s="1901"/>
      <c r="X123" s="1901"/>
      <c r="Y123" s="1901"/>
      <c r="Z123" s="1901"/>
      <c r="AA123" s="1901"/>
      <c r="AB123" s="1901"/>
      <c r="AC123" s="1901"/>
      <c r="AD123" s="1901"/>
      <c r="AE123" s="1901"/>
      <c r="AF123" s="1901"/>
      <c r="AG123" s="1901"/>
      <c r="AH123" s="1901"/>
      <c r="AI123" s="1901"/>
      <c r="AJ123" s="1901"/>
      <c r="AK123" s="1901"/>
      <c r="AL123" s="1901"/>
      <c r="AM123" s="1901"/>
      <c r="AN123" s="1901"/>
      <c r="AO123" s="1901"/>
      <c r="AP123" s="1901"/>
      <c r="AQ123" s="1901"/>
      <c r="AR123" s="1901"/>
      <c r="AS123" s="1901"/>
      <c r="AT123" s="1901"/>
      <c r="AU123" s="1294"/>
      <c r="AV123" s="1295"/>
      <c r="AX123" s="113"/>
      <c r="AY123" s="114"/>
    </row>
    <row r="124" spans="1:51" ht="3.75" customHeight="1"/>
    <row r="127" spans="1:51" ht="13.8">
      <c r="B127" s="115" t="s">
        <v>340</v>
      </c>
      <c r="C127" s="115"/>
      <c r="D127" s="87">
        <v>44378</v>
      </c>
      <c r="E127" s="87">
        <f>D127+31</f>
        <v>44409</v>
      </c>
      <c r="F127" s="87">
        <f>E127+31</f>
        <v>44440</v>
      </c>
      <c r="G127" s="87">
        <f>F127+31</f>
        <v>44471</v>
      </c>
      <c r="H127" s="87">
        <f>G127+30</f>
        <v>44501</v>
      </c>
      <c r="I127" s="87">
        <f>H127+31</f>
        <v>44532</v>
      </c>
      <c r="J127" s="87">
        <f>I127+30</f>
        <v>44562</v>
      </c>
      <c r="K127" s="87">
        <f>J127+31</f>
        <v>44593</v>
      </c>
      <c r="L127" s="87">
        <f>K127+31</f>
        <v>44624</v>
      </c>
      <c r="M127" s="87">
        <f>L127+30</f>
        <v>44654</v>
      </c>
      <c r="N127" s="87">
        <f>M127+31</f>
        <v>44685</v>
      </c>
      <c r="O127" s="87">
        <f>N127+30</f>
        <v>44715</v>
      </c>
      <c r="P127" s="87">
        <f t="shared" ref="P127:Z127" si="0">O127+31</f>
        <v>44746</v>
      </c>
      <c r="Q127" s="87">
        <f t="shared" si="0"/>
        <v>44777</v>
      </c>
      <c r="R127" s="87">
        <f t="shared" si="0"/>
        <v>44808</v>
      </c>
      <c r="S127" s="87">
        <f t="shared" si="0"/>
        <v>44839</v>
      </c>
      <c r="T127" s="87">
        <f t="shared" si="0"/>
        <v>44870</v>
      </c>
      <c r="U127" s="87">
        <f t="shared" si="0"/>
        <v>44901</v>
      </c>
      <c r="V127" s="87">
        <f t="shared" si="0"/>
        <v>44932</v>
      </c>
      <c r="W127" s="87">
        <f t="shared" si="0"/>
        <v>44963</v>
      </c>
      <c r="X127" s="87">
        <f t="shared" si="0"/>
        <v>44994</v>
      </c>
      <c r="Y127" s="87">
        <f t="shared" si="0"/>
        <v>45025</v>
      </c>
      <c r="Z127" s="87">
        <f t="shared" si="0"/>
        <v>45056</v>
      </c>
      <c r="AA127" s="87">
        <f t="shared" ref="AA127" si="1">Z127+31</f>
        <v>45087</v>
      </c>
      <c r="AB127" s="87">
        <f t="shared" ref="AB127" si="2">AA127+31</f>
        <v>45118</v>
      </c>
      <c r="AC127" s="87">
        <f t="shared" ref="AC127" si="3">AB127+31</f>
        <v>45149</v>
      </c>
      <c r="AD127" s="87">
        <f t="shared" ref="AD127" si="4">AC127+31</f>
        <v>45180</v>
      </c>
      <c r="AE127" s="87">
        <f t="shared" ref="AE127" si="5">AD127+31</f>
        <v>45211</v>
      </c>
      <c r="AF127" s="87">
        <f t="shared" ref="AF127" si="6">AE127+31</f>
        <v>45242</v>
      </c>
      <c r="AG127" s="87">
        <f t="shared" ref="AG127" si="7">AF127+31</f>
        <v>45273</v>
      </c>
      <c r="AH127" s="87">
        <f t="shared" ref="AH127" si="8">AG127+31</f>
        <v>45304</v>
      </c>
      <c r="AI127" s="87">
        <f t="shared" ref="AI127" si="9">AH127+31</f>
        <v>45335</v>
      </c>
      <c r="AJ127" s="87">
        <f t="shared" ref="AJ127" si="10">AI127+31</f>
        <v>45366</v>
      </c>
      <c r="AK127" s="87">
        <f t="shared" ref="AK127" si="11">AJ127+31</f>
        <v>45397</v>
      </c>
      <c r="AL127" s="87">
        <f t="shared" ref="AL127" si="12">AK127+31</f>
        <v>45428</v>
      </c>
      <c r="AM127" s="87">
        <f t="shared" ref="AM127" si="13">AL127+31</f>
        <v>45459</v>
      </c>
      <c r="AN127" s="87">
        <f t="shared" ref="AN127" si="14">AM127+31</f>
        <v>45490</v>
      </c>
      <c r="AO127" s="87"/>
    </row>
    <row r="128" spans="1:51">
      <c r="B128" s="1902" t="s">
        <v>294</v>
      </c>
      <c r="C128" s="116" t="s">
        <v>264</v>
      </c>
      <c r="D128" s="117">
        <f>'8.1 - CRONOGRAMA'!E65</f>
        <v>1.8501713029862304E-3</v>
      </c>
      <c r="E128" s="117">
        <f>'8.1 - CRONOGRAMA'!F65</f>
        <v>1.9983067655424086E-3</v>
      </c>
      <c r="F128" s="117">
        <f>'8.1 - CRONOGRAMA'!G65</f>
        <v>2.9827322716229678E-4</v>
      </c>
      <c r="G128" s="117">
        <f>'8.1 - CRONOGRAMA'!H65</f>
        <v>2.6658119942684078E-3</v>
      </c>
      <c r="H128" s="117">
        <f>'8.1 - CRONOGRAMA'!I65</f>
        <v>0</v>
      </c>
      <c r="I128" s="117">
        <f>'8.1 - CRONOGRAMA'!J65</f>
        <v>5.4358835145548325E-2</v>
      </c>
      <c r="J128" s="117">
        <f>'8.1 - CRONOGRAMA'!K65</f>
        <v>1.0371813021239788E-2</v>
      </c>
      <c r="K128" s="117">
        <f>'8.1 - CRONOGRAMA'!L65</f>
        <v>6.0855787695715327E-3</v>
      </c>
      <c r="L128" s="117">
        <f>'8.1 - CRONOGRAMA'!M65</f>
        <v>5.8208858611780382E-3</v>
      </c>
      <c r="M128" s="117">
        <f>'8.1 - CRONOGRAMA'!N65</f>
        <v>0</v>
      </c>
      <c r="N128" s="117">
        <f>'8.1 - CRONOGRAMA'!O65</f>
        <v>8.8195206264502723E-2</v>
      </c>
      <c r="O128" s="117">
        <f>'8.1 - CRONOGRAMA'!P65</f>
        <v>7.5331105490521216E-2</v>
      </c>
      <c r="P128" s="117">
        <f>'8.1 - CRONOGRAMA'!Q65</f>
        <v>2.4721875459954913E-3</v>
      </c>
      <c r="Q128" s="117">
        <f>'8.1 - CRONOGRAMA'!R65</f>
        <v>1.522674120149821E-3</v>
      </c>
      <c r="R128" s="117">
        <f>'8.1 - CRONOGRAMA'!S65</f>
        <v>3.72933595877294E-4</v>
      </c>
      <c r="S128" s="117">
        <f>'8.1 - CRONOGRAMA'!T65</f>
        <v>3.7902191798467812E-3</v>
      </c>
      <c r="T128" s="117">
        <f>'8.1 - CRONOGRAMA'!U65</f>
        <v>7.4065986821117476E-3</v>
      </c>
      <c r="U128" s="117">
        <f>'8.1 - CRONOGRAMA'!V65</f>
        <v>3.1607464586343587E-3</v>
      </c>
      <c r="V128" s="117">
        <f>'8.1 - CRONOGRAMA'!W65</f>
        <v>8.5421529477382879E-3</v>
      </c>
      <c r="W128" s="117">
        <f>'8.1 - CRONOGRAMA'!X65</f>
        <v>2.7307279936170561E-2</v>
      </c>
      <c r="X128" s="117">
        <f>'8.1 - CRONOGRAMA'!Y65</f>
        <v>5.8804967757028558E-2</v>
      </c>
      <c r="Y128" s="117">
        <f>'8.1 - CRONOGRAMA'!Z65</f>
        <v>1.1280882287550409E-3</v>
      </c>
      <c r="Z128" s="117">
        <f>'8.1 - CRONOGRAMA'!AA65</f>
        <v>1.4188528829717354E-3</v>
      </c>
      <c r="AA128" s="117">
        <f>'8.1 - CRONOGRAMA'!AB65</f>
        <v>0</v>
      </c>
      <c r="AB128" s="117">
        <f>'8.1 - CRONOGRAMA'!AC65</f>
        <v>0.14216306630562064</v>
      </c>
      <c r="AC128" s="117">
        <f>'8.1 - CRONOGRAMA'!AD65</f>
        <v>1.0426818378186363E-2</v>
      </c>
      <c r="AD128" s="117">
        <f>'8.1 - CRONOGRAMA'!AE65</f>
        <v>1.3482745435701526E-3</v>
      </c>
      <c r="AE128" s="117">
        <f>'8.1 - CRONOGRAMA'!AF65</f>
        <v>3.5938198740522384E-2</v>
      </c>
      <c r="AF128" s="117">
        <f>'8.1 - CRONOGRAMA'!AG65</f>
        <v>0.22487042839735075</v>
      </c>
      <c r="AG128" s="117">
        <f>'8.1 - CRONOGRAMA'!AH65</f>
        <v>4.6602702009715408E-3</v>
      </c>
      <c r="AH128" s="117">
        <f>'8.1 - CRONOGRAMA'!AI65</f>
        <v>7.154677922970433E-2</v>
      </c>
      <c r="AI128" s="117">
        <f>'8.1 - CRONOGRAMA'!AJ65</f>
        <v>2.6824657275589667E-2</v>
      </c>
      <c r="AJ128" s="117">
        <f>'8.1 - CRONOGRAMA'!AK65</f>
        <v>1.3736002592263055E-2</v>
      </c>
      <c r="AK128" s="117">
        <f>'8.1 - CRONOGRAMA'!AL65</f>
        <v>4.8635716061023572E-3</v>
      </c>
      <c r="AL128" s="117">
        <f>'8.1 - CRONOGRAMA'!AM65</f>
        <v>4.7136802161726315E-3</v>
      </c>
      <c r="AM128" s="117">
        <f>'8.1 - CRONOGRAMA'!AN65</f>
        <v>1.9007505185592512E-3</v>
      </c>
      <c r="AN128" s="117">
        <f>'8.1 - CRONOGRAMA'!AO65</f>
        <v>6.5351253311384091E-4</v>
      </c>
      <c r="AO128" s="117"/>
    </row>
    <row r="129" spans="2:41">
      <c r="B129" s="1902"/>
      <c r="C129" s="116" t="s">
        <v>265</v>
      </c>
      <c r="D129" s="118">
        <f>'8.1 - CRONOGRAMA'!E66</f>
        <v>1.8501713029862304E-3</v>
      </c>
      <c r="E129" s="118">
        <f>'8.1 - CRONOGRAMA'!F66</f>
        <v>1.9983067655424086E-3</v>
      </c>
      <c r="F129" s="118">
        <f>'8.1 - CRONOGRAMA'!G66</f>
        <v>2.9827322716229678E-4</v>
      </c>
      <c r="G129" s="118">
        <f>'8.1 - CRONOGRAMA'!H66</f>
        <v>2.6658119942684078E-3</v>
      </c>
      <c r="H129" s="118">
        <f>'8.1 - CRONOGRAMA'!I66</f>
        <v>0</v>
      </c>
      <c r="I129" s="118">
        <f>'8.1 - CRONOGRAMA'!J66</f>
        <v>5.4358835145548325E-2</v>
      </c>
      <c r="J129" s="118">
        <f>'8.1 - CRONOGRAMA'!K66</f>
        <v>1.0371813021239788E-2</v>
      </c>
      <c r="K129" s="118">
        <f>'8.1 - CRONOGRAMA'!L66</f>
        <v>6.0855787695715327E-3</v>
      </c>
      <c r="L129" s="118">
        <f>'8.1 - CRONOGRAMA'!M66</f>
        <v>5.8208858611780382E-3</v>
      </c>
      <c r="M129" s="118">
        <f>'8.1 - CRONOGRAMA'!N66</f>
        <v>0</v>
      </c>
      <c r="N129" s="118">
        <f>'8.1 - CRONOGRAMA'!O66</f>
        <v>8.8195206264502723E-2</v>
      </c>
      <c r="O129" s="118">
        <f>'8.1 - CRONOGRAMA'!P66</f>
        <v>7.5331105490521216E-2</v>
      </c>
      <c r="P129" s="118">
        <f>'8.1 - CRONOGRAMA'!Q66</f>
        <v>2.4721875459954913E-3</v>
      </c>
      <c r="Q129" s="118">
        <f>'8.1 - CRONOGRAMA'!R66</f>
        <v>1.522674120149821E-3</v>
      </c>
      <c r="R129" s="118">
        <f>'8.1 - CRONOGRAMA'!S66</f>
        <v>3.72933595877294E-4</v>
      </c>
      <c r="S129" s="118">
        <f>'8.1 - CRONOGRAMA'!T66</f>
        <v>3.7902191798467812E-3</v>
      </c>
      <c r="T129" s="118">
        <f>'8.1 - CRONOGRAMA'!U66</f>
        <v>7.4065986821117476E-3</v>
      </c>
      <c r="U129" s="118">
        <f>'8.1 - CRONOGRAMA'!V66</f>
        <v>3.1607464586343587E-3</v>
      </c>
      <c r="V129" s="118">
        <f>'8.1 - CRONOGRAMA'!W66</f>
        <v>8.5421529477382879E-3</v>
      </c>
      <c r="W129" s="118">
        <f>'8.1 - CRONOGRAMA'!X66</f>
        <v>2.7307279936170561E-2</v>
      </c>
      <c r="X129" s="118">
        <f>'8.1 - CRONOGRAMA'!Y66</f>
        <v>5.8804967757028558E-2</v>
      </c>
      <c r="Y129" s="118">
        <f>'8.1 - CRONOGRAMA'!Z66</f>
        <v>1.1280882287550409E-3</v>
      </c>
      <c r="Z129" s="118">
        <f>'8.1 - CRONOGRAMA'!AA66</f>
        <v>1.4188528829717354E-3</v>
      </c>
      <c r="AA129" s="118">
        <f>'8.1 - CRONOGRAMA'!AB66</f>
        <v>9.6175884467912601E-3</v>
      </c>
      <c r="AB129" s="118">
        <f>'8.1 - CRONOGRAMA'!AC66</f>
        <v>1.9162297065812038E-2</v>
      </c>
      <c r="AC129" s="118">
        <f>'8.1 - CRONOGRAMA'!AD66</f>
        <v>2.189456498479489E-2</v>
      </c>
      <c r="AD129" s="118">
        <f>'8.1 - CRONOGRAMA'!AE66</f>
        <v>0.20861033230035395</v>
      </c>
      <c r="AE129" s="118">
        <f>'8.1 - CRONOGRAMA'!AF66</f>
        <v>0.26323359916368344</v>
      </c>
      <c r="AF129" s="118">
        <f>'8.1 - CRONOGRAMA'!AG66</f>
        <v>9.809154889874494E-2</v>
      </c>
      <c r="AG129" s="118">
        <f>'8.1 - CRONOGRAMA'!AH66</f>
        <v>8.8854455910352577E-3</v>
      </c>
      <c r="AH129" s="118">
        <f>'8.1 - CRONOGRAMA'!AI66</f>
        <v>1.2669890618306229E-3</v>
      </c>
      <c r="AI129" s="118">
        <f>'8.1 - CRONOGRAMA'!AJ66</f>
        <v>1.2669890618306229E-3</v>
      </c>
      <c r="AJ129" s="118">
        <f>'8.1 - CRONOGRAMA'!AK66</f>
        <v>1.2669890618306229E-3</v>
      </c>
      <c r="AK129" s="118">
        <f>'8.1 - CRONOGRAMA'!AL66</f>
        <v>1.2669890618306229E-3</v>
      </c>
      <c r="AL129" s="118">
        <f>'8.1 - CRONOGRAMA'!AM66</f>
        <v>1.2669890618306229E-3</v>
      </c>
      <c r="AM129" s="118">
        <f>'8.1 - CRONOGRAMA'!AN66</f>
        <v>1.2669890618306229E-3</v>
      </c>
      <c r="AN129" s="118">
        <f>'8.1 - CRONOGRAMA'!AO66</f>
        <v>0</v>
      </c>
      <c r="AO129" s="118"/>
    </row>
    <row r="130" spans="2:41">
      <c r="B130" s="1902" t="s">
        <v>341</v>
      </c>
      <c r="C130" s="116" t="s">
        <v>264</v>
      </c>
      <c r="D130" s="117">
        <f>D128</f>
        <v>1.8501713029862304E-3</v>
      </c>
      <c r="E130" s="117">
        <f t="shared" ref="E130:Q130" si="15">E128+D130</f>
        <v>3.8484780685286392E-3</v>
      </c>
      <c r="F130" s="117">
        <f t="shared" si="15"/>
        <v>4.1467512956909359E-3</v>
      </c>
      <c r="G130" s="117">
        <f t="shared" si="15"/>
        <v>6.8125632899593436E-3</v>
      </c>
      <c r="H130" s="117">
        <f t="shared" si="15"/>
        <v>6.8125632899593436E-3</v>
      </c>
      <c r="I130" s="117">
        <f t="shared" si="15"/>
        <v>6.1171398435507666E-2</v>
      </c>
      <c r="J130" s="117">
        <f t="shared" si="15"/>
        <v>7.1543211456747455E-2</v>
      </c>
      <c r="K130" s="117">
        <f t="shared" si="15"/>
        <v>7.7628790226318994E-2</v>
      </c>
      <c r="L130" s="117">
        <f t="shared" si="15"/>
        <v>8.3449676087497038E-2</v>
      </c>
      <c r="M130" s="117">
        <f t="shared" si="15"/>
        <v>8.3449676087497038E-2</v>
      </c>
      <c r="N130" s="117">
        <f t="shared" si="15"/>
        <v>0.17164488235199976</v>
      </c>
      <c r="O130" s="117">
        <f t="shared" si="15"/>
        <v>0.24697598784252098</v>
      </c>
      <c r="P130" s="117">
        <f t="shared" si="15"/>
        <v>0.24944817538851646</v>
      </c>
      <c r="Q130" s="117">
        <f t="shared" si="15"/>
        <v>0.25097084950866627</v>
      </c>
      <c r="R130" s="117">
        <f t="shared" ref="R130:Z130" si="16">R128+Q130</f>
        <v>0.25134378310454358</v>
      </c>
      <c r="S130" s="117">
        <f t="shared" si="16"/>
        <v>0.25513400228439037</v>
      </c>
      <c r="T130" s="117">
        <f t="shared" si="16"/>
        <v>0.26254060096650211</v>
      </c>
      <c r="U130" s="117">
        <f t="shared" si="16"/>
        <v>0.26570134742513646</v>
      </c>
      <c r="V130" s="117">
        <f t="shared" si="16"/>
        <v>0.27424350037287476</v>
      </c>
      <c r="W130" s="117">
        <f t="shared" si="16"/>
        <v>0.30155078030904531</v>
      </c>
      <c r="X130" s="117">
        <f t="shared" si="16"/>
        <v>0.36035574806607384</v>
      </c>
      <c r="Y130" s="117">
        <f t="shared" si="16"/>
        <v>0.36148383629482889</v>
      </c>
      <c r="Z130" s="117">
        <f t="shared" si="16"/>
        <v>0.36290268917780061</v>
      </c>
      <c r="AA130" s="117">
        <f t="shared" ref="AA130:AA131" si="17">AA128+Z130</f>
        <v>0.36290268917780061</v>
      </c>
      <c r="AB130" s="117">
        <f t="shared" ref="AB130:AB131" si="18">AB128+AA130</f>
        <v>0.50506575548342125</v>
      </c>
      <c r="AC130" s="117">
        <f t="shared" ref="AC130:AC131" si="19">AC128+AB130</f>
        <v>0.51549257386160763</v>
      </c>
      <c r="AD130" s="117">
        <f t="shared" ref="AD130:AD131" si="20">AD128+AC130</f>
        <v>0.51684084840517774</v>
      </c>
      <c r="AE130" s="117">
        <f t="shared" ref="AE130:AE131" si="21">AE128+AD130</f>
        <v>0.55277904714570014</v>
      </c>
      <c r="AF130" s="117">
        <f t="shared" ref="AF130:AF131" si="22">AF128+AE130</f>
        <v>0.77764947554305086</v>
      </c>
      <c r="AG130" s="117">
        <f t="shared" ref="AG130:AG131" si="23">AG128+AF130</f>
        <v>0.78230974574402246</v>
      </c>
      <c r="AH130" s="117">
        <f t="shared" ref="AH130:AH131" si="24">AH128+AG130</f>
        <v>0.85385652497372677</v>
      </c>
      <c r="AI130" s="117">
        <f t="shared" ref="AI130:AI131" si="25">AI128+AH130</f>
        <v>0.88068118224931646</v>
      </c>
      <c r="AJ130" s="117">
        <f t="shared" ref="AJ130:AJ131" si="26">AJ128+AI130</f>
        <v>0.8944171848415795</v>
      </c>
      <c r="AK130" s="117">
        <f t="shared" ref="AK130:AK131" si="27">AK128+AJ130</f>
        <v>0.89928075644768191</v>
      </c>
      <c r="AL130" s="117">
        <f t="shared" ref="AL130:AL131" si="28">AL128+AK130</f>
        <v>0.90399443666385448</v>
      </c>
      <c r="AM130" s="117">
        <f t="shared" ref="AM130:AM131" si="29">AM128+AL130</f>
        <v>0.90589518718241369</v>
      </c>
      <c r="AN130" s="117">
        <f t="shared" ref="AN130:AN131" si="30">AN128+AM130</f>
        <v>0.90654869971552754</v>
      </c>
      <c r="AO130" s="117"/>
    </row>
    <row r="131" spans="2:41">
      <c r="B131" s="1902"/>
      <c r="C131" s="116" t="s">
        <v>265</v>
      </c>
      <c r="D131" s="118">
        <f>D129</f>
        <v>1.8501713029862304E-3</v>
      </c>
      <c r="E131" s="118">
        <f>E129+D131</f>
        <v>3.8484780685286392E-3</v>
      </c>
      <c r="F131" s="118">
        <f t="shared" ref="F131:Q131" si="31">F129+E131</f>
        <v>4.1467512956909359E-3</v>
      </c>
      <c r="G131" s="118">
        <f>G129+F131</f>
        <v>6.8125632899593436E-3</v>
      </c>
      <c r="H131" s="118">
        <f>H129+G131</f>
        <v>6.8125632899593436E-3</v>
      </c>
      <c r="I131" s="118">
        <f t="shared" si="31"/>
        <v>6.1171398435507666E-2</v>
      </c>
      <c r="J131" s="118">
        <f t="shared" si="31"/>
        <v>7.1543211456747455E-2</v>
      </c>
      <c r="K131" s="118">
        <f t="shared" si="31"/>
        <v>7.7628790226318994E-2</v>
      </c>
      <c r="L131" s="118">
        <f t="shared" si="31"/>
        <v>8.3449676087497038E-2</v>
      </c>
      <c r="M131" s="118">
        <f t="shared" si="31"/>
        <v>8.3449676087497038E-2</v>
      </c>
      <c r="N131" s="118">
        <f t="shared" si="31"/>
        <v>0.17164488235199976</v>
      </c>
      <c r="O131" s="118">
        <f t="shared" si="31"/>
        <v>0.24697598784252098</v>
      </c>
      <c r="P131" s="118">
        <f t="shared" si="31"/>
        <v>0.24944817538851646</v>
      </c>
      <c r="Q131" s="118">
        <f t="shared" si="31"/>
        <v>0.25097084950866627</v>
      </c>
      <c r="R131" s="118">
        <f t="shared" ref="R131:Z131" si="32">R129+Q131</f>
        <v>0.25134378310454358</v>
      </c>
      <c r="S131" s="118">
        <f t="shared" si="32"/>
        <v>0.25513400228439037</v>
      </c>
      <c r="T131" s="118">
        <f t="shared" si="32"/>
        <v>0.26254060096650211</v>
      </c>
      <c r="U131" s="118">
        <f t="shared" si="32"/>
        <v>0.26570134742513646</v>
      </c>
      <c r="V131" s="118">
        <f t="shared" si="32"/>
        <v>0.27424350037287476</v>
      </c>
      <c r="W131" s="118">
        <f t="shared" si="32"/>
        <v>0.30155078030904531</v>
      </c>
      <c r="X131" s="118">
        <f t="shared" si="32"/>
        <v>0.36035574806607384</v>
      </c>
      <c r="Y131" s="118">
        <f t="shared" si="32"/>
        <v>0.36148383629482889</v>
      </c>
      <c r="Z131" s="118">
        <f t="shared" si="32"/>
        <v>0.36290268917780061</v>
      </c>
      <c r="AA131" s="118">
        <f t="shared" si="17"/>
        <v>0.37252027762459189</v>
      </c>
      <c r="AB131" s="118">
        <f t="shared" si="18"/>
        <v>0.39168257469040391</v>
      </c>
      <c r="AC131" s="118">
        <f t="shared" si="19"/>
        <v>0.41357713967519882</v>
      </c>
      <c r="AD131" s="118">
        <f t="shared" si="20"/>
        <v>0.6221874719755528</v>
      </c>
      <c r="AE131" s="118">
        <f t="shared" si="21"/>
        <v>0.88542107113923629</v>
      </c>
      <c r="AF131" s="118">
        <f t="shared" si="22"/>
        <v>0.98351262003798123</v>
      </c>
      <c r="AG131" s="118">
        <f t="shared" si="23"/>
        <v>0.99239806562901645</v>
      </c>
      <c r="AH131" s="118">
        <f t="shared" si="24"/>
        <v>0.99366505469084709</v>
      </c>
      <c r="AI131" s="118">
        <f t="shared" si="25"/>
        <v>0.99493204375267774</v>
      </c>
      <c r="AJ131" s="118">
        <f t="shared" si="26"/>
        <v>0.99619903281450839</v>
      </c>
      <c r="AK131" s="118">
        <f t="shared" si="27"/>
        <v>0.99746602187633904</v>
      </c>
      <c r="AL131" s="118">
        <f t="shared" si="28"/>
        <v>0.99873301093816969</v>
      </c>
      <c r="AM131" s="118">
        <f t="shared" si="29"/>
        <v>1.0000000000000002</v>
      </c>
      <c r="AN131" s="118">
        <f t="shared" si="30"/>
        <v>1.0000000000000002</v>
      </c>
      <c r="AO131" s="118"/>
    </row>
  </sheetData>
  <mergeCells count="17">
    <mergeCell ref="C123:AT123"/>
    <mergeCell ref="B128:B129"/>
    <mergeCell ref="B130:B131"/>
    <mergeCell ref="B7:C7"/>
    <mergeCell ref="AP7:AQ7"/>
    <mergeCell ref="E8:M8"/>
    <mergeCell ref="BC56:BH58"/>
    <mergeCell ref="BB59:BI61"/>
    <mergeCell ref="A2:AV3"/>
    <mergeCell ref="B5:C5"/>
    <mergeCell ref="D5:M5"/>
    <mergeCell ref="AP5:AQ5"/>
    <mergeCell ref="AR5:AS5"/>
    <mergeCell ref="B6:C6"/>
    <mergeCell ref="D6:M6"/>
    <mergeCell ref="AP6:AQ6"/>
    <mergeCell ref="D7:O7"/>
  </mergeCells>
  <printOptions horizontalCentered="1"/>
  <pageMargins left="0.39370078740157483" right="0.39370078740157483" top="0.78740157480314965" bottom="0.39370078740157483" header="0" footer="0"/>
  <pageSetup paperSize="9" scale="24" firstPageNumber="22" fitToHeight="0" orientation="landscape" r:id="rId1"/>
  <colBreaks count="2" manualBreakCount="2">
    <brk id="41" max="123" man="1"/>
    <brk id="4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FFFF00"/>
    <pageSetUpPr fitToPage="1"/>
  </sheetPr>
  <dimension ref="A1:GB5439"/>
  <sheetViews>
    <sheetView showGridLines="0" view="pageBreakPreview" zoomScaleNormal="100" zoomScaleSheetLayoutView="100" workbookViewId="0">
      <selection activeCell="C38" sqref="C38"/>
    </sheetView>
  </sheetViews>
  <sheetFormatPr defaultColWidth="9.109375" defaultRowHeight="13.8"/>
  <cols>
    <col min="1" max="1" width="9.109375" style="205"/>
    <col min="2" max="2" width="12.44140625" style="634" customWidth="1"/>
    <col min="3" max="3" width="79.88671875" style="182" customWidth="1"/>
    <col min="4" max="4" width="11.44140625" style="199" customWidth="1"/>
    <col min="5" max="5" width="5.5546875" style="199" customWidth="1"/>
    <col min="6" max="6" width="9.109375" style="217"/>
    <col min="7" max="7" width="9.33203125" style="223" bestFit="1" customWidth="1"/>
    <col min="8" max="8" width="9.109375" style="223"/>
    <col min="9" max="9" width="9.109375" style="182"/>
    <col min="10" max="10" width="55.44140625" style="182" customWidth="1"/>
    <col min="11" max="17" width="9.109375" style="182"/>
    <col min="18" max="18" width="24.44140625" style="182" bestFit="1" customWidth="1"/>
    <col min="19" max="16384" width="9.109375" style="182"/>
  </cols>
  <sheetData>
    <row r="1" spans="1:184" s="180" customFormat="1" ht="15.6">
      <c r="A1" s="204"/>
      <c r="B1" s="570"/>
      <c r="C1" s="36"/>
      <c r="D1" s="241"/>
      <c r="E1" s="242"/>
      <c r="F1" s="216"/>
      <c r="G1" s="1296"/>
      <c r="H1" s="1296"/>
    </row>
    <row r="2" spans="1:184" s="180" customFormat="1" ht="15.6">
      <c r="A2" s="204"/>
      <c r="B2" s="570"/>
      <c r="C2" s="1908" t="s">
        <v>29</v>
      </c>
      <c r="D2" s="243"/>
      <c r="E2" s="242"/>
      <c r="F2" s="216"/>
      <c r="G2" s="1296"/>
      <c r="H2" s="1296"/>
    </row>
    <row r="3" spans="1:184" s="180" customFormat="1" ht="15.6">
      <c r="A3" s="204"/>
      <c r="B3" s="570"/>
      <c r="C3" s="1908"/>
      <c r="D3" s="243"/>
      <c r="E3" s="242"/>
      <c r="F3" s="216"/>
      <c r="G3" s="1296"/>
      <c r="H3" s="1296"/>
    </row>
    <row r="4" spans="1:184" s="180" customFormat="1" ht="15.6">
      <c r="A4" s="204"/>
      <c r="B4" s="570"/>
      <c r="C4" s="1908"/>
      <c r="D4" s="243"/>
      <c r="E4" s="242"/>
      <c r="F4" s="216"/>
      <c r="G4" s="1296"/>
      <c r="H4" s="1296"/>
    </row>
    <row r="5" spans="1:184" s="180" customFormat="1" ht="15.6">
      <c r="A5" s="204"/>
      <c r="B5" s="570"/>
      <c r="C5" s="1908"/>
      <c r="D5" s="243"/>
      <c r="E5" s="242"/>
      <c r="F5" s="216"/>
      <c r="G5" s="1297"/>
      <c r="H5" s="1297"/>
    </row>
    <row r="6" spans="1:184" s="180" customFormat="1" ht="15.6">
      <c r="A6" s="204"/>
      <c r="B6" s="570"/>
      <c r="C6" s="36"/>
      <c r="D6" s="243"/>
      <c r="E6" s="242"/>
      <c r="F6" s="216"/>
      <c r="G6" s="1297"/>
      <c r="H6" s="1297"/>
    </row>
    <row r="7" spans="1:184" s="180" customFormat="1" ht="14.4">
      <c r="A7" s="204"/>
      <c r="B7" s="244" t="s">
        <v>342</v>
      </c>
      <c r="C7" s="245" t="str">
        <f>'INFORM.CONTRA.'!J22</f>
        <v>DP Barros Pavimentação e Construção Ltda</v>
      </c>
      <c r="D7" s="245"/>
      <c r="E7" s="245"/>
      <c r="F7" s="216"/>
      <c r="G7" s="1297"/>
      <c r="H7" s="1297"/>
    </row>
    <row r="8" spans="1:184" s="180" customFormat="1" ht="14.4">
      <c r="A8" s="204"/>
      <c r="B8" s="244" t="s">
        <v>343</v>
      </c>
      <c r="C8" s="571" t="str">
        <f>'INFORM.CONTRA.'!H98</f>
        <v>Região do bairro Pontal das Graças, paralelamente ao “Canal do Dique”</v>
      </c>
      <c r="D8" s="245"/>
      <c r="E8" s="245"/>
      <c r="F8" s="216"/>
      <c r="G8" s="1297"/>
      <c r="H8" s="1297"/>
    </row>
    <row r="9" spans="1:184" s="180" customFormat="1" ht="22.8">
      <c r="A9" s="204"/>
      <c r="B9" s="244" t="s">
        <v>256</v>
      </c>
      <c r="C9" s="245" t="str">
        <f>'INFORM.CONTRA.'!J29</f>
        <v>Execução das Obras de Construção da Estação de Bombeamento de Águas Pluviais Laranja, no Município de Vila Velha/ES, Com Fornecimento de Mão-de-obra e Materiais.</v>
      </c>
      <c r="D9" s="245"/>
      <c r="E9" s="245"/>
      <c r="F9" s="216"/>
      <c r="G9" s="1297"/>
      <c r="H9" s="1297"/>
    </row>
    <row r="10" spans="1:184" s="180" customFormat="1" ht="14.4">
      <c r="A10" s="204"/>
      <c r="B10" s="244" t="s">
        <v>344</v>
      </c>
      <c r="C10" s="246" t="str">
        <f>'INFORM.CONTRA.'!J24</f>
        <v>009/2021</v>
      </c>
      <c r="D10" s="245"/>
      <c r="E10" s="245"/>
      <c r="F10" s="216"/>
      <c r="G10" s="1297"/>
      <c r="H10" s="1297"/>
    </row>
    <row r="11" spans="1:184" s="180" customFormat="1" ht="14.4">
      <c r="A11" s="204"/>
      <c r="B11" s="244" t="s">
        <v>345</v>
      </c>
      <c r="C11" s="247">
        <f>'INFORM.CONTRA.'!AC23</f>
        <v>44328</v>
      </c>
      <c r="D11" s="245"/>
      <c r="E11" s="245"/>
      <c r="F11" s="216"/>
      <c r="G11" s="1297"/>
      <c r="H11" s="1297"/>
    </row>
    <row r="12" spans="1:184" s="180" customFormat="1" ht="13.2">
      <c r="A12" s="204"/>
      <c r="B12" s="248" t="s">
        <v>2559</v>
      </c>
      <c r="C12" s="245"/>
      <c r="D12" s="245"/>
      <c r="E12" s="245"/>
      <c r="F12" s="1909"/>
      <c r="G12" s="1909"/>
      <c r="H12" s="1909"/>
      <c r="I12" s="1909"/>
    </row>
    <row r="13" spans="1:184" s="180" customFormat="1" ht="15.6">
      <c r="A13" s="204"/>
      <c r="B13" s="249"/>
      <c r="C13" s="250"/>
      <c r="D13" s="243"/>
      <c r="E13" s="251"/>
      <c r="F13" s="216"/>
      <c r="G13" s="1296"/>
      <c r="H13" s="1296"/>
    </row>
    <row r="14" spans="1:184" s="180" customFormat="1" ht="15.6">
      <c r="A14" s="204"/>
      <c r="B14" s="1910">
        <v>37</v>
      </c>
      <c r="C14" s="1910"/>
      <c r="D14" s="1910"/>
      <c r="E14" s="1910"/>
      <c r="F14" s="216"/>
      <c r="G14" s="1296"/>
      <c r="H14" s="1296"/>
      <c r="I14" s="181"/>
      <c r="J14" s="229" t="s">
        <v>346</v>
      </c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  <c r="CO14" s="181"/>
      <c r="CP14" s="181"/>
      <c r="CQ14" s="181"/>
      <c r="CR14" s="181"/>
      <c r="CS14" s="181"/>
      <c r="CT14" s="181"/>
      <c r="CU14" s="181"/>
      <c r="CV14" s="181"/>
      <c r="CW14" s="181"/>
      <c r="CX14" s="181"/>
      <c r="CY14" s="181"/>
      <c r="CZ14" s="181"/>
      <c r="DA14" s="181"/>
      <c r="DB14" s="181"/>
      <c r="DC14" s="181"/>
      <c r="DD14" s="181"/>
      <c r="DE14" s="181"/>
      <c r="DF14" s="181"/>
      <c r="DG14" s="181"/>
      <c r="DH14" s="181"/>
      <c r="DI14" s="181"/>
      <c r="DJ14" s="181"/>
      <c r="DK14" s="181"/>
      <c r="DL14" s="181"/>
      <c r="DM14" s="181"/>
      <c r="DN14" s="181"/>
      <c r="DO14" s="181"/>
      <c r="DP14" s="181"/>
      <c r="DQ14" s="181"/>
      <c r="DR14" s="181"/>
      <c r="DS14" s="181"/>
      <c r="DT14" s="181"/>
      <c r="DU14" s="181"/>
      <c r="DV14" s="181"/>
      <c r="DW14" s="181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</row>
    <row r="15" spans="1:184">
      <c r="B15" s="1911" t="str">
        <f>'11 - FINANCEIRA'!A8</f>
        <v>GRUPO 001: ADMINISTRAÇÃO E CANTEIRO</v>
      </c>
      <c r="C15" s="1905"/>
      <c r="D15" s="1905"/>
      <c r="E15" s="1905"/>
      <c r="G15" s="1298"/>
      <c r="H15" s="1298">
        <f>SUM(H17:H436)</f>
        <v>24</v>
      </c>
    </row>
    <row r="16" spans="1:184" s="183" customFormat="1" hidden="1">
      <c r="A16" s="206" t="s">
        <v>262</v>
      </c>
      <c r="B16" s="200" t="str">
        <f>VLOOKUP(A16,'11 - FINANCEIRA'!A:M,1,0)</f>
        <v>1.1</v>
      </c>
      <c r="C16" s="184" t="str">
        <f>VLOOKUP(A16,'11 - FINANCEIRA'!A:M,2,0)</f>
        <v>IMPLANTAÇÃO DO CANTEIRO DE OBRAS</v>
      </c>
      <c r="D16" s="185"/>
      <c r="E16" s="200"/>
      <c r="F16" s="221"/>
      <c r="G16" s="1298"/>
      <c r="H16" s="1298">
        <f>SUM(H17:H23)</f>
        <v>0</v>
      </c>
    </row>
    <row r="17" spans="1:8" ht="39.6" hidden="1">
      <c r="A17" s="205" t="s">
        <v>347</v>
      </c>
      <c r="B17" s="224" t="str">
        <f>VLOOKUP(A17,'11 - FINANCEIRA'!A:M,2,0)</f>
        <v>S020712</v>
      </c>
      <c r="C17" s="178" t="str">
        <f>VLOOKUP(A17,'11 - FINANCEIRA'!A:M,3,0)</f>
        <v>Rede de água com padrão de entrada d'água diâm. 3/4", conf. espec. CESAN, incl. tubos e conexões para alimentação, distribuição, extravasor e limpeza, cons. o padrão a 25m, conf. projeto (1 utilização)</v>
      </c>
      <c r="D17" s="186">
        <f>VLOOKUP(A17,'11 - FINANCEIRA'!A:M,10,0)</f>
        <v>0</v>
      </c>
      <c r="E17" s="187" t="str">
        <f>VLOOKUP(A17,'11 - FINANCEIRA'!A:M,4,0)</f>
        <v>m</v>
      </c>
      <c r="G17" s="1298" t="str">
        <f>IF(D17&gt;0,"POSITIVO",IF(D17=0,"NULO",IF(D17&lt;0,"NEGATIVO")))</f>
        <v>NULO</v>
      </c>
      <c r="H17" s="1298">
        <f>IF(G17="NULO",0,1)</f>
        <v>0</v>
      </c>
    </row>
    <row r="18" spans="1:8" ht="26.4" hidden="1">
      <c r="A18" s="205" t="s">
        <v>348</v>
      </c>
      <c r="B18" s="224" t="str">
        <f>VLOOKUP(A18,'11 - FINANCEIRA'!A:M,2,0)</f>
        <v>S020714</v>
      </c>
      <c r="C18" s="178" t="str">
        <f>VLOOKUP(A18,'11 - FINANCEIRA'!A:M,3,0)</f>
        <v>Rede de esgoto, contendo fossa e filtro, inclusive tubos e conexões de ligação entre caixas, considerando distância de 25m, conforme projeto (1 utilização)</v>
      </c>
      <c r="D18" s="186">
        <f>VLOOKUP(A18,'11 - FINANCEIRA'!A:M,10,0)</f>
        <v>0</v>
      </c>
      <c r="E18" s="187" t="str">
        <f>VLOOKUP(A18,'11 - FINANCEIRA'!A:M,4,0)</f>
        <v>m</v>
      </c>
      <c r="G18" s="1298" t="str">
        <f t="shared" ref="G18:G81" si="0">IF(D18&gt;0,"POSITIVO",IF(D18=0,"NULO",IF(D18&lt;0,"NEGATIVO")))</f>
        <v>NULO</v>
      </c>
      <c r="H18" s="1298">
        <f t="shared" ref="H18:H81" si="1">IF(G18="NULO",0,1)</f>
        <v>0</v>
      </c>
    </row>
    <row r="19" spans="1:8" ht="39.6" hidden="1">
      <c r="A19" s="205" t="s">
        <v>349</v>
      </c>
      <c r="B19" s="224" t="str">
        <f>VLOOKUP(A19,'11 - FINANCEIRA'!A:M,2,0)</f>
        <v>S020713</v>
      </c>
      <c r="C19" s="178" t="str">
        <f>VLOOKUP(A19,'11 - FINANCEIRA'!A:M,3,0)</f>
        <v>Rede de luz, incl. padrão entrada de energia trifás., cabo de ligação até barracões, quadro de distrib., disj. e chave de força (quando necessário), cons. 20m entre padrão entrada e QDG, conf. projeto (1 utilização)</v>
      </c>
      <c r="D19" s="186">
        <f>VLOOKUP(A19,'11 - FINANCEIRA'!A:M,10,0)</f>
        <v>0</v>
      </c>
      <c r="E19" s="187" t="str">
        <f>VLOOKUP(A19,'11 - FINANCEIRA'!A:M,4,0)</f>
        <v>m</v>
      </c>
      <c r="G19" s="1298" t="str">
        <f t="shared" si="0"/>
        <v>NULO</v>
      </c>
      <c r="H19" s="1298">
        <f t="shared" si="1"/>
        <v>0</v>
      </c>
    </row>
    <row r="20" spans="1:8" ht="26.4" hidden="1">
      <c r="A20" s="205" t="s">
        <v>350</v>
      </c>
      <c r="B20" s="224" t="str">
        <f>VLOOKUP(A20,'11 - FINANCEIRA'!A:M,2,0)</f>
        <v>S020711</v>
      </c>
      <c r="C20" s="178" t="str">
        <f>VLOOKUP(A20,'11 - FINANCEIRA'!A:M,3,0)</f>
        <v>Reservatório de poliestileno de 1000 L, incl. suporte em madeira de 7x12cm e 8x7cm, elevado de 4m, conf. projeto (1 utilização)</v>
      </c>
      <c r="D20" s="186">
        <f>VLOOKUP(A20,'11 - FINANCEIRA'!A:M,10,0)</f>
        <v>0</v>
      </c>
      <c r="E20" s="187" t="str">
        <f>VLOOKUP(A20,'11 - FINANCEIRA'!A:M,4,0)</f>
        <v>und</v>
      </c>
      <c r="G20" s="1298" t="str">
        <f t="shared" si="0"/>
        <v>NULO</v>
      </c>
      <c r="H20" s="1298">
        <f t="shared" si="1"/>
        <v>0</v>
      </c>
    </row>
    <row r="21" spans="1:8" ht="39.6" hidden="1">
      <c r="A21" s="205" t="s">
        <v>351</v>
      </c>
      <c r="B21" s="224" t="str">
        <f>VLOOKUP(A21,'11 - FINANCEIRA'!A:M,2,0)</f>
        <v>S020350</v>
      </c>
      <c r="C21" s="178" t="str">
        <f>VLOOKUP(A21,'11 - FINANCEIRA'!A:M,3,0)</f>
        <v>Tapume Telha Metálica Ondulada 0,50mm Branca h=2,20m, incl. montagem estr. mad. 8"x8", c/adesivo "SEDURB" 60x60cm a cada 10m, incl. faixas pint. esmalte sint. cores azul c/ h=30cm e rosa c/ h=10cm (Reaproveitamento 2x)</v>
      </c>
      <c r="D21" s="186">
        <f>VLOOKUP(A21,'11 - FINANCEIRA'!A:M,10,0)</f>
        <v>0</v>
      </c>
      <c r="E21" s="187" t="str">
        <f>VLOOKUP(A21,'11 - FINANCEIRA'!A:M,4,0)</f>
        <v>m</v>
      </c>
      <c r="G21" s="1298" t="str">
        <f t="shared" si="0"/>
        <v>NULO</v>
      </c>
      <c r="H21" s="1298">
        <f t="shared" si="1"/>
        <v>0</v>
      </c>
    </row>
    <row r="22" spans="1:8" hidden="1">
      <c r="A22" s="205" t="s">
        <v>352</v>
      </c>
      <c r="B22" s="188" t="str">
        <f>VLOOKUP(A22,'11 - FINANCEIRA'!A:M,2,0)</f>
        <v>S020305</v>
      </c>
      <c r="C22" s="178" t="str">
        <f>VLOOKUP(A22,'11 - FINANCEIRA'!A:M,3,0)</f>
        <v>Placa de obra nas dimensões de 2.0 x 4.0 m, padrão IOPES</v>
      </c>
      <c r="D22" s="186">
        <f>VLOOKUP(A22,'11 - FINANCEIRA'!A:M,10,0)</f>
        <v>0</v>
      </c>
      <c r="E22" s="188" t="str">
        <f>VLOOKUP(A22,'11 - FINANCEIRA'!A:M,4,0)</f>
        <v>m²</v>
      </c>
      <c r="G22" s="1298" t="str">
        <f t="shared" si="0"/>
        <v>NULO</v>
      </c>
      <c r="H22" s="1298">
        <f t="shared" si="1"/>
        <v>0</v>
      </c>
    </row>
    <row r="23" spans="1:8" ht="26.4" hidden="1">
      <c r="A23" s="205" t="s">
        <v>353</v>
      </c>
      <c r="B23" s="224" t="str">
        <f>VLOOKUP(A23,'11 - FINANCEIRA'!A:M,2,0)</f>
        <v>S200576</v>
      </c>
      <c r="C23" s="178" t="str">
        <f>VLOOKUP(A23,'11 - FINANCEIRA'!A:M,3,0)</f>
        <v>Placa para inauguração de obra em alumínio polido e=4mm, dimensões 40 x 50 cm, gravação em baixo relevo, inclusive pintura e fixação</v>
      </c>
      <c r="D23" s="186">
        <f>VLOOKUP(A23,'11 - FINANCEIRA'!A:M,10,0)</f>
        <v>0</v>
      </c>
      <c r="E23" s="188" t="str">
        <f>VLOOKUP(A23,'11 - FINANCEIRA'!A:M,4,0)</f>
        <v>und</v>
      </c>
      <c r="G23" s="1298" t="str">
        <f t="shared" si="0"/>
        <v>NULO</v>
      </c>
      <c r="H23" s="1298">
        <f t="shared" si="1"/>
        <v>0</v>
      </c>
    </row>
    <row r="24" spans="1:8" s="189" customFormat="1" hidden="1">
      <c r="A24" s="207" t="s">
        <v>269</v>
      </c>
      <c r="B24" s="200" t="str">
        <f>VLOOKUP(A24,'11 - FINANCEIRA'!A:M,1,0)</f>
        <v>1.2</v>
      </c>
      <c r="C24" s="184" t="str">
        <f>VLOOKUP(A24,'11 - FINANCEIRA'!A:M,2,0)</f>
        <v>CANTEIRO DE OBRAS</v>
      </c>
      <c r="D24" s="185"/>
      <c r="E24" s="200"/>
      <c r="F24" s="222"/>
      <c r="G24" s="1298"/>
      <c r="H24" s="1298">
        <f>SUM(H25:H29)</f>
        <v>0</v>
      </c>
    </row>
    <row r="25" spans="1:8" hidden="1">
      <c r="A25" s="205" t="s">
        <v>354</v>
      </c>
      <c r="B25" s="801" t="str">
        <f>VLOOKUP(A25,'11 - FINANCEIRA'!A:M,2,0)</f>
        <v>S020344</v>
      </c>
      <c r="C25" s="179" t="str">
        <f>VLOOKUP(A25,'11 - FINANCEIRA'!A:M,3,0)</f>
        <v>Mobilização e desmobilização de conteiner locado para barracão de obra</v>
      </c>
      <c r="D25" s="193">
        <f>VLOOKUP(A25,'11 - FINANCEIRA'!A:M,10,0)</f>
        <v>0</v>
      </c>
      <c r="E25" s="796" t="str">
        <f>VLOOKUP(A25,'11 - FINANCEIRA'!A:M,4,0)</f>
        <v>und</v>
      </c>
      <c r="G25" s="1298" t="str">
        <f t="shared" si="0"/>
        <v>NULO</v>
      </c>
      <c r="H25" s="1298">
        <f t="shared" si="1"/>
        <v>0</v>
      </c>
    </row>
    <row r="26" spans="1:8" ht="39.6" hidden="1">
      <c r="A26" s="205" t="s">
        <v>355</v>
      </c>
      <c r="B26" s="188" t="str">
        <f>VLOOKUP(A26,'11 - FINANCEIRA'!A:M,2,0)</f>
        <v>S020353</v>
      </c>
      <c r="C26" s="178" t="str">
        <f>VLOOKUP(A26,'11 - FINANCEIRA'!A:M,3,0)</f>
        <v>Aluguel mensal container para refeitorio, incl. porta, 2 janelas, abert p/ ar cond., 2 pt iluminação, 2 tomadas elét. e 1 tomada telef. Isolamento térmico (paredes e teto), piso em comp. Naval pintado, cert. NR18, incl. laudo descontaminação.</v>
      </c>
      <c r="D26" s="186">
        <f>VLOOKUP(A26,'11 - FINANCEIRA'!A:M,10,0)</f>
        <v>0</v>
      </c>
      <c r="E26" s="188" t="str">
        <f>VLOOKUP(A26,'11 - FINANCEIRA'!A:M,4,0)</f>
        <v>ms</v>
      </c>
      <c r="G26" s="1298" t="str">
        <f t="shared" si="0"/>
        <v>NULO</v>
      </c>
      <c r="H26" s="1298">
        <f t="shared" si="1"/>
        <v>0</v>
      </c>
    </row>
    <row r="27" spans="1:8" ht="39.6" hidden="1">
      <c r="A27" s="205" t="s">
        <v>356</v>
      </c>
      <c r="B27" s="188" t="str">
        <f>VLOOKUP(A27,'11 - FINANCEIRA'!A:M,2,0)</f>
        <v>S020355</v>
      </c>
      <c r="C27" s="178" t="str">
        <f>VLOOKUP(A27,'11 - FINANCEIRA'!A:M,3,0)</f>
        <v>Aluguel mensal container sanitário, incl porta, básc, 2 ptos luz, 1 pto aterram., 3vasos, 3lavatórios, calha mictório, 6 chuveiros (1 eletrico), torn.,registros, piso comp. Naval pintado, cert NR18 e laudo descontaminação</v>
      </c>
      <c r="D27" s="186">
        <f>VLOOKUP(A27,'11 - FINANCEIRA'!A:M,10,0)</f>
        <v>0</v>
      </c>
      <c r="E27" s="188" t="str">
        <f>VLOOKUP(A27,'11 - FINANCEIRA'!A:M,4,0)</f>
        <v>ms</v>
      </c>
      <c r="G27" s="1298" t="str">
        <f t="shared" si="0"/>
        <v>NULO</v>
      </c>
      <c r="H27" s="1298">
        <f t="shared" si="1"/>
        <v>0</v>
      </c>
    </row>
    <row r="28" spans="1:8" ht="39.6" hidden="1">
      <c r="A28" s="205" t="s">
        <v>357</v>
      </c>
      <c r="B28" s="188" t="str">
        <f>VLOOKUP(A28,'11 - FINANCEIRA'!A:M,2,0)</f>
        <v>S020352</v>
      </c>
      <c r="C28" s="178" t="str">
        <f>VLOOKUP(A28,'11 - FINANCEIRA'!A:M,3,0)</f>
        <v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v>
      </c>
      <c r="D28" s="186">
        <f>VLOOKUP(A28,'11 - FINANCEIRA'!A:M,10,0)</f>
        <v>0</v>
      </c>
      <c r="E28" s="188" t="str">
        <f>VLOOKUP(A28,'11 - FINANCEIRA'!A:M,4,0)</f>
        <v>ms</v>
      </c>
      <c r="G28" s="1298" t="str">
        <f t="shared" si="0"/>
        <v>NULO</v>
      </c>
      <c r="H28" s="1298">
        <f t="shared" si="1"/>
        <v>0</v>
      </c>
    </row>
    <row r="29" spans="1:8" ht="26.4" hidden="1">
      <c r="A29" s="205" t="s">
        <v>358</v>
      </c>
      <c r="B29" s="188" t="str">
        <f>VLOOKUP(A29,'11 - FINANCEIRA'!A:M,2,0)</f>
        <v>S020356</v>
      </c>
      <c r="C29" s="178" t="str">
        <f>VLOOKUP(A29,'11 - FINANCEIRA'!A:M,3,0)</f>
        <v>Aluguel mensal container para almoxarifado, incl. porta, 2 janelas, 1 pt iluminação, Isolamento térmico (teto), piso em comp. Naval pintado, cert. NR18, incl. laudo descontaminação.</v>
      </c>
      <c r="D29" s="186">
        <f>VLOOKUP(A29,'11 - FINANCEIRA'!A:M,10,0)</f>
        <v>0</v>
      </c>
      <c r="E29" s="188" t="str">
        <f>VLOOKUP(A29,'11 - FINANCEIRA'!A:M,4,0)</f>
        <v>ms</v>
      </c>
      <c r="G29" s="1298" t="str">
        <f t="shared" si="0"/>
        <v>NULO</v>
      </c>
      <c r="H29" s="1298">
        <f t="shared" si="1"/>
        <v>0</v>
      </c>
    </row>
    <row r="30" spans="1:8">
      <c r="B30" s="1904" t="str">
        <f>'11 - FINANCEIRA'!A24</f>
        <v>GRUPO 002: ESTAÇÃO DE BOMBEAMENTO DE ÁGUA PLUVIAL - EBAP LARANJA</v>
      </c>
      <c r="C30" s="1905"/>
      <c r="D30" s="1905"/>
      <c r="E30" s="1905"/>
      <c r="G30" s="1298"/>
      <c r="H30" s="1298">
        <f>SUM(H31:H472)</f>
        <v>12</v>
      </c>
    </row>
    <row r="31" spans="1:8" s="183" customFormat="1" hidden="1">
      <c r="A31" s="206" t="s">
        <v>273</v>
      </c>
      <c r="B31" s="200" t="str">
        <f>VLOOKUP(A31,'11 - FINANCEIRA'!A:M,1,0)</f>
        <v>2.1</v>
      </c>
      <c r="C31" s="184" t="str">
        <f>VLOOKUP(A31,'11 - FINANCEIRA'!A:M,2,0)</f>
        <v>SERVIÇOS DIVERSOS</v>
      </c>
      <c r="D31" s="185"/>
      <c r="E31" s="200"/>
      <c r="F31" s="221"/>
      <c r="G31" s="1298"/>
      <c r="H31" s="1298">
        <f>SUM(H33:H37)</f>
        <v>0</v>
      </c>
    </row>
    <row r="32" spans="1:8" s="189" customFormat="1" hidden="1">
      <c r="A32" s="207" t="s">
        <v>359</v>
      </c>
      <c r="B32" s="200" t="str">
        <f>VLOOKUP(A32,'11 - FINANCEIRA'!A:M,1,0)</f>
        <v>2.1.1</v>
      </c>
      <c r="C32" s="184" t="str">
        <f>VLOOKUP(A32,'11 - FINANCEIRA'!A:M,2,0)</f>
        <v xml:space="preserve">ELEVATÓRIA DE EMERGÊNCIA </v>
      </c>
      <c r="D32" s="185"/>
      <c r="E32" s="200"/>
      <c r="F32" s="222"/>
      <c r="G32" s="1298"/>
      <c r="H32" s="1298">
        <f>SUM(H33:H34)</f>
        <v>0</v>
      </c>
    </row>
    <row r="33" spans="1:8" ht="39.6" hidden="1">
      <c r="A33" s="205" t="s">
        <v>360</v>
      </c>
      <c r="B33" s="801" t="str">
        <f>VLOOKUP(A33,'11 - FINANCEIRA'!A:M,2,0)</f>
        <v>7042</v>
      </c>
      <c r="C33" s="179" t="str">
        <f>VLOOKUP(A33,'11 - FINANCEIRA'!A:M,3,0)</f>
        <v>Motobomba Trash (para água suja) auto escorvante, motor gasolina de 6,41 hp, diâmetros de sucção x recalque: 3" x 3", hm/q = 10 mca / 60 m³/h a 23 mca / 0 m³/h - chp diurno. af_10/2014 (considerado 4 bombas trabalhando até 7 dias no período da obra)</v>
      </c>
      <c r="D33" s="193">
        <f>VLOOKUP(A33,'11 - FINANCEIRA'!A:M,10,0)</f>
        <v>0</v>
      </c>
      <c r="E33" s="796" t="str">
        <f>VLOOKUP(A33,'11 - FINANCEIRA'!A:M,4,0)</f>
        <v>CHP</v>
      </c>
      <c r="G33" s="1298" t="str">
        <f t="shared" si="0"/>
        <v>NULO</v>
      </c>
      <c r="H33" s="1298">
        <f t="shared" si="1"/>
        <v>0</v>
      </c>
    </row>
    <row r="34" spans="1:8" ht="39.6" hidden="1">
      <c r="A34" s="205" t="s">
        <v>361</v>
      </c>
      <c r="B34" s="188" t="str">
        <f>VLOOKUP(A34,'11 - FINANCEIRA'!A:M,2,0)</f>
        <v>7043</v>
      </c>
      <c r="C34" s="178" t="str">
        <f>VLOOKUP(A34,'11 - FINANCEIRA'!A:M,3,0)</f>
        <v>Motobomba Trash (para água suja) auto escorvante, motor gasolina de 6,41 hp, diâmetros de sucção x recalque: 3" x 3", hm/q = 10 mca / 60 m³/h a 23 mca / 0 m³/h - chi diurno. af_10/2014 (considerando 4 bombas a disposição durante 9 meses)</v>
      </c>
      <c r="D34" s="186">
        <f>VLOOKUP(A34,'11 - FINANCEIRA'!A:M,10,0)</f>
        <v>0</v>
      </c>
      <c r="E34" s="188" t="str">
        <f>VLOOKUP(A34,'11 - FINANCEIRA'!A:M,4,0)</f>
        <v>CHI</v>
      </c>
      <c r="G34" s="1298" t="str">
        <f t="shared" si="0"/>
        <v>NULO</v>
      </c>
      <c r="H34" s="1298">
        <f t="shared" si="1"/>
        <v>0</v>
      </c>
    </row>
    <row r="35" spans="1:8" s="183" customFormat="1" hidden="1">
      <c r="A35" s="206" t="s">
        <v>362</v>
      </c>
      <c r="B35" s="635" t="str">
        <f>VLOOKUP(A35,'11 - FINANCEIRA'!A:M,1,0)</f>
        <v>2.1.2</v>
      </c>
      <c r="C35" s="190" t="str">
        <f>VLOOKUP(A35,'11 - FINANCEIRA'!A:M,2,0)</f>
        <v>RETIRADA DE INTERFERÊNCIAS</v>
      </c>
      <c r="D35" s="191"/>
      <c r="E35" s="192"/>
      <c r="F35" s="221"/>
      <c r="G35" s="1298"/>
      <c r="H35" s="1298">
        <f>SUM(H36:H37)</f>
        <v>0</v>
      </c>
    </row>
    <row r="36" spans="1:8" ht="26.4" hidden="1">
      <c r="A36" s="205" t="s">
        <v>363</v>
      </c>
      <c r="B36" s="224" t="str">
        <f>VLOOKUP(A36,'11 - FINANCEIRA'!A:M,2,0)</f>
        <v>CP-1100-022028</v>
      </c>
      <c r="C36" s="178" t="str">
        <f>VLOOKUP(A36,'11 - FINANCEIRA'!A:M,3,0)</f>
        <v>Remoção de poste</v>
      </c>
      <c r="D36" s="186">
        <f>VLOOKUP(A36,'11 - FINANCEIRA'!A:M,10,0)</f>
        <v>0</v>
      </c>
      <c r="E36" s="187" t="str">
        <f>VLOOKUP(A36,'11 - FINANCEIRA'!A:M,4,0)</f>
        <v>CHP</v>
      </c>
      <c r="G36" s="1298" t="str">
        <f t="shared" si="0"/>
        <v>NULO</v>
      </c>
      <c r="H36" s="1298">
        <f t="shared" si="1"/>
        <v>0</v>
      </c>
    </row>
    <row r="37" spans="1:8" hidden="1">
      <c r="A37" s="205" t="s">
        <v>364</v>
      </c>
      <c r="B37" s="224" t="str">
        <f>VLOOKUP(A37,'11 - FINANCEIRA'!A:M,2,0)</f>
        <v>100606</v>
      </c>
      <c r="C37" s="178" t="str">
        <f>VLOOKUP(A37,'11 - FINANCEIRA'!A:M,3,0)</f>
        <v xml:space="preserve">Assentamento de poste de concreto </v>
      </c>
      <c r="D37" s="802">
        <f>VLOOKUP(A37,'11 - FINANCEIRA'!A:M,10,0)</f>
        <v>0</v>
      </c>
      <c r="E37" s="803" t="str">
        <f>VLOOKUP(A37,'11 - FINANCEIRA'!A:M,4,0)</f>
        <v>CHI</v>
      </c>
      <c r="G37" s="1298" t="str">
        <f t="shared" si="0"/>
        <v>NULO</v>
      </c>
      <c r="H37" s="1298">
        <f t="shared" si="1"/>
        <v>0</v>
      </c>
    </row>
    <row r="38" spans="1:8" s="183" customFormat="1">
      <c r="A38" s="206" t="s">
        <v>275</v>
      </c>
      <c r="B38" s="200" t="str">
        <f>VLOOKUP(A38,'11 - FINANCEIRA'!A:M,1,0)</f>
        <v>2.2</v>
      </c>
      <c r="C38" s="184" t="str">
        <f>VLOOKUP(A38,'11 - FINANCEIRA'!A:M,2,0)</f>
        <v>ESTRUTURA</v>
      </c>
      <c r="D38" s="185"/>
      <c r="E38" s="200"/>
      <c r="F38" s="221"/>
      <c r="G38" s="1298"/>
      <c r="H38" s="1298">
        <f>SUM(H39:H59)</f>
        <v>3</v>
      </c>
    </row>
    <row r="39" spans="1:8" ht="26.4" hidden="1">
      <c r="A39" s="205" t="s">
        <v>365</v>
      </c>
      <c r="B39" s="188" t="str">
        <f>VLOOKUP(A39,'11 - FINANCEIRA'!A:M,2,0)</f>
        <v>90087</v>
      </c>
      <c r="C39" s="179" t="str">
        <f>VLOOKUP(A39,'11 - FINANCEIRA'!A:M,3,0)</f>
        <v>Escavação mecanizada de vala, com escavadeira hidráulica (1,2 m³/155 hp), em solo de 1a categoria</v>
      </c>
      <c r="D39" s="193">
        <f>VLOOKUP(A39,'11 - FINANCEIRA'!A:M,10,0)</f>
        <v>0</v>
      </c>
      <c r="E39" s="188" t="str">
        <f>VLOOKUP(A39,'11 - FINANCEIRA'!A:M,4,0)</f>
        <v>m³</v>
      </c>
      <c r="G39" s="1298" t="str">
        <f t="shared" si="0"/>
        <v>NULO</v>
      </c>
      <c r="H39" s="1298">
        <f t="shared" si="1"/>
        <v>0</v>
      </c>
    </row>
    <row r="40" spans="1:8" hidden="1">
      <c r="A40" s="205" t="s">
        <v>366</v>
      </c>
      <c r="B40" s="188" t="str">
        <f>VLOOKUP(A40,'11 - FINANCEIRA'!A:M,2,0)</f>
        <v>5914336</v>
      </c>
      <c r="C40" s="178" t="str">
        <f>VLOOKUP(A40,'11 - FINANCEIRA'!A:M,3,0)</f>
        <v xml:space="preserve">Transporte com caminhão basculante de 12m³ - rodovia pavimentada </v>
      </c>
      <c r="D40" s="186">
        <f>VLOOKUP(A40,'11 - FINANCEIRA'!A:M,10,0)</f>
        <v>0</v>
      </c>
      <c r="E40" s="188" t="str">
        <f>VLOOKUP(A40,'11 - FINANCEIRA'!A:M,4,0)</f>
        <v>tkm</v>
      </c>
      <c r="G40" s="1298" t="str">
        <f t="shared" si="0"/>
        <v>NULO</v>
      </c>
      <c r="H40" s="1298">
        <f t="shared" si="1"/>
        <v>0</v>
      </c>
    </row>
    <row r="41" spans="1:8" ht="39.6" hidden="1">
      <c r="A41" s="205" t="s">
        <v>367</v>
      </c>
      <c r="B41" s="188" t="str">
        <f>VLOOKUP(A41,'11 - FINANCEIRA'!A:M,2,0)</f>
        <v>00004085</v>
      </c>
      <c r="C41" s="178" t="str">
        <f>VLOOKUP(A41,'11 - FINANCEIRA'!A:M,3,0)</f>
        <v>Locação de bomba submersivel para drenagem e esgotamento, motor eletrico trifasico, potencia de 4 cv, diametro de recalque de 3". faixa de operacao: q=60 m³/h (+ ou - 1 m³/h) e amt=2 m; q=11 m³/h (+ ou - 1 m³/h) e amt = 23 m (+ ou - 1 m)</v>
      </c>
      <c r="D41" s="186">
        <f>VLOOKUP(A41,'11 - FINANCEIRA'!A:M,10,0)</f>
        <v>0</v>
      </c>
      <c r="E41" s="188" t="str">
        <f>VLOOKUP(A41,'11 - FINANCEIRA'!A:M,4,0)</f>
        <v>H</v>
      </c>
      <c r="G41" s="1298" t="str">
        <f t="shared" si="0"/>
        <v>NULO</v>
      </c>
      <c r="H41" s="1298">
        <f t="shared" si="1"/>
        <v>0</v>
      </c>
    </row>
    <row r="42" spans="1:8" ht="26.4" hidden="1">
      <c r="A42" s="205" t="s">
        <v>368</v>
      </c>
      <c r="B42" s="224" t="str">
        <f>VLOOKUP(A42,'11 - FINANCEIRA'!A:M,2,0)</f>
        <v>CESAN-7060100030</v>
      </c>
      <c r="C42" s="179" t="str">
        <f>VLOOKUP(A42,'11 - FINANCEIRA'!A:M,3,0)</f>
        <v>Rebaixamento de lençol freático c/ pont filtrantes</v>
      </c>
      <c r="D42" s="193">
        <f>VLOOKUP(A42,'11 - FINANCEIRA'!A:M,10,0)</f>
        <v>0</v>
      </c>
      <c r="E42" s="194" t="str">
        <f>VLOOKUP(A42,'11 - FINANCEIRA'!A:M,4,0)</f>
        <v>mês</v>
      </c>
      <c r="G42" s="1298" t="str">
        <f t="shared" si="0"/>
        <v>NULO</v>
      </c>
      <c r="H42" s="1298">
        <f t="shared" si="1"/>
        <v>0</v>
      </c>
    </row>
    <row r="43" spans="1:8" ht="26.4" hidden="1">
      <c r="A43" s="205" t="s">
        <v>369</v>
      </c>
      <c r="B43" s="224" t="str">
        <f>VLOOKUP(A43,'11 - FINANCEIRA'!A:M,2,0)</f>
        <v>CP-7710-S07134</v>
      </c>
      <c r="C43" s="179" t="str">
        <f>VLOOKUP(A43,'11 - FINANCEIRA'!A:M,3,0)</f>
        <v>Escoramento metálico p/ valas, com pranchas metálicas de 4,7 mm x 30 cm e longarinas e transversinas em perfis de aço, reaproveitamento : 10 vezes</v>
      </c>
      <c r="D43" s="193">
        <f>VLOOKUP(A43,'11 - FINANCEIRA'!A:M,10,0)</f>
        <v>0</v>
      </c>
      <c r="E43" s="194" t="str">
        <f>VLOOKUP(A43,'11 - FINANCEIRA'!A:M,4,0)</f>
        <v>m²</v>
      </c>
      <c r="G43" s="1298" t="str">
        <f t="shared" si="0"/>
        <v>NULO</v>
      </c>
      <c r="H43" s="1298">
        <f t="shared" si="1"/>
        <v>0</v>
      </c>
    </row>
    <row r="44" spans="1:8" ht="26.4" hidden="1">
      <c r="A44" s="205" t="s">
        <v>370</v>
      </c>
      <c r="B44" s="188" t="str">
        <f>VLOOKUP(A44,'11 - FINANCEIRA'!A:M,2,0)</f>
        <v>100322</v>
      </c>
      <c r="C44" s="179" t="str">
        <f>VLOOKUP(A44,'11 - FINANCEIRA'!A:M,3,0)</f>
        <v>Lastro com material granular (pedra britada n.3), aplicado em pisos ou radiers, espessura de 50 cm</v>
      </c>
      <c r="D44" s="193">
        <f>VLOOKUP(A44,'11 - FINANCEIRA'!A:M,10,0)</f>
        <v>0</v>
      </c>
      <c r="E44" s="194" t="str">
        <f>VLOOKUP(A44,'11 - FINANCEIRA'!A:M,4,0)</f>
        <v>m³</v>
      </c>
      <c r="G44" s="1298" t="str">
        <f t="shared" si="0"/>
        <v>NULO</v>
      </c>
      <c r="H44" s="1298">
        <f t="shared" si="1"/>
        <v>0</v>
      </c>
    </row>
    <row r="45" spans="1:8" hidden="1">
      <c r="A45" s="205" t="s">
        <v>371</v>
      </c>
      <c r="B45" s="188" t="str">
        <f>VLOOKUP(A45,'11 - FINANCEIRA'!A:M,2,0)</f>
        <v>96620</v>
      </c>
      <c r="C45" s="179" t="str">
        <f>VLOOKUP(A45,'11 - FINANCEIRA'!A:M,3,0)</f>
        <v>Lastro de concreto magro, aplicado em pisos ou radiers. af_08/2017</v>
      </c>
      <c r="D45" s="193">
        <f>VLOOKUP(A45,'11 - FINANCEIRA'!A:M,10,0)</f>
        <v>0</v>
      </c>
      <c r="E45" s="194" t="str">
        <f>VLOOKUP(A45,'11 - FINANCEIRA'!A:M,4,0)</f>
        <v>m³</v>
      </c>
      <c r="G45" s="1298" t="str">
        <f t="shared" si="0"/>
        <v>NULO</v>
      </c>
      <c r="H45" s="1298">
        <f t="shared" si="1"/>
        <v>0</v>
      </c>
    </row>
    <row r="46" spans="1:8" ht="26.4" hidden="1">
      <c r="A46" s="205" t="s">
        <v>372</v>
      </c>
      <c r="B46" s="188" t="str">
        <f>VLOOKUP(A46,'11 - FINANCEIRA'!A:M,2,0)</f>
        <v>92452</v>
      </c>
      <c r="C46" s="179" t="str">
        <f>VLOOKUP(A46,'11 - FINANCEIRA'!A:M,3,0)</f>
        <v>Montagem e desmontagem de fôrma, escoramento metálico, pé-direito simples, em chapa de madeira resinada, 2 utilizações. af_12/2015</v>
      </c>
      <c r="D46" s="193">
        <f>VLOOKUP(A46,'11 - FINANCEIRA'!A:M,10,0)</f>
        <v>0</v>
      </c>
      <c r="E46" s="194" t="str">
        <f>VLOOKUP(A46,'11 - FINANCEIRA'!A:M,4,0)</f>
        <v>m²</v>
      </c>
      <c r="G46" s="1298" t="str">
        <f t="shared" si="0"/>
        <v>NULO</v>
      </c>
      <c r="H46" s="1298">
        <f t="shared" si="1"/>
        <v>0</v>
      </c>
    </row>
    <row r="47" spans="1:8">
      <c r="A47" s="205" t="s">
        <v>373</v>
      </c>
      <c r="B47" s="188" t="str">
        <f>VLOOKUP(A47,'11 - FINANCEIRA'!A:M,2,0)</f>
        <v>1106282</v>
      </c>
      <c r="C47" s="179" t="str">
        <f>VLOOKUP(A47,'11 - FINANCEIRA'!A:M,3,0)</f>
        <v>Concreto para bombeamento fck = 40 mpa</v>
      </c>
      <c r="D47" s="193">
        <f>VLOOKUP(A47,'11 - FINANCEIRA'!A:M,10,0)</f>
        <v>19.370000000000005</v>
      </c>
      <c r="E47" s="194" t="str">
        <f>VLOOKUP(A47,'11 - FINANCEIRA'!A:M,4,0)</f>
        <v>m³</v>
      </c>
      <c r="G47" s="1298" t="str">
        <f t="shared" si="0"/>
        <v>POSITIVO</v>
      </c>
      <c r="H47" s="1298">
        <f t="shared" si="1"/>
        <v>1</v>
      </c>
    </row>
    <row r="48" spans="1:8">
      <c r="A48" s="205" t="s">
        <v>374</v>
      </c>
      <c r="B48" s="188" t="str">
        <f>VLOOKUP(A48,'11 - FINANCEIRA'!A:M,2,0)</f>
        <v>00025950</v>
      </c>
      <c r="C48" s="179" t="str">
        <f>VLOOKUP(A48,'11 - FINANCEIRA'!A:M,3,0)</f>
        <v xml:space="preserve">Servico de bombeamento de concreto </v>
      </c>
      <c r="D48" s="193">
        <f>VLOOKUP(A48,'11 - FINANCEIRA'!A:M,10,0)</f>
        <v>19.370000000000005</v>
      </c>
      <c r="E48" s="194" t="str">
        <f>VLOOKUP(A48,'11 - FINANCEIRA'!A:M,4,0)</f>
        <v>m³</v>
      </c>
      <c r="G48" s="1298" t="str">
        <f t="shared" si="0"/>
        <v>POSITIVO</v>
      </c>
      <c r="H48" s="1298">
        <f t="shared" si="1"/>
        <v>1</v>
      </c>
    </row>
    <row r="49" spans="1:8" hidden="1">
      <c r="A49" s="205" t="s">
        <v>375</v>
      </c>
      <c r="B49" s="188" t="str">
        <f>VLOOKUP(A49,'11 - FINANCEIRA'!A:M,2,0)</f>
        <v>0407820</v>
      </c>
      <c r="C49" s="179" t="str">
        <f>VLOOKUP(A49,'11 - FINANCEIRA'!A:M,3,0)</f>
        <v>Armação em aço ca-60 - fornecimento, preparo e colocação</v>
      </c>
      <c r="D49" s="193">
        <f>VLOOKUP(A49,'11 - FINANCEIRA'!A:M,10,0)</f>
        <v>0</v>
      </c>
      <c r="E49" s="194" t="str">
        <f>VLOOKUP(A49,'11 - FINANCEIRA'!A:M,4,0)</f>
        <v>Kg</v>
      </c>
      <c r="G49" s="1298" t="str">
        <f t="shared" si="0"/>
        <v>NULO</v>
      </c>
      <c r="H49" s="1298">
        <f t="shared" si="1"/>
        <v>0</v>
      </c>
    </row>
    <row r="50" spans="1:8">
      <c r="A50" s="205" t="s">
        <v>376</v>
      </c>
      <c r="B50" s="188" t="str">
        <f>VLOOKUP(A50,'11 - FINANCEIRA'!A:M,2,0)</f>
        <v>0407819</v>
      </c>
      <c r="C50" s="179" t="str">
        <f>VLOOKUP(A50,'11 - FINANCEIRA'!A:M,3,0)</f>
        <v>Armação em aço ca-50 - fornecimento, preparo e colocação</v>
      </c>
      <c r="D50" s="193">
        <f>VLOOKUP(A50,'11 - FINANCEIRA'!A:M,10,0)</f>
        <v>79.152919999993173</v>
      </c>
      <c r="E50" s="194" t="str">
        <f>VLOOKUP(A50,'11 - FINANCEIRA'!A:M,4,0)</f>
        <v>Kg</v>
      </c>
      <c r="G50" s="1298" t="str">
        <f t="shared" si="0"/>
        <v>POSITIVO</v>
      </c>
      <c r="H50" s="1298">
        <f t="shared" si="1"/>
        <v>1</v>
      </c>
    </row>
    <row r="51" spans="1:8" hidden="1">
      <c r="A51" s="205" t="s">
        <v>377</v>
      </c>
      <c r="B51" s="224" t="str">
        <f>VLOOKUP(A51,'11 - FINANCEIRA'!A:M,2,0)</f>
        <v>94333</v>
      </c>
      <c r="C51" s="178" t="str">
        <f>VLOOKUP(A51,'11 - FINANCEIRA'!A:M,3,0)</f>
        <v>Aterro mecanizado de vala com escavadeira hidráulica</v>
      </c>
      <c r="D51" s="186">
        <f>VLOOKUP(A51,'11 - FINANCEIRA'!A:M,10,0)</f>
        <v>0</v>
      </c>
      <c r="E51" s="187" t="str">
        <f>VLOOKUP(A51,'11 - FINANCEIRA'!A:M,4,0)</f>
        <v>m³</v>
      </c>
      <c r="G51" s="1298" t="str">
        <f t="shared" si="0"/>
        <v>NULO</v>
      </c>
      <c r="H51" s="1298">
        <f t="shared" si="1"/>
        <v>0</v>
      </c>
    </row>
    <row r="52" spans="1:8" hidden="1">
      <c r="A52" s="205" t="s">
        <v>378</v>
      </c>
      <c r="B52" s="224" t="str">
        <f>VLOOKUP(A52,'11 - FINANCEIRA'!A:M,2,0)</f>
        <v>4915671</v>
      </c>
      <c r="C52" s="178" t="str">
        <f>VLOOKUP(A52,'11 - FINANCEIRA'!A:M,3,0)</f>
        <v>Reaterro e compactação com soquete vibratório</v>
      </c>
      <c r="D52" s="186">
        <f>VLOOKUP(A52,'11 - FINANCEIRA'!A:M,10,0)</f>
        <v>0</v>
      </c>
      <c r="E52" s="187" t="str">
        <f>VLOOKUP(A52,'11 - FINANCEIRA'!A:M,4,0)</f>
        <v>m³</v>
      </c>
      <c r="G52" s="1298" t="str">
        <f t="shared" si="0"/>
        <v>NULO</v>
      </c>
      <c r="H52" s="1298">
        <f t="shared" si="1"/>
        <v>0</v>
      </c>
    </row>
    <row r="53" spans="1:8" ht="26.4" hidden="1">
      <c r="A53" s="205" t="s">
        <v>379</v>
      </c>
      <c r="B53" s="188" t="str">
        <f>VLOOKUP(A53,'11 - FINANCEIRA'!A:M,2,0)</f>
        <v>COMP-645387</v>
      </c>
      <c r="C53" s="179" t="str">
        <f>VLOOKUP(A53,'11 - FINANCEIRA'!A:M,3,0)</f>
        <v>Destinação final de resíduos classe ii a em aterro sanitário controlado (bdi reduzido de 14,02%) - BDI = 14,02</v>
      </c>
      <c r="D53" s="193">
        <f>VLOOKUP(A53,'11 - FINANCEIRA'!A:M,10,0)</f>
        <v>0</v>
      </c>
      <c r="E53" s="194" t="str">
        <f>VLOOKUP(A53,'11 - FINANCEIRA'!A:M,4,0)</f>
        <v>T</v>
      </c>
      <c r="G53" s="1298" t="str">
        <f t="shared" si="0"/>
        <v>NULO</v>
      </c>
      <c r="H53" s="1298">
        <f t="shared" si="1"/>
        <v>0</v>
      </c>
    </row>
    <row r="54" spans="1:8" hidden="1">
      <c r="A54" s="205" t="s">
        <v>380</v>
      </c>
      <c r="B54" s="224" t="str">
        <f>VLOOKUP(A54,'11 - FINANCEIRA'!A:M,2,0)</f>
        <v>00001332</v>
      </c>
      <c r="C54" s="179" t="str">
        <f>VLOOKUP(A54,'11 - FINANCEIRA'!A:M,3,0)</f>
        <v>Chapa de aco grossa, astm a36, e = 3/8 " (9,53 mm) 74,69 kg/m² para fechamento dos poços</v>
      </c>
      <c r="D54" s="193">
        <f>VLOOKUP(A54,'11 - FINANCEIRA'!A:M,10,0)</f>
        <v>0</v>
      </c>
      <c r="E54" s="194" t="str">
        <f>VLOOKUP(A54,'11 - FINANCEIRA'!A:M,4,0)</f>
        <v>Kg</v>
      </c>
      <c r="G54" s="1298" t="str">
        <f t="shared" si="0"/>
        <v>NULO</v>
      </c>
      <c r="H54" s="1298">
        <f t="shared" si="1"/>
        <v>0</v>
      </c>
    </row>
    <row r="55" spans="1:8" s="183" customFormat="1" hidden="1">
      <c r="A55" s="206" t="s">
        <v>381</v>
      </c>
      <c r="B55" s="635" t="str">
        <f>VLOOKUP(A55,'11 - FINANCEIRA'!A:M,1,0)</f>
        <v>2.2.17</v>
      </c>
      <c r="C55" s="190" t="str">
        <f>VLOOKUP(A55,'11 - FINANCEIRA'!A:M,2,0)</f>
        <v>FUNDAÇÃO PARA ELETROCENTRO</v>
      </c>
      <c r="D55" s="191"/>
      <c r="E55" s="192"/>
      <c r="F55" s="221"/>
      <c r="G55" s="1298"/>
      <c r="H55" s="1298">
        <f>SUM(H56:H59)</f>
        <v>0</v>
      </c>
    </row>
    <row r="56" spans="1:8" s="202" customFormat="1" ht="26.4" hidden="1">
      <c r="A56" s="210" t="s">
        <v>382</v>
      </c>
      <c r="B56" s="224" t="str">
        <f>VLOOKUP(A56,'11 - FINANCEIRA'!A:M,2,0)</f>
        <v>5501938</v>
      </c>
      <c r="C56" s="179" t="str">
        <f>VLOOKUP(A56,'11 - FINANCEIRA'!A:M,3,0)</f>
        <v>Escavação, carga e transporte de material de 1ª categoria - dmt de 2.500 a 3.000 m - caminho de serviço pavimentado - com carregadeira e caminhão basculante de 14 m³</v>
      </c>
      <c r="D56" s="193">
        <f>VLOOKUP(A56,'11 - FINANCEIRA'!A:M,10,0)</f>
        <v>0</v>
      </c>
      <c r="E56" s="194" t="str">
        <f>VLOOKUP(A56,'11 - FINANCEIRA'!A:M,4,0)</f>
        <v>m³</v>
      </c>
      <c r="F56" s="217"/>
      <c r="G56" s="1298" t="str">
        <f t="shared" si="0"/>
        <v>NULO</v>
      </c>
      <c r="H56" s="1298">
        <f t="shared" si="1"/>
        <v>0</v>
      </c>
    </row>
    <row r="57" spans="1:8" hidden="1">
      <c r="A57" s="205" t="s">
        <v>383</v>
      </c>
      <c r="B57" s="224" t="str">
        <f>VLOOKUP(A57,'11 - FINANCEIRA'!A:M,2,0)</f>
        <v>0407819</v>
      </c>
      <c r="C57" s="179" t="str">
        <f>VLOOKUP(A57,'11 - FINANCEIRA'!A:M,3,0)</f>
        <v>Armação em aço ca-50 - fornecimento, preparo e colocação</v>
      </c>
      <c r="D57" s="193">
        <f>VLOOKUP(A57,'11 - FINANCEIRA'!A:M,10,0)</f>
        <v>0</v>
      </c>
      <c r="E57" s="194" t="str">
        <f>VLOOKUP(A57,'11 - FINANCEIRA'!A:M,4,0)</f>
        <v>Kg</v>
      </c>
      <c r="G57" s="1298" t="str">
        <f t="shared" si="0"/>
        <v>NULO</v>
      </c>
      <c r="H57" s="1298">
        <f t="shared" si="1"/>
        <v>0</v>
      </c>
    </row>
    <row r="58" spans="1:8" hidden="1">
      <c r="A58" s="205" t="s">
        <v>384</v>
      </c>
      <c r="B58" s="224" t="str">
        <f>VLOOKUP(A58,'11 - FINANCEIRA'!A:M,2,0)</f>
        <v>1106282</v>
      </c>
      <c r="C58" s="179" t="str">
        <f>VLOOKUP(A58,'11 - FINANCEIRA'!A:M,3,0)</f>
        <v xml:space="preserve">Concreto para bombeamento fck = 40 mpa </v>
      </c>
      <c r="D58" s="193">
        <f>VLOOKUP(A58,'11 - FINANCEIRA'!A:M,10,0)</f>
        <v>0</v>
      </c>
      <c r="E58" s="194" t="str">
        <f>VLOOKUP(A58,'11 - FINANCEIRA'!A:M,4,0)</f>
        <v>m³</v>
      </c>
      <c r="G58" s="1298" t="str">
        <f t="shared" si="0"/>
        <v>NULO</v>
      </c>
      <c r="H58" s="1298">
        <f t="shared" si="1"/>
        <v>0</v>
      </c>
    </row>
    <row r="59" spans="1:8" hidden="1">
      <c r="A59" s="205" t="s">
        <v>385</v>
      </c>
      <c r="B59" s="224" t="str">
        <f>VLOOKUP(A59,'11 - FINANCEIRA'!A:M,2,0)</f>
        <v>00025950</v>
      </c>
      <c r="C59" s="179" t="str">
        <f>VLOOKUP(A59,'11 - FINANCEIRA'!A:M,3,0)</f>
        <v xml:space="preserve">Servico de bombeamento de concreto </v>
      </c>
      <c r="D59" s="193">
        <f>VLOOKUP(A59,'11 - FINANCEIRA'!A:M,10,0)</f>
        <v>0</v>
      </c>
      <c r="E59" s="194" t="str">
        <f>VLOOKUP(A59,'11 - FINANCEIRA'!A:M,4,0)</f>
        <v>m³</v>
      </c>
      <c r="G59" s="1298" t="str">
        <f t="shared" si="0"/>
        <v>NULO</v>
      </c>
      <c r="H59" s="1298">
        <f t="shared" si="1"/>
        <v>0</v>
      </c>
    </row>
    <row r="60" spans="1:8" s="183" customFormat="1">
      <c r="A60" s="206" t="s">
        <v>277</v>
      </c>
      <c r="B60" s="635" t="str">
        <f>VLOOKUP(A60,'11 - FINANCEIRA'!A:M,1,0)</f>
        <v>2.3</v>
      </c>
      <c r="C60" s="190" t="str">
        <f>VLOOKUP(A60,'11 - FINANCEIRA'!A:M,2,0)</f>
        <v>ARQUITETURA</v>
      </c>
      <c r="D60" s="191"/>
      <c r="E60" s="192"/>
      <c r="F60" s="221"/>
      <c r="G60" s="1298"/>
      <c r="H60" s="1298">
        <f>SUM(H61:H208)</f>
        <v>2</v>
      </c>
    </row>
    <row r="61" spans="1:8" s="183" customFormat="1" hidden="1">
      <c r="A61" s="206" t="s">
        <v>386</v>
      </c>
      <c r="B61" s="635" t="str">
        <f>VLOOKUP(A61,'11 - FINANCEIRA'!A:M,1,0)</f>
        <v>2.3.1</v>
      </c>
      <c r="C61" s="190" t="str">
        <f>VLOOKUP(A61,'11 - FINANCEIRA'!A:M,2,0)</f>
        <v>ESTRUTURAS PARA APOIO E TANQUE</v>
      </c>
      <c r="D61" s="191"/>
      <c r="E61" s="192"/>
      <c r="F61" s="221"/>
      <c r="G61" s="1298"/>
      <c r="H61" s="1298">
        <f>SUM(H62:H66)</f>
        <v>0</v>
      </c>
    </row>
    <row r="62" spans="1:8" ht="26.4" hidden="1">
      <c r="A62" s="205" t="s">
        <v>387</v>
      </c>
      <c r="B62" s="224" t="str">
        <f>VLOOKUP(A62,'11 - FINANCEIRA'!A:M,2,0)</f>
        <v>92452</v>
      </c>
      <c r="C62" s="179" t="str">
        <f>VLOOKUP(A62,'11 - FINANCEIRA'!A:M,3,0)</f>
        <v>Montagem e desmontagem de fôrma de viga, escoramento metálico, pé-direito simples, em chapa de madeira resinada, 2 utilizações. af_12/2015</v>
      </c>
      <c r="D62" s="193">
        <f>VLOOKUP(A62,'11 - FINANCEIRA'!A:M,10,0)</f>
        <v>0</v>
      </c>
      <c r="E62" s="194" t="str">
        <f>VLOOKUP(A62,'11 - FINANCEIRA'!A:M,4,0)</f>
        <v>m²</v>
      </c>
      <c r="G62" s="1298" t="str">
        <f t="shared" si="0"/>
        <v>NULO</v>
      </c>
      <c r="H62" s="1298">
        <f t="shared" si="1"/>
        <v>0</v>
      </c>
    </row>
    <row r="63" spans="1:8" hidden="1">
      <c r="A63" s="205" t="s">
        <v>388</v>
      </c>
      <c r="B63" s="224" t="str">
        <f>VLOOKUP(A63,'11 - FINANCEIRA'!A:M,2,0)</f>
        <v>0407820</v>
      </c>
      <c r="C63" s="179" t="str">
        <f>VLOOKUP(A63,'11 - FINANCEIRA'!A:M,3,0)</f>
        <v>Armação em aço ca-60 - fornecimento, preparo e colocação</v>
      </c>
      <c r="D63" s="193">
        <f>VLOOKUP(A63,'11 - FINANCEIRA'!A:M,10,0)</f>
        <v>0</v>
      </c>
      <c r="E63" s="194" t="str">
        <f>VLOOKUP(A63,'11 - FINANCEIRA'!A:M,4,0)</f>
        <v>Kg</v>
      </c>
      <c r="G63" s="1298" t="str">
        <f t="shared" si="0"/>
        <v>NULO</v>
      </c>
      <c r="H63" s="1298">
        <f t="shared" si="1"/>
        <v>0</v>
      </c>
    </row>
    <row r="64" spans="1:8" hidden="1">
      <c r="A64" s="205" t="s">
        <v>389</v>
      </c>
      <c r="B64" s="224" t="str">
        <f>VLOOKUP(A64,'11 - FINANCEIRA'!A:M,2,0)</f>
        <v>0407819</v>
      </c>
      <c r="C64" s="179" t="str">
        <f>VLOOKUP(A64,'11 - FINANCEIRA'!A:M,3,0)</f>
        <v>Armação em aço ca-50 - fornecimento, preparo e colocação</v>
      </c>
      <c r="D64" s="193">
        <f>VLOOKUP(A64,'11 - FINANCEIRA'!A:M,10,0)</f>
        <v>0</v>
      </c>
      <c r="E64" s="194" t="str">
        <f>VLOOKUP(A64,'11 - FINANCEIRA'!A:M,4,0)</f>
        <v>Kg</v>
      </c>
      <c r="G64" s="1298" t="str">
        <f t="shared" si="0"/>
        <v>NULO</v>
      </c>
      <c r="H64" s="1298">
        <f t="shared" si="1"/>
        <v>0</v>
      </c>
    </row>
    <row r="65" spans="1:8" hidden="1">
      <c r="A65" s="205" t="s">
        <v>390</v>
      </c>
      <c r="B65" s="224" t="str">
        <f>VLOOKUP(A65,'11 - FINANCEIRA'!A:M,2,0)</f>
        <v>1106282</v>
      </c>
      <c r="C65" s="179" t="str">
        <f>VLOOKUP(A65,'11 - FINANCEIRA'!A:M,3,0)</f>
        <v>Concreto para bombeamento fck = 40 mpa</v>
      </c>
      <c r="D65" s="193">
        <f>VLOOKUP(A65,'11 - FINANCEIRA'!A:M,10,0)</f>
        <v>0</v>
      </c>
      <c r="E65" s="194" t="str">
        <f>VLOOKUP(A65,'11 - FINANCEIRA'!A:M,4,0)</f>
        <v>m³</v>
      </c>
      <c r="G65" s="1298" t="str">
        <f t="shared" si="0"/>
        <v>NULO</v>
      </c>
      <c r="H65" s="1298">
        <f t="shared" si="1"/>
        <v>0</v>
      </c>
    </row>
    <row r="66" spans="1:8" hidden="1">
      <c r="A66" s="205" t="s">
        <v>391</v>
      </c>
      <c r="B66" s="224" t="str">
        <f>VLOOKUP(A66,'11 - FINANCEIRA'!A:M,2,0)</f>
        <v>00025950</v>
      </c>
      <c r="C66" s="179" t="str">
        <f>VLOOKUP(A66,'11 - FINANCEIRA'!A:M,3,0)</f>
        <v xml:space="preserve">Servico de bombeamento de concreto </v>
      </c>
      <c r="D66" s="193">
        <f>VLOOKUP(A66,'11 - FINANCEIRA'!A:M,10,0)</f>
        <v>0</v>
      </c>
      <c r="E66" s="194" t="str">
        <f>VLOOKUP(A66,'11 - FINANCEIRA'!A:M,4,0)</f>
        <v>m³</v>
      </c>
      <c r="G66" s="1298" t="str">
        <f t="shared" si="0"/>
        <v>NULO</v>
      </c>
      <c r="H66" s="1298">
        <f t="shared" si="1"/>
        <v>0</v>
      </c>
    </row>
    <row r="67" spans="1:8" s="183" customFormat="1" hidden="1">
      <c r="A67" s="206" t="s">
        <v>392</v>
      </c>
      <c r="B67" s="635" t="str">
        <f>VLOOKUP(A67,'11 - FINANCEIRA'!A:M,1,0)</f>
        <v>2.3.2</v>
      </c>
      <c r="C67" s="190" t="str">
        <f>VLOOKUP(A67,'11 - FINANCEIRA'!A:M,2,0)</f>
        <v>APOIO  - EXTERNO</v>
      </c>
      <c r="D67" s="191"/>
      <c r="E67" s="192"/>
      <c r="F67" s="221"/>
      <c r="G67" s="1298"/>
      <c r="H67" s="1298">
        <f>SUM(H68:H81)</f>
        <v>0</v>
      </c>
    </row>
    <row r="68" spans="1:8" ht="39.6" hidden="1">
      <c r="A68" s="205" t="s">
        <v>393</v>
      </c>
      <c r="B68" s="224" t="str">
        <f>VLOOKUP(A68,'11 - FINANCEIRA'!A:M,2,0)</f>
        <v>89475</v>
      </c>
      <c r="C68" s="179" t="str">
        <f>VLOOKUP(A68,'11 - FINANCEIRA'!A:M,3,0)</f>
        <v>Alvenaria de blocos de concreto estrutural 14x19x39 cm, (espessura 14 cm), fbk = 4,5 mpa, para paredes com área líquida maior ou igual a 6m², com vãos, utilizando colher de pedreiro. af_12/2014</v>
      </c>
      <c r="D68" s="193">
        <f>VLOOKUP(A68,'11 - FINANCEIRA'!A:M,10,0)</f>
        <v>0</v>
      </c>
      <c r="E68" s="194" t="str">
        <f>VLOOKUP(A68,'11 - FINANCEIRA'!A:M,4,0)</f>
        <v>m²</v>
      </c>
      <c r="G68" s="1298" t="str">
        <f t="shared" si="0"/>
        <v>NULO</v>
      </c>
      <c r="H68" s="1298">
        <f t="shared" si="1"/>
        <v>0</v>
      </c>
    </row>
    <row r="69" spans="1:8" ht="26.4" hidden="1">
      <c r="A69" s="205" t="s">
        <v>394</v>
      </c>
      <c r="B69" s="224" t="str">
        <f>VLOOKUP(A69,'11 - FINANCEIRA'!A:M,2,0)</f>
        <v>91341</v>
      </c>
      <c r="C69" s="179" t="str">
        <f>VLOOKUP(A69,'11 - FINANCEIRA'!A:M,3,0)</f>
        <v>Porta em alumínio de abrir tipo veneziana com guarnição, fixação com parafusos - fornecimento e instalação. af_12/2019</v>
      </c>
      <c r="D69" s="193">
        <f>VLOOKUP(A69,'11 - FINANCEIRA'!A:M,10,0)</f>
        <v>0</v>
      </c>
      <c r="E69" s="194" t="str">
        <f>VLOOKUP(A69,'11 - FINANCEIRA'!A:M,4,0)</f>
        <v>m²</v>
      </c>
      <c r="G69" s="1298" t="str">
        <f t="shared" si="0"/>
        <v>NULO</v>
      </c>
      <c r="H69" s="1298">
        <f t="shared" si="1"/>
        <v>0</v>
      </c>
    </row>
    <row r="70" spans="1:8" hidden="1">
      <c r="A70" s="205" t="s">
        <v>395</v>
      </c>
      <c r="B70" s="224" t="str">
        <f>VLOOKUP(A70,'11 - FINANCEIRA'!A:M,2,0)</f>
        <v>98689</v>
      </c>
      <c r="C70" s="179" t="str">
        <f>VLOOKUP(A70,'11 - FINANCEIRA'!A:M,3,0)</f>
        <v>Soleira em granito, largura 15 cm, espessura 2,0 cm. af_06/2018</v>
      </c>
      <c r="D70" s="193">
        <f>VLOOKUP(A70,'11 - FINANCEIRA'!A:M,10,0)</f>
        <v>0</v>
      </c>
      <c r="E70" s="194" t="str">
        <f>VLOOKUP(A70,'11 - FINANCEIRA'!A:M,4,0)</f>
        <v>M</v>
      </c>
      <c r="G70" s="1298" t="str">
        <f t="shared" si="0"/>
        <v>NULO</v>
      </c>
      <c r="H70" s="1298">
        <f t="shared" si="1"/>
        <v>0</v>
      </c>
    </row>
    <row r="71" spans="1:8" hidden="1">
      <c r="A71" s="205" t="s">
        <v>396</v>
      </c>
      <c r="B71" s="224" t="str">
        <f>VLOOKUP(A71,'11 - FINANCEIRA'!A:M,2,0)</f>
        <v>94569</v>
      </c>
      <c r="C71" s="179" t="str">
        <f>VLOOKUP(A71,'11 - FINANCEIRA'!A:M,3,0)</f>
        <v>Janela de alumínio tipo maxim-ar, com vidros - fornecimento e instalação.</v>
      </c>
      <c r="D71" s="193">
        <f>VLOOKUP(A71,'11 - FINANCEIRA'!A:M,10,0)</f>
        <v>0</v>
      </c>
      <c r="E71" s="194" t="str">
        <f>VLOOKUP(A71,'11 - FINANCEIRA'!A:M,4,0)</f>
        <v>m²</v>
      </c>
      <c r="G71" s="1298" t="str">
        <f t="shared" si="0"/>
        <v>NULO</v>
      </c>
      <c r="H71" s="1298">
        <f t="shared" si="1"/>
        <v>0</v>
      </c>
    </row>
    <row r="72" spans="1:8" ht="26.4" hidden="1">
      <c r="A72" s="205" t="s">
        <v>397</v>
      </c>
      <c r="B72" s="224" t="str">
        <f>VLOOKUP(A72,'11 - FINANCEIRA'!A:M,2,0)</f>
        <v>84088</v>
      </c>
      <c r="C72" s="179" t="str">
        <f>VLOOKUP(A72,'11 - FINANCEIRA'!A:M,3,0)</f>
        <v>Peitoril em marmore branco, largura de 15cm, assentado com argamassa traco 1:4 (cimento e areia media), preparo manual da argamassa</v>
      </c>
      <c r="D72" s="193">
        <f>VLOOKUP(A72,'11 - FINANCEIRA'!A:M,10,0)</f>
        <v>0</v>
      </c>
      <c r="E72" s="194" t="str">
        <f>VLOOKUP(A72,'11 - FINANCEIRA'!A:M,4,0)</f>
        <v>m</v>
      </c>
      <c r="G72" s="1298" t="str">
        <f t="shared" si="0"/>
        <v>NULO</v>
      </c>
      <c r="H72" s="1298">
        <f t="shared" si="1"/>
        <v>0</v>
      </c>
    </row>
    <row r="73" spans="1:8" ht="26.4" hidden="1">
      <c r="A73" s="205" t="s">
        <v>398</v>
      </c>
      <c r="B73" s="224" t="str">
        <f>VLOOKUP(A73,'11 - FINANCEIRA'!A:M,2,0)</f>
        <v>95465</v>
      </c>
      <c r="C73" s="179" t="str">
        <f>VLOOKUP(A73,'11 - FINANCEIRA'!A:M,3,0)</f>
        <v>Cobogó ceramico (elemento vazado), 9x20x20cm, assentado com argamassa traco 1:4 de cimento e areia</v>
      </c>
      <c r="D73" s="193">
        <f>VLOOKUP(A73,'11 - FINANCEIRA'!A:M,10,0)</f>
        <v>0</v>
      </c>
      <c r="E73" s="194" t="str">
        <f>VLOOKUP(A73,'11 - FINANCEIRA'!A:M,4,0)</f>
        <v>m²</v>
      </c>
      <c r="G73" s="1298" t="str">
        <f t="shared" si="0"/>
        <v>NULO</v>
      </c>
      <c r="H73" s="1298">
        <f t="shared" si="1"/>
        <v>0</v>
      </c>
    </row>
    <row r="74" spans="1:8" ht="26.4" hidden="1">
      <c r="A74" s="205" t="s">
        <v>399</v>
      </c>
      <c r="B74" s="224" t="str">
        <f>VLOOKUP(A74,'11 - FINANCEIRA'!A:M,2,0)</f>
        <v>94201</v>
      </c>
      <c r="C74" s="179" t="str">
        <f>VLOOKUP(A74,'11 - FINANCEIRA'!A:M,3,0)</f>
        <v>Telhamento com telha cerâmica capa-canal, tipo colonial, com até 2 águas, incluso transporte vertical. af_07/2019</v>
      </c>
      <c r="D74" s="193">
        <f>VLOOKUP(A74,'11 - FINANCEIRA'!A:M,10,0)</f>
        <v>0</v>
      </c>
      <c r="E74" s="194" t="str">
        <f>VLOOKUP(A74,'11 - FINANCEIRA'!A:M,4,0)</f>
        <v>m²</v>
      </c>
      <c r="G74" s="1298" t="str">
        <f t="shared" si="0"/>
        <v>NULO</v>
      </c>
      <c r="H74" s="1298">
        <f t="shared" si="1"/>
        <v>0</v>
      </c>
    </row>
    <row r="75" spans="1:8" ht="26.4" hidden="1">
      <c r="A75" s="205" t="s">
        <v>400</v>
      </c>
      <c r="B75" s="224" t="str">
        <f>VLOOKUP(A75,'11 - FINANCEIRA'!A:M,2,0)</f>
        <v>92565</v>
      </c>
      <c r="C75" s="179" t="str">
        <f>VLOOKUP(A75,'11 - FINANCEIRA'!A:M,3,0)</f>
        <v>Fabricação e instalação de estrutura pontaletada de madeira não aparelhada para telhados com até 2 águas e para telha cerâmica ou de concreto, incluso transporte vertical. af_12/2015</v>
      </c>
      <c r="D75" s="193">
        <f>VLOOKUP(A75,'11 - FINANCEIRA'!A:M,10,0)</f>
        <v>0</v>
      </c>
      <c r="E75" s="194" t="str">
        <f>VLOOKUP(A75,'11 - FINANCEIRA'!A:M,4,0)</f>
        <v>m²</v>
      </c>
      <c r="G75" s="1298" t="str">
        <f t="shared" si="0"/>
        <v>NULO</v>
      </c>
      <c r="H75" s="1298">
        <f t="shared" si="1"/>
        <v>0</v>
      </c>
    </row>
    <row r="76" spans="1:8" ht="26.4" hidden="1">
      <c r="A76" s="205" t="s">
        <v>401</v>
      </c>
      <c r="B76" s="224" t="str">
        <f>VLOOKUP(A76,'11 - FINANCEIRA'!A:M,2,0)</f>
        <v>73665</v>
      </c>
      <c r="C76" s="179" t="str">
        <f>VLOOKUP(A76,'11 - FINANCEIRA'!A:M,3,0)</f>
        <v>Escada tipo marinheiro em aco ca-50 9,52mm incluso pintura com fundo anticorrosivo tipo zarcao</v>
      </c>
      <c r="D76" s="193">
        <f>VLOOKUP(A76,'11 - FINANCEIRA'!A:M,10,0)</f>
        <v>0</v>
      </c>
      <c r="E76" s="194" t="str">
        <f>VLOOKUP(A76,'11 - FINANCEIRA'!A:M,4,0)</f>
        <v>m</v>
      </c>
      <c r="G76" s="1298" t="str">
        <f t="shared" si="0"/>
        <v>NULO</v>
      </c>
      <c r="H76" s="1298">
        <f t="shared" si="1"/>
        <v>0</v>
      </c>
    </row>
    <row r="77" spans="1:8" hidden="1">
      <c r="A77" s="205" t="s">
        <v>402</v>
      </c>
      <c r="B77" s="224" t="str">
        <f>VLOOKUP(A77,'11 - FINANCEIRA'!A:M,2,0)</f>
        <v>74194/001</v>
      </c>
      <c r="C77" s="179" t="str">
        <f>VLOOKUP(A77,'11 - FINANCEIRA'!A:M,3,0)</f>
        <v>Escada tipo marinheiro em tubo aco galvanizado 1 1/2" 5 degraus</v>
      </c>
      <c r="D77" s="193">
        <f>VLOOKUP(A77,'11 - FINANCEIRA'!A:M,10,0)</f>
        <v>0</v>
      </c>
      <c r="E77" s="194" t="str">
        <f>VLOOKUP(A77,'11 - FINANCEIRA'!A:M,4,0)</f>
        <v>m</v>
      </c>
      <c r="G77" s="1298" t="str">
        <f t="shared" si="0"/>
        <v>NULO</v>
      </c>
      <c r="H77" s="1298">
        <f t="shared" si="1"/>
        <v>0</v>
      </c>
    </row>
    <row r="78" spans="1:8" hidden="1">
      <c r="A78" s="205" t="s">
        <v>403</v>
      </c>
      <c r="B78" s="224" t="str">
        <f>VLOOKUP(A78,'11 - FINANCEIRA'!A:M,2,0)</f>
        <v>88504</v>
      </c>
      <c r="C78" s="179" t="str">
        <f>VLOOKUP(A78,'11 - FINANCEIRA'!A:M,3,0)</f>
        <v>Caixa d´agua em polietileno, 500 litros, com acessórios</v>
      </c>
      <c r="D78" s="193">
        <f>VLOOKUP(A78,'11 - FINANCEIRA'!A:M,10,0)</f>
        <v>0</v>
      </c>
      <c r="E78" s="194" t="str">
        <f>VLOOKUP(A78,'11 - FINANCEIRA'!A:M,4,0)</f>
        <v>und</v>
      </c>
      <c r="G78" s="1298" t="str">
        <f t="shared" si="0"/>
        <v>NULO</v>
      </c>
      <c r="H78" s="1298">
        <f t="shared" si="1"/>
        <v>0</v>
      </c>
    </row>
    <row r="79" spans="1:8" hidden="1">
      <c r="A79" s="205" t="s">
        <v>404</v>
      </c>
      <c r="B79" s="224" t="str">
        <f>VLOOKUP(A79,'11 - FINANCEIRA'!A:M,2,0)</f>
        <v>88489</v>
      </c>
      <c r="C79" s="179" t="str">
        <f>VLOOKUP(A79,'11 - FINANCEIRA'!A:M,3,0)</f>
        <v>Aplicação manual de pintura com tinta látex acrílica em paredes, duas demãos. af_06/2014</v>
      </c>
      <c r="D79" s="193">
        <f>VLOOKUP(A79,'11 - FINANCEIRA'!A:M,10,0)</f>
        <v>0</v>
      </c>
      <c r="E79" s="194" t="str">
        <f>VLOOKUP(A79,'11 - FINANCEIRA'!A:M,4,0)</f>
        <v>m²</v>
      </c>
      <c r="G79" s="1298" t="str">
        <f t="shared" si="0"/>
        <v>NULO</v>
      </c>
      <c r="H79" s="1298">
        <f t="shared" si="1"/>
        <v>0</v>
      </c>
    </row>
    <row r="80" spans="1:8" ht="39.6" hidden="1">
      <c r="A80" s="205" t="s">
        <v>405</v>
      </c>
      <c r="B80" s="224" t="str">
        <f>VLOOKUP(A80,'11 - FINANCEIRA'!A:M,2,0)</f>
        <v>86922</v>
      </c>
      <c r="C80" s="179" t="str">
        <f>VLOOKUP(A80,'11 - FINANCEIRA'!A:M,3,0)</f>
        <v>Tanque de louça branca suspenso, 18l ou equivalente, incluso sifão tipo garrafa em metal cromado, válvula metálica e torneira de metal cromado padrão médio - fornecimento e instalação. af_01/2020</v>
      </c>
      <c r="D80" s="193">
        <f>VLOOKUP(A80,'11 - FINANCEIRA'!A:M,10,0)</f>
        <v>0</v>
      </c>
      <c r="E80" s="194" t="str">
        <f>VLOOKUP(A80,'11 - FINANCEIRA'!A:M,4,0)</f>
        <v>und</v>
      </c>
      <c r="G80" s="1298" t="str">
        <f t="shared" si="0"/>
        <v>NULO</v>
      </c>
      <c r="H80" s="1298">
        <f t="shared" si="1"/>
        <v>0</v>
      </c>
    </row>
    <row r="81" spans="1:8" ht="26.4" hidden="1">
      <c r="A81" s="205" t="s">
        <v>406</v>
      </c>
      <c r="B81" s="224" t="str">
        <f>VLOOKUP(A81,'11 - FINANCEIRA'!A:M,2,0)</f>
        <v>86914</v>
      </c>
      <c r="C81" s="179" t="str">
        <f>VLOOKUP(A81,'11 - FINANCEIRA'!A:M,3,0)</f>
        <v>Torneira cromada 1/2? ou 3/4? para tanque, padrão médio - fornecimento e instalação. af_01/2020</v>
      </c>
      <c r="D81" s="193">
        <f>VLOOKUP(A81,'11 - FINANCEIRA'!A:M,10,0)</f>
        <v>0</v>
      </c>
      <c r="E81" s="194" t="str">
        <f>VLOOKUP(A81,'11 - FINANCEIRA'!A:M,4,0)</f>
        <v>und</v>
      </c>
      <c r="G81" s="1298" t="str">
        <f t="shared" si="0"/>
        <v>NULO</v>
      </c>
      <c r="H81" s="1298">
        <f t="shared" si="1"/>
        <v>0</v>
      </c>
    </row>
    <row r="82" spans="1:8" s="183" customFormat="1" hidden="1">
      <c r="A82" s="206" t="s">
        <v>407</v>
      </c>
      <c r="B82" s="635" t="str">
        <f>VLOOKUP(A82,'11 - FINANCEIRA'!A:M,1,0)</f>
        <v>2.3.3</v>
      </c>
      <c r="C82" s="190" t="str">
        <f>VLOOKUP(A82,'11 - FINANCEIRA'!A:M,2,0)</f>
        <v>I.S. - INTERNO</v>
      </c>
      <c r="D82" s="191"/>
      <c r="E82" s="192"/>
      <c r="F82" s="221"/>
      <c r="G82" s="1298"/>
      <c r="H82" s="1298">
        <f>SUM(H83:H98)</f>
        <v>0</v>
      </c>
    </row>
    <row r="83" spans="1:8" ht="39.6" hidden="1">
      <c r="A83" s="205" t="s">
        <v>408</v>
      </c>
      <c r="B83" s="224" t="str">
        <f>VLOOKUP(A83,'11 - FINANCEIRA'!A:M,2,0)</f>
        <v>89170</v>
      </c>
      <c r="C83" s="179" t="str">
        <f>VLOOKUP(A83,'11 - FINANCEIRA'!A:M,3,0)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83" s="193">
        <f>VLOOKUP(A83,'11 - FINANCEIRA'!A:M,10,0)</f>
        <v>0</v>
      </c>
      <c r="E83" s="194" t="str">
        <f>VLOOKUP(A83,'11 - FINANCEIRA'!A:M,4,0)</f>
        <v>m²</v>
      </c>
      <c r="G83" s="1298" t="str">
        <f t="shared" ref="G83:G145" si="2">IF(D83&gt;0,"POSITIVO",IF(D83=0,"NULO",IF(D83&lt;0,"NEGATIVO")))</f>
        <v>NULO</v>
      </c>
      <c r="H83" s="1298">
        <f t="shared" ref="H83:H145" si="3">IF(G83="NULO",0,1)</f>
        <v>0</v>
      </c>
    </row>
    <row r="84" spans="1:8" hidden="1">
      <c r="A84" s="205" t="s">
        <v>409</v>
      </c>
      <c r="B84" s="224" t="str">
        <f>VLOOKUP(A84,'11 - FINANCEIRA'!A:M,2,0)</f>
        <v>88489</v>
      </c>
      <c r="C84" s="179" t="str">
        <f>VLOOKUP(A84,'11 - FINANCEIRA'!A:M,3,0)</f>
        <v>Aplicação manual de pintura com tinta látex acrílica em paredes, duas demãos. af_06/2014</v>
      </c>
      <c r="D84" s="193">
        <f>VLOOKUP(A84,'11 - FINANCEIRA'!A:M,10,0)</f>
        <v>0</v>
      </c>
      <c r="E84" s="194" t="str">
        <f>VLOOKUP(A84,'11 - FINANCEIRA'!A:M,4,0)</f>
        <v>m²</v>
      </c>
      <c r="G84" s="1298" t="str">
        <f>IF(D84&gt;0,"POSITIVO",IF(D84=0,"NULO",IF(D84&lt;0,"NEGATIVO")))</f>
        <v>NULO</v>
      </c>
      <c r="H84" s="1298">
        <f>IF(G84="NULO",0,1)</f>
        <v>0</v>
      </c>
    </row>
    <row r="85" spans="1:8" hidden="1">
      <c r="A85" s="205" t="s">
        <v>410</v>
      </c>
      <c r="B85" s="224" t="str">
        <f>VLOOKUP(A85,'11 - FINANCEIRA'!A:M,2,0)</f>
        <v>88488</v>
      </c>
      <c r="C85" s="179" t="str">
        <f>VLOOKUP(A85,'11 - FINANCEIRA'!A:M,3,0)</f>
        <v>Aplicação manual de pintura com tinta látex acrílica em teto, duas demãos. af_06/2014</v>
      </c>
      <c r="D85" s="193">
        <f>VLOOKUP(A85,'11 - FINANCEIRA'!A:M,10,0)</f>
        <v>0</v>
      </c>
      <c r="E85" s="194" t="str">
        <f>VLOOKUP(A85,'11 - FINANCEIRA'!A:M,4,0)</f>
        <v>m²</v>
      </c>
      <c r="G85" s="1298" t="str">
        <f>IF(D85&gt;0,"POSITIVO",IF(D85=0,"NULO",IF(D85&lt;0,"NEGATIVO")))</f>
        <v>NULO</v>
      </c>
      <c r="H85" s="1298">
        <f>IF(G85="NULO",0,1)</f>
        <v>0</v>
      </c>
    </row>
    <row r="86" spans="1:8" ht="25.5" hidden="1" customHeight="1">
      <c r="A86" s="205" t="s">
        <v>411</v>
      </c>
      <c r="B86" s="224" t="str">
        <f>VLOOKUP(A86,'11 - FINANCEIRA'!A:M,2,0)</f>
        <v>87250</v>
      </c>
      <c r="C86" s="179" t="str">
        <f>VLOOKUP(A86,'11 - FINANCEIRA'!A:M,3,0)</f>
        <v>Revestimento cerâmico para piso com placas tipo esmaltada extra de dimensões 45x45 cm aplicada em ambientes de área entre 5 m² e 10 m². af_06/2014</v>
      </c>
      <c r="D86" s="193">
        <f>VLOOKUP(A86,'11 - FINANCEIRA'!A:M,10,0)</f>
        <v>0</v>
      </c>
      <c r="E86" s="194" t="str">
        <f>VLOOKUP(A86,'11 - FINANCEIRA'!A:M,4,0)</f>
        <v>m²</v>
      </c>
      <c r="G86" s="1298" t="str">
        <f t="shared" si="2"/>
        <v>NULO</v>
      </c>
      <c r="H86" s="1298">
        <f t="shared" si="3"/>
        <v>0</v>
      </c>
    </row>
    <row r="87" spans="1:8" ht="25.5" hidden="1" customHeight="1">
      <c r="A87" s="205" t="s">
        <v>412</v>
      </c>
      <c r="B87" s="224" t="str">
        <f>VLOOKUP(A87,'11 - FINANCEIRA'!A:M,2,0)</f>
        <v>86903</v>
      </c>
      <c r="C87" s="179" t="str">
        <f>VLOOKUP(A87,'11 - FINANCEIRA'!A:M,3,0)</f>
        <v>Lavatório louça branca com coluna, 45 x 55cm ou equivalente, padrão médio - fornecimento e instalação. af_01/2020</v>
      </c>
      <c r="D87" s="193">
        <f>VLOOKUP(A87,'11 - FINANCEIRA'!A:M,10,0)</f>
        <v>0</v>
      </c>
      <c r="E87" s="194" t="str">
        <f>VLOOKUP(A87,'11 - FINANCEIRA'!A:M,4,0)</f>
        <v>und</v>
      </c>
      <c r="G87" s="1298" t="str">
        <f t="shared" si="2"/>
        <v>NULO</v>
      </c>
      <c r="H87" s="1298">
        <f t="shared" si="3"/>
        <v>0</v>
      </c>
    </row>
    <row r="88" spans="1:8" ht="26.4" hidden="1">
      <c r="A88" s="205" t="s">
        <v>413</v>
      </c>
      <c r="B88" s="224" t="str">
        <f>VLOOKUP(A88,'11 - FINANCEIRA'!A:M,2,0)</f>
        <v>86915</v>
      </c>
      <c r="C88" s="179" t="str">
        <f>VLOOKUP(A88,'11 - FINANCEIRA'!A:M,3,0)</f>
        <v>Torneira cromada de mesa, 1/2? ou 3/4?, para lavatório, padrão médio - fornecimento e instalação. af_01/2020</v>
      </c>
      <c r="D88" s="193">
        <f>VLOOKUP(A88,'11 - FINANCEIRA'!A:M,10,0)</f>
        <v>0</v>
      </c>
      <c r="E88" s="194" t="str">
        <f>VLOOKUP(A88,'11 - FINANCEIRA'!A:M,4,0)</f>
        <v>und</v>
      </c>
      <c r="G88" s="1298" t="str">
        <f t="shared" si="2"/>
        <v>NULO</v>
      </c>
      <c r="H88" s="1298">
        <f t="shared" si="3"/>
        <v>0</v>
      </c>
    </row>
    <row r="89" spans="1:8" hidden="1">
      <c r="A89" s="205" t="s">
        <v>414</v>
      </c>
      <c r="B89" s="224" t="str">
        <f>VLOOKUP(A89,'11 - FINANCEIRA'!A:M,2,0)</f>
        <v>95546</v>
      </c>
      <c r="C89" s="179" t="str">
        <f>VLOOKUP(A89,'11 - FINANCEIRA'!A:M,3,0)</f>
        <v>Kit de acessorios para banheiro em metal cromado, 5 pecas, incluso fixação. af_01/2020</v>
      </c>
      <c r="D89" s="193">
        <f>VLOOKUP(A89,'11 - FINANCEIRA'!A:M,10,0)</f>
        <v>0</v>
      </c>
      <c r="E89" s="194" t="str">
        <f>VLOOKUP(A89,'11 - FINANCEIRA'!A:M,4,0)</f>
        <v>und</v>
      </c>
      <c r="G89" s="1298" t="str">
        <f t="shared" si="2"/>
        <v>NULO</v>
      </c>
      <c r="H89" s="1298">
        <f t="shared" si="3"/>
        <v>0</v>
      </c>
    </row>
    <row r="90" spans="1:8" ht="26.4" hidden="1">
      <c r="A90" s="205" t="s">
        <v>415</v>
      </c>
      <c r="B90" s="224" t="str">
        <f>VLOOKUP(A90,'11 - FINANCEIRA'!A:M,2,0)</f>
        <v>S170116</v>
      </c>
      <c r="C90" s="179" t="str">
        <f>VLOOKUP(A90,'11 - FINANCEIRA'!A:M,3,0)</f>
        <v>Vaso sanitário padrão popular completo com acessórios para ligação, marcas de referência deca, celite ou ideal standard, inclusive assento plástico</v>
      </c>
      <c r="D90" s="193">
        <f>VLOOKUP(A90,'11 - FINANCEIRA'!A:M,10,0)</f>
        <v>0</v>
      </c>
      <c r="E90" s="194" t="str">
        <f>VLOOKUP(A90,'11 - FINANCEIRA'!A:M,4,0)</f>
        <v>und</v>
      </c>
      <c r="G90" s="1298" t="str">
        <f t="shared" si="2"/>
        <v>NULO</v>
      </c>
      <c r="H90" s="1298">
        <f t="shared" si="3"/>
        <v>0</v>
      </c>
    </row>
    <row r="91" spans="1:8" hidden="1">
      <c r="A91" s="205" t="s">
        <v>416</v>
      </c>
      <c r="B91" s="224" t="str">
        <f>VLOOKUP(A91,'11 - FINANCEIRA'!A:M,2,0)</f>
        <v>S170354</v>
      </c>
      <c r="C91" s="179" t="str">
        <f>VLOOKUP(A91,'11 - FINANCEIRA'!A:M,3,0)</f>
        <v>Chuveiro completo, linha anti-vandalismo, marcas de referência fabrimar, deca ou docol</v>
      </c>
      <c r="D91" s="193">
        <f>VLOOKUP(A91,'11 - FINANCEIRA'!A:M,10,0)</f>
        <v>0</v>
      </c>
      <c r="E91" s="194" t="str">
        <f>VLOOKUP(A91,'11 - FINANCEIRA'!A:M,4,0)</f>
        <v>und</v>
      </c>
      <c r="G91" s="1298" t="str">
        <f t="shared" si="2"/>
        <v>NULO</v>
      </c>
      <c r="H91" s="1298">
        <f t="shared" si="3"/>
        <v>0</v>
      </c>
    </row>
    <row r="92" spans="1:8" ht="26.4" hidden="1">
      <c r="A92" s="205" t="s">
        <v>417</v>
      </c>
      <c r="B92" s="224" t="str">
        <f>VLOOKUP(A92,'11 - FINANCEIRA'!A:M,2,0)</f>
        <v>100866</v>
      </c>
      <c r="C92" s="179" t="str">
        <f>VLOOKUP(A92,'11 - FINANCEIRA'!A:M,3,0)</f>
        <v>Barra de apoio reta, em aco inox polido, comprimento 60cm, fixada na parede - fornecimento e instalação. af_01/2020</v>
      </c>
      <c r="D92" s="193">
        <f>VLOOKUP(A92,'11 - FINANCEIRA'!A:M,10,0)</f>
        <v>0</v>
      </c>
      <c r="E92" s="194" t="str">
        <f>VLOOKUP(A92,'11 - FINANCEIRA'!A:M,4,0)</f>
        <v>und</v>
      </c>
      <c r="G92" s="1298" t="str">
        <f t="shared" si="2"/>
        <v>NULO</v>
      </c>
      <c r="H92" s="1298">
        <f t="shared" si="3"/>
        <v>0</v>
      </c>
    </row>
    <row r="93" spans="1:8" ht="26.4" hidden="1">
      <c r="A93" s="205" t="s">
        <v>418</v>
      </c>
      <c r="B93" s="224" t="str">
        <f>VLOOKUP(A93,'11 - FINANCEIRA'!A:M,2,0)</f>
        <v>100868</v>
      </c>
      <c r="C93" s="179" t="str">
        <f>VLOOKUP(A93,'11 - FINANCEIRA'!A:M,3,0)</f>
        <v>Barra de apoio reta, em aco inox polido, comprimento 80 cm, fixada na parede - fornecimento e instalação. af_01/2020</v>
      </c>
      <c r="D93" s="193">
        <f>VLOOKUP(A93,'11 - FINANCEIRA'!A:M,10,0)</f>
        <v>0</v>
      </c>
      <c r="E93" s="194" t="str">
        <f>VLOOKUP(A93,'11 - FINANCEIRA'!A:M,4,0)</f>
        <v>und</v>
      </c>
      <c r="G93" s="1298" t="str">
        <f t="shared" si="2"/>
        <v>NULO</v>
      </c>
      <c r="H93" s="1298">
        <f t="shared" si="3"/>
        <v>0</v>
      </c>
    </row>
    <row r="94" spans="1:8" ht="26.4" hidden="1">
      <c r="A94" s="205" t="s">
        <v>419</v>
      </c>
      <c r="B94" s="224" t="str">
        <f>VLOOKUP(A94,'11 - FINANCEIRA'!A:M,2,0)</f>
        <v>CP-4306-30.01.061</v>
      </c>
      <c r="C94" s="179" t="str">
        <f>VLOOKUP(A94,'11 - FINANCEIRA'!A:M,3,0)</f>
        <v>Barra de apoio lateral para lavatório, para pessoas com mobilidade reduzida, comprimento 25 a 30 cm</v>
      </c>
      <c r="D94" s="193">
        <f>VLOOKUP(A94,'11 - FINANCEIRA'!A:M,10,0)</f>
        <v>0</v>
      </c>
      <c r="E94" s="194" t="str">
        <f>VLOOKUP(A94,'11 - FINANCEIRA'!A:M,4,0)</f>
        <v>und</v>
      </c>
      <c r="G94" s="1298" t="str">
        <f t="shared" si="2"/>
        <v>NULO</v>
      </c>
      <c r="H94" s="1298">
        <f t="shared" si="3"/>
        <v>0</v>
      </c>
    </row>
    <row r="95" spans="1:8" ht="26.4" hidden="1">
      <c r="A95" s="205" t="s">
        <v>420</v>
      </c>
      <c r="B95" s="224" t="str">
        <f>VLOOKUP(A95,'11 - FINANCEIRA'!A:M,2,0)</f>
        <v>100875</v>
      </c>
      <c r="C95" s="179" t="str">
        <f>VLOOKUP(A95,'11 - FINANCEIRA'!A:M,3,0)</f>
        <v>Banco articulado, em aco inox, para pcd, fixado na parede - fornecimento e instalação. af_01/2020</v>
      </c>
      <c r="D95" s="193">
        <f>VLOOKUP(A95,'11 - FINANCEIRA'!A:M,10,0)</f>
        <v>0</v>
      </c>
      <c r="E95" s="194" t="str">
        <f>VLOOKUP(A95,'11 - FINANCEIRA'!A:M,4,0)</f>
        <v>und</v>
      </c>
      <c r="G95" s="1298" t="str">
        <f t="shared" si="2"/>
        <v>NULO</v>
      </c>
      <c r="H95" s="1298">
        <f t="shared" si="3"/>
        <v>0</v>
      </c>
    </row>
    <row r="96" spans="1:8" ht="39.6" hidden="1">
      <c r="A96" s="205" t="s">
        <v>421</v>
      </c>
      <c r="B96" s="224" t="str">
        <f>VLOOKUP(A96,'11 - FINANCEIRA'!A:M,2,0)</f>
        <v>94779</v>
      </c>
      <c r="C96" s="179" t="str">
        <f>VLOOKUP(A96,'11 -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96" s="193">
        <f>VLOOKUP(A96,'11 - FINANCEIRA'!A:M,10,0)</f>
        <v>0</v>
      </c>
      <c r="E96" s="194" t="str">
        <f>VLOOKUP(A96,'11 - FINANCEIRA'!A:M,4,0)</f>
        <v>m²</v>
      </c>
      <c r="G96" s="1298" t="str">
        <f t="shared" si="2"/>
        <v>NULO</v>
      </c>
      <c r="H96" s="1298">
        <f t="shared" si="3"/>
        <v>0</v>
      </c>
    </row>
    <row r="97" spans="1:8" ht="26.4" hidden="1">
      <c r="A97" s="205" t="s">
        <v>422</v>
      </c>
      <c r="B97" s="224" t="str">
        <f>VLOOKUP(A97,'11 - FINANCEIRA'!A:M,2,0)</f>
        <v>S120302</v>
      </c>
      <c r="C97" s="179" t="str">
        <f>VLOOKUP(A97,'11 - FINANCEIRA'!A:M,3,0)</f>
        <v>Reboco de argamassa de cimento, cal hidratada ch1 e areia média ou grossa lavada no traço 1:0.5:6, espessura 5mm</v>
      </c>
      <c r="D97" s="193">
        <f>VLOOKUP(A97,'11 - FINANCEIRA'!A:M,10,0)</f>
        <v>0</v>
      </c>
      <c r="E97" s="194" t="str">
        <f>VLOOKUP(A97,'11 - FINANCEIRA'!A:M,4,0)</f>
        <v>m²</v>
      </c>
      <c r="G97" s="1298" t="str">
        <f t="shared" si="2"/>
        <v>NULO</v>
      </c>
      <c r="H97" s="1298">
        <f t="shared" si="3"/>
        <v>0</v>
      </c>
    </row>
    <row r="98" spans="1:8" ht="39.6" hidden="1">
      <c r="A98" s="205" t="s">
        <v>423</v>
      </c>
      <c r="B98" s="224" t="str">
        <f>VLOOKUP(A98,'11 - FINANCEIRA'!A:M,2,0)</f>
        <v>89173</v>
      </c>
      <c r="C98" s="179" t="str">
        <f>VLOOKUP(A98,'11 - FINANCEIRA'!A:M,3,0)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98" s="193">
        <f>VLOOKUP(A98,'11 - FINANCEIRA'!A:M,10,0)</f>
        <v>0</v>
      </c>
      <c r="E98" s="194" t="str">
        <f>VLOOKUP(A98,'11 - FINANCEIRA'!A:M,4,0)</f>
        <v>m²</v>
      </c>
      <c r="G98" s="1298" t="str">
        <f t="shared" si="2"/>
        <v>NULO</v>
      </c>
      <c r="H98" s="1298">
        <f t="shared" si="3"/>
        <v>0</v>
      </c>
    </row>
    <row r="99" spans="1:8" s="183" customFormat="1" hidden="1">
      <c r="A99" s="206" t="s">
        <v>424</v>
      </c>
      <c r="B99" s="635" t="str">
        <f>VLOOKUP(A99,'11 - FINANCEIRA'!A:M,1,0)</f>
        <v>2.3.4</v>
      </c>
      <c r="C99" s="190" t="str">
        <f>VLOOKUP(A99,'11 - FINANCEIRA'!A:M,2,0)</f>
        <v>COPA - INTERNO</v>
      </c>
      <c r="D99" s="191"/>
      <c r="E99" s="192"/>
      <c r="F99" s="221"/>
      <c r="G99" s="1298"/>
      <c r="H99" s="1298">
        <f>SUM(H100:H109)</f>
        <v>0</v>
      </c>
    </row>
    <row r="100" spans="1:8" ht="39.6" hidden="1">
      <c r="A100" s="205" t="s">
        <v>425</v>
      </c>
      <c r="B100" s="224" t="str">
        <f>VLOOKUP(A100,'11 - FINANCEIRA'!A:M,2,0)</f>
        <v>89170</v>
      </c>
      <c r="C100" s="179" t="str">
        <f>VLOOKUP(A100,'11 - FINANCEIRA'!A:M,3,0)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00" s="193">
        <f>VLOOKUP(A100,'11 - FINANCEIRA'!A:M,10,0)</f>
        <v>0</v>
      </c>
      <c r="E100" s="194" t="str">
        <f>VLOOKUP(A100,'11 - FINANCEIRA'!A:M,4,0)</f>
        <v>m²</v>
      </c>
      <c r="G100" s="1298" t="str">
        <f t="shared" si="2"/>
        <v>NULO</v>
      </c>
      <c r="H100" s="1298">
        <f t="shared" si="3"/>
        <v>0</v>
      </c>
    </row>
    <row r="101" spans="1:8" hidden="1">
      <c r="A101" s="205" t="s">
        <v>426</v>
      </c>
      <c r="B101" s="224" t="str">
        <f>VLOOKUP(A101,'11 - FINANCEIRA'!A:M,2,0)</f>
        <v>88489</v>
      </c>
      <c r="C101" s="179" t="str">
        <f>VLOOKUP(A101,'11 - FINANCEIRA'!A:M,3,0)</f>
        <v>Aplicação manual de pintura com tinta látex acrílica em paredes, duas demãos. af_06/2014</v>
      </c>
      <c r="D101" s="193">
        <f>VLOOKUP(A101,'11 - FINANCEIRA'!A:M,10,0)</f>
        <v>0</v>
      </c>
      <c r="E101" s="194" t="str">
        <f>VLOOKUP(A101,'11 - FINANCEIRA'!A:M,4,0)</f>
        <v>m²</v>
      </c>
      <c r="G101" s="1298" t="str">
        <f t="shared" si="2"/>
        <v>NULO</v>
      </c>
      <c r="H101" s="1298">
        <f t="shared" si="3"/>
        <v>0</v>
      </c>
    </row>
    <row r="102" spans="1:8" hidden="1">
      <c r="A102" s="205" t="s">
        <v>427</v>
      </c>
      <c r="B102" s="224" t="str">
        <f>VLOOKUP(A102,'11 - FINANCEIRA'!A:M,2,0)</f>
        <v>88488</v>
      </c>
      <c r="C102" s="179" t="str">
        <f>VLOOKUP(A102,'11 - FINANCEIRA'!A:M,3,0)</f>
        <v>Aplicação manual de pintura com tinta látex acrílica em teto, duas demãos. af_06/2014</v>
      </c>
      <c r="D102" s="193">
        <f>VLOOKUP(A102,'11 - FINANCEIRA'!A:M,10,0)</f>
        <v>0</v>
      </c>
      <c r="E102" s="194" t="str">
        <f>VLOOKUP(A102,'11 - FINANCEIRA'!A:M,4,0)</f>
        <v>m²</v>
      </c>
      <c r="G102" s="1298" t="str">
        <f t="shared" si="2"/>
        <v>NULO</v>
      </c>
      <c r="H102" s="1298">
        <f t="shared" si="3"/>
        <v>0</v>
      </c>
    </row>
    <row r="103" spans="1:8" s="202" customFormat="1" ht="26.4" hidden="1">
      <c r="A103" s="210" t="s">
        <v>428</v>
      </c>
      <c r="B103" s="224" t="str">
        <f>VLOOKUP(A103,'11 - FINANCEIRA'!A:M,2,0)</f>
        <v>87250</v>
      </c>
      <c r="C103" s="179" t="str">
        <f>VLOOKUP(A103,'11 - FINANCEIRA'!A:M,3,0)</f>
        <v>Revestimento cerâmico para piso com placas tipo esmaltada extra de dimensões 45x45 cm aplicada em ambientes de área entre 5 m² e 10 m². af_06/2014</v>
      </c>
      <c r="D103" s="193">
        <f>VLOOKUP(A103,'11 - FINANCEIRA'!A:M,10,0)</f>
        <v>0</v>
      </c>
      <c r="E103" s="194" t="str">
        <f>VLOOKUP(A103,'11 - FINANCEIRA'!A:M,4,0)</f>
        <v>m²</v>
      </c>
      <c r="F103" s="217"/>
      <c r="G103" s="1298" t="str">
        <f>IF(D103&gt;0,"POSITIVO",IF(D103=0,"NULO",IF(D103&lt;0,"NEGATIVO")))</f>
        <v>NULO</v>
      </c>
      <c r="H103" s="1298">
        <f>IF(G103="NULO",0,1)</f>
        <v>0</v>
      </c>
    </row>
    <row r="104" spans="1:8" ht="26.4" hidden="1">
      <c r="A104" s="205" t="s">
        <v>429</v>
      </c>
      <c r="B104" s="224" t="str">
        <f>VLOOKUP(A104,'11 - FINANCEIRA'!A:M,2,0)</f>
        <v>86889</v>
      </c>
      <c r="C104" s="179" t="str">
        <f>VLOOKUP(A104,'11 - FINANCEIRA'!A:M,3,0)</f>
        <v>Bancada de granito cinza polido, de 1,50 x 0,60 m, para pia de cozinha - fornecimento e instalação. af_01/2020</v>
      </c>
      <c r="D104" s="193">
        <f>VLOOKUP(A104,'11 - FINANCEIRA'!A:M,10,0)</f>
        <v>0</v>
      </c>
      <c r="E104" s="194" t="str">
        <f>VLOOKUP(A104,'11 - FINANCEIRA'!A:M,4,0)</f>
        <v>und</v>
      </c>
      <c r="G104" s="1298" t="str">
        <f t="shared" si="2"/>
        <v>NULO</v>
      </c>
      <c r="H104" s="1298">
        <f t="shared" si="3"/>
        <v>0</v>
      </c>
    </row>
    <row r="105" spans="1:8" ht="26.4" hidden="1">
      <c r="A105" s="205" t="s">
        <v>430</v>
      </c>
      <c r="B105" s="224" t="str">
        <f>VLOOKUP(A105,'11 - FINANCEIRA'!A:M,2,0)</f>
        <v>86936</v>
      </c>
      <c r="C105" s="179" t="str">
        <f>VLOOKUP(A105,'11 - FINANCEIRA'!A:M,3,0)</f>
        <v>Cuba de embutir de aço inoxidável média, incluso válvula tipo americana e sifão tipo garrafa em metal cromado - fornecimento e instalação. af_01/2020</v>
      </c>
      <c r="D105" s="193">
        <f>VLOOKUP(A105,'11 - FINANCEIRA'!A:M,10,0)</f>
        <v>0</v>
      </c>
      <c r="E105" s="194" t="str">
        <f>VLOOKUP(A105,'11 - FINANCEIRA'!A:M,4,0)</f>
        <v>und</v>
      </c>
      <c r="G105" s="1298" t="str">
        <f t="shared" si="2"/>
        <v>NULO</v>
      </c>
      <c r="H105" s="1298">
        <f t="shared" si="3"/>
        <v>0</v>
      </c>
    </row>
    <row r="106" spans="1:8" ht="26.4" hidden="1">
      <c r="A106" s="205" t="s">
        <v>431</v>
      </c>
      <c r="B106" s="224" t="str">
        <f>VLOOKUP(A106,'11 - FINANCEIRA'!A:M,2,0)</f>
        <v>86909</v>
      </c>
      <c r="C106" s="179" t="str">
        <f>VLOOKUP(A106,'11 - FINANCEIRA'!A:M,3,0)</f>
        <v>Torneira cromada tubo móvel, de mesa, 1/2? ou 3/4?, para pia de cozinha, padrão alto - fornecimento e instalação. af_01/2020</v>
      </c>
      <c r="D106" s="193">
        <f>VLOOKUP(A106,'11 - FINANCEIRA'!A:M,10,0)</f>
        <v>0</v>
      </c>
      <c r="E106" s="194" t="str">
        <f>VLOOKUP(A106,'11 - FINANCEIRA'!A:M,4,0)</f>
        <v>und</v>
      </c>
      <c r="G106" s="1298" t="str">
        <f t="shared" si="2"/>
        <v>NULO</v>
      </c>
      <c r="H106" s="1298">
        <f t="shared" si="3"/>
        <v>0</v>
      </c>
    </row>
    <row r="107" spans="1:8" ht="26.4" hidden="1">
      <c r="A107" s="205" t="s">
        <v>432</v>
      </c>
      <c r="B107" s="224" t="str">
        <f>VLOOKUP(A107,'11 - FINANCEIRA'!A:M,2,0)</f>
        <v>S120302</v>
      </c>
      <c r="C107" s="179" t="str">
        <f>VLOOKUP(A107,'11 - FINANCEIRA'!A:M,3,0)</f>
        <v>Reboco de argamassa de cimento, cal hidratada ch1 e areia média ou grossa lavada no traço 1:0.5:6, espessura 5mm</v>
      </c>
      <c r="D107" s="193">
        <f>VLOOKUP(A107,'11 - FINANCEIRA'!A:M,10,0)</f>
        <v>0</v>
      </c>
      <c r="E107" s="194" t="str">
        <f>VLOOKUP(A107,'11 - FINANCEIRA'!A:M,4,0)</f>
        <v>m²</v>
      </c>
      <c r="G107" s="1298" t="str">
        <f t="shared" si="2"/>
        <v>NULO</v>
      </c>
      <c r="H107" s="1298">
        <f t="shared" si="3"/>
        <v>0</v>
      </c>
    </row>
    <row r="108" spans="1:8" ht="39.6" hidden="1">
      <c r="A108" s="205" t="s">
        <v>433</v>
      </c>
      <c r="B108" s="224" t="str">
        <f>VLOOKUP(A108,'11 - FINANCEIRA'!A:M,2,0)</f>
        <v>94779</v>
      </c>
      <c r="C108" s="179" t="str">
        <f>VLOOKUP(A108,'11 -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08" s="193">
        <f>VLOOKUP(A108,'11 - FINANCEIRA'!A:M,10,0)</f>
        <v>0</v>
      </c>
      <c r="E108" s="194" t="str">
        <f>VLOOKUP(A108,'11 - FINANCEIRA'!A:M,4,0)</f>
        <v>m²</v>
      </c>
      <c r="G108" s="1298" t="str">
        <f t="shared" si="2"/>
        <v>NULO</v>
      </c>
      <c r="H108" s="1298">
        <f t="shared" si="3"/>
        <v>0</v>
      </c>
    </row>
    <row r="109" spans="1:8" ht="39.6" hidden="1">
      <c r="A109" s="205" t="s">
        <v>434</v>
      </c>
      <c r="B109" s="224" t="str">
        <f>VLOOKUP(A109,'11 - FINANCEIRA'!A:M,2,0)</f>
        <v>89173</v>
      </c>
      <c r="C109" s="179" t="str">
        <f>VLOOKUP(A109,'11 - FINANCEIRA'!A:M,3,0)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09" s="193">
        <f>VLOOKUP(A109,'11 - FINANCEIRA'!A:M,10,0)</f>
        <v>0</v>
      </c>
      <c r="E109" s="194" t="str">
        <f>VLOOKUP(A109,'11 - FINANCEIRA'!A:M,4,0)</f>
        <v>m²</v>
      </c>
      <c r="G109" s="1298" t="str">
        <f t="shared" si="2"/>
        <v>NULO</v>
      </c>
      <c r="H109" s="1298">
        <f t="shared" si="3"/>
        <v>0</v>
      </c>
    </row>
    <row r="110" spans="1:8" s="183" customFormat="1" hidden="1">
      <c r="A110" s="206" t="s">
        <v>435</v>
      </c>
      <c r="B110" s="635" t="str">
        <f>VLOOKUP(A110,'11 - FINANCEIRA'!A:M,1,0)</f>
        <v>2.3.5</v>
      </c>
      <c r="C110" s="190" t="str">
        <f>VLOOKUP(A110,'11 - FINANCEIRA'!A:M,2,0)</f>
        <v>DEPÓSITO - INTERNO</v>
      </c>
      <c r="D110" s="191"/>
      <c r="E110" s="192"/>
      <c r="F110" s="221"/>
      <c r="G110" s="1298"/>
      <c r="H110" s="1298">
        <f>SUM(H111:H117)</f>
        <v>0</v>
      </c>
    </row>
    <row r="111" spans="1:8" ht="39.6" hidden="1">
      <c r="A111" s="205" t="s">
        <v>436</v>
      </c>
      <c r="B111" s="224" t="str">
        <f>VLOOKUP(A111,'11 - FINANCEIRA'!A:M,2,0)</f>
        <v>89170</v>
      </c>
      <c r="C111" s="179" t="str">
        <f>VLOOKUP(A111,'11 - FINANCEIRA'!A:M,3,0)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11" s="193">
        <f>VLOOKUP(A111,'11 - FINANCEIRA'!A:M,10,0)</f>
        <v>0</v>
      </c>
      <c r="E111" s="194" t="str">
        <f>VLOOKUP(A111,'11 - FINANCEIRA'!A:M,4,0)</f>
        <v>m²</v>
      </c>
      <c r="G111" s="1298" t="str">
        <f t="shared" si="2"/>
        <v>NULO</v>
      </c>
      <c r="H111" s="1298">
        <f t="shared" si="3"/>
        <v>0</v>
      </c>
    </row>
    <row r="112" spans="1:8" hidden="1">
      <c r="A112" s="205" t="s">
        <v>437</v>
      </c>
      <c r="B112" s="224" t="str">
        <f>VLOOKUP(A112,'11 - FINANCEIRA'!A:M,2,0)</f>
        <v>88489</v>
      </c>
      <c r="C112" s="179" t="str">
        <f>VLOOKUP(A112,'11 - FINANCEIRA'!A:M,3,0)</f>
        <v>Aplicação manual de pintura com tinta látex acrílica em paredes, duas demãos. af_06/2014</v>
      </c>
      <c r="D112" s="193">
        <f>VLOOKUP(A112,'11 - FINANCEIRA'!A:M,10,0)</f>
        <v>0</v>
      </c>
      <c r="E112" s="194" t="str">
        <f>VLOOKUP(A112,'11 - FINANCEIRA'!A:M,4,0)</f>
        <v>m²</v>
      </c>
      <c r="G112" s="1298" t="str">
        <f t="shared" si="2"/>
        <v>NULO</v>
      </c>
      <c r="H112" s="1298">
        <f t="shared" si="3"/>
        <v>0</v>
      </c>
    </row>
    <row r="113" spans="1:8" hidden="1">
      <c r="A113" s="205" t="s">
        <v>438</v>
      </c>
      <c r="B113" s="224" t="str">
        <f>VLOOKUP(A113,'11 - FINANCEIRA'!A:M,2,0)</f>
        <v>88488</v>
      </c>
      <c r="C113" s="179" t="str">
        <f>VLOOKUP(A113,'11 - FINANCEIRA'!A:M,3,0)</f>
        <v>Aplicação manual de pintura com tinta látex acrílica em teto, duas demãos. af_06/2014</v>
      </c>
      <c r="D113" s="193">
        <f>VLOOKUP(A113,'11 - FINANCEIRA'!A:M,10,0)</f>
        <v>0</v>
      </c>
      <c r="E113" s="194" t="str">
        <f>VLOOKUP(A113,'11 - FINANCEIRA'!A:M,4,0)</f>
        <v>m²</v>
      </c>
      <c r="G113" s="1298" t="str">
        <f t="shared" si="2"/>
        <v>NULO</v>
      </c>
      <c r="H113" s="1298">
        <f t="shared" si="3"/>
        <v>0</v>
      </c>
    </row>
    <row r="114" spans="1:8" ht="26.4" hidden="1">
      <c r="A114" s="205" t="s">
        <v>439</v>
      </c>
      <c r="B114" s="224" t="str">
        <f>VLOOKUP(A114,'11 - FINANCEIRA'!A:M,2,0)</f>
        <v>87250</v>
      </c>
      <c r="C114" s="179" t="str">
        <f>VLOOKUP(A114,'11 - FINANCEIRA'!A:M,3,0)</f>
        <v>Revestimento cerâmico para piso com placas tipo esmaltada extra de dimensões 45x45 cm aplicada em ambientes de área entre 5 m² e 10 m². af_06/2014</v>
      </c>
      <c r="D114" s="193">
        <f>VLOOKUP(A114,'11 - FINANCEIRA'!A:M,10,0)</f>
        <v>0</v>
      </c>
      <c r="E114" s="194" t="str">
        <f>VLOOKUP(A114,'11 - FINANCEIRA'!A:M,4,0)</f>
        <v>m²</v>
      </c>
      <c r="G114" s="1298" t="str">
        <f>IF(D114&gt;0,"POSITIVO",IF(D114=0,"NULO",IF(D114&lt;0,"NEGATIVO")))</f>
        <v>NULO</v>
      </c>
      <c r="H114" s="1298">
        <f>IF(G114="NULO",0,1)</f>
        <v>0</v>
      </c>
    </row>
    <row r="115" spans="1:8" ht="39.6" hidden="1">
      <c r="A115" s="205" t="s">
        <v>440</v>
      </c>
      <c r="B115" s="224" t="str">
        <f>VLOOKUP(A115,'11 - FINANCEIRA'!A:M,2,0)</f>
        <v>94779</v>
      </c>
      <c r="C115" s="179" t="str">
        <f>VLOOKUP(A115,'11 -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15" s="193">
        <f>VLOOKUP(A115,'11 - FINANCEIRA'!A:M,10,0)</f>
        <v>0</v>
      </c>
      <c r="E115" s="194" t="str">
        <f>VLOOKUP(A115,'11 - FINANCEIRA'!A:M,4,0)</f>
        <v>m²</v>
      </c>
      <c r="G115" s="1298" t="str">
        <f t="shared" si="2"/>
        <v>NULO</v>
      </c>
      <c r="H115" s="1298">
        <f t="shared" si="3"/>
        <v>0</v>
      </c>
    </row>
    <row r="116" spans="1:8" ht="26.4" hidden="1">
      <c r="A116" s="205" t="s">
        <v>441</v>
      </c>
      <c r="B116" s="224" t="str">
        <f>VLOOKUP(A116,'11 - FINANCEIRA'!A:M,2,0)</f>
        <v>S120302</v>
      </c>
      <c r="C116" s="179" t="str">
        <f>VLOOKUP(A116,'11 - FINANCEIRA'!A:M,3,0)</f>
        <v>Reboco de argamassa de cimento, cal hidratada ch1 e areia média ou grossa lavada no traço 1:0.5:6, espessura 5mm</v>
      </c>
      <c r="D116" s="193">
        <f>VLOOKUP(A116,'11 - FINANCEIRA'!A:M,10,0)</f>
        <v>0</v>
      </c>
      <c r="E116" s="194" t="str">
        <f>VLOOKUP(A116,'11 - FINANCEIRA'!A:M,4,0)</f>
        <v>m²</v>
      </c>
      <c r="G116" s="1298" t="str">
        <f t="shared" si="2"/>
        <v>NULO</v>
      </c>
      <c r="H116" s="1298">
        <f t="shared" si="3"/>
        <v>0</v>
      </c>
    </row>
    <row r="117" spans="1:8" ht="39.6" hidden="1">
      <c r="A117" s="205" t="s">
        <v>442</v>
      </c>
      <c r="B117" s="224" t="str">
        <f>VLOOKUP(A117,'11 - FINANCEIRA'!A:M,2,0)</f>
        <v>89173</v>
      </c>
      <c r="C117" s="179" t="str">
        <f>VLOOKUP(A117,'11 - FINANCEIRA'!A:M,3,0)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17" s="193">
        <f>VLOOKUP(A117,'11 - FINANCEIRA'!A:M,10,0)</f>
        <v>0</v>
      </c>
      <c r="E117" s="194" t="str">
        <f>VLOOKUP(A117,'11 - FINANCEIRA'!A:M,4,0)</f>
        <v>m²</v>
      </c>
      <c r="G117" s="1298" t="str">
        <f t="shared" si="2"/>
        <v>NULO</v>
      </c>
      <c r="H117" s="1298">
        <f t="shared" si="3"/>
        <v>0</v>
      </c>
    </row>
    <row r="118" spans="1:8" s="183" customFormat="1" hidden="1">
      <c r="A118" s="206" t="s">
        <v>443</v>
      </c>
      <c r="B118" s="635" t="str">
        <f>VLOOKUP(A118,'11 - FINANCEIRA'!A:M,1,0)</f>
        <v>2.3.6</v>
      </c>
      <c r="C118" s="190" t="str">
        <f>VLOOKUP(A118,'11 - FINANCEIRA'!A:M,2,0)</f>
        <v>GERADOR</v>
      </c>
      <c r="D118" s="191"/>
      <c r="E118" s="192"/>
      <c r="F118" s="221"/>
      <c r="G118" s="1298"/>
      <c r="H118" s="1298">
        <f>SUM(H119:H130)</f>
        <v>0</v>
      </c>
    </row>
    <row r="119" spans="1:8" ht="26.4" hidden="1">
      <c r="A119" s="205" t="s">
        <v>444</v>
      </c>
      <c r="B119" s="224" t="str">
        <f>VLOOKUP(A119,'11 - FINANCEIRA'!A:M,2,0)</f>
        <v>74244/001</v>
      </c>
      <c r="C119" s="179" t="str">
        <f>VLOOKUP(A119,'11 - FINANCEIRA'!A:M,3,0)</f>
        <v>Alambrado para quadra poliesportiva, estruturado por tubos de aco galvanizado, com costura, din 2440, diametro 2", com tela de arame galvanizado, fio 14 bwg e malha quadrada 5x5cm</v>
      </c>
      <c r="D119" s="193">
        <f>VLOOKUP(A119,'11 - FINANCEIRA'!A:M,10,0)</f>
        <v>0</v>
      </c>
      <c r="E119" s="194" t="str">
        <f>VLOOKUP(A119,'11 - FINANCEIRA'!A:M,4,0)</f>
        <v>m²</v>
      </c>
      <c r="G119" s="1298" t="str">
        <f t="shared" si="2"/>
        <v>NULO</v>
      </c>
      <c r="H119" s="1298">
        <f t="shared" si="3"/>
        <v>0</v>
      </c>
    </row>
    <row r="120" spans="1:8" hidden="1">
      <c r="A120" s="205" t="s">
        <v>445</v>
      </c>
      <c r="B120" s="224" t="str">
        <f>VLOOKUP(A120,'11 - FINANCEIRA'!A:M,2,0)</f>
        <v>S071107</v>
      </c>
      <c r="C120" s="179" t="str">
        <f>VLOOKUP(A120,'11 - FINANCEIRA'!A:M,3,0)</f>
        <v>Portão de ferro de abrir em barra chata, chapa e tubo, inclusive chumbamento</v>
      </c>
      <c r="D120" s="193">
        <f>VLOOKUP(A120,'11 - FINANCEIRA'!A:M,10,0)</f>
        <v>0</v>
      </c>
      <c r="E120" s="194" t="str">
        <f>VLOOKUP(A120,'11 - FINANCEIRA'!A:M,4,0)</f>
        <v>m²</v>
      </c>
      <c r="G120" s="1298" t="str">
        <f t="shared" si="2"/>
        <v>NULO</v>
      </c>
      <c r="H120" s="1298">
        <f t="shared" si="3"/>
        <v>0</v>
      </c>
    </row>
    <row r="121" spans="1:8" hidden="1">
      <c r="A121" s="205" t="s">
        <v>446</v>
      </c>
      <c r="B121" s="635" t="str">
        <f>VLOOKUP(A121,'11 - FINANCEIRA'!A:M,1,0)</f>
        <v>2.3.7</v>
      </c>
      <c r="C121" s="190" t="str">
        <f>VLOOKUP(A121,'11 - FINANCEIRA'!A:M,2,0)</f>
        <v>TANQUE</v>
      </c>
      <c r="D121" s="191"/>
      <c r="E121" s="192"/>
      <c r="G121" s="1298"/>
      <c r="H121" s="1298">
        <f>SUM(H122:H130)</f>
        <v>0</v>
      </c>
    </row>
    <row r="122" spans="1:8" s="202" customFormat="1" ht="39.6" hidden="1">
      <c r="A122" s="210" t="s">
        <v>447</v>
      </c>
      <c r="B122" s="224" t="str">
        <f>VLOOKUP(A122,'11 - FINANCEIRA'!A:M,2,0)</f>
        <v>87473</v>
      </c>
      <c r="C122" s="179" t="str">
        <f>VLOOKUP(A122,'11 - FINANCEIRA'!A:M,3,0)</f>
        <v>Alvenaria de vedação de blocos cerâmicos furados na vertical de 14x19x39cm (espessura 14cm) de paredes com área líquida menor que 6m² sem vãos e argamassa de assentamento com preparo em betoneira. af_06/2014</v>
      </c>
      <c r="D122" s="193">
        <f>VLOOKUP(A122,'11 - FINANCEIRA'!A:M,10,0)</f>
        <v>0</v>
      </c>
      <c r="E122" s="194" t="str">
        <f>VLOOKUP(A122,'11 - FINANCEIRA'!A:M,4,0)</f>
        <v>m²</v>
      </c>
      <c r="F122" s="217"/>
      <c r="G122" s="1298" t="str">
        <f>IF(D122&gt;0,"POSITIVO",IF(D122=0,"NULO",IF(D122&lt;0,"NEGATIVO")))</f>
        <v>NULO</v>
      </c>
      <c r="H122" s="1298">
        <f>IF(G122="NULO",0,1)</f>
        <v>0</v>
      </c>
    </row>
    <row r="123" spans="1:8" s="202" customFormat="1" ht="39.6" hidden="1">
      <c r="A123" s="210" t="s">
        <v>448</v>
      </c>
      <c r="B123" s="224" t="str">
        <f>VLOOKUP(A123,'11 - FINANCEIRA'!A:M,2,0)</f>
        <v>89170</v>
      </c>
      <c r="C123" s="179" t="str">
        <f>VLOOKUP(A123,'11 - FINANCEIRA'!A:M,3,0)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23" s="193">
        <f>VLOOKUP(A123,'11 - FINANCEIRA'!A:M,10,0)</f>
        <v>0</v>
      </c>
      <c r="E123" s="194" t="str">
        <f>VLOOKUP(A123,'11 - FINANCEIRA'!A:M,4,0)</f>
        <v>m²</v>
      </c>
      <c r="F123" s="217"/>
      <c r="G123" s="1298" t="str">
        <f>IF(D123&gt;0,"POSITIVO",IF(D123=0,"NULO",IF(D123&lt;0,"NEGATIVO")))</f>
        <v>NULO</v>
      </c>
      <c r="H123" s="1298">
        <f>IF(G123="NULO",0,1)</f>
        <v>0</v>
      </c>
    </row>
    <row r="124" spans="1:8" s="202" customFormat="1" ht="26.4" hidden="1">
      <c r="A124" s="210" t="s">
        <v>449</v>
      </c>
      <c r="B124" s="224" t="str">
        <f>VLOOKUP(A124,'11 - FINANCEIRA'!A:M,2,0)</f>
        <v>87250</v>
      </c>
      <c r="C124" s="179" t="str">
        <f>VLOOKUP(A124,'11 - FINANCEIRA'!A:M,3,0)</f>
        <v>Revestimento cerâmico para piso com placas tipo esmaltada extra de dimensões 45x45 cm aplicada em ambientes de área entre 5 m² e 10 m². af_06/2014</v>
      </c>
      <c r="D124" s="193">
        <f>VLOOKUP(A124,'11 - FINANCEIRA'!A:M,10,0)</f>
        <v>0</v>
      </c>
      <c r="E124" s="194" t="str">
        <f>VLOOKUP(A124,'11 - FINANCEIRA'!A:M,4,0)</f>
        <v>m²</v>
      </c>
      <c r="F124" s="217"/>
      <c r="G124" s="1298" t="str">
        <f>IF(D124&gt;0,"POSITIVO",IF(D124=0,"NULO",IF(D124&lt;0,"NEGATIVO")))</f>
        <v>NULO</v>
      </c>
      <c r="H124" s="1298">
        <f>IF(G124="NULO",0,1)</f>
        <v>0</v>
      </c>
    </row>
    <row r="125" spans="1:8" s="202" customFormat="1" ht="26.4" hidden="1">
      <c r="A125" s="210" t="s">
        <v>450</v>
      </c>
      <c r="B125" s="224" t="str">
        <f>VLOOKUP(A125,'11 - FINANCEIRA'!A:M,2,0)</f>
        <v>98546</v>
      </c>
      <c r="C125" s="179" t="str">
        <f>VLOOKUP(A125,'11 - FINANCEIRA'!A:M,3,0)</f>
        <v>Ompermeabilização de superfície com manta asfáltica, uma camada, inclusive aplicação de primer asfáltico, e=3mm. af_06/2018</v>
      </c>
      <c r="D125" s="193">
        <f>VLOOKUP(A125,'11 - FINANCEIRA'!A:M,10,0)</f>
        <v>0</v>
      </c>
      <c r="E125" s="194" t="str">
        <f>VLOOKUP(A125,'11 - FINANCEIRA'!A:M,4,0)</f>
        <v>m²</v>
      </c>
      <c r="F125" s="217"/>
      <c r="G125" s="1298" t="str">
        <f>IF(D125&gt;0,"POSITIVO",IF(D125=0,"NULO",IF(D125&lt;0,"NEGATIVO")))</f>
        <v>NULO</v>
      </c>
      <c r="H125" s="1298">
        <f>IF(G125="NULO",0,1)</f>
        <v>0</v>
      </c>
    </row>
    <row r="126" spans="1:8" ht="26.4" hidden="1">
      <c r="A126" s="205" t="s">
        <v>451</v>
      </c>
      <c r="B126" s="224" t="str">
        <f>VLOOKUP(A126,'11 - FINANCEIRA'!A:M,2,0)</f>
        <v>87755</v>
      </c>
      <c r="C126" s="179" t="str">
        <f>VLOOKUP(A126,'11 - FINANCEIRA'!A:M,3,0)</f>
        <v>Contrapiso em argamassa traço 1:4 (cimento e areia), preparo mecânico com betoneira 400 l, aplicado em áreas molhadas sobre impermeabilização, espessura 3cm. af_06/2014</v>
      </c>
      <c r="D126" s="193">
        <f>VLOOKUP(A126,'11 - FINANCEIRA'!A:M,10,0)</f>
        <v>0</v>
      </c>
      <c r="E126" s="194" t="str">
        <f>VLOOKUP(A126,'11 - FINANCEIRA'!A:M,4,0)</f>
        <v>m²</v>
      </c>
      <c r="G126" s="1298" t="str">
        <f t="shared" si="2"/>
        <v>NULO</v>
      </c>
      <c r="H126" s="1298">
        <f t="shared" si="3"/>
        <v>0</v>
      </c>
    </row>
    <row r="127" spans="1:8" ht="39.6" hidden="1">
      <c r="A127" s="205" t="s">
        <v>452</v>
      </c>
      <c r="B127" s="224" t="str">
        <f>VLOOKUP(A127,'11 - FINANCEIRA'!A:M,2,0)</f>
        <v>S090104</v>
      </c>
      <c r="C127" s="179" t="str">
        <f>VLOOKUP(A127,'11 - FINANCEIRA'!A:M,3,0)</f>
        <v>Estrutura de madeira de lei tipo paraju, peroba mica, angelim pedra ou equivalente para telhado de telhas cerâmicas tipo capa e canal c/ tesouras, pilares, vigas, terças, caibros e ripas, incl. trat. c/cupinicida, exclusive telhas</v>
      </c>
      <c r="D127" s="193">
        <f>VLOOKUP(A127,'11 - FINANCEIRA'!A:M,10,0)</f>
        <v>0</v>
      </c>
      <c r="E127" s="194" t="str">
        <f>VLOOKUP(A127,'11 - FINANCEIRA'!A:M,4,0)</f>
        <v>m²</v>
      </c>
      <c r="G127" s="1298" t="str">
        <f t="shared" si="2"/>
        <v>NULO</v>
      </c>
      <c r="H127" s="1298">
        <f t="shared" si="3"/>
        <v>0</v>
      </c>
    </row>
    <row r="128" spans="1:8" ht="26.4" hidden="1">
      <c r="A128" s="205" t="s">
        <v>453</v>
      </c>
      <c r="B128" s="224" t="str">
        <f>VLOOKUP(A128,'11 - FINANCEIRA'!A:M,2,0)</f>
        <v>S090211</v>
      </c>
      <c r="C128" s="179" t="str">
        <f>VLOOKUP(A128,'11 - FINANCEIRA'!A:M,3,0)</f>
        <v>Cobertura nova de telhas cerâmicas tipo capa e canal inclusive cumeeira (telhas compradas na praça de vitória, posto obra) (área de projeção horizontal; incl. 35%)</v>
      </c>
      <c r="D128" s="193">
        <f>VLOOKUP(A128,'11 - FINANCEIRA'!A:M,10,0)</f>
        <v>0</v>
      </c>
      <c r="E128" s="194" t="str">
        <f>VLOOKUP(A128,'11 - FINANCEIRA'!A:M,4,0)</f>
        <v>m²</v>
      </c>
      <c r="G128" s="1298" t="str">
        <f t="shared" si="2"/>
        <v>NULO</v>
      </c>
      <c r="H128" s="1298">
        <f t="shared" si="3"/>
        <v>0</v>
      </c>
    </row>
    <row r="129" spans="1:8" ht="39.6" hidden="1">
      <c r="A129" s="205" t="s">
        <v>454</v>
      </c>
      <c r="B129" s="224" t="str">
        <f>VLOOKUP(A129,'11 - FINANCEIRA'!A:M,2,0)</f>
        <v>94779</v>
      </c>
      <c r="C129" s="179" t="str">
        <f>VLOOKUP(A129,'11 -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29" s="193">
        <f>VLOOKUP(A129,'11 - FINANCEIRA'!A:M,10,0)</f>
        <v>0</v>
      </c>
      <c r="E129" s="194" t="str">
        <f>VLOOKUP(A129,'11 - FINANCEIRA'!A:M,4,0)</f>
        <v>m²</v>
      </c>
      <c r="G129" s="1298" t="str">
        <f t="shared" si="2"/>
        <v>NULO</v>
      </c>
      <c r="H129" s="1298">
        <f t="shared" si="3"/>
        <v>0</v>
      </c>
    </row>
    <row r="130" spans="1:8" ht="39.6" hidden="1">
      <c r="A130" s="205" t="s">
        <v>455</v>
      </c>
      <c r="B130" s="224" t="str">
        <f>VLOOKUP(A130,'11 - FINANCEIRA'!A:M,2,0)</f>
        <v>89173</v>
      </c>
      <c r="C130" s="179" t="str">
        <f>VLOOKUP(A130,'11 - FINANCEIRA'!A:M,3,0)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30" s="193">
        <f>VLOOKUP(A130,'11 - FINANCEIRA'!A:M,10,0)</f>
        <v>0</v>
      </c>
      <c r="E130" s="194" t="str">
        <f>VLOOKUP(A130,'11 - FINANCEIRA'!A:M,4,0)</f>
        <v>m²</v>
      </c>
      <c r="G130" s="1298" t="str">
        <f t="shared" si="2"/>
        <v>NULO</v>
      </c>
      <c r="H130" s="1298">
        <f t="shared" si="3"/>
        <v>0</v>
      </c>
    </row>
    <row r="131" spans="1:8" s="183" customFormat="1" hidden="1">
      <c r="A131" s="206" t="s">
        <v>456</v>
      </c>
      <c r="B131" s="635" t="str">
        <f>VLOOKUP(A131,'11 - FINANCEIRA'!A:M,1,0)</f>
        <v>2.3.8</v>
      </c>
      <c r="C131" s="190" t="str">
        <f>VLOOKUP(A131,'11 - FINANCEIRA'!A:M,2,0)</f>
        <v>GUARITA</v>
      </c>
      <c r="D131" s="191"/>
      <c r="E131" s="192"/>
      <c r="F131" s="221"/>
      <c r="G131" s="1298"/>
      <c r="H131" s="1298">
        <f>SUM(H132:H142)</f>
        <v>0</v>
      </c>
    </row>
    <row r="132" spans="1:8" ht="39.6" hidden="1">
      <c r="A132" s="205" t="s">
        <v>457</v>
      </c>
      <c r="B132" s="224" t="str">
        <f>VLOOKUP(A132,'11 - FINANCEIRA'!A:M,2,0)</f>
        <v>87473</v>
      </c>
      <c r="C132" s="179" t="str">
        <f>VLOOKUP(A132,'11 - FINANCEIRA'!A:M,3,0)</f>
        <v>Alvenaria de vedação de blocos cerâmicos furados na vertical de 14x19x39cm (espessura 14cm) de paredes com área líquida menor que 6m² sem vãos e argamassa de assentamento com preparo em betoneira. af_06/2014</v>
      </c>
      <c r="D132" s="193">
        <f>VLOOKUP(A132,'11 - FINANCEIRA'!A:M,10,0)</f>
        <v>0</v>
      </c>
      <c r="E132" s="194" t="str">
        <f>VLOOKUP(A132,'11 - FINANCEIRA'!A:M,4,0)</f>
        <v>m²</v>
      </c>
      <c r="G132" s="1298" t="str">
        <f t="shared" si="2"/>
        <v>NULO</v>
      </c>
      <c r="H132" s="1298">
        <f t="shared" si="3"/>
        <v>0</v>
      </c>
    </row>
    <row r="133" spans="1:8" ht="26.4" hidden="1">
      <c r="A133" s="205" t="s">
        <v>458</v>
      </c>
      <c r="B133" s="224" t="str">
        <f>VLOOKUP(A133,'11 - FINANCEIRA'!A:M,2,0)</f>
        <v>91341</v>
      </c>
      <c r="C133" s="179" t="str">
        <f>VLOOKUP(A133,'11 - FINANCEIRA'!A:M,3,0)</f>
        <v>Porta em alumínio de abrir tipo veneziana com guarnição, fixação com parafusos - fornecimento e instalação. af_12/2019</v>
      </c>
      <c r="D133" s="193">
        <f>VLOOKUP(A133,'11 - FINANCEIRA'!A:M,10,0)</f>
        <v>0</v>
      </c>
      <c r="E133" s="194" t="str">
        <f>VLOOKUP(A133,'11 - FINANCEIRA'!A:M,4,0)</f>
        <v>m²</v>
      </c>
      <c r="G133" s="1298" t="str">
        <f t="shared" si="2"/>
        <v>NULO</v>
      </c>
      <c r="H133" s="1298">
        <f t="shared" si="3"/>
        <v>0</v>
      </c>
    </row>
    <row r="134" spans="1:8" hidden="1">
      <c r="A134" s="205" t="s">
        <v>459</v>
      </c>
      <c r="B134" s="224" t="str">
        <f>VLOOKUP(A134,'11 - FINANCEIRA'!A:M,2,0)</f>
        <v>98689</v>
      </c>
      <c r="C134" s="179" t="str">
        <f>VLOOKUP(A134,'11 - FINANCEIRA'!A:M,3,0)</f>
        <v>Soleira em granito, largura 15 cm, espessura 2,0 cm. af_06/2018</v>
      </c>
      <c r="D134" s="193">
        <f>VLOOKUP(A134,'11 - FINANCEIRA'!A:M,10,0)</f>
        <v>0</v>
      </c>
      <c r="E134" s="194" t="str">
        <f>VLOOKUP(A134,'11 - FINANCEIRA'!A:M,4,0)</f>
        <v>m</v>
      </c>
      <c r="G134" s="1298" t="str">
        <f t="shared" si="2"/>
        <v>NULO</v>
      </c>
      <c r="H134" s="1298">
        <f t="shared" si="3"/>
        <v>0</v>
      </c>
    </row>
    <row r="135" spans="1:8" hidden="1">
      <c r="A135" s="205" t="s">
        <v>460</v>
      </c>
      <c r="B135" s="224" t="str">
        <f>VLOOKUP(A135,'11 - FINANCEIRA'!A:M,2,0)</f>
        <v>94569</v>
      </c>
      <c r="C135" s="179" t="str">
        <f>VLOOKUP(A135,'11 - FINANCEIRA'!A:M,3,0)</f>
        <v>Janela de alumínio tipo maxim-ar, com vidros - fornecimento e instalação.</v>
      </c>
      <c r="D135" s="193">
        <f>VLOOKUP(A135,'11 - FINANCEIRA'!A:M,10,0)</f>
        <v>0</v>
      </c>
      <c r="E135" s="194" t="str">
        <f>VLOOKUP(A135,'11 - FINANCEIRA'!A:M,4,0)</f>
        <v>m²</v>
      </c>
      <c r="G135" s="1298" t="str">
        <f>IF(D135&gt;0,"POSITIVO",IF(D135=0,"NULO",IF(D135&lt;0,"NEGATIVO")))</f>
        <v>NULO</v>
      </c>
      <c r="H135" s="1298">
        <f>IF(G135="NULO",0,1)</f>
        <v>0</v>
      </c>
    </row>
    <row r="136" spans="1:8" ht="26.4" hidden="1">
      <c r="A136" s="205" t="s">
        <v>461</v>
      </c>
      <c r="B136" s="224" t="str">
        <f>VLOOKUP(A136,'11 - FINANCEIRA'!A:M,2,0)</f>
        <v>84088</v>
      </c>
      <c r="C136" s="179" t="str">
        <f>VLOOKUP(A136,'11 - FINANCEIRA'!A:M,3,0)</f>
        <v>Peitoril em marmore branco, largura de 15cm, assentado com argamassa traco 1:4 (cimento e areia media), preparo manual da argamassa</v>
      </c>
      <c r="D136" s="193">
        <f>VLOOKUP(A136,'11 - FINANCEIRA'!A:M,10,0)</f>
        <v>0</v>
      </c>
      <c r="E136" s="194" t="str">
        <f>VLOOKUP(A136,'11 - FINANCEIRA'!A:M,4,0)</f>
        <v>M</v>
      </c>
      <c r="G136" s="1298" t="str">
        <f t="shared" si="2"/>
        <v>NULO</v>
      </c>
      <c r="H136" s="1298">
        <f t="shared" si="3"/>
        <v>0</v>
      </c>
    </row>
    <row r="137" spans="1:8" ht="26.4" hidden="1">
      <c r="A137" s="205" t="s">
        <v>462</v>
      </c>
      <c r="B137" s="224" t="str">
        <f>VLOOKUP(A137,'11 - FINANCEIRA'!A:M,2,0)</f>
        <v>92565</v>
      </c>
      <c r="C137" s="179" t="str">
        <f>VLOOKUP(A137,'11 - FINANCEIRA'!A:M,3,0)</f>
        <v>Fabricação e instalação de estrutura pontaletada de madeira não aparelhada para telhados com até 2 águas e para telha cerâmica ou de concreto, incluso transporte vertical. af_12/2015</v>
      </c>
      <c r="D137" s="193">
        <f>VLOOKUP(A137,'11 - FINANCEIRA'!A:M,10,0)</f>
        <v>0</v>
      </c>
      <c r="E137" s="194" t="str">
        <f>VLOOKUP(A137,'11 - FINANCEIRA'!A:M,4,0)</f>
        <v>m²</v>
      </c>
      <c r="G137" s="1298" t="str">
        <f t="shared" si="2"/>
        <v>NULO</v>
      </c>
      <c r="H137" s="1298">
        <f t="shared" si="3"/>
        <v>0</v>
      </c>
    </row>
    <row r="138" spans="1:8" ht="26.4" hidden="1">
      <c r="A138" s="205" t="s">
        <v>463</v>
      </c>
      <c r="B138" s="224" t="str">
        <f>VLOOKUP(A138,'11 - FINANCEIRA'!A:M,2,0)</f>
        <v>94201</v>
      </c>
      <c r="C138" s="179" t="str">
        <f>VLOOKUP(A138,'11 - FINANCEIRA'!A:M,3,0)</f>
        <v>Telhamento com telha cerâmica capa-canal, tipo colonial, com até 2 águas, incluso transporte vertical. af_07/2019</v>
      </c>
      <c r="D138" s="193">
        <f>VLOOKUP(A138,'11 - FINANCEIRA'!A:M,10,0)</f>
        <v>0</v>
      </c>
      <c r="E138" s="194" t="str">
        <f>VLOOKUP(A138,'11 - FINANCEIRA'!A:M,4,0)</f>
        <v>m²</v>
      </c>
      <c r="G138" s="1298" t="str">
        <f t="shared" si="2"/>
        <v>NULO</v>
      </c>
      <c r="H138" s="1298">
        <f t="shared" si="3"/>
        <v>0</v>
      </c>
    </row>
    <row r="139" spans="1:8" hidden="1">
      <c r="A139" s="205" t="s">
        <v>464</v>
      </c>
      <c r="B139" s="224" t="str">
        <f>VLOOKUP(A139,'11 - FINANCEIRA'!A:M,2,0)</f>
        <v>88489</v>
      </c>
      <c r="C139" s="179" t="str">
        <f>VLOOKUP(A139,'11 - FINANCEIRA'!A:M,3,0)</f>
        <v>Aplicação manual de pintura com tinta látex acrílica em paredes, duas demãos. af_06/2014</v>
      </c>
      <c r="D139" s="193">
        <f>VLOOKUP(A139,'11 - FINANCEIRA'!A:M,10,0)</f>
        <v>0</v>
      </c>
      <c r="E139" s="194" t="str">
        <f>VLOOKUP(A139,'11 - FINANCEIRA'!A:M,4,0)</f>
        <v>m²</v>
      </c>
      <c r="G139" s="1298" t="str">
        <f t="shared" si="2"/>
        <v>NULO</v>
      </c>
      <c r="H139" s="1298">
        <f t="shared" si="3"/>
        <v>0</v>
      </c>
    </row>
    <row r="140" spans="1:8" ht="26.4" hidden="1">
      <c r="A140" s="205" t="s">
        <v>465</v>
      </c>
      <c r="B140" s="224" t="str">
        <f>VLOOKUP(A140,'11 - FINANCEIRA'!A:M,2,0)</f>
        <v>87249</v>
      </c>
      <c r="C140" s="179" t="str">
        <f>VLOOKUP(A140,'11 - FINANCEIRA'!A:M,3,0)</f>
        <v>Revestimento cerâmico para piso com placas tipo esmaltada extra de dimensões 45x45 cm aplicada em ambientes de área menor que 5 m². af_06/2014</v>
      </c>
      <c r="D140" s="193">
        <f>VLOOKUP(A140,'11 - FINANCEIRA'!A:M,10,0)</f>
        <v>0</v>
      </c>
      <c r="E140" s="194" t="str">
        <f>VLOOKUP(A140,'11 - FINANCEIRA'!A:M,4,0)</f>
        <v>m²</v>
      </c>
      <c r="G140" s="1298" t="str">
        <f t="shared" si="2"/>
        <v>NULO</v>
      </c>
      <c r="H140" s="1298">
        <f t="shared" si="3"/>
        <v>0</v>
      </c>
    </row>
    <row r="141" spans="1:8" ht="26.4" hidden="1">
      <c r="A141" s="205" t="s">
        <v>466</v>
      </c>
      <c r="B141" s="224" t="str">
        <f>VLOOKUP(A141,'11 - FINANCEIRA'!A:M,2,0)</f>
        <v>S120302</v>
      </c>
      <c r="C141" s="179" t="str">
        <f>VLOOKUP(A141,'11 - FINANCEIRA'!A:M,3,0)</f>
        <v>Reboco de argamassa de cimento, cal hidratada ch1 e areia média ou grossa lavada no traço 1:0.5:6, espessura 5mm</v>
      </c>
      <c r="D141" s="193">
        <f>VLOOKUP(A141,'11 - FINANCEIRA'!A:M,10,0)</f>
        <v>0</v>
      </c>
      <c r="E141" s="194" t="str">
        <f>VLOOKUP(A141,'11 - FINANCEIRA'!A:M,4,0)</f>
        <v>m²</v>
      </c>
      <c r="G141" s="1298" t="str">
        <f t="shared" si="2"/>
        <v>NULO</v>
      </c>
      <c r="H141" s="1298">
        <f t="shared" si="3"/>
        <v>0</v>
      </c>
    </row>
    <row r="142" spans="1:8" ht="39.6" hidden="1">
      <c r="A142" s="205" t="s">
        <v>467</v>
      </c>
      <c r="B142" s="224" t="str">
        <f>VLOOKUP(A142,'11 - FINANCEIRA'!A:M,2,0)</f>
        <v>94779</v>
      </c>
      <c r="C142" s="179" t="str">
        <f>VLOOKUP(A142,'11 -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42" s="193">
        <f>VLOOKUP(A142,'11 - FINANCEIRA'!A:M,10,0)</f>
        <v>0</v>
      </c>
      <c r="E142" s="194" t="str">
        <f>VLOOKUP(A142,'11 - FINANCEIRA'!A:M,4,0)</f>
        <v>m²</v>
      </c>
      <c r="G142" s="1298" t="str">
        <f t="shared" si="2"/>
        <v>NULO</v>
      </c>
      <c r="H142" s="1298">
        <f t="shared" si="3"/>
        <v>0</v>
      </c>
    </row>
    <row r="143" spans="1:8" s="183" customFormat="1" hidden="1">
      <c r="A143" s="206" t="s">
        <v>468</v>
      </c>
      <c r="B143" s="635" t="str">
        <f>VLOOKUP(A143,'11 - FINANCEIRA'!A:M,1,0)</f>
        <v>2.3.9</v>
      </c>
      <c r="C143" s="190" t="str">
        <f>VLOOKUP(A143,'11 - FINANCEIRA'!A:M,2,0)</f>
        <v>I.S. GUARITA</v>
      </c>
      <c r="D143" s="191"/>
      <c r="E143" s="192"/>
      <c r="F143" s="221"/>
      <c r="G143" s="1298"/>
      <c r="H143" s="1298">
        <f>SUM(H144:H154)</f>
        <v>0</v>
      </c>
    </row>
    <row r="144" spans="1:8" ht="39.6" hidden="1">
      <c r="A144" s="205" t="s">
        <v>469</v>
      </c>
      <c r="B144" s="224" t="str">
        <f>VLOOKUP(A144,'11 - FINANCEIRA'!A:M,2,0)</f>
        <v>87273</v>
      </c>
      <c r="C144" s="179" t="str">
        <f>VLOOKUP(A144,'11 - FINANCEIRA'!A:M,3,0)</f>
        <v>Revestimento cerâmico para paredes internas com placas tipo esmaltada extra de dimensões 33x45 cm aplicadas em ambientes de área maior que 5 m² na altura inteira das paredes. af_06/2014</v>
      </c>
      <c r="D144" s="193">
        <f>VLOOKUP(A144,'11 - FINANCEIRA'!A:M,10,0)</f>
        <v>0</v>
      </c>
      <c r="E144" s="194" t="str">
        <f>VLOOKUP(A144,'11 - FINANCEIRA'!A:M,4,0)</f>
        <v>m²</v>
      </c>
      <c r="G144" s="1298" t="str">
        <f t="shared" si="2"/>
        <v>NULO</v>
      </c>
      <c r="H144" s="1298">
        <f t="shared" si="3"/>
        <v>0</v>
      </c>
    </row>
    <row r="145" spans="1:184" hidden="1">
      <c r="A145" s="205" t="s">
        <v>470</v>
      </c>
      <c r="B145" s="224" t="str">
        <f>VLOOKUP(A145,'11 - FINANCEIRA'!A:M,2,0)</f>
        <v>88489</v>
      </c>
      <c r="C145" s="179" t="str">
        <f>VLOOKUP(A145,'11 - FINANCEIRA'!A:M,3,0)</f>
        <v>Aplicação manual de pintura com tinta látex acrílica em paredes, duas demãos. af_06/2014</v>
      </c>
      <c r="D145" s="193">
        <f>VLOOKUP(A145,'11 - FINANCEIRA'!A:M,10,0)</f>
        <v>0</v>
      </c>
      <c r="E145" s="194" t="str">
        <f>VLOOKUP(A145,'11 - FINANCEIRA'!A:M,4,0)</f>
        <v>m²</v>
      </c>
      <c r="G145" s="1298" t="str">
        <f t="shared" si="2"/>
        <v>NULO</v>
      </c>
      <c r="H145" s="1298">
        <f t="shared" si="3"/>
        <v>0</v>
      </c>
    </row>
    <row r="146" spans="1:184" hidden="1">
      <c r="A146" s="205" t="s">
        <v>471</v>
      </c>
      <c r="B146" s="224" t="str">
        <f>VLOOKUP(A146,'11 - FINANCEIRA'!A:M,2,0)</f>
        <v>88488</v>
      </c>
      <c r="C146" s="179" t="str">
        <f>VLOOKUP(A146,'11 - FINANCEIRA'!A:M,3,0)</f>
        <v>Aplicação manual de pintura com tinta látex acrílica em teto, duas demãos. af_06/2014</v>
      </c>
      <c r="D146" s="193">
        <f>VLOOKUP(A146,'11 - FINANCEIRA'!A:M,10,0)</f>
        <v>0</v>
      </c>
      <c r="E146" s="194" t="str">
        <f>VLOOKUP(A146,'11 - FINANCEIRA'!A:M,4,0)</f>
        <v>m²</v>
      </c>
      <c r="G146" s="1298" t="str">
        <f t="shared" ref="G146:G170" si="4">IF(D146&gt;0,"POSITIVO",IF(D146=0,"NULO",IF(D146&lt;0,"NEGATIVO")))</f>
        <v>NULO</v>
      </c>
      <c r="H146" s="1298">
        <f t="shared" ref="H146:H170" si="5">IF(G146="NULO",0,1)</f>
        <v>0</v>
      </c>
    </row>
    <row r="147" spans="1:184" ht="26.4" hidden="1">
      <c r="A147" s="205" t="s">
        <v>472</v>
      </c>
      <c r="B147" s="224" t="str">
        <f>VLOOKUP(A147,'11 - FINANCEIRA'!A:M,2,0)</f>
        <v>87249</v>
      </c>
      <c r="C147" s="179" t="str">
        <f>VLOOKUP(A147,'11 - FINANCEIRA'!A:M,3,0)</f>
        <v>Revestimento cerâmico para piso com placas tipo esmaltada extra de dimensões 45x45 cm aplicada em ambientes de área menor que 5 m². af_06/2014</v>
      </c>
      <c r="D147" s="193">
        <f>VLOOKUP(A147,'11 - FINANCEIRA'!A:M,10,0)</f>
        <v>0</v>
      </c>
      <c r="E147" s="194" t="str">
        <f>VLOOKUP(A147,'11 - FINANCEIRA'!A:M,4,0)</f>
        <v>m²</v>
      </c>
      <c r="G147" s="1298" t="str">
        <f t="shared" si="4"/>
        <v>NULO</v>
      </c>
      <c r="H147" s="1298">
        <f t="shared" si="5"/>
        <v>0</v>
      </c>
    </row>
    <row r="148" spans="1:184" ht="26.4" hidden="1">
      <c r="A148" s="205" t="s">
        <v>473</v>
      </c>
      <c r="B148" s="224" t="str">
        <f>VLOOKUP(A148,'11 - FINANCEIRA'!A:M,2,0)</f>
        <v>86903</v>
      </c>
      <c r="C148" s="179" t="str">
        <f>VLOOKUP(A148,'11 - FINANCEIRA'!A:M,3,0)</f>
        <v>Lavatório louça branca com coluna, 45 x 55cm ou equivalente, padrão médio - fornecimento e instalação. af_01/2020</v>
      </c>
      <c r="D148" s="193">
        <f>VLOOKUP(A148,'11 - FINANCEIRA'!A:M,10,0)</f>
        <v>0</v>
      </c>
      <c r="E148" s="194" t="str">
        <f>VLOOKUP(A148,'11 - FINANCEIRA'!A:M,4,0)</f>
        <v>und</v>
      </c>
      <c r="G148" s="1298" t="str">
        <f t="shared" si="4"/>
        <v>NULO</v>
      </c>
      <c r="H148" s="1298">
        <f t="shared" si="5"/>
        <v>0</v>
      </c>
    </row>
    <row r="149" spans="1:184" ht="26.4" hidden="1">
      <c r="A149" s="205" t="s">
        <v>474</v>
      </c>
      <c r="B149" s="224" t="str">
        <f>VLOOKUP(A149,'11 - FINANCEIRA'!A:M,2,0)</f>
        <v>86915</v>
      </c>
      <c r="C149" s="179" t="str">
        <f>VLOOKUP(A149,'11 - FINANCEIRA'!A:M,3,0)</f>
        <v>Torneira cromada de mesa, 1/2? ou 3/4?, para lavatório, padrão médio - fornecimento e instalação. af_01/2020</v>
      </c>
      <c r="D149" s="193">
        <f>VLOOKUP(A149,'11 - FINANCEIRA'!A:M,10,0)</f>
        <v>0</v>
      </c>
      <c r="E149" s="194" t="str">
        <f>VLOOKUP(A149,'11 - FINANCEIRA'!A:M,4,0)</f>
        <v>und</v>
      </c>
      <c r="G149" s="1298" t="str">
        <f>IF(D149&gt;0,"POSITIVO",IF(D149=0,"NULO",IF(D149&lt;0,"NEGATIVO")))</f>
        <v>NULO</v>
      </c>
      <c r="H149" s="1298">
        <f>IF(G149="NULO",0,1)</f>
        <v>0</v>
      </c>
    </row>
    <row r="150" spans="1:184" hidden="1">
      <c r="A150" s="205" t="s">
        <v>475</v>
      </c>
      <c r="B150" s="224" t="str">
        <f>VLOOKUP(A150,'11 - FINANCEIRA'!A:M,2,0)</f>
        <v>95546</v>
      </c>
      <c r="C150" s="179" t="str">
        <f>VLOOKUP(A150,'11 - FINANCEIRA'!A:M,3,0)</f>
        <v>Kit de acessorios para banheiro em metal cromado, 5 pecas, incluso fixação. af_01/2020</v>
      </c>
      <c r="D150" s="193">
        <f>VLOOKUP(A150,'11 - FINANCEIRA'!A:M,10,0)</f>
        <v>0</v>
      </c>
      <c r="E150" s="194" t="str">
        <f>VLOOKUP(A150,'11 - FINANCEIRA'!A:M,4,0)</f>
        <v>und</v>
      </c>
      <c r="G150" s="1298" t="str">
        <f>IF(D150&gt;0,"POSITIVO",IF(D150=0,"NULO",IF(D150&lt;0,"NEGATIVO")))</f>
        <v>NULO</v>
      </c>
      <c r="H150" s="1298">
        <f>IF(G150="NULO",0,1)</f>
        <v>0</v>
      </c>
    </row>
    <row r="151" spans="1:184" ht="26.4" hidden="1">
      <c r="A151" s="205" t="s">
        <v>476</v>
      </c>
      <c r="B151" s="224" t="str">
        <f>VLOOKUP(A151,'11 - FINANCEIRA'!A:M,2,0)</f>
        <v>S170116</v>
      </c>
      <c r="C151" s="179" t="str">
        <f>VLOOKUP(A151,'11 - FINANCEIRA'!A:M,3,0)</f>
        <v>Vaso sanitário padrão popular completo com acessórios para ligação, marcas de referência deca, celite ou ideal standard, inclusive assento plástico</v>
      </c>
      <c r="D151" s="193">
        <f>VLOOKUP(A151,'11 - FINANCEIRA'!A:M,10,0)</f>
        <v>0</v>
      </c>
      <c r="E151" s="194" t="str">
        <f>VLOOKUP(A151,'11 - FINANCEIRA'!A:M,4,0)</f>
        <v>und</v>
      </c>
      <c r="G151" s="1298" t="str">
        <f>IF(D151&gt;0,"POSITIVO",IF(D151=0,"NULO",IF(D151&lt;0,"NEGATIVO")))</f>
        <v>NULO</v>
      </c>
      <c r="H151" s="1298">
        <f>IF(G151="NULO",0,1)</f>
        <v>0</v>
      </c>
    </row>
    <row r="152" spans="1:184" s="195" customFormat="1" ht="39.6" hidden="1">
      <c r="A152" s="208" t="s">
        <v>477</v>
      </c>
      <c r="B152" s="224" t="str">
        <f>VLOOKUP(A152,'11 - FINANCEIRA'!A:M,2,0)</f>
        <v>94779</v>
      </c>
      <c r="C152" s="196" t="str">
        <f>VLOOKUP(A152,'11 - FINANCEIRA'!A:M,3,0)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52" s="197">
        <f>VLOOKUP(A152,'11 - FINANCEIRA'!A:M,10,0)</f>
        <v>0</v>
      </c>
      <c r="E152" s="198" t="str">
        <f>VLOOKUP(A152,'11 - FINANCEIRA'!A:M,4,0)</f>
        <v>m²</v>
      </c>
      <c r="F152" s="217"/>
      <c r="G152" s="1298" t="str">
        <f t="shared" si="4"/>
        <v>NULO</v>
      </c>
      <c r="H152" s="1298">
        <f t="shared" si="5"/>
        <v>0</v>
      </c>
    </row>
    <row r="153" spans="1:184" ht="26.4" hidden="1">
      <c r="A153" s="205" t="s">
        <v>478</v>
      </c>
      <c r="B153" s="224" t="str">
        <f>VLOOKUP(A153,'11 - FINANCEIRA'!A:M,2,0)</f>
        <v>S120302</v>
      </c>
      <c r="C153" s="179" t="str">
        <f>VLOOKUP(A153,'11 - FINANCEIRA'!A:M,3,0)</f>
        <v>Reboco de argamassa de cimento, cal hidratada ch1 e areia média ou grossa lavada no traço 1:0.5:6, espessura 5mm</v>
      </c>
      <c r="D153" s="193">
        <f>VLOOKUP(A153,'11 - FINANCEIRA'!A:M,10,0)</f>
        <v>0</v>
      </c>
      <c r="E153" s="194" t="str">
        <f>VLOOKUP(A153,'11 - FINANCEIRA'!A:M,4,0)</f>
        <v>m²</v>
      </c>
      <c r="G153" s="1298" t="str">
        <f t="shared" si="4"/>
        <v>NULO</v>
      </c>
      <c r="H153" s="1298">
        <f t="shared" si="5"/>
        <v>0</v>
      </c>
    </row>
    <row r="154" spans="1:184" ht="39.6" hidden="1">
      <c r="A154" s="205" t="s">
        <v>479</v>
      </c>
      <c r="B154" s="224" t="str">
        <f>VLOOKUP(A154,'11 - FINANCEIRA'!A:M,2,0)</f>
        <v>89173</v>
      </c>
      <c r="C154" s="179" t="str">
        <f>VLOOKUP(A154,'11 - FINANCEIRA'!A:M,3,0)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54" s="193">
        <f>VLOOKUP(A154,'11 - FINANCEIRA'!A:M,10,0)</f>
        <v>0</v>
      </c>
      <c r="E154" s="194" t="str">
        <f>VLOOKUP(A154,'11 - FINANCEIRA'!A:M,4,0)</f>
        <v>m²</v>
      </c>
      <c r="G154" s="1298" t="str">
        <f t="shared" si="4"/>
        <v>NULO</v>
      </c>
      <c r="H154" s="1298">
        <f t="shared" si="5"/>
        <v>0</v>
      </c>
    </row>
    <row r="155" spans="1:184" s="183" customFormat="1" hidden="1">
      <c r="A155" s="206" t="s">
        <v>480</v>
      </c>
      <c r="B155" s="635" t="str">
        <f>VLOOKUP(A155,'11 - FINANCEIRA'!A:M,1,0)</f>
        <v>2.3.10</v>
      </c>
      <c r="C155" s="190" t="str">
        <f>VLOOKUP(A155,'11 - FINANCEIRA'!A:M,2,0)</f>
        <v>HIDROSSANITÁRIO</v>
      </c>
      <c r="D155" s="191"/>
      <c r="E155" s="192"/>
      <c r="F155" s="221"/>
      <c r="G155" s="1298"/>
      <c r="H155" s="1298">
        <f>SUM(H156:H184)</f>
        <v>0</v>
      </c>
    </row>
    <row r="156" spans="1:184" hidden="1">
      <c r="A156" s="205" t="s">
        <v>481</v>
      </c>
      <c r="B156" s="224" t="str">
        <f>VLOOKUP(A156,'11 - FINANCEIRA'!A:M,2,0)</f>
        <v>S141410</v>
      </c>
      <c r="C156" s="179" t="str">
        <f>VLOOKUP(A156,'11 - FINANCEIRA'!A:M,3,0)</f>
        <v>Tubo de pvc rígido soldável marrom, diâm. 25mm (3/4"), inclusive conexões</v>
      </c>
      <c r="D156" s="193">
        <f>VLOOKUP(A156,'11 - FINANCEIRA'!A:M,10,0)</f>
        <v>0</v>
      </c>
      <c r="E156" s="194" t="str">
        <f>VLOOKUP(A156,'11 - FINANCEIRA'!A:M,4,0)</f>
        <v>m</v>
      </c>
      <c r="G156" s="1298" t="str">
        <f t="shared" si="4"/>
        <v>NULO</v>
      </c>
      <c r="H156" s="1298">
        <f t="shared" si="5"/>
        <v>0</v>
      </c>
    </row>
    <row r="157" spans="1:184" hidden="1">
      <c r="A157" s="205" t="s">
        <v>482</v>
      </c>
      <c r="B157" s="224" t="str">
        <f>VLOOKUP(A157,'11 - FINANCEIRA'!A:M,2,0)</f>
        <v>S141411</v>
      </c>
      <c r="C157" s="179" t="str">
        <f>VLOOKUP(A157,'11 - FINANCEIRA'!A:M,3,0)</f>
        <v>Tubo de pvc rigido soldável marrom, diâm. 32mm (1"), inclusive conexões</v>
      </c>
      <c r="D157" s="193">
        <f>VLOOKUP(A157,'11 - FINANCEIRA'!A:M,10,0)</f>
        <v>0</v>
      </c>
      <c r="E157" s="194" t="str">
        <f>VLOOKUP(A157,'11 - FINANCEIRA'!A:M,4,0)</f>
        <v>m</v>
      </c>
      <c r="G157" s="1298" t="str">
        <f t="shared" si="4"/>
        <v>NULO</v>
      </c>
      <c r="H157" s="1298">
        <f t="shared" si="5"/>
        <v>0</v>
      </c>
    </row>
    <row r="158" spans="1:184" hidden="1">
      <c r="A158" s="205" t="s">
        <v>483</v>
      </c>
      <c r="B158" s="224" t="str">
        <f>VLOOKUP(A158,'11 - FINANCEIRA'!A:M,2,0)</f>
        <v>95675</v>
      </c>
      <c r="C158" s="179" t="str">
        <f>VLOOKUP(A158,'11 - FINANCEIRA'!A:M,3,0)</f>
        <v>Hidrômetro dn 25 1''</v>
      </c>
      <c r="D158" s="193">
        <f>VLOOKUP(A158,'11 - FINANCEIRA'!A:M,10,0)</f>
        <v>0</v>
      </c>
      <c r="E158" s="194" t="str">
        <f>VLOOKUP(A158,'11 - FINANCEIRA'!A:M,4,0)</f>
        <v>und</v>
      </c>
      <c r="G158" s="1298" t="str">
        <f t="shared" si="4"/>
        <v>NULO</v>
      </c>
      <c r="H158" s="1298">
        <f t="shared" si="5"/>
        <v>0</v>
      </c>
    </row>
    <row r="159" spans="1:184" hidden="1">
      <c r="A159" s="205" t="s">
        <v>484</v>
      </c>
      <c r="B159" s="224" t="str">
        <f>VLOOKUP(A159,'11 - FINANCEIRA'!A:M,2,0)</f>
        <v>00001370</v>
      </c>
      <c r="C159" s="179" t="str">
        <f>VLOOKUP(A159,'11 - FINANCEIRA'!A:M,3,0)</f>
        <v>Ducha higienica plastica com registro metalico 1/2 "</v>
      </c>
      <c r="D159" s="193">
        <f>VLOOKUP(A159,'11 - FINANCEIRA'!A:M,10,0)</f>
        <v>0</v>
      </c>
      <c r="E159" s="194" t="str">
        <f>VLOOKUP(A159,'11 - FINANCEIRA'!A:M,4,0)</f>
        <v>und</v>
      </c>
      <c r="G159" s="1298" t="str">
        <f t="shared" si="4"/>
        <v>NULO</v>
      </c>
      <c r="H159" s="1298">
        <f t="shared" si="5"/>
        <v>0</v>
      </c>
    </row>
    <row r="160" spans="1:184" s="199" customFormat="1" ht="26.4" hidden="1">
      <c r="A160" s="205" t="s">
        <v>485</v>
      </c>
      <c r="B160" s="224" t="str">
        <f>VLOOKUP(A160,'11 - FINANCEIRA'!A:M,2,0)</f>
        <v>89538</v>
      </c>
      <c r="C160" s="179" t="str">
        <f>VLOOKUP(A160,'11 - FINANCEIRA'!A:M,3,0)</f>
        <v>Adaptador curto com bolsa e rosca para registro, pvc, soldável, dn 25mm x 3/4?, instalado em prumada de água - fornecimento e instalação. af_12/2014</v>
      </c>
      <c r="D160" s="193">
        <f>VLOOKUP(A160,'11 - FINANCEIRA'!A:M,10,0)</f>
        <v>0</v>
      </c>
      <c r="E160" s="194" t="str">
        <f>VLOOKUP(A160,'11 - FINANCEIRA'!A:M,4,0)</f>
        <v>und</v>
      </c>
      <c r="F160" s="217"/>
      <c r="G160" s="1298" t="str">
        <f t="shared" si="4"/>
        <v>NULO</v>
      </c>
      <c r="H160" s="1298">
        <f t="shared" si="5"/>
        <v>0</v>
      </c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</row>
    <row r="161" spans="1:184" s="202" customFormat="1" ht="39.6" hidden="1">
      <c r="A161" s="210" t="s">
        <v>486</v>
      </c>
      <c r="B161" s="224" t="str">
        <f>VLOOKUP(A161,'11 - FINANCEIRA'!A:M,2,0)</f>
        <v>94658</v>
      </c>
      <c r="C161" s="637" t="str">
        <f>VLOOKUP(A161,'11 - FINANCEIRA'!A:M,3,0)</f>
        <v>Adaptador curto com bolsa e rosca para registro, pvc, soldável, dn 32 mm x 1 , instalado em reservação de água de edificação que possua reservatório de fibra/fibrocimento fornecimento e instalação. af_06/2016</v>
      </c>
      <c r="D161" s="638">
        <f>VLOOKUP(A161,'11 - FINANCEIRA'!A:M,10,0)</f>
        <v>0</v>
      </c>
      <c r="E161" s="639" t="str">
        <f>VLOOKUP(A161,'11 - FINANCEIRA'!A:M,4,0)</f>
        <v>und</v>
      </c>
      <c r="F161" s="636"/>
      <c r="G161" s="1298" t="str">
        <f>IF(D161&gt;0,"POSITIVO",IF(D161=0,"NULO",IF(D161&lt;0,"NEGATIVO")))</f>
        <v>NULO</v>
      </c>
      <c r="H161" s="1298">
        <f>IF(G161="NULO",0,1)</f>
        <v>0</v>
      </c>
    </row>
    <row r="162" spans="1:184" s="199" customFormat="1" ht="26.4" hidden="1">
      <c r="A162" s="205" t="s">
        <v>487</v>
      </c>
      <c r="B162" s="224" t="str">
        <f>VLOOKUP(A162,'11 - FINANCEIRA'!A:M,2,0)</f>
        <v>89981</v>
      </c>
      <c r="C162" s="179" t="str">
        <f>VLOOKUP(A162,'11 - FINANCEIRA'!A:M,3,0)</f>
        <v>Luva soldável e com bucha de latão, pvc, soldável, dn 32mm x 1 , instalado em prumada de água fornecimento e instalação. af_12/2014</v>
      </c>
      <c r="D162" s="193">
        <f>VLOOKUP(A162,'11 - FINANCEIRA'!A:M,10,0)</f>
        <v>0</v>
      </c>
      <c r="E162" s="194" t="str">
        <f>VLOOKUP(A162,'11 - FINANCEIRA'!A:M,4,0)</f>
        <v>und</v>
      </c>
      <c r="F162" s="217"/>
      <c r="G162" s="1298" t="str">
        <f t="shared" si="4"/>
        <v>NULO</v>
      </c>
      <c r="H162" s="1298">
        <f t="shared" si="5"/>
        <v>0</v>
      </c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</row>
    <row r="163" spans="1:184" ht="26.4" hidden="1">
      <c r="A163" s="205" t="s">
        <v>488</v>
      </c>
      <c r="B163" s="224" t="str">
        <f>VLOOKUP(A163,'11 - FINANCEIRA'!A:M,2,0)</f>
        <v>89980</v>
      </c>
      <c r="C163" s="179" t="str">
        <f>VLOOKUP(A163,'11 - FINANCEIRA'!A:M,3,0)</f>
        <v>Luva com bucha de latão, pvc, soldável, dn 25mm x 3/4?, instalado em prumada de água - fornecimento e instalação. af_12/2014</v>
      </c>
      <c r="D163" s="193">
        <f>VLOOKUP(A163,'11 - FINANCEIRA'!A:M,10,0)</f>
        <v>0</v>
      </c>
      <c r="E163" s="194" t="str">
        <f>VLOOKUP(A163,'11 - FINANCEIRA'!A:M,4,0)</f>
        <v>und</v>
      </c>
      <c r="G163" s="1298" t="str">
        <f t="shared" si="4"/>
        <v>NULO</v>
      </c>
      <c r="H163" s="1298">
        <f t="shared" si="5"/>
        <v>0</v>
      </c>
    </row>
    <row r="164" spans="1:184" ht="26.4" hidden="1">
      <c r="A164" s="205" t="s">
        <v>489</v>
      </c>
      <c r="B164" s="224" t="str">
        <f>VLOOKUP(A164,'11 - FINANCEIRA'!A:M,2,0)</f>
        <v>89426</v>
      </c>
      <c r="C164" s="179" t="str">
        <f>VLOOKUP(A164,'11 - FINANCEIRA'!A:M,3,0)</f>
        <v>Luva de redução, pvc, soldável, dn 32mm x 25mm, instalado em ramal de distribuição de água - fornecimento e instalação. af_12/2014</v>
      </c>
      <c r="D164" s="193">
        <f>VLOOKUP(A164,'11 - FINANCEIRA'!A:M,10,0)</f>
        <v>0</v>
      </c>
      <c r="E164" s="194" t="str">
        <f>VLOOKUP(A164,'11 - FINANCEIRA'!A:M,4,0)</f>
        <v>und</v>
      </c>
      <c r="G164" s="1298" t="str">
        <f t="shared" si="4"/>
        <v>NULO</v>
      </c>
      <c r="H164" s="1298">
        <f t="shared" si="5"/>
        <v>0</v>
      </c>
    </row>
    <row r="165" spans="1:184" ht="26.4" hidden="1">
      <c r="A165" s="205" t="s">
        <v>490</v>
      </c>
      <c r="B165" s="224" t="str">
        <f>VLOOKUP(A165,'11 - FINANCEIRA'!A:M,2,0)</f>
        <v>00021112</v>
      </c>
      <c r="C165" s="179" t="str">
        <f>VLOOKUP(A165,'11 - FINANCEIRA'!A:M,3,0)</f>
        <v>Válvula de descarga em metal cromado para mictorio com acionamento por pressao e fechamento automatico</v>
      </c>
      <c r="D165" s="193">
        <f>VLOOKUP(A165,'11 - FINANCEIRA'!A:M,10,0)</f>
        <v>0</v>
      </c>
      <c r="E165" s="194" t="str">
        <f>VLOOKUP(A165,'11 - FINANCEIRA'!A:M,4,0)</f>
        <v>und</v>
      </c>
      <c r="G165" s="1298" t="str">
        <f t="shared" si="4"/>
        <v>NULO</v>
      </c>
      <c r="H165" s="1298">
        <f t="shared" si="5"/>
        <v>0</v>
      </c>
    </row>
    <row r="166" spans="1:184" ht="26.4" hidden="1">
      <c r="A166" s="205" t="s">
        <v>491</v>
      </c>
      <c r="B166" s="224" t="str">
        <f>VLOOKUP(A166,'11 - FINANCEIRA'!A:M,2,0)</f>
        <v>89419</v>
      </c>
      <c r="C166" s="179" t="str">
        <f>VLOOKUP(A166,'11 - FINANCEIRA'!A:M,3,0)</f>
        <v>Luva de redução, pvc, soldável, dn 25mm x 1/2, instalado em ramal de distribuição de água - fornecimento e instalação. af_12/2014</v>
      </c>
      <c r="D166" s="193">
        <f>VLOOKUP(A166,'11 - FINANCEIRA'!A:M,10,0)</f>
        <v>0</v>
      </c>
      <c r="E166" s="194" t="str">
        <f>VLOOKUP(A166,'11 - FINANCEIRA'!A:M,4,0)</f>
        <v>und</v>
      </c>
      <c r="G166" s="1298" t="str">
        <f t="shared" si="4"/>
        <v>NULO</v>
      </c>
      <c r="H166" s="1298">
        <f t="shared" si="5"/>
        <v>0</v>
      </c>
    </row>
    <row r="167" spans="1:184" hidden="1">
      <c r="A167" s="205" t="s">
        <v>492</v>
      </c>
      <c r="B167" s="224" t="str">
        <f>VLOOKUP(A167,'11 - FINANCEIRA'!A:M,2,0)</f>
        <v>S170321</v>
      </c>
      <c r="C167" s="179" t="str">
        <f>VLOOKUP(A167,'11 - FINANCEIRA'!A:M,3,0)</f>
        <v>Registro de gaveta bruto diam. 25mm (1")</v>
      </c>
      <c r="D167" s="193">
        <f>VLOOKUP(A167,'11 - FINANCEIRA'!A:M,10,0)</f>
        <v>0</v>
      </c>
      <c r="E167" s="194" t="str">
        <f>VLOOKUP(A167,'11 - FINANCEIRA'!A:M,4,0)</f>
        <v>und</v>
      </c>
      <c r="G167" s="1298" t="str">
        <f t="shared" si="4"/>
        <v>NULO</v>
      </c>
      <c r="H167" s="1298">
        <f t="shared" si="5"/>
        <v>0</v>
      </c>
    </row>
    <row r="168" spans="1:184" ht="39.6" hidden="1">
      <c r="A168" s="205" t="s">
        <v>493</v>
      </c>
      <c r="B168" s="224" t="str">
        <f>VLOOKUP(A168,'11 - FINANCEIRA'!A:M,2,0)</f>
        <v>94792</v>
      </c>
      <c r="C168" s="179" t="str">
        <f>VLOOKUP(A168,'11 - FINANCEIRA'!A:M,3,0)</f>
        <v>Registro de gaveta bruto, latão, roscável, 1?, com acabamento e canopla cromados, instalado em reservação de água de edificação que possua reservatório de fibra/fibrocimento ? fornecimento e instalação. af_06/2016</v>
      </c>
      <c r="D168" s="193">
        <f>VLOOKUP(A168,'11 - FINANCEIRA'!A:M,10,0)</f>
        <v>0</v>
      </c>
      <c r="E168" s="194" t="str">
        <f>VLOOKUP(A168,'11 - FINANCEIRA'!A:M,4,0)</f>
        <v>und</v>
      </c>
      <c r="G168" s="1298" t="str">
        <f t="shared" si="4"/>
        <v>NULO</v>
      </c>
      <c r="H168" s="1298">
        <f t="shared" si="5"/>
        <v>0</v>
      </c>
    </row>
    <row r="169" spans="1:184" ht="26.4" hidden="1">
      <c r="A169" s="205" t="s">
        <v>494</v>
      </c>
      <c r="B169" s="224" t="str">
        <f>VLOOKUP(A169,'11 - FINANCEIRA'!A:M,2,0)</f>
        <v>89351</v>
      </c>
      <c r="C169" s="179" t="str">
        <f>VLOOKUP(A169,'11 - FINANCEIRA'!A:M,3,0)</f>
        <v>Registro de pressão bruto, latão, roscável, 3/4?, fornecido e instalado em ramal de água. af_12/2014</v>
      </c>
      <c r="D169" s="193">
        <f>VLOOKUP(A169,'11 - FINANCEIRA'!A:M,10,0)</f>
        <v>0</v>
      </c>
      <c r="E169" s="194" t="str">
        <f>VLOOKUP(A169,'11 - FINANCEIRA'!A:M,4,0)</f>
        <v>und</v>
      </c>
      <c r="G169" s="1298" t="str">
        <f t="shared" si="4"/>
        <v>NULO</v>
      </c>
      <c r="H169" s="1298">
        <f t="shared" si="5"/>
        <v>0</v>
      </c>
    </row>
    <row r="170" spans="1:184" hidden="1">
      <c r="A170" s="205" t="s">
        <v>495</v>
      </c>
      <c r="B170" s="224" t="str">
        <f>VLOOKUP(A170,'11 - FINANCEIRA'!A:M,2,0)</f>
        <v>94796</v>
      </c>
      <c r="C170" s="179" t="str">
        <f>VLOOKUP(A170,'11 - FINANCEIRA'!A:M,3,0)</f>
        <v>Torneira de boia, roscável, 3/4? , fornecida e instalada em reservação de água. af_06/2016</v>
      </c>
      <c r="D170" s="193">
        <f>VLOOKUP(A170,'11 - FINANCEIRA'!A:M,10,0)</f>
        <v>0</v>
      </c>
      <c r="E170" s="194" t="str">
        <f>VLOOKUP(A170,'11 - FINANCEIRA'!A:M,4,0)</f>
        <v>und</v>
      </c>
      <c r="G170" s="1298" t="str">
        <f t="shared" si="4"/>
        <v>NULO</v>
      </c>
      <c r="H170" s="1298">
        <f t="shared" si="5"/>
        <v>0</v>
      </c>
    </row>
    <row r="171" spans="1:184" hidden="1">
      <c r="A171" s="205" t="s">
        <v>496</v>
      </c>
      <c r="B171" s="224" t="str">
        <f>VLOOKUP(A171,'11 - FINANCEIRA'!A:M,2,0)</f>
        <v>S141906</v>
      </c>
      <c r="C171" s="179" t="str">
        <f>VLOOKUP(A171,'11 - FINANCEIRA'!A:M,3,0)</f>
        <v>Tubo de pvc rígido soldável branco, para esgoto, diâmetro 40mm (1 1/2"), inclusive conexões</v>
      </c>
      <c r="D171" s="193">
        <f>VLOOKUP(A171,'11 - FINANCEIRA'!A:M,10,0)</f>
        <v>0</v>
      </c>
      <c r="E171" s="194" t="str">
        <f>VLOOKUP(A171,'11 - FINANCEIRA'!A:M,4,0)</f>
        <v>m</v>
      </c>
      <c r="G171" s="1298" t="str">
        <f t="shared" ref="G171:G203" si="6">IF(D171&gt;0,"POSITIVO",IF(D171=0,"NULO",IF(D171&lt;0,"NEGATIVO")))</f>
        <v>NULO</v>
      </c>
      <c r="H171" s="1298">
        <f t="shared" ref="H171:H203" si="7">IF(G171="NULO",0,1)</f>
        <v>0</v>
      </c>
    </row>
    <row r="172" spans="1:184" hidden="1">
      <c r="A172" s="205" t="s">
        <v>497</v>
      </c>
      <c r="B172" s="224" t="str">
        <f>VLOOKUP(A172,'11 - FINANCEIRA'!A:M,2,0)</f>
        <v>S141907</v>
      </c>
      <c r="C172" s="179" t="str">
        <f>VLOOKUP(A172,'11 - FINANCEIRA'!A:M,3,0)</f>
        <v>Tubo de pvc rígido soldável branco, para esgoto, diâmetro 50mm (2"), inclusive conexões</v>
      </c>
      <c r="D172" s="193">
        <f>VLOOKUP(A172,'11 - FINANCEIRA'!A:M,10,0)</f>
        <v>0</v>
      </c>
      <c r="E172" s="194" t="str">
        <f>VLOOKUP(A172,'11 - FINANCEIRA'!A:M,4,0)</f>
        <v>m</v>
      </c>
      <c r="G172" s="1298" t="str">
        <f t="shared" si="6"/>
        <v>NULO</v>
      </c>
      <c r="H172" s="1298">
        <f t="shared" si="7"/>
        <v>0</v>
      </c>
    </row>
    <row r="173" spans="1:184" hidden="1">
      <c r="A173" s="205" t="s">
        <v>498</v>
      </c>
      <c r="B173" s="224" t="str">
        <f>VLOOKUP(A173,'11 - FINANCEIRA'!A:M,2,0)</f>
        <v>S141909</v>
      </c>
      <c r="C173" s="179" t="str">
        <f>VLOOKUP(A173,'11 - FINANCEIRA'!A:M,3,0)</f>
        <v>Tubo de pvc rígido soldável branco, para esgoto, diâmetro 100mm (4"), inclusive conexões</v>
      </c>
      <c r="D173" s="193">
        <f>VLOOKUP(A173,'11 - FINANCEIRA'!A:M,10,0)</f>
        <v>0</v>
      </c>
      <c r="E173" s="194" t="str">
        <f>VLOOKUP(A173,'11 - FINANCEIRA'!A:M,4,0)</f>
        <v>m</v>
      </c>
      <c r="G173" s="1298" t="str">
        <f t="shared" si="6"/>
        <v>NULO</v>
      </c>
      <c r="H173" s="1298">
        <f t="shared" si="7"/>
        <v>0</v>
      </c>
    </row>
    <row r="174" spans="1:184" hidden="1">
      <c r="A174" s="205" t="s">
        <v>499</v>
      </c>
      <c r="B174" s="224" t="str">
        <f>VLOOKUP(A174,'11 - FINANCEIRA'!A:M,2,0)</f>
        <v>S142107</v>
      </c>
      <c r="C174" s="179" t="str">
        <f>VLOOKUP(A174,'11 - FINANCEIRA'!A:M,3,0)</f>
        <v>Ralo sifonado em pvc 100x40mm, com grelha pvc</v>
      </c>
      <c r="D174" s="193">
        <f>VLOOKUP(A174,'11 - FINANCEIRA'!A:M,10,0)</f>
        <v>0</v>
      </c>
      <c r="E174" s="194" t="str">
        <f>VLOOKUP(A174,'11 - FINANCEIRA'!A:M,4,0)</f>
        <v>und</v>
      </c>
      <c r="G174" s="1298" t="str">
        <f t="shared" si="6"/>
        <v>NULO</v>
      </c>
      <c r="H174" s="1298">
        <f t="shared" si="7"/>
        <v>0</v>
      </c>
    </row>
    <row r="175" spans="1:184" hidden="1">
      <c r="A175" s="205" t="s">
        <v>500</v>
      </c>
      <c r="B175" s="224" t="str">
        <f>VLOOKUP(A175,'11 - FINANCEIRA'!A:M,2,0)</f>
        <v>S142111</v>
      </c>
      <c r="C175" s="179" t="str">
        <f>VLOOKUP(A175,'11 - FINANCEIRA'!A:M,3,0)</f>
        <v>Caixa sifonada em pvc, com grelha e porta grelha</v>
      </c>
      <c r="D175" s="193">
        <f>VLOOKUP(A175,'11 - FINANCEIRA'!A:M,10,0)</f>
        <v>0</v>
      </c>
      <c r="E175" s="194" t="str">
        <f>VLOOKUP(A175,'11 - FINANCEIRA'!A:M,4,0)</f>
        <v>und</v>
      </c>
      <c r="G175" s="1298" t="str">
        <f t="shared" si="6"/>
        <v>NULO</v>
      </c>
      <c r="H175" s="1298">
        <f t="shared" si="7"/>
        <v>0</v>
      </c>
    </row>
    <row r="176" spans="1:184" hidden="1">
      <c r="A176" s="205" t="s">
        <v>501</v>
      </c>
      <c r="B176" s="224" t="str">
        <f>VLOOKUP(A176,'11 - FINANCEIRA'!A:M,2,0)</f>
        <v>98110</v>
      </c>
      <c r="C176" s="179" t="str">
        <f>VLOOKUP(A176,'11 - FINANCEIRA'!A:M,3,0)</f>
        <v xml:space="preserve">Caixa de gordura pequena </v>
      </c>
      <c r="D176" s="193">
        <f>VLOOKUP(A176,'11 - FINANCEIRA'!A:M,10,0)</f>
        <v>0</v>
      </c>
      <c r="E176" s="194" t="str">
        <f>VLOOKUP(A176,'11 - FINANCEIRA'!A:M,4,0)</f>
        <v>und</v>
      </c>
      <c r="G176" s="1298" t="str">
        <f t="shared" si="6"/>
        <v>NULO</v>
      </c>
      <c r="H176" s="1298">
        <f t="shared" si="7"/>
        <v>0</v>
      </c>
    </row>
    <row r="177" spans="1:8" ht="39.6" hidden="1">
      <c r="A177" s="205" t="s">
        <v>502</v>
      </c>
      <c r="B177" s="224" t="str">
        <f>VLOOKUP(A177,'11 - FINANCEIRA'!A:M,2,0)</f>
        <v>S151016</v>
      </c>
      <c r="C177" s="179" t="str">
        <f>VLOOKUP(A177,'11 - FINANCEIRA'!A:M,3,0)</f>
        <v>Caixa de passagem de alvenaria de blocos de concreto 9x19x39cm, dimensões de 80x80x80m, com revestimento interno em chapisco e reboco tampa de concreto esp. 5cm e lastro de brita 5cm</v>
      </c>
      <c r="D177" s="193">
        <f>VLOOKUP(A177,'11 - FINANCEIRA'!A:M,10,0)</f>
        <v>0</v>
      </c>
      <c r="E177" s="194" t="str">
        <f>VLOOKUP(A177,'11 - FINANCEIRA'!A:M,4,0)</f>
        <v>und</v>
      </c>
      <c r="G177" s="1298" t="str">
        <f t="shared" si="6"/>
        <v>NULO</v>
      </c>
      <c r="H177" s="1298">
        <f t="shared" si="7"/>
        <v>0</v>
      </c>
    </row>
    <row r="178" spans="1:8" ht="39.6" hidden="1">
      <c r="A178" s="205" t="s">
        <v>503</v>
      </c>
      <c r="B178" s="224" t="str">
        <f>VLOOKUP(A178,'11 - FINANCEIRA'!A:M,2,0)</f>
        <v>S151017</v>
      </c>
      <c r="C178" s="179" t="str">
        <f>VLOOKUP(A178,'11 - FINANCEIRA'!A:M,3,0)</f>
        <v>Caixa de passagem de alvenaria de blocos de concreto 9x19x39cm, dimensões de 1.00x1.00x1.00m, com revestimento interno em chapisco e reboco tampa de concreto esp. 5cm e lastro de brita 5cm</v>
      </c>
      <c r="D178" s="193">
        <f>VLOOKUP(A178,'11 - FINANCEIRA'!A:M,10,0)</f>
        <v>0</v>
      </c>
      <c r="E178" s="194" t="str">
        <f>VLOOKUP(A178,'11 - FINANCEIRA'!A:M,4,0)</f>
        <v>und</v>
      </c>
      <c r="G178" s="1298" t="str">
        <f t="shared" si="6"/>
        <v>NULO</v>
      </c>
      <c r="H178" s="1298">
        <f t="shared" si="7"/>
        <v>0</v>
      </c>
    </row>
    <row r="179" spans="1:8" hidden="1">
      <c r="A179" s="205" t="s">
        <v>504</v>
      </c>
      <c r="B179" s="224" t="str">
        <f>VLOOKUP(A179,'11 - FINANCEIRA'!A:M,2,0)</f>
        <v>00039319</v>
      </c>
      <c r="C179" s="179" t="str">
        <f>VLOOKUP(A179,'11 - FINANCEIRA'!A:M,3,0)</f>
        <v>Terminal de ventilacao, 50 mm, serie normal, esgoto predial</v>
      </c>
      <c r="D179" s="193">
        <f>VLOOKUP(A179,'11 - FINANCEIRA'!A:M,10,0)</f>
        <v>0</v>
      </c>
      <c r="E179" s="194" t="str">
        <f>VLOOKUP(A179,'11 - FINANCEIRA'!A:M,4,0)</f>
        <v>und</v>
      </c>
      <c r="G179" s="1298" t="str">
        <f t="shared" si="6"/>
        <v>NULO</v>
      </c>
      <c r="H179" s="1298">
        <f t="shared" si="7"/>
        <v>0</v>
      </c>
    </row>
    <row r="180" spans="1:8" ht="26.4" hidden="1">
      <c r="A180" s="205" t="s">
        <v>505</v>
      </c>
      <c r="B180" s="224" t="str">
        <f>VLOOKUP(A180,'11 - FINANCEIRA'!A:M,2,0)</f>
        <v>89860</v>
      </c>
      <c r="C180" s="179" t="str">
        <f>VLOOKUP(A180,'11 - FINANCEIRA'!A:M,3,0)</f>
        <v>Te, pvc, serie normal, esgoto predial, dn 100 x 100 mm, junta elástica, fornecido e instalado em subcoletor aéreo de esgoto sanitário. af_12/2014</v>
      </c>
      <c r="D180" s="193">
        <f>VLOOKUP(A180,'11 - FINANCEIRA'!A:M,10,0)</f>
        <v>0</v>
      </c>
      <c r="E180" s="194" t="str">
        <f>VLOOKUP(A180,'11 - FINANCEIRA'!A:M,4,0)</f>
        <v>und</v>
      </c>
      <c r="G180" s="1298" t="str">
        <f t="shared" si="6"/>
        <v>NULO</v>
      </c>
      <c r="H180" s="1298">
        <f t="shared" si="7"/>
        <v>0</v>
      </c>
    </row>
    <row r="181" spans="1:8" ht="26.4" hidden="1">
      <c r="A181" s="205" t="s">
        <v>506</v>
      </c>
      <c r="B181" s="224" t="str">
        <f>VLOOKUP(A181,'11 - FINANCEIRA'!A:M,2,0)</f>
        <v>CP-7963-72293</v>
      </c>
      <c r="C181" s="179" t="str">
        <f>VLOOKUP(A181,'11 - FINANCEIRA'!A:M,3,0)</f>
        <v>Cap pvc esgoto 50mm (tampão) - fornecimento e instalação</v>
      </c>
      <c r="D181" s="193">
        <f>VLOOKUP(A181,'11 - FINANCEIRA'!A:M,10,0)</f>
        <v>0</v>
      </c>
      <c r="E181" s="194" t="str">
        <f>VLOOKUP(A181,'11 - FINANCEIRA'!A:M,4,0)</f>
        <v>und</v>
      </c>
      <c r="G181" s="1298" t="str">
        <f t="shared" si="6"/>
        <v>NULO</v>
      </c>
      <c r="H181" s="1298">
        <f t="shared" si="7"/>
        <v>0</v>
      </c>
    </row>
    <row r="182" spans="1:8" hidden="1">
      <c r="A182" s="205" t="s">
        <v>507</v>
      </c>
      <c r="B182" s="224" t="str">
        <f>VLOOKUP(A182,'11 - FINANCEIRA'!A:M,2,0)</f>
        <v>S140905</v>
      </c>
      <c r="C182" s="179" t="str">
        <f>VLOOKUP(A182,'11 - FINANCEIRA'!A:M,3,0)</f>
        <v>Tubo pvc rígido para esgoto no diâmetro de 200mm incluindo escavação e aterro com areia</v>
      </c>
      <c r="D182" s="193">
        <f>VLOOKUP(A182,'11 - FINANCEIRA'!A:M,10,0)</f>
        <v>0</v>
      </c>
      <c r="E182" s="194" t="str">
        <f>VLOOKUP(A182,'11 - FINANCEIRA'!A:M,4,0)</f>
        <v>m</v>
      </c>
      <c r="G182" s="1298" t="str">
        <f t="shared" si="6"/>
        <v>NULO</v>
      </c>
      <c r="H182" s="1298">
        <f t="shared" si="7"/>
        <v>0</v>
      </c>
    </row>
    <row r="183" spans="1:8" ht="39.6" hidden="1">
      <c r="A183" s="205" t="s">
        <v>508</v>
      </c>
      <c r="B183" s="224" t="str">
        <f>VLOOKUP(A183,'11 - FINANCEIRA'!A:M,2,0)</f>
        <v>S140102</v>
      </c>
      <c r="C183" s="179" t="str">
        <f>VLOOKUP(A183,'11 - FINANCEIRA'!A:M,3,0)</f>
        <v>Fossa séptica de anéis pré-moldados de concreto, diâmetro 1.20 m, altura útil de 1.70m, completa, incluindo tampa c/visita de 60cm, concreto p/fundo esp.10 cm, e tubo para ligação ao filtro</v>
      </c>
      <c r="D183" s="193">
        <f>VLOOKUP(A183,'11 - FINANCEIRA'!A:M,10,0)</f>
        <v>0</v>
      </c>
      <c r="E183" s="194" t="str">
        <f>VLOOKUP(A183,'11 - FINANCEIRA'!A:M,4,0)</f>
        <v>und</v>
      </c>
      <c r="G183" s="1298" t="str">
        <f t="shared" si="6"/>
        <v>NULO</v>
      </c>
      <c r="H183" s="1298">
        <f t="shared" si="7"/>
        <v>0</v>
      </c>
    </row>
    <row r="184" spans="1:8" ht="39.6" hidden="1">
      <c r="A184" s="205" t="s">
        <v>509</v>
      </c>
      <c r="B184" s="224" t="str">
        <f>VLOOKUP(A184,'11 - FINANCEIRA'!A:M,2,0)</f>
        <v>S140103</v>
      </c>
      <c r="C184" s="179" t="str">
        <f>VLOOKUP(A184,'11 - FINANCEIRA'!A:M,3,0)</f>
        <v>Filtro anaeróbio de anéis pré-moldados de concreto, diâmetro de 1.20m, altura útil de 1.80m, completo, incl. tampa c/visita de 60 cm, concreto p/fundo esp.10cm e tubulação de saída de esgoto</v>
      </c>
      <c r="D184" s="193">
        <f>VLOOKUP(A184,'11 - FINANCEIRA'!A:M,10,0)</f>
        <v>0</v>
      </c>
      <c r="E184" s="194" t="str">
        <f>VLOOKUP(A184,'11 - FINANCEIRA'!A:M,4,0)</f>
        <v>und</v>
      </c>
      <c r="G184" s="1298" t="str">
        <f t="shared" si="6"/>
        <v>NULO</v>
      </c>
      <c r="H184" s="1298">
        <f t="shared" si="7"/>
        <v>0</v>
      </c>
    </row>
    <row r="185" spans="1:8" s="183" customFormat="1">
      <c r="A185" s="206" t="s">
        <v>510</v>
      </c>
      <c r="B185" s="635" t="str">
        <f>VLOOKUP(A185,'11 - FINANCEIRA'!A:M,1,0)</f>
        <v>2.3.11</v>
      </c>
      <c r="C185" s="190" t="str">
        <f>VLOOKUP(A185,'11 - FINANCEIRA'!A:M,2,0)</f>
        <v>EXTERNO E URBANIZAÇÃO</v>
      </c>
      <c r="D185" s="191"/>
      <c r="E185" s="192"/>
      <c r="F185" s="221"/>
      <c r="G185" s="1298"/>
      <c r="H185" s="1298">
        <f>SUM(H186:H200)</f>
        <v>1</v>
      </c>
    </row>
    <row r="186" spans="1:8" hidden="1">
      <c r="A186" s="205" t="s">
        <v>511</v>
      </c>
      <c r="B186" s="224" t="str">
        <f>VLOOKUP(A186,'11 - FINANCEIRA'!A:M,2,0)</f>
        <v>S071107</v>
      </c>
      <c r="C186" s="179" t="str">
        <f>VLOOKUP(A186,'11 - FINANCEIRA'!A:M,3,0)</f>
        <v>Portão de ferro de abrir em barra chata, chapa e tubo, inclusive chumbamento</v>
      </c>
      <c r="D186" s="193">
        <f>VLOOKUP(A186,'11 - FINANCEIRA'!A:M,10,0)</f>
        <v>0</v>
      </c>
      <c r="E186" s="194" t="str">
        <f>VLOOKUP(A186,'11 - FINANCEIRA'!A:M,4,0)</f>
        <v>m²</v>
      </c>
      <c r="G186" s="1298" t="str">
        <f t="shared" si="6"/>
        <v>NULO</v>
      </c>
      <c r="H186" s="1298">
        <f t="shared" si="7"/>
        <v>0</v>
      </c>
    </row>
    <row r="187" spans="1:8" ht="39.6" hidden="1">
      <c r="A187" s="205" t="s">
        <v>512</v>
      </c>
      <c r="B187" s="224" t="str">
        <f>VLOOKUP(A187,'11 - FINANCEIRA'!A:M,2,0)</f>
        <v>87473</v>
      </c>
      <c r="C187" s="179" t="str">
        <f>VLOOKUP(A187,'11 - FINANCEIRA'!A:M,3,0)</f>
        <v>Alvenaria de vedação de blocos cerâmicos furados na vertical de 14x19x39cm (espessura 14cm) de paredes com área líquida menor que 6m² sem vãos e argamassa de assentamento com preparo em betoneira. af_06/2014</v>
      </c>
      <c r="D187" s="193">
        <f>VLOOKUP(A187,'11 - FINANCEIRA'!A:M,10,0)</f>
        <v>0</v>
      </c>
      <c r="E187" s="194" t="str">
        <f>VLOOKUP(A187,'11 - FINANCEIRA'!A:M,4,0)</f>
        <v>m²</v>
      </c>
      <c r="G187" s="1298" t="str">
        <f t="shared" si="6"/>
        <v>NULO</v>
      </c>
      <c r="H187" s="1298">
        <f t="shared" si="7"/>
        <v>0</v>
      </c>
    </row>
    <row r="188" spans="1:8" ht="26.4" hidden="1">
      <c r="A188" s="205" t="s">
        <v>513</v>
      </c>
      <c r="B188" s="224" t="str">
        <f>VLOOKUP(A188,'11 - FINANCEIRA'!A:M,2,0)</f>
        <v>00034348</v>
      </c>
      <c r="C188" s="179" t="str">
        <f>VLOOKUP(A188,'11 - FINANCEIRA'!A:M,3,0)</f>
        <v>Concertina clipada (dupla) em aco galvanizado de alta resistencia, com espiral de 300 mm, d = 2,76 mm</v>
      </c>
      <c r="D188" s="193">
        <f>VLOOKUP(A188,'11 - FINANCEIRA'!A:M,10,0)</f>
        <v>0</v>
      </c>
      <c r="E188" s="194" t="str">
        <f>VLOOKUP(A188,'11 - FINANCEIRA'!A:M,4,0)</f>
        <v>m</v>
      </c>
      <c r="G188" s="1298" t="str">
        <f t="shared" si="6"/>
        <v>NULO</v>
      </c>
      <c r="H188" s="1298">
        <f t="shared" si="7"/>
        <v>0</v>
      </c>
    </row>
    <row r="189" spans="1:8" ht="26.4" hidden="1">
      <c r="A189" s="205" t="s">
        <v>514</v>
      </c>
      <c r="B189" s="224" t="str">
        <f>VLOOKUP(A189,'11 - FINANCEIRA'!A:M,2,0)</f>
        <v>74244/001</v>
      </c>
      <c r="C189" s="179" t="str">
        <f>VLOOKUP(A189,'11 - FINANCEIRA'!A:M,3,0)</f>
        <v>Alambrado estruturado por tubos de aco galvanizado, com costura, din 2440, diametro 2", com tela de arame galvanizado, fio 14 bwg e malha quadrada 5x5cm</v>
      </c>
      <c r="D189" s="193">
        <f>VLOOKUP(A189,'11 - FINANCEIRA'!A:M,10,0)</f>
        <v>0</v>
      </c>
      <c r="E189" s="194" t="str">
        <f>VLOOKUP(A189,'11 - FINANCEIRA'!A:M,4,0)</f>
        <v>m²</v>
      </c>
      <c r="G189" s="1298" t="str">
        <f t="shared" si="6"/>
        <v>NULO</v>
      </c>
      <c r="H189" s="1298">
        <f t="shared" si="7"/>
        <v>0</v>
      </c>
    </row>
    <row r="190" spans="1:8" hidden="1">
      <c r="A190" s="205" t="s">
        <v>515</v>
      </c>
      <c r="B190" s="224" t="str">
        <f>VLOOKUP(A190,'11 - FINANCEIRA'!A:M,2,0)</f>
        <v>99855</v>
      </c>
      <c r="C190" s="179" t="str">
        <f>VLOOKUP(A190,'11 - FINANCEIRA'!A:M,3,0)</f>
        <v>Corrimão simples, diâmetro externo = 1 1/2", em aço galvanizado. af_04/2019_p</v>
      </c>
      <c r="D190" s="193">
        <f>VLOOKUP(A190,'11 - FINANCEIRA'!A:M,10,0)</f>
        <v>0</v>
      </c>
      <c r="E190" s="194" t="str">
        <f>VLOOKUP(A190,'11 - FINANCEIRA'!A:M,4,0)</f>
        <v>m</v>
      </c>
      <c r="G190" s="1298" t="str">
        <f>IF(D190&gt;0,"POSITIVO",IF(D190=0,"NULO",IF(D190&lt;0,"NEGATIVO")))</f>
        <v>NULO</v>
      </c>
      <c r="H190" s="1298">
        <f>IF(G190="NULO",0,1)</f>
        <v>0</v>
      </c>
    </row>
    <row r="191" spans="1:8" ht="39.6" hidden="1">
      <c r="A191" s="205" t="s">
        <v>516</v>
      </c>
      <c r="B191" s="224" t="str">
        <f>VLOOKUP(A191,'11 - FINANCEIRA'!A:M,2,0)</f>
        <v>99839</v>
      </c>
      <c r="C191" s="179" t="str">
        <f>VLOOKUP(A191,'11 - FINANCEIRA'!A:M,3,0)</f>
        <v>Guarda-corpo de aço galvanizado de 1,10m de altura, montantes tubulares de 1.1/2? espaçados de 1,20m, travessa superior de 2?, gradil formado por barras chatas em ferro de 32x4,8mm, fixado com chumbador mecânico. af_04/2019_p</v>
      </c>
      <c r="D191" s="193">
        <f>VLOOKUP(A191,'11 - FINANCEIRA'!A:M,10,0)</f>
        <v>0</v>
      </c>
      <c r="E191" s="194" t="str">
        <f>VLOOKUP(A191,'11 - FINANCEIRA'!A:M,4,0)</f>
        <v>m</v>
      </c>
      <c r="G191" s="1298" t="str">
        <f t="shared" si="6"/>
        <v>NULO</v>
      </c>
      <c r="H191" s="1298">
        <f t="shared" si="7"/>
        <v>0</v>
      </c>
    </row>
    <row r="192" spans="1:8" ht="26.4" hidden="1">
      <c r="A192" s="205" t="s">
        <v>517</v>
      </c>
      <c r="B192" s="224" t="str">
        <f>VLOOKUP(A192,'11 - FINANCEIRA'!A:M,2,0)</f>
        <v>S200326</v>
      </c>
      <c r="C192" s="179" t="str">
        <f>VLOOKUP(A192,'11 - FINANCEIRA'!A:M,3,0)</f>
        <v>Fornecimento e plantio de grama em placas tipo esmeralda ou amendoim (arachis repens), conforme projeto, inclusive fornecimento de terra vegetal</v>
      </c>
      <c r="D192" s="193">
        <f>VLOOKUP(A192,'11 - FINANCEIRA'!A:M,10,0)</f>
        <v>0</v>
      </c>
      <c r="E192" s="194" t="str">
        <f>VLOOKUP(A192,'11 - FINANCEIRA'!A:M,4,0)</f>
        <v>m²</v>
      </c>
      <c r="G192" s="1298" t="str">
        <f t="shared" si="6"/>
        <v>NULO</v>
      </c>
      <c r="H192" s="1298">
        <f t="shared" si="7"/>
        <v>0</v>
      </c>
    </row>
    <row r="193" spans="1:8" ht="26.4" hidden="1">
      <c r="A193" s="205" t="s">
        <v>518</v>
      </c>
      <c r="B193" s="224" t="str">
        <f>VLOOKUP(A193,'11 - FINANCEIRA'!A:M,2,0)</f>
        <v>94276</v>
      </c>
      <c r="C193" s="179" t="str">
        <f>VLOOKUP(A193,'11 - FINANCEIRA'!A:M,3,0)</f>
        <v xml:space="preserve">Assentamento de guia (meio-fio) , confeccionada em concreto pré-fabricado, dpara urbanização de empreendimentos. </v>
      </c>
      <c r="D193" s="193">
        <f>VLOOKUP(A193,'11 - FINANCEIRA'!A:M,10,0)</f>
        <v>0</v>
      </c>
      <c r="E193" s="194" t="str">
        <f>VLOOKUP(A193,'11 - FINANCEIRA'!A:M,4,0)</f>
        <v>m</v>
      </c>
      <c r="G193" s="1298" t="str">
        <f t="shared" si="6"/>
        <v>NULO</v>
      </c>
      <c r="H193" s="1298">
        <f t="shared" si="7"/>
        <v>0</v>
      </c>
    </row>
    <row r="194" spans="1:8" hidden="1">
      <c r="A194" s="205" t="s">
        <v>519</v>
      </c>
      <c r="B194" s="224" t="str">
        <f>VLOOKUP(A194,'11 - FINANCEIRA'!A:M,2,0)</f>
        <v>98516</v>
      </c>
      <c r="C194" s="179" t="str">
        <f>VLOOKUP(A194,'11 - FINANCEIRA'!A:M,3,0)</f>
        <v>Plantio de palmeira com altura de muda menor ou igual a 2,00 m. af_05/2018</v>
      </c>
      <c r="D194" s="193">
        <f>VLOOKUP(A194,'11 - FINANCEIRA'!A:M,10,0)</f>
        <v>0</v>
      </c>
      <c r="E194" s="194" t="str">
        <f>VLOOKUP(A194,'11 - FINANCEIRA'!A:M,4,0)</f>
        <v>und</v>
      </c>
      <c r="G194" s="1298" t="str">
        <f t="shared" si="6"/>
        <v>NULO</v>
      </c>
      <c r="H194" s="1298">
        <f t="shared" si="7"/>
        <v>0</v>
      </c>
    </row>
    <row r="195" spans="1:8" ht="26.4" hidden="1">
      <c r="A195" s="205" t="s">
        <v>520</v>
      </c>
      <c r="B195" s="224" t="str">
        <f>VLOOKUP(A195,'11 - FINANCEIRA'!A:M,2,0)</f>
        <v>S200253</v>
      </c>
      <c r="C195" s="179" t="str">
        <f>VLOOKUP(A195,'11 - FINANCEIRA'!A:M,3,0)</f>
        <v>Fornecimento e assentamento de ladrilho hidráulico pastilhado, vermelho, dim. 20x20 cm, esp. 1.5cm, assentado com pasta de cimento colante, exclusive regularização e lastro</v>
      </c>
      <c r="D195" s="193">
        <f>VLOOKUP(A195,'11 - FINANCEIRA'!A:M,10,0)</f>
        <v>0</v>
      </c>
      <c r="E195" s="194" t="str">
        <f>VLOOKUP(A195,'11 - FINANCEIRA'!A:M,4,0)</f>
        <v>m²</v>
      </c>
      <c r="G195" s="1298" t="str">
        <f t="shared" si="6"/>
        <v>NULO</v>
      </c>
      <c r="H195" s="1298">
        <f t="shared" si="7"/>
        <v>0</v>
      </c>
    </row>
    <row r="196" spans="1:8" ht="26.4" hidden="1">
      <c r="A196" s="205" t="s">
        <v>521</v>
      </c>
      <c r="B196" s="224" t="str">
        <f>VLOOKUP(A196,'11 - FINANCEIRA'!A:M,2,0)</f>
        <v>S200254</v>
      </c>
      <c r="C196" s="179" t="str">
        <f>VLOOKUP(A196,'11 - FINANCEIRA'!A:M,3,0)</f>
        <v>Fornecimento e assentamento de ladrilho hidráulico ranhurado, vermelho, dim. 20x20 cm, esp. 1.5cm, assentado com pasta de cimento colante, exclusive regularização e lastro</v>
      </c>
      <c r="D196" s="193">
        <f>VLOOKUP(A196,'11 - FINANCEIRA'!A:M,10,0)</f>
        <v>0</v>
      </c>
      <c r="E196" s="194" t="str">
        <f>VLOOKUP(A196,'11 - FINANCEIRA'!A:M,4,0)</f>
        <v>m²</v>
      </c>
      <c r="G196" s="1298" t="str">
        <f t="shared" si="6"/>
        <v>NULO</v>
      </c>
      <c r="H196" s="1298">
        <f t="shared" si="7"/>
        <v>0</v>
      </c>
    </row>
    <row r="197" spans="1:8" ht="26.4" hidden="1">
      <c r="A197" s="205" t="s">
        <v>522</v>
      </c>
      <c r="B197" s="224" t="str">
        <f>VLOOKUP(A197,'11 - FINANCEIRA'!A:M,2,0)</f>
        <v>92398</v>
      </c>
      <c r="C197" s="179" t="str">
        <f>VLOOKUP(A197,'11 - FINANCEIRA'!A:M,3,0)</f>
        <v>Execução de pátio/estacionamento em piso intertravado, com bloco retangular cor natural de 20 x 10 cm, espessura 8 cm. af_12/2015</v>
      </c>
      <c r="D197" s="193">
        <f>VLOOKUP(A197,'11 - FINANCEIRA'!A:M,10,0)</f>
        <v>0</v>
      </c>
      <c r="E197" s="194" t="str">
        <f>VLOOKUP(A197,'11 - FINANCEIRA'!A:M,4,0)</f>
        <v>m²</v>
      </c>
      <c r="G197" s="1298" t="str">
        <f t="shared" si="6"/>
        <v>NULO</v>
      </c>
      <c r="H197" s="1298">
        <f t="shared" si="7"/>
        <v>0</v>
      </c>
    </row>
    <row r="198" spans="1:8">
      <c r="A198" s="205" t="s">
        <v>523</v>
      </c>
      <c r="B198" s="224" t="str">
        <f>VLOOKUP(A198,'11 - FINANCEIRA'!A:M,2,0)</f>
        <v>94333</v>
      </c>
      <c r="C198" s="179" t="str">
        <f>VLOOKUP(A198,'11 - FINANCEIRA'!A:M,3,0)</f>
        <v xml:space="preserve">Aterro mecanizado de vala com escavadeira hidráulica </v>
      </c>
      <c r="D198" s="193">
        <f>VLOOKUP(A198,'11 - FINANCEIRA'!A:M,10,0)</f>
        <v>50</v>
      </c>
      <c r="E198" s="194" t="str">
        <f>VLOOKUP(A198,'11 - FINANCEIRA'!A:M,4,0)</f>
        <v>m³</v>
      </c>
      <c r="G198" s="1298" t="str">
        <f t="shared" si="6"/>
        <v>POSITIVO</v>
      </c>
      <c r="H198" s="1298">
        <f t="shared" si="7"/>
        <v>1</v>
      </c>
    </row>
    <row r="199" spans="1:8" hidden="1">
      <c r="A199" s="205" t="s">
        <v>524</v>
      </c>
      <c r="B199" s="224" t="str">
        <f>VLOOKUP(A199,'11 - FINANCEIRA'!A:M,2,0)</f>
        <v>94996</v>
      </c>
      <c r="C199" s="179" t="str">
        <f>VLOOKUP(A199,'11 - FINANCEIRA'!A:M,3,0)</f>
        <v>Laje sobre piso de rampas, escadas e calçadas</v>
      </c>
      <c r="D199" s="193">
        <f>VLOOKUP(A199,'11 - FINANCEIRA'!A:M,10,0)</f>
        <v>0</v>
      </c>
      <c r="E199" s="194" t="str">
        <f>VLOOKUP(A199,'11 - FINANCEIRA'!A:M,4,0)</f>
        <v>m²</v>
      </c>
      <c r="G199" s="1298" t="str">
        <f t="shared" si="6"/>
        <v>NULO</v>
      </c>
      <c r="H199" s="1298">
        <f t="shared" si="7"/>
        <v>0</v>
      </c>
    </row>
    <row r="200" spans="1:8" hidden="1">
      <c r="A200" s="205" t="s">
        <v>525</v>
      </c>
      <c r="B200" s="224" t="str">
        <f>VLOOKUP(A200,'11 - FINANCEIRA'!A:M,2,0)</f>
        <v>S200715</v>
      </c>
      <c r="C200" s="179" t="str">
        <f>VLOOKUP(A200,'11 - FINANCEIRA'!A:M,3,0)</f>
        <v>Mureta de proteção</v>
      </c>
      <c r="D200" s="193">
        <f>VLOOKUP(A200,'11 - FINANCEIRA'!A:M,10,0)</f>
        <v>0</v>
      </c>
      <c r="E200" s="194" t="str">
        <f>VLOOKUP(A200,'11 - FINANCEIRA'!A:M,4,0)</f>
        <v>m²</v>
      </c>
      <c r="G200" s="1298" t="str">
        <f t="shared" si="6"/>
        <v>NULO</v>
      </c>
      <c r="H200" s="1298">
        <f t="shared" si="7"/>
        <v>0</v>
      </c>
    </row>
    <row r="201" spans="1:8" s="183" customFormat="1" hidden="1">
      <c r="A201" s="206" t="s">
        <v>526</v>
      </c>
      <c r="B201" s="635" t="str">
        <f>VLOOKUP(A201,'11 - FINANCEIRA'!A:M,1,0)</f>
        <v>2.3.12</v>
      </c>
      <c r="C201" s="190" t="str">
        <f>VLOOKUP(A201,'11 - FINANCEIRA'!A:M,2,0)</f>
        <v>INCÊNDIO</v>
      </c>
      <c r="D201" s="191"/>
      <c r="E201" s="192"/>
      <c r="F201" s="221"/>
      <c r="G201" s="1298"/>
      <c r="H201" s="1298">
        <f>SUM(H202:H208)</f>
        <v>0</v>
      </c>
    </row>
    <row r="202" spans="1:8" ht="26.4" hidden="1">
      <c r="A202" s="205" t="s">
        <v>527</v>
      </c>
      <c r="B202" s="224" t="str">
        <f>VLOOKUP(A202,'11 - FINANCEIRA'!A:M,2,0)</f>
        <v>00037558</v>
      </c>
      <c r="C202" s="179" t="str">
        <f>VLOOKUP(A202,'11 - FINANCEIRA'!A:M,3,0)</f>
        <v>Placa de sinalizacao de seguranca contra incendio, fotoluminescente, conforme projeto, (simbolos, cores e pictogramas conforme nbr 13434)</v>
      </c>
      <c r="D202" s="193">
        <f>VLOOKUP(A202,'11 - FINANCEIRA'!A:M,10,0)</f>
        <v>0</v>
      </c>
      <c r="E202" s="194" t="str">
        <f>VLOOKUP(A202,'11 - FINANCEIRA'!A:M,4,0)</f>
        <v>und</v>
      </c>
      <c r="G202" s="1298" t="str">
        <f t="shared" si="6"/>
        <v>NULO</v>
      </c>
      <c r="H202" s="1298">
        <f t="shared" si="7"/>
        <v>0</v>
      </c>
    </row>
    <row r="203" spans="1:8" hidden="1">
      <c r="A203" s="205" t="s">
        <v>528</v>
      </c>
      <c r="B203" s="224" t="str">
        <f>VLOOKUP(A203,'11 - FINANCEIRA'!A:M,2,0)</f>
        <v>72554</v>
      </c>
      <c r="C203" s="179" t="str">
        <f>VLOOKUP(A203,'11 - FINANCEIRA'!A:M,3,0)</f>
        <v>Extintor de co2 6kg - fornecimento e instalacao</v>
      </c>
      <c r="D203" s="193">
        <f>VLOOKUP(A203,'11 - FINANCEIRA'!A:M,10,0)</f>
        <v>0</v>
      </c>
      <c r="E203" s="194" t="str">
        <f>VLOOKUP(A203,'11 - FINANCEIRA'!A:M,4,0)</f>
        <v>und</v>
      </c>
      <c r="G203" s="1298" t="str">
        <f t="shared" si="6"/>
        <v>NULO</v>
      </c>
      <c r="H203" s="1298">
        <f t="shared" si="7"/>
        <v>0</v>
      </c>
    </row>
    <row r="204" spans="1:8" hidden="1">
      <c r="A204" s="205" t="s">
        <v>529</v>
      </c>
      <c r="B204" s="224" t="str">
        <f>VLOOKUP(A204,'11 - FINANCEIRA'!A:M,2,0)</f>
        <v>83635</v>
      </c>
      <c r="C204" s="179" t="str">
        <f>VLOOKUP(A204,'11 - FINANCEIRA'!A:M,3,0)</f>
        <v>Extintor incendio tp po quimico 6kg - fornecimento e instalacao</v>
      </c>
      <c r="D204" s="193">
        <f>VLOOKUP(A204,'11 - FINANCEIRA'!A:M,10,0)</f>
        <v>0</v>
      </c>
      <c r="E204" s="194" t="str">
        <f>VLOOKUP(A204,'11 - FINANCEIRA'!A:M,4,0)</f>
        <v>und</v>
      </c>
      <c r="G204" s="1298" t="str">
        <f>IF(D204&gt;0,"POSITIVO",IF(D204=0,"NULO",IF(D204&lt;0,"NEGATIVO")))</f>
        <v>NULO</v>
      </c>
      <c r="H204" s="1298">
        <f>IF(G204="NULO",0,1)</f>
        <v>0</v>
      </c>
    </row>
    <row r="205" spans="1:8" hidden="1">
      <c r="A205" s="205" t="s">
        <v>530</v>
      </c>
      <c r="B205" s="224" t="str">
        <f>VLOOKUP(A205,'11 - FINANCEIRA'!A:M,2,0)</f>
        <v>83635-V8Kg</v>
      </c>
      <c r="C205" s="179" t="str">
        <f>VLOOKUP(A205,'11 - FINANCEIRA'!A:M,3,0)</f>
        <v>Extintor incendio tp po quimico 8kg - fornecimento e instalacao</v>
      </c>
      <c r="D205" s="193">
        <f>VLOOKUP(A205,'11 - FINANCEIRA'!A:M,10,0)</f>
        <v>0</v>
      </c>
      <c r="E205" s="194" t="str">
        <f>VLOOKUP(A205,'11 - FINANCEIRA'!A:M,4,0)</f>
        <v>und</v>
      </c>
      <c r="G205" s="1298" t="str">
        <f t="shared" ref="G205:G265" si="8">IF(D205&gt;0,"POSITIVO",IF(D205=0,"NULO",IF(D205&lt;0,"NEGATIVO")))</f>
        <v>NULO</v>
      </c>
      <c r="H205" s="1298">
        <f t="shared" ref="H205:H265" si="9">IF(G205="NULO",0,1)</f>
        <v>0</v>
      </c>
    </row>
    <row r="206" spans="1:8" hidden="1">
      <c r="A206" s="205" t="s">
        <v>531</v>
      </c>
      <c r="B206" s="224" t="str">
        <f>VLOOKUP(A206,'11 - FINANCEIRA'!A:M,2,0)</f>
        <v>0919250</v>
      </c>
      <c r="C206" s="179" t="str">
        <f>VLOOKUP(A206,'11 - FINANCEIRA'!A:M,3,0)</f>
        <v>Fornecimento e instalação de extintor de espuma 10 l</v>
      </c>
      <c r="D206" s="193">
        <f>VLOOKUP(A206,'11 - FINANCEIRA'!A:M,10,0)</f>
        <v>0</v>
      </c>
      <c r="E206" s="194" t="str">
        <f>VLOOKUP(A206,'11 - FINANCEIRA'!A:M,4,0)</f>
        <v>und</v>
      </c>
      <c r="G206" s="1298" t="str">
        <f t="shared" si="8"/>
        <v>NULO</v>
      </c>
      <c r="H206" s="1298">
        <f t="shared" si="9"/>
        <v>0</v>
      </c>
    </row>
    <row r="207" spans="1:8" ht="26.4" hidden="1">
      <c r="A207" s="205" t="s">
        <v>532</v>
      </c>
      <c r="B207" s="224" t="str">
        <f>VLOOKUP(A207,'11 - FINANCEIRA'!A:M,2,0)</f>
        <v>S160613</v>
      </c>
      <c r="C207" s="179" t="str">
        <f>VLOOKUP(A207,'11 - FINANCEIRA'!A:M,3,0)</f>
        <v xml:space="preserve">Bloco autônomo de iluminação de emergência 30 leds, bivolt, autonomia de 6hrs, potência 2w, fluxo luminoso 110 lm </v>
      </c>
      <c r="D207" s="193">
        <f>VLOOKUP(A207,'11 - FINANCEIRA'!A:M,10,0)</f>
        <v>0</v>
      </c>
      <c r="E207" s="194" t="str">
        <f>VLOOKUP(A207,'11 - FINANCEIRA'!A:M,4,0)</f>
        <v>und</v>
      </c>
      <c r="G207" s="1298" t="str">
        <f t="shared" si="8"/>
        <v>NULO</v>
      </c>
      <c r="H207" s="1298">
        <f t="shared" si="9"/>
        <v>0</v>
      </c>
    </row>
    <row r="208" spans="1:8" ht="39.6" hidden="1">
      <c r="A208" s="205" t="s">
        <v>533</v>
      </c>
      <c r="B208" s="224" t="str">
        <f>VLOOKUP(A208,'11 - FINANCEIRA'!A:M,2,0)</f>
        <v>CP-5631-P.16.000.067033</v>
      </c>
      <c r="C208" s="179" t="str">
        <f>VLOOKUP(A208,'11 - FINANCEIRA'!A:M,3,0)</f>
        <v xml:space="preserve">Bloco autônomo p/ iluminação de emergência, c/ faróis de led 15w temp. cor 5000k, autonomia 3 horas, gab. policarb. term. autoextinguível, prot. uv, res. a impacto, bege, mod. bll 2400 led ip66 - aureonlux ou equivalente </v>
      </c>
      <c r="D208" s="193">
        <f>VLOOKUP(A208,'11 - FINANCEIRA'!A:M,10,0)</f>
        <v>0</v>
      </c>
      <c r="E208" s="194" t="str">
        <f>VLOOKUP(A208,'11 - FINANCEIRA'!A:M,4,0)</f>
        <v>und</v>
      </c>
      <c r="G208" s="1298" t="str">
        <f t="shared" si="8"/>
        <v>NULO</v>
      </c>
      <c r="H208" s="1298">
        <f t="shared" si="9"/>
        <v>0</v>
      </c>
    </row>
    <row r="209" spans="1:8" s="189" customFormat="1" hidden="1">
      <c r="A209" s="207" t="s">
        <v>279</v>
      </c>
      <c r="B209" s="200" t="str">
        <f>VLOOKUP(A209,'11 - FINANCEIRA'!A:M,1,0)</f>
        <v>2.4</v>
      </c>
      <c r="C209" s="184" t="str">
        <f>VLOOKUP(A209,'11 - FINANCEIRA'!A:M,2,0)</f>
        <v>FIXAÇÃO E PROTEÇÃO DAS MARGENS</v>
      </c>
      <c r="D209" s="185"/>
      <c r="E209" s="200"/>
      <c r="F209" s="217"/>
      <c r="G209" s="1298"/>
      <c r="H209" s="1298">
        <f>SUM(H210:H210)</f>
        <v>0</v>
      </c>
    </row>
    <row r="210" spans="1:8" s="202" customFormat="1" ht="26.4" hidden="1">
      <c r="A210" s="210" t="s">
        <v>534</v>
      </c>
      <c r="B210" s="224" t="str">
        <f>VLOOKUP(A210,'11 - FINANCEIRA'!A:M,2,0)</f>
        <v>1505877</v>
      </c>
      <c r="C210" s="179" t="str">
        <f>VLOOKUP(A210,'11 - FINANCEIRA'!A:M,3,0)</f>
        <v>Enrocamento com pedra, inclusive espalhamento e compactação mecânica - fornecimento e assentamento</v>
      </c>
      <c r="D210" s="193">
        <f>VLOOKUP(A210,'11 - FINANCEIRA'!A:M,10,0)</f>
        <v>0</v>
      </c>
      <c r="E210" s="194" t="str">
        <f>VLOOKUP(A210,'11 - FINANCEIRA'!A:M,4,0)</f>
        <v>m³</v>
      </c>
      <c r="F210" s="217"/>
      <c r="G210" s="1298" t="str">
        <f>IF(D210&gt;0,"POSITIVO",IF(D210=0,"NULO",IF(D210&lt;0,"NEGATIVO")))</f>
        <v>NULO</v>
      </c>
      <c r="H210" s="1298">
        <f>IF(G210="NULO",0,1)</f>
        <v>0</v>
      </c>
    </row>
    <row r="211" spans="1:8" s="189" customFormat="1" hidden="1">
      <c r="A211" s="207" t="s">
        <v>281</v>
      </c>
      <c r="B211" s="200" t="str">
        <f>VLOOKUP(A211,'11 - FINANCEIRA'!A:M,1,0)</f>
        <v>2.5</v>
      </c>
      <c r="C211" s="184" t="str">
        <f>VLOOKUP(A211,'11 - FINANCEIRA'!A:M,2,0)</f>
        <v>ELÉTRICA</v>
      </c>
      <c r="D211" s="185"/>
      <c r="E211" s="200"/>
      <c r="F211" s="217"/>
      <c r="G211" s="1298"/>
      <c r="H211" s="1298">
        <f>SUM(H212:H405)</f>
        <v>0</v>
      </c>
    </row>
    <row r="212" spans="1:8" s="201" customFormat="1" hidden="1">
      <c r="A212" s="209" t="s">
        <v>535</v>
      </c>
      <c r="B212" s="200" t="str">
        <f>VLOOKUP(A212,'11 - FINANCEIRA'!A:M,1,0)</f>
        <v>2.5.1</v>
      </c>
      <c r="C212" s="184" t="str">
        <f>VLOOKUP(A212,'11 - FINANCEIRA'!A:M,2,0)</f>
        <v>INSTALAÇÕES DE AUTOMAÇÃO E INSTRUMENTAÇÃO</v>
      </c>
      <c r="D212" s="185"/>
      <c r="E212" s="200"/>
      <c r="F212" s="218"/>
      <c r="G212" s="1299"/>
      <c r="H212" s="1298">
        <f>SUM(H213:H229)</f>
        <v>0</v>
      </c>
    </row>
    <row r="213" spans="1:8" s="202" customFormat="1" ht="26.4" hidden="1">
      <c r="A213" s="210" t="s">
        <v>536</v>
      </c>
      <c r="B213" s="224" t="str">
        <f>VLOOKUP(A213,'11 - FINANCEIRA'!A:M,2,0)</f>
        <v>COMP-301767</v>
      </c>
      <c r="C213" s="179" t="str">
        <f>VLOOKUP(A213,'11 - FINANCEIRA'!A:M,3,0)</f>
        <v>Instalação de transmissor tipo radar para medição e controle de nível ref: r82 magnetrol ou similar com suporte tipo z para instalação do sensor de nível, dim. 1150x300</v>
      </c>
      <c r="D213" s="193">
        <f>VLOOKUP(A213,'11 - FINANCEIRA'!A:M,10,0)</f>
        <v>0</v>
      </c>
      <c r="E213" s="194" t="str">
        <f>VLOOKUP(A213,'11 - FINANCEIRA'!A:M,4,0)</f>
        <v>un</v>
      </c>
      <c r="F213" s="217"/>
      <c r="G213" s="1298" t="str">
        <f t="shared" ref="G213:G221" si="10">IF(D213&gt;0,"POSITIVO",IF(D213=0,"NULO",IF(D213&lt;0,"NEGATIVO")))</f>
        <v>NULO</v>
      </c>
      <c r="H213" s="1298">
        <f t="shared" ref="H213:H221" si="11">IF(G213="NULO",0,1)</f>
        <v>0</v>
      </c>
    </row>
    <row r="214" spans="1:8" s="202" customFormat="1" ht="39.6" hidden="1">
      <c r="A214" s="210" t="s">
        <v>537</v>
      </c>
      <c r="B214" s="224" t="str">
        <f>VLOOKUP(A214,'11 - FINANCEIRA'!A:M,2,0)</f>
        <v>CP-3768-ST 59.20.0350 (/)</v>
      </c>
      <c r="C214" s="179" t="str">
        <f>VLOOKUP(A214,'11 - FINANCEIRA'!A:M,3,0)</f>
        <v>Cabo de instrumentação de 2 pares 1,5mm², com blindagem individual e coletiva, isolação em xlpe</v>
      </c>
      <c r="D214" s="193">
        <f>VLOOKUP(A214,'11 - FINANCEIRA'!A:M,10,0)</f>
        <v>0</v>
      </c>
      <c r="E214" s="194" t="str">
        <f>VLOOKUP(A214,'11 - FINANCEIRA'!A:M,4,0)</f>
        <v>m</v>
      </c>
      <c r="F214" s="217"/>
      <c r="G214" s="1298" t="str">
        <f t="shared" si="10"/>
        <v>NULO</v>
      </c>
      <c r="H214" s="1298">
        <f t="shared" si="11"/>
        <v>0</v>
      </c>
    </row>
    <row r="215" spans="1:8" s="202" customFormat="1" ht="26.4" hidden="1">
      <c r="A215" s="210" t="s">
        <v>538</v>
      </c>
      <c r="B215" s="224" t="str">
        <f>VLOOKUP(A215,'11 - FINANCEIRA'!A:M,2,0)</f>
        <v>COMP-001053</v>
      </c>
      <c r="C215" s="179" t="str">
        <f>VLOOKUP(A215,'11 - FINANCEIRA'!A:M,3,0)</f>
        <v>Cabo de instrumentação de 2 pares 1,5mm², com shield, isolação em xlpe</v>
      </c>
      <c r="D215" s="193">
        <f>VLOOKUP(A215,'11 - FINANCEIRA'!A:M,10,0)</f>
        <v>0</v>
      </c>
      <c r="E215" s="194" t="str">
        <f>VLOOKUP(A215,'11 - FINANCEIRA'!A:M,4,0)</f>
        <v>m</v>
      </c>
      <c r="F215" s="217"/>
      <c r="G215" s="1298" t="str">
        <f t="shared" si="10"/>
        <v>NULO</v>
      </c>
      <c r="H215" s="1298">
        <f t="shared" si="11"/>
        <v>0</v>
      </c>
    </row>
    <row r="216" spans="1:8" s="202" customFormat="1" ht="26.4" hidden="1">
      <c r="A216" s="210" t="s">
        <v>539</v>
      </c>
      <c r="B216" s="224" t="str">
        <f>VLOOKUP(A216,'11 - FINANCEIRA'!A:M,2,0)</f>
        <v>CP-6839-41147</v>
      </c>
      <c r="C216" s="179" t="str">
        <f>VLOOKUP(A216,'11 - FINANCEIRA'!A:M,3,0)</f>
        <v>Cabo de par trançado blindado (f/utp), categoria 6, ou superior, com condutores de cobre rígidos 24 awg, uso indoor/outdoor ref: furukawa ou similar (m)</v>
      </c>
      <c r="D216" s="193">
        <f>VLOOKUP(A216,'11 - FINANCEIRA'!A:M,10,0)</f>
        <v>0</v>
      </c>
      <c r="E216" s="194" t="str">
        <f>VLOOKUP(A216,'11 - FINANCEIRA'!A:M,4,0)</f>
        <v>m</v>
      </c>
      <c r="F216" s="217"/>
      <c r="G216" s="1298" t="str">
        <f t="shared" si="10"/>
        <v>NULO</v>
      </c>
      <c r="H216" s="1298">
        <f t="shared" si="11"/>
        <v>0</v>
      </c>
    </row>
    <row r="217" spans="1:8" s="202" customFormat="1" hidden="1">
      <c r="A217" s="210" t="s">
        <v>540</v>
      </c>
      <c r="B217" s="200" t="str">
        <f>VLOOKUP(A217,'11 - FINANCEIRA'!A:M,1,0)</f>
        <v>2.5.1.5</v>
      </c>
      <c r="C217" s="184" t="str">
        <f>VLOOKUP(A217,'11 - FINANCEIRA'!A:M,2,0)</f>
        <v>Calhas e Dutos</v>
      </c>
      <c r="D217" s="185"/>
      <c r="E217" s="200"/>
      <c r="F217" s="217"/>
      <c r="G217" s="1298" t="str">
        <f t="shared" si="10"/>
        <v>NULO</v>
      </c>
      <c r="H217" s="1298">
        <f>SUM(H218:H226)</f>
        <v>0</v>
      </c>
    </row>
    <row r="218" spans="1:8" s="202" customFormat="1" ht="26.4" hidden="1">
      <c r="A218" s="210" t="s">
        <v>541</v>
      </c>
      <c r="B218" s="224" t="str">
        <f>VLOOKUP(A218,'11 - FINANCEIRA'!A:M,2,0)</f>
        <v>CP-9242-ED-49048</v>
      </c>
      <c r="C218" s="179" t="str">
        <f>VLOOKUP(A218,'11 - FINANCEIRA'!A:M,3,0)</f>
        <v>Eletrocalha perfurada galvanizada eletrolítica chapa 14 - 100 x 50 mm com tampa, inclusive conexão e suporte.</v>
      </c>
      <c r="D218" s="193">
        <f>VLOOKUP(A218,'11 - FINANCEIRA'!A:M,10,0)</f>
        <v>0</v>
      </c>
      <c r="E218" s="194" t="str">
        <f>VLOOKUP(A218,'11 - FINANCEIRA'!A:M,4,0)</f>
        <v>m</v>
      </c>
      <c r="F218" s="217"/>
      <c r="G218" s="1298" t="str">
        <f t="shared" si="10"/>
        <v>NULO</v>
      </c>
      <c r="H218" s="1298">
        <f t="shared" si="11"/>
        <v>0</v>
      </c>
    </row>
    <row r="219" spans="1:8" s="202" customFormat="1" hidden="1">
      <c r="A219" s="210" t="s">
        <v>542</v>
      </c>
      <c r="B219" s="224" t="str">
        <f>VLOOKUP(A219,'11 - FINANCEIRA'!A:M,2,0)</f>
        <v>S150851</v>
      </c>
      <c r="C219" s="179" t="str">
        <f>VLOOKUP(A219,'11 - FINANCEIRA'!A:M,3,0)</f>
        <v>Saída horizontal para eletroduto de 1"</v>
      </c>
      <c r="D219" s="193">
        <f>VLOOKUP(A219,'11 - FINANCEIRA'!A:M,10,0)</f>
        <v>0</v>
      </c>
      <c r="E219" s="194" t="str">
        <f>VLOOKUP(A219,'11 - FINANCEIRA'!A:M,4,0)</f>
        <v>und</v>
      </c>
      <c r="F219" s="217"/>
      <c r="G219" s="1298" t="str">
        <f t="shared" si="10"/>
        <v>NULO</v>
      </c>
      <c r="H219" s="1298">
        <f t="shared" si="11"/>
        <v>0</v>
      </c>
    </row>
    <row r="220" spans="1:8" s="202" customFormat="1" ht="26.4" hidden="1">
      <c r="A220" s="210" t="s">
        <v>543</v>
      </c>
      <c r="B220" s="224" t="str">
        <f>VLOOKUP(A220,'11 - FINANCEIRA'!A:M,2,0)</f>
        <v>91863</v>
      </c>
      <c r="C220" s="179" t="str">
        <f>VLOOKUP(A220,'11 - FINANCEIRA'!A:M,3,0)</f>
        <v>Eletroduto rígido roscável, pvc, dn 25 mm (3/4"), para circuitos terminais, instalado em forro - fornecimento e instalação. af_12/2015</v>
      </c>
      <c r="D220" s="193">
        <f>VLOOKUP(A220,'11 - FINANCEIRA'!A:M,10,0)</f>
        <v>0</v>
      </c>
      <c r="E220" s="194" t="str">
        <f>VLOOKUP(A220,'11 - FINANCEIRA'!A:M,4,0)</f>
        <v>m</v>
      </c>
      <c r="F220" s="217"/>
      <c r="G220" s="1298" t="str">
        <f t="shared" si="10"/>
        <v>NULO</v>
      </c>
      <c r="H220" s="1298">
        <f t="shared" si="11"/>
        <v>0</v>
      </c>
    </row>
    <row r="221" spans="1:8" s="202" customFormat="1" hidden="1">
      <c r="A221" s="210" t="s">
        <v>544</v>
      </c>
      <c r="B221" s="224" t="str">
        <f>VLOOKUP(A221,'11 - FINANCEIRA'!A:M,2,0)</f>
        <v>S151138</v>
      </c>
      <c r="C221" s="179" t="str">
        <f>VLOOKUP(A221,'11 - FINANCEIRA'!A:M,3,0)</f>
        <v>Eletroduto em polietileno de alta densidade (pead) ∅3/4" ref: kanalex ou similar</v>
      </c>
      <c r="D221" s="193">
        <f>VLOOKUP(A221,'11 - FINANCEIRA'!A:M,10,0)</f>
        <v>0</v>
      </c>
      <c r="E221" s="194" t="str">
        <f>VLOOKUP(A221,'11 - FINANCEIRA'!A:M,4,0)</f>
        <v>m</v>
      </c>
      <c r="F221" s="217"/>
      <c r="G221" s="1298" t="str">
        <f t="shared" si="10"/>
        <v>NULO</v>
      </c>
      <c r="H221" s="1298">
        <f t="shared" si="11"/>
        <v>0</v>
      </c>
    </row>
    <row r="222" spans="1:8" s="202" customFormat="1" hidden="1">
      <c r="A222" s="210" t="s">
        <v>545</v>
      </c>
      <c r="B222" s="224" t="str">
        <f>VLOOKUP(A222,'11 - FINANCEIRA'!A:M,2,0)</f>
        <v>S151139</v>
      </c>
      <c r="C222" s="179" t="str">
        <f>VLOOKUP(A222,'11 - FINANCEIRA'!A:M,3,0)</f>
        <v>Eletroduto pead, cor preta, diam. 2", marca ref. kanaflex ou equivalente</v>
      </c>
      <c r="D222" s="193">
        <f>VLOOKUP(A222,'11 - FINANCEIRA'!A:M,10,0)</f>
        <v>0</v>
      </c>
      <c r="E222" s="194" t="str">
        <f>VLOOKUP(A222,'11 - FINANCEIRA'!A:M,4,0)</f>
        <v>m</v>
      </c>
      <c r="F222" s="217"/>
      <c r="G222" s="1298" t="str">
        <f t="shared" si="8"/>
        <v>NULO</v>
      </c>
      <c r="H222" s="1298">
        <f t="shared" si="9"/>
        <v>0</v>
      </c>
    </row>
    <row r="223" spans="1:8" s="202" customFormat="1" hidden="1">
      <c r="A223" s="210" t="s">
        <v>546</v>
      </c>
      <c r="B223" s="224" t="str">
        <f>VLOOKUP(A223,'11 - FINANCEIRA'!A:M,2,0)</f>
        <v>S151140</v>
      </c>
      <c r="C223" s="179" t="str">
        <f>VLOOKUP(A223,'11 - FINANCEIRA'!A:M,3,0)</f>
        <v>Eletroduto pead, cor preta, diam. 3", marca ref. kanaflex ou equivalente</v>
      </c>
      <c r="D223" s="193">
        <f>VLOOKUP(A223,'11 - FINANCEIRA'!A:M,10,0)</f>
        <v>0</v>
      </c>
      <c r="E223" s="194" t="str">
        <f>VLOOKUP(A223,'11 - FINANCEIRA'!A:M,4,0)</f>
        <v>m</v>
      </c>
      <c r="F223" s="217"/>
      <c r="G223" s="1298" t="str">
        <f t="shared" si="8"/>
        <v>NULO</v>
      </c>
      <c r="H223" s="1298">
        <f t="shared" si="9"/>
        <v>0</v>
      </c>
    </row>
    <row r="224" spans="1:8" s="202" customFormat="1" ht="39.6" hidden="1">
      <c r="A224" s="210" t="s">
        <v>547</v>
      </c>
      <c r="B224" s="224" t="str">
        <f>VLOOKUP(A224,'11 - FINANCEIRA'!A:M,2,0)</f>
        <v>S150702</v>
      </c>
      <c r="C224" s="179" t="str">
        <f>VLOOKUP(A224,'11 - FINANCEIRA'!A:M,3,0)</f>
        <v>Envelopamento de concreto simples com consumo mínimo de cimento de 250kg/m³, inclusive escavação para profundidade mínima do eletroduto de 50 cm, de 25 x 30 cm, para 2 eletrodutos</v>
      </c>
      <c r="D224" s="193">
        <f>VLOOKUP(A224,'11 - FINANCEIRA'!A:M,10,0)</f>
        <v>0</v>
      </c>
      <c r="E224" s="194" t="str">
        <f>VLOOKUP(A224,'11 - FINANCEIRA'!A:M,4,0)</f>
        <v>m</v>
      </c>
      <c r="F224" s="217"/>
      <c r="G224" s="1298" t="str">
        <f t="shared" si="8"/>
        <v>NULO</v>
      </c>
      <c r="H224" s="1298">
        <f t="shared" si="9"/>
        <v>0</v>
      </c>
    </row>
    <row r="225" spans="1:8" s="202" customFormat="1" hidden="1">
      <c r="A225" s="210" t="s">
        <v>548</v>
      </c>
      <c r="B225" s="224" t="str">
        <f>VLOOKUP(A225,'11 - FINANCEIRA'!A:M,2,0)</f>
        <v>93009</v>
      </c>
      <c r="C225" s="179" t="str">
        <f>VLOOKUP(A225,'11 - FINANCEIRA'!A:M,3,0)</f>
        <v>Eletroduto rígido roscável, pvc, dn 60 mm (2") - fornecimento e instalação. af_12/2015</v>
      </c>
      <c r="D225" s="193">
        <f>VLOOKUP(A225,'11 - FINANCEIRA'!A:M,10,0)</f>
        <v>0</v>
      </c>
      <c r="E225" s="194" t="str">
        <f>VLOOKUP(A225,'11 - FINANCEIRA'!A:M,4,0)</f>
        <v>m</v>
      </c>
      <c r="F225" s="217"/>
      <c r="G225" s="1298" t="str">
        <f t="shared" si="8"/>
        <v>NULO</v>
      </c>
      <c r="H225" s="1298">
        <f t="shared" si="9"/>
        <v>0</v>
      </c>
    </row>
    <row r="226" spans="1:8" s="202" customFormat="1" ht="26.4" hidden="1">
      <c r="A226" s="210" t="s">
        <v>549</v>
      </c>
      <c r="B226" s="224" t="str">
        <f>VLOOKUP(A226,'11 - FINANCEIRA'!A:M,2,0)</f>
        <v>S150804</v>
      </c>
      <c r="C226" s="179" t="str">
        <f>VLOOKUP(A226,'11 - FINANCEIRA'!A:M,3,0)</f>
        <v>Caixa de ligação de alumínio silício, tipo conduletes, sem rosca, no formato lr, inclusive tampa com vedação, diâmetro 3/4"</v>
      </c>
      <c r="D226" s="193">
        <f>VLOOKUP(A226,'11 - FINANCEIRA'!A:M,10,0)</f>
        <v>0</v>
      </c>
      <c r="E226" s="194" t="str">
        <f>VLOOKUP(A226,'11 - FINANCEIRA'!A:M,4,0)</f>
        <v>und</v>
      </c>
      <c r="F226" s="217"/>
      <c r="G226" s="1298" t="str">
        <f>IF(D226&gt;0,"POSITIVO",IF(D226=0,"NULO",IF(D226&lt;0,"NEGATIVO")))</f>
        <v>NULO</v>
      </c>
      <c r="H226" s="1298">
        <f>IF(G226="NULO",0,1)</f>
        <v>0</v>
      </c>
    </row>
    <row r="227" spans="1:8" s="201" customFormat="1" hidden="1">
      <c r="A227" s="209" t="s">
        <v>550</v>
      </c>
      <c r="B227" s="200" t="str">
        <f>VLOOKUP(A227,'11 - FINANCEIRA'!A:M,1,0)</f>
        <v>2.5.1.6</v>
      </c>
      <c r="C227" s="184" t="str">
        <f>VLOOKUP(A227,'11 - FINANCEIRA'!A:M,2,0)</f>
        <v>Caixas de Passagem</v>
      </c>
      <c r="D227" s="185"/>
      <c r="E227" s="200"/>
      <c r="F227" s="218"/>
      <c r="G227" s="1299"/>
      <c r="H227" s="1298">
        <f>SUM(H228:H229)</f>
        <v>0</v>
      </c>
    </row>
    <row r="228" spans="1:8" s="202" customFormat="1" ht="39.6" hidden="1">
      <c r="A228" s="210" t="s">
        <v>551</v>
      </c>
      <c r="B228" s="224" t="str">
        <f>VLOOKUP(A228,'11 - FINANCEIRA'!A:M,2,0)</f>
        <v>S151002</v>
      </c>
      <c r="C228" s="179" t="str">
        <f>VLOOKUP(A228,'11 - FINANCEIRA'!A:M,3,0)</f>
        <v>Caixa de passagem de alvenaria de blocos cerâmicos 10 furos 10x20x20cm dimensões de 50x50x50cm, com revestimento interno em chapisco e reboco, tampa de concreto esp.5cm e lastro de brita 5 cm</v>
      </c>
      <c r="D228" s="193">
        <f>VLOOKUP(A228,'11 - FINANCEIRA'!A:M,10,0)</f>
        <v>0</v>
      </c>
      <c r="E228" s="194" t="str">
        <f>VLOOKUP(A228,'11 - FINANCEIRA'!A:M,4,0)</f>
        <v>und</v>
      </c>
      <c r="F228" s="217"/>
      <c r="G228" s="1298" t="str">
        <f t="shared" si="8"/>
        <v>NULO</v>
      </c>
      <c r="H228" s="1298">
        <f t="shared" si="9"/>
        <v>0</v>
      </c>
    </row>
    <row r="229" spans="1:8" s="202" customFormat="1" ht="26.4" hidden="1">
      <c r="A229" s="210" t="s">
        <v>552</v>
      </c>
      <c r="B229" s="224" t="str">
        <f>VLOOKUP(A229,'11 - FINANCEIRA'!A:M,2,0)</f>
        <v>91943</v>
      </c>
      <c r="C229" s="179" t="str">
        <f>VLOOKUP(A229,'11 - FINANCEIRA'!A:M,3,0)</f>
        <v>Caixa retangular 4" x 4" média (1,30 m do piso), pvc, instalada em parede - fornecimento e instalação. af_12/2015</v>
      </c>
      <c r="D229" s="193">
        <f>VLOOKUP(A229,'11 - FINANCEIRA'!A:M,10,0)</f>
        <v>0</v>
      </c>
      <c r="E229" s="194" t="str">
        <f>VLOOKUP(A229,'11 - FINANCEIRA'!A:M,4,0)</f>
        <v>und</v>
      </c>
      <c r="F229" s="217"/>
      <c r="G229" s="1298" t="str">
        <f t="shared" si="8"/>
        <v>NULO</v>
      </c>
      <c r="H229" s="1298">
        <f t="shared" si="9"/>
        <v>0</v>
      </c>
    </row>
    <row r="230" spans="1:8" s="201" customFormat="1" hidden="1">
      <c r="A230" s="209" t="s">
        <v>553</v>
      </c>
      <c r="B230" s="200" t="str">
        <f>VLOOKUP(A230,'11 - FINANCEIRA'!A:M,1,0)</f>
        <v>2.5.2</v>
      </c>
      <c r="C230" s="184" t="str">
        <f>VLOOKUP(A230,'11 - FINANCEIRA'!A:M,2,0)</f>
        <v>INSTALAÇÕES ELÉTRICAS</v>
      </c>
      <c r="D230" s="185"/>
      <c r="E230" s="200"/>
      <c r="F230" s="218"/>
      <c r="G230" s="1299"/>
      <c r="H230" s="1298">
        <f>SUM(H231:H331)</f>
        <v>0</v>
      </c>
    </row>
    <row r="231" spans="1:8" s="202" customFormat="1" hidden="1">
      <c r="A231" s="210" t="s">
        <v>554</v>
      </c>
      <c r="B231" s="200" t="str">
        <f>VLOOKUP(A231,'11 - FINANCEIRA'!A:M,1,0)</f>
        <v>2.5.2.1</v>
      </c>
      <c r="C231" s="184" t="str">
        <f>VLOOKUP(A231,'11 - FINANCEIRA'!A:M,2,0)</f>
        <v>Equipamentos (BDI = 14,02%)</v>
      </c>
      <c r="D231" s="185"/>
      <c r="E231" s="200"/>
      <c r="F231" s="220"/>
      <c r="G231" s="1300"/>
      <c r="H231" s="1300">
        <f>SUM(H232:H238)</f>
        <v>0</v>
      </c>
    </row>
    <row r="232" spans="1:8" s="202" customFormat="1" ht="39.6" hidden="1">
      <c r="A232" s="210" t="s">
        <v>555</v>
      </c>
      <c r="B232" s="224" t="str">
        <f>VLOOKUP(A232,'11 - FINANCEIRA'!A:M,2,0)</f>
        <v>CP-8618-COMP-352920</v>
      </c>
      <c r="C232" s="179" t="str">
        <f>VLOOKUP(A232,'11 - FINANCEIRA'!A:M,3,0)</f>
        <v>Fornecimento de sistema de distribuição de energia elétrica em média e baixa tensão da subestação pré-fabricada em estrutura metálica modular e transportável (eletrocentro laranja)(frete incluso) - BDI = 14,02</v>
      </c>
      <c r="D232" s="193">
        <f>VLOOKUP(A232,'11 - FINANCEIRA'!A:M,10,0)</f>
        <v>0</v>
      </c>
      <c r="E232" s="194" t="str">
        <f>VLOOKUP(A232,'11 - FINANCEIRA'!A:M,4,0)</f>
        <v>und</v>
      </c>
      <c r="F232" s="217"/>
      <c r="G232" s="1298" t="str">
        <f>IF(D232&gt;0,"POSITIVO",IF(D232=0,"NULO",IF(D232&lt;0,"NEGATIVO")))</f>
        <v>NULO</v>
      </c>
      <c r="H232" s="1298">
        <f>IF(G232="NULO",0,1)</f>
        <v>0</v>
      </c>
    </row>
    <row r="233" spans="1:8" s="202" customFormat="1" ht="39.6" hidden="1">
      <c r="A233" s="210" t="s">
        <v>556</v>
      </c>
      <c r="B233" s="224" t="str">
        <f>VLOOKUP(A233,'11 - FINANCEIRA'!A:M,2,0)</f>
        <v>INS-931105</v>
      </c>
      <c r="C233" s="179" t="str">
        <f>VLOOKUP(A233,'11 - FINANCEIRA'!A:M,3,0)</f>
        <v>Fornecimento de grupo gerador c18 – em carenagem acústica 82 db (a) @ 1,5 m – 938kva / 750kw – 850kva / 680kw – 440/254v v, com disjuntor de proteção manual e painel de comando emcp 4.2 - BDI = 14,02</v>
      </c>
      <c r="D233" s="193">
        <f>VLOOKUP(A233,'11 - FINANCEIRA'!A:M,10,0)</f>
        <v>0</v>
      </c>
      <c r="E233" s="194" t="str">
        <f>VLOOKUP(A233,'11 - FINANCEIRA'!A:M,4,0)</f>
        <v>und</v>
      </c>
      <c r="F233" s="217"/>
      <c r="G233" s="1298" t="str">
        <f>IF(D233&gt;0,"POSITIVO",IF(D233=0,"NULO",IF(D233&lt;0,"NEGATIVO")))</f>
        <v>NULO</v>
      </c>
      <c r="H233" s="1298">
        <f>IF(G233="NULO",0,1)</f>
        <v>0</v>
      </c>
    </row>
    <row r="234" spans="1:8" s="202" customFormat="1" ht="26.4" hidden="1">
      <c r="A234" s="210" t="s">
        <v>557</v>
      </c>
      <c r="B234" s="224" t="str">
        <f>VLOOKUP(A234,'11 - FINANCEIRA'!A:M,2,0)</f>
        <v>CP-0596-INS-591231</v>
      </c>
      <c r="C234" s="179" t="str">
        <f>VLOOKUP(A234,'11 - FINANCEIRA'!A:M,3,0)</f>
        <v>Tanque metálico – 3000 l - BDI = 14,02</v>
      </c>
      <c r="D234" s="193">
        <f>VLOOKUP(A234,'11 - FINANCEIRA'!A:M,10,0)</f>
        <v>0</v>
      </c>
      <c r="E234" s="194" t="str">
        <f>VLOOKUP(A234,'11 - FINANCEIRA'!A:M,4,0)</f>
        <v>und</v>
      </c>
      <c r="F234" s="217"/>
      <c r="G234" s="1298" t="str">
        <f>IF(D234&gt;0,"POSITIVO",IF(D234=0,"NULO",IF(D234&lt;0,"NEGATIVO")))</f>
        <v>NULO</v>
      </c>
      <c r="H234" s="1298">
        <f>IF(G234="NULO",0,1)</f>
        <v>0</v>
      </c>
    </row>
    <row r="235" spans="1:8" s="202" customFormat="1" hidden="1">
      <c r="A235" s="210" t="s">
        <v>558</v>
      </c>
      <c r="B235" s="200" t="str">
        <f>VLOOKUP(A235,'11 - FINANCEIRA'!A:M,1,0)</f>
        <v>2.5.2.2</v>
      </c>
      <c r="C235" s="184" t="str">
        <f>VLOOKUP(A235,'11 - FINANCEIRA'!A:M,2,0)</f>
        <v>Instalação de Equipamentos (BDI = 14,02%)</v>
      </c>
      <c r="D235" s="185"/>
      <c r="E235" s="200"/>
      <c r="F235" s="217"/>
      <c r="G235" s="1298"/>
      <c r="H235" s="1298">
        <f>SUM(H236:H238)</f>
        <v>0</v>
      </c>
    </row>
    <row r="236" spans="1:8" ht="39.6" hidden="1">
      <c r="A236" s="205" t="s">
        <v>559</v>
      </c>
      <c r="B236" s="224" t="str">
        <f>VLOOKUP(A236,'11 - FINANCEIRA'!A:M,2,0)</f>
        <v>COMP-573673</v>
      </c>
      <c r="C236" s="179" t="str">
        <f>VLOOKUP(A236,'11 - FINANCEIRA'!A:M,3,0)</f>
        <v>Instalação de sistema de distribuição de energia elétrica em média e baixa tensão da subestação pré-fabricada em estrutura metálica modular e transportável (eletrocentro)tudo incluso (mão de obra, materiais, serviços, testes, entre outros)</v>
      </c>
      <c r="D236" s="193">
        <f>VLOOKUP(A236,'11 - FINANCEIRA'!A:M,10,0)</f>
        <v>0</v>
      </c>
      <c r="E236" s="194" t="str">
        <f>VLOOKUP(A236,'11 - FINANCEIRA'!A:M,4,0)</f>
        <v>und</v>
      </c>
      <c r="G236" s="1298" t="str">
        <f t="shared" si="8"/>
        <v>NULO</v>
      </c>
      <c r="H236" s="1298">
        <f t="shared" si="9"/>
        <v>0</v>
      </c>
    </row>
    <row r="237" spans="1:8" ht="39.6" hidden="1">
      <c r="A237" s="205" t="s">
        <v>560</v>
      </c>
      <c r="B237" s="224" t="str">
        <f>VLOOKUP(A237,'11 - FINANCEIRA'!A:M,2,0)</f>
        <v>COMP-500587</v>
      </c>
      <c r="C237" s="179" t="str">
        <f>VLOOKUP(A237,'11 - FINANCEIRA'!A:M,3,0)</f>
        <v>Transporte de grupo gerador a diesel – em carenagem acústica 82 db (a) @ 1,5 m – 938kva / 750kw – 850kva / 680kw –
440/254v v, com disjuntor de proteção manual e painel de comando emcp 4. ref c18</v>
      </c>
      <c r="D237" s="193">
        <f>VLOOKUP(A237,'11 - FINANCEIRA'!A:M,10,0)</f>
        <v>0</v>
      </c>
      <c r="E237" s="194" t="str">
        <f>VLOOKUP(A237,'11 - FINANCEIRA'!A:M,4,0)</f>
        <v>und</v>
      </c>
      <c r="G237" s="1298" t="str">
        <f t="shared" si="8"/>
        <v>NULO</v>
      </c>
      <c r="H237" s="1298">
        <f t="shared" si="9"/>
        <v>0</v>
      </c>
    </row>
    <row r="238" spans="1:8" ht="26.4" hidden="1">
      <c r="A238" s="205" t="s">
        <v>561</v>
      </c>
      <c r="B238" s="224" t="str">
        <f>VLOOKUP(A238,'11 - FINANCEIRA'!A:M,2,0)</f>
        <v>COMP-685590</v>
      </c>
      <c r="C238" s="179" t="str">
        <f>VLOOKUP(A238,'11 - FINANCEIRA'!A:M,3,0)</f>
        <v>Fornecimento e instalação de mangueira ortac 250 - vermelha, para combustíveis, ra classe a</v>
      </c>
      <c r="D238" s="193">
        <f>VLOOKUP(A238,'11 - FINANCEIRA'!A:M,10,0)</f>
        <v>0</v>
      </c>
      <c r="E238" s="194" t="str">
        <f>VLOOKUP(A238,'11 - FINANCEIRA'!A:M,4,0)</f>
        <v>m</v>
      </c>
      <c r="G238" s="1298" t="str">
        <f t="shared" si="8"/>
        <v>NULO</v>
      </c>
      <c r="H238" s="1298">
        <f t="shared" si="9"/>
        <v>0</v>
      </c>
    </row>
    <row r="239" spans="1:8" hidden="1">
      <c r="A239" s="205" t="s">
        <v>562</v>
      </c>
      <c r="B239" s="200" t="str">
        <f>VLOOKUP(A239,'11 - FINANCEIRA'!A:M,1,0)</f>
        <v>2.5.2.3</v>
      </c>
      <c r="C239" s="184" t="str">
        <f>VLOOKUP(A239,'11 - FINANCEIRA'!A:M,2,0)</f>
        <v>Fios e cabos</v>
      </c>
      <c r="D239" s="185"/>
      <c r="E239" s="200"/>
      <c r="F239" s="220"/>
      <c r="G239" s="1300"/>
      <c r="H239" s="1300">
        <f>SUM(H240:H272)</f>
        <v>0</v>
      </c>
    </row>
    <row r="240" spans="1:8" ht="26.4" hidden="1">
      <c r="A240" s="205" t="s">
        <v>563</v>
      </c>
      <c r="B240" s="224" t="str">
        <f>VLOOKUP(A240,'11 - FINANCEIRA'!A:M,2,0)</f>
        <v>91929</v>
      </c>
      <c r="C240" s="179" t="str">
        <f>VLOOKUP(A240,'11 - FINANCEIRA'!A:M,3,0)</f>
        <v>Cabo de cobre flexível isolado, 4 mm², anti-chama 0,6/1,0 kv, para circuitos terminais - fornecimento e instalação. af_12/2015 - preto</v>
      </c>
      <c r="D240" s="193">
        <f>VLOOKUP(A240,'11 - FINANCEIRA'!A:M,10,0)</f>
        <v>0</v>
      </c>
      <c r="E240" s="194" t="str">
        <f>VLOOKUP(A240,'11 - FINANCEIRA'!A:M,4,0)</f>
        <v>m</v>
      </c>
      <c r="G240" s="1298" t="str">
        <f t="shared" si="8"/>
        <v>NULO</v>
      </c>
      <c r="H240" s="1298">
        <f t="shared" si="9"/>
        <v>0</v>
      </c>
    </row>
    <row r="241" spans="1:8" ht="26.4" hidden="1">
      <c r="A241" s="205" t="s">
        <v>564</v>
      </c>
      <c r="B241" s="224" t="str">
        <f>VLOOKUP(A241,'11 - FINANCEIRA'!A:M,2,0)</f>
        <v>91929</v>
      </c>
      <c r="C241" s="179" t="str">
        <f>VLOOKUP(A241,'11 - FINANCEIRA'!A:M,3,0)</f>
        <v>Cabo de cobre flexível isolado, 4 mm², anti-chama 0,6/1,0 kv, para circuitos terminais - fornecimento e instalação. af_12/2015 - azul</v>
      </c>
      <c r="D241" s="193">
        <f>VLOOKUP(A241,'11 - FINANCEIRA'!A:M,10,0)</f>
        <v>0</v>
      </c>
      <c r="E241" s="194" t="str">
        <f>VLOOKUP(A241,'11 - FINANCEIRA'!A:M,4,0)</f>
        <v>m</v>
      </c>
      <c r="G241" s="1298" t="str">
        <f t="shared" si="8"/>
        <v>NULO</v>
      </c>
      <c r="H241" s="1298">
        <f t="shared" si="9"/>
        <v>0</v>
      </c>
    </row>
    <row r="242" spans="1:8" ht="26.4" hidden="1">
      <c r="A242" s="205" t="s">
        <v>565</v>
      </c>
      <c r="B242" s="224" t="str">
        <f>VLOOKUP(A242,'11 - FINANCEIRA'!A:M,2,0)</f>
        <v>91929</v>
      </c>
      <c r="C242" s="179" t="str">
        <f>VLOOKUP(A242,'11 - FINANCEIRA'!A:M,3,0)</f>
        <v>Cabo de cobre flexível isolado, 4 mm², anti-chama 0,6/1,0 kv, para circuitos terminais - fornecimento e instalação. af_12/2015 - verde</v>
      </c>
      <c r="D242" s="193">
        <f>VLOOKUP(A242,'11 - FINANCEIRA'!A:M,10,0)</f>
        <v>0</v>
      </c>
      <c r="E242" s="194" t="str">
        <f>VLOOKUP(A242,'11 - FINANCEIRA'!A:M,4,0)</f>
        <v>m</v>
      </c>
      <c r="G242" s="1298" t="str">
        <f t="shared" si="8"/>
        <v>NULO</v>
      </c>
      <c r="H242" s="1298">
        <f t="shared" si="9"/>
        <v>0</v>
      </c>
    </row>
    <row r="243" spans="1:8" ht="26.4" hidden="1">
      <c r="A243" s="205" t="s">
        <v>566</v>
      </c>
      <c r="B243" s="224" t="str">
        <f>VLOOKUP(A243,'11 - FINANCEIRA'!A:M,2,0)</f>
        <v>92980</v>
      </c>
      <c r="C243" s="179" t="str">
        <f>VLOOKUP(A243,'11 - FINANCEIRA'!A:M,3,0)</f>
        <v>Cabo de cobre flexível isolado, 10 mm², anti-chama 0,6/1,0 kv, para distribuição - fornecimento e instalação. af_12/2015 - preto</v>
      </c>
      <c r="D243" s="193">
        <f>VLOOKUP(A243,'11 - FINANCEIRA'!A:M,10,0)</f>
        <v>0</v>
      </c>
      <c r="E243" s="194" t="str">
        <f>VLOOKUP(A243,'11 - FINANCEIRA'!A:M,4,0)</f>
        <v>m</v>
      </c>
      <c r="G243" s="1298" t="str">
        <f t="shared" si="8"/>
        <v>NULO</v>
      </c>
      <c r="H243" s="1298">
        <f t="shared" si="9"/>
        <v>0</v>
      </c>
    </row>
    <row r="244" spans="1:8" ht="26.4" hidden="1">
      <c r="A244" s="205" t="s">
        <v>567</v>
      </c>
      <c r="B244" s="224" t="str">
        <f>VLOOKUP(A244,'11 - FINANCEIRA'!A:M,2,0)</f>
        <v>92980</v>
      </c>
      <c r="C244" s="179" t="str">
        <f>VLOOKUP(A244,'11 - FINANCEIRA'!A:M,3,0)</f>
        <v>Cabo de cobre flexível isolado, 10 mm², anti-chama 0,6/1,0 kv, para distribuição - fornecimento e instalação. af_12/2015 - azul</v>
      </c>
      <c r="D244" s="193">
        <f>VLOOKUP(A244,'11 - FINANCEIRA'!A:M,10,0)</f>
        <v>0</v>
      </c>
      <c r="E244" s="194" t="str">
        <f>VLOOKUP(A244,'11 - FINANCEIRA'!A:M,4,0)</f>
        <v>m</v>
      </c>
      <c r="G244" s="1298" t="str">
        <f t="shared" si="8"/>
        <v>NULO</v>
      </c>
      <c r="H244" s="1298">
        <f t="shared" si="9"/>
        <v>0</v>
      </c>
    </row>
    <row r="245" spans="1:8" ht="26.4" hidden="1">
      <c r="A245" s="205" t="s">
        <v>568</v>
      </c>
      <c r="B245" s="224" t="str">
        <f>VLOOKUP(A245,'11 - FINANCEIRA'!A:M,2,0)</f>
        <v>92980</v>
      </c>
      <c r="C245" s="179" t="str">
        <f>VLOOKUP(A245,'11 - FINANCEIRA'!A:M,3,0)</f>
        <v>Cabo de cobre flexível isolado, 10 mm², anti-chama 0,6/1,0 kv, para distribuição - fornecimento e instalação. af_12/2015 - verde</v>
      </c>
      <c r="D245" s="193">
        <f>VLOOKUP(A245,'11 - FINANCEIRA'!A:M,10,0)</f>
        <v>0</v>
      </c>
      <c r="E245" s="194" t="str">
        <f>VLOOKUP(A245,'11 - FINANCEIRA'!A:M,4,0)</f>
        <v>m</v>
      </c>
      <c r="G245" s="1298" t="str">
        <f t="shared" si="8"/>
        <v>NULO</v>
      </c>
      <c r="H245" s="1298">
        <f t="shared" si="9"/>
        <v>0</v>
      </c>
    </row>
    <row r="246" spans="1:8" ht="26.4" hidden="1">
      <c r="A246" s="205" t="s">
        <v>569</v>
      </c>
      <c r="B246" s="224" t="str">
        <f>VLOOKUP(A246,'11 - FINANCEIRA'!A:M,2,0)</f>
        <v>92982</v>
      </c>
      <c r="C246" s="179" t="str">
        <f>VLOOKUP(A246,'11 - FINANCEIRA'!A:M,3,0)</f>
        <v>Cabo de cobre flexível isolado, 16 mm², anti-chama 0,6/1,0 kv, para distribuição - fornecimento e instalação. af_12/2015 - preto</v>
      </c>
      <c r="D246" s="193">
        <f>VLOOKUP(A246,'11 - FINANCEIRA'!A:M,10,0)</f>
        <v>0</v>
      </c>
      <c r="E246" s="194" t="str">
        <f>VLOOKUP(A246,'11 - FINANCEIRA'!A:M,4,0)</f>
        <v>m</v>
      </c>
      <c r="G246" s="1298" t="str">
        <f t="shared" si="8"/>
        <v>NULO</v>
      </c>
      <c r="H246" s="1298">
        <f t="shared" si="9"/>
        <v>0</v>
      </c>
    </row>
    <row r="247" spans="1:8" ht="26.4" hidden="1">
      <c r="A247" s="205" t="s">
        <v>570</v>
      </c>
      <c r="B247" s="224" t="str">
        <f>VLOOKUP(A247,'11 - FINANCEIRA'!A:M,2,0)</f>
        <v>92982</v>
      </c>
      <c r="C247" s="179" t="str">
        <f>VLOOKUP(A247,'11 - FINANCEIRA'!A:M,3,0)</f>
        <v>Cabo de cobre flexível isolado, 16 mm², anti-chama 0,6/1,0 kv, para distribuição - fornecimento e instalação. af_12/2015 - verde</v>
      </c>
      <c r="D247" s="193">
        <f>VLOOKUP(A247,'11 - FINANCEIRA'!A:M,10,0)</f>
        <v>0</v>
      </c>
      <c r="E247" s="194" t="str">
        <f>VLOOKUP(A247,'11 - FINANCEIRA'!A:M,4,0)</f>
        <v>m</v>
      </c>
      <c r="G247" s="1298" t="str">
        <f t="shared" si="8"/>
        <v>NULO</v>
      </c>
      <c r="H247" s="1298">
        <f t="shared" si="9"/>
        <v>0</v>
      </c>
    </row>
    <row r="248" spans="1:8" ht="39.6" hidden="1">
      <c r="A248" s="205" t="s">
        <v>571</v>
      </c>
      <c r="B248" s="224" t="str">
        <f>VLOOKUP(A248,'11 - FINANCEIRA'!A:M,2,0)</f>
        <v>CP-4532-COMP-008098</v>
      </c>
      <c r="C248" s="179" t="str">
        <f>VLOOKUP(A248,'11 - FINANCEIRA'!A:M,3,0)</f>
        <v xml:space="preserve">Cabo de cobre flexível múltiplo, blindado, epr 1kv, com 3 cabos de 150mm² para ligação do motor </v>
      </c>
      <c r="D248" s="193">
        <f>VLOOKUP(A248,'11 - FINANCEIRA'!A:M,10,0)</f>
        <v>0</v>
      </c>
      <c r="E248" s="194" t="str">
        <f>VLOOKUP(A248,'11 - FINANCEIRA'!A:M,4,0)</f>
        <v>m</v>
      </c>
      <c r="G248" s="1298" t="str">
        <f t="shared" si="8"/>
        <v>NULO</v>
      </c>
      <c r="H248" s="1298">
        <f t="shared" si="9"/>
        <v>0</v>
      </c>
    </row>
    <row r="249" spans="1:8" ht="26.4" hidden="1">
      <c r="A249" s="205" t="s">
        <v>572</v>
      </c>
      <c r="B249" s="224" t="str">
        <f>VLOOKUP(A249,'11 - FINANCEIRA'!A:M,2,0)</f>
        <v>92994</v>
      </c>
      <c r="C249" s="179" t="str">
        <f>VLOOKUP(A249,'11 - FINANCEIRA'!A:M,3,0)</f>
        <v>Cabo de cobre flexível isolado, 120 mm², anti-chama 0,6/1,0 kv, para distribuição - fornecimento e instalação. af_12/2015 - verde</v>
      </c>
      <c r="D249" s="193">
        <f>VLOOKUP(A249,'11 - FINANCEIRA'!A:M,10,0)</f>
        <v>0</v>
      </c>
      <c r="E249" s="194" t="str">
        <f>VLOOKUP(A249,'11 - FINANCEIRA'!A:M,4,0)</f>
        <v>m</v>
      </c>
      <c r="G249" s="1298" t="str">
        <f t="shared" si="8"/>
        <v>NULO</v>
      </c>
      <c r="H249" s="1298">
        <f t="shared" si="9"/>
        <v>0</v>
      </c>
    </row>
    <row r="250" spans="1:8" ht="26.4" hidden="1">
      <c r="A250" s="205" t="s">
        <v>573</v>
      </c>
      <c r="B250" s="224" t="str">
        <f>VLOOKUP(A250,'11 - FINANCEIRA'!A:M,2,0)</f>
        <v>93000</v>
      </c>
      <c r="C250" s="179" t="str">
        <f>VLOOKUP(A250,'11 - FINANCEIRA'!A:M,3,0)</f>
        <v>Cabo de cobre flexível isolado, 240 mm², anti-chama 0,6/1,0 kv, para distribuição - fornecimento e instalação. af_12/2015 - preto</v>
      </c>
      <c r="D250" s="193">
        <f>VLOOKUP(A250,'11 - FINANCEIRA'!A:M,10,0)</f>
        <v>0</v>
      </c>
      <c r="E250" s="194" t="str">
        <f>VLOOKUP(A250,'11 - FINANCEIRA'!A:M,4,0)</f>
        <v>m</v>
      </c>
      <c r="G250" s="1298" t="str">
        <f t="shared" si="8"/>
        <v>NULO</v>
      </c>
      <c r="H250" s="1298">
        <f t="shared" si="9"/>
        <v>0</v>
      </c>
    </row>
    <row r="251" spans="1:8" ht="26.4" hidden="1">
      <c r="A251" s="205" t="s">
        <v>574</v>
      </c>
      <c r="B251" s="224" t="str">
        <f>VLOOKUP(A251,'11 - FINANCEIRA'!A:M,2,0)</f>
        <v>93000</v>
      </c>
      <c r="C251" s="179" t="str">
        <f>VLOOKUP(A251,'11 - FINANCEIRA'!A:M,3,0)</f>
        <v>Cabo de cobre flexível isolado, 240 mm², anti-chama 0,6/1,0 kv, para distribuição - fornecimento e instalação. af_12/2015 - azul</v>
      </c>
      <c r="D251" s="193">
        <f>VLOOKUP(A251,'11 - FINANCEIRA'!A:M,10,0)</f>
        <v>0</v>
      </c>
      <c r="E251" s="194" t="str">
        <f>VLOOKUP(A251,'11 - FINANCEIRA'!A:M,4,0)</f>
        <v>m</v>
      </c>
      <c r="G251" s="1298" t="str">
        <f t="shared" si="8"/>
        <v>NULO</v>
      </c>
      <c r="H251" s="1298">
        <f t="shared" si="9"/>
        <v>0</v>
      </c>
    </row>
    <row r="252" spans="1:8" ht="26.4" hidden="1">
      <c r="A252" s="205" t="s">
        <v>575</v>
      </c>
      <c r="B252" s="224" t="str">
        <f>VLOOKUP(A252,'11 - FINANCEIRA'!A:M,2,0)</f>
        <v>91926</v>
      </c>
      <c r="C252" s="179" t="str">
        <f>VLOOKUP(A252,'11 - FINANCEIRA'!A:M,3,0)</f>
        <v>Cabo de cobre flexível isolado, 2,5 mm², anti-chama 450/750 v, para circuitos terminais - fornecimento e instalação. af_12/2015 - preto</v>
      </c>
      <c r="D252" s="193">
        <f>VLOOKUP(A252,'11 - FINANCEIRA'!A:M,10,0)</f>
        <v>0</v>
      </c>
      <c r="E252" s="194" t="str">
        <f>VLOOKUP(A252,'11 - FINANCEIRA'!A:M,4,0)</f>
        <v>m</v>
      </c>
      <c r="G252" s="1298" t="str">
        <f t="shared" si="8"/>
        <v>NULO</v>
      </c>
      <c r="H252" s="1298">
        <f t="shared" si="9"/>
        <v>0</v>
      </c>
    </row>
    <row r="253" spans="1:8" ht="26.4" hidden="1">
      <c r="A253" s="205" t="s">
        <v>576</v>
      </c>
      <c r="B253" s="224" t="str">
        <f>VLOOKUP(A253,'11 - FINANCEIRA'!A:M,2,0)</f>
        <v>91926</v>
      </c>
      <c r="C253" s="179" t="str">
        <f>VLOOKUP(A253,'11 - FINANCEIRA'!A:M,3,0)</f>
        <v>Cabo de cobre flexível isolado, 2,5 mm², anti-chama 450/750 v, para circuitos terminais - fornecimento e instalação. af_12/2015 - azul</v>
      </c>
      <c r="D253" s="193">
        <f>VLOOKUP(A253,'11 - FINANCEIRA'!A:M,10,0)</f>
        <v>0</v>
      </c>
      <c r="E253" s="194" t="str">
        <f>VLOOKUP(A253,'11 - FINANCEIRA'!A:M,4,0)</f>
        <v>m</v>
      </c>
      <c r="G253" s="1298" t="str">
        <f t="shared" si="8"/>
        <v>NULO</v>
      </c>
      <c r="H253" s="1298">
        <f t="shared" si="9"/>
        <v>0</v>
      </c>
    </row>
    <row r="254" spans="1:8" ht="26.4" hidden="1">
      <c r="A254" s="205" t="s">
        <v>577</v>
      </c>
      <c r="B254" s="224" t="str">
        <f>VLOOKUP(A254,'11 - FINANCEIRA'!A:M,2,0)</f>
        <v>91926</v>
      </c>
      <c r="C254" s="179" t="str">
        <f>VLOOKUP(A254,'11 - FINANCEIRA'!A:M,3,0)</f>
        <v>Cabo de cobre flexível isolado, 2,5 mm², anti-chama 450/750 v, para circuitos terminais - fornecimento e instalação. af_12/2015 - verde</v>
      </c>
      <c r="D254" s="193">
        <f>VLOOKUP(A254,'11 - FINANCEIRA'!A:M,10,0)</f>
        <v>0</v>
      </c>
      <c r="E254" s="194" t="str">
        <f>VLOOKUP(A254,'11 - FINANCEIRA'!A:M,4,0)</f>
        <v>m</v>
      </c>
      <c r="G254" s="1298" t="str">
        <f t="shared" si="8"/>
        <v>NULO</v>
      </c>
      <c r="H254" s="1298">
        <f t="shared" si="9"/>
        <v>0</v>
      </c>
    </row>
    <row r="255" spans="1:8" ht="26.4" hidden="1">
      <c r="A255" s="205" t="s">
        <v>578</v>
      </c>
      <c r="B255" s="224" t="str">
        <f>VLOOKUP(A255,'11 - FINANCEIRA'!A:M,2,0)</f>
        <v>91926</v>
      </c>
      <c r="C255" s="179" t="str">
        <f>VLOOKUP(A255,'11 - FINANCEIRA'!A:M,3,0)</f>
        <v>Cabo de cobre flexível isolado, 2,5 mm², anti-chama 450/750 v, para circuitos terminais - fornecimento e instalação. af_12/2015 - amarelo</v>
      </c>
      <c r="D255" s="193">
        <f>VLOOKUP(A255,'11 - FINANCEIRA'!A:M,10,0)</f>
        <v>0</v>
      </c>
      <c r="E255" s="194" t="str">
        <f>VLOOKUP(A255,'11 - FINANCEIRA'!A:M,4,0)</f>
        <v>m</v>
      </c>
      <c r="G255" s="1298" t="str">
        <f t="shared" si="8"/>
        <v>NULO</v>
      </c>
      <c r="H255" s="1298">
        <f t="shared" si="9"/>
        <v>0</v>
      </c>
    </row>
    <row r="256" spans="1:8" ht="26.4" hidden="1">
      <c r="A256" s="205" t="s">
        <v>579</v>
      </c>
      <c r="B256" s="224" t="str">
        <f>VLOOKUP(A256,'11 - FINANCEIRA'!A:M,2,0)</f>
        <v>91930</v>
      </c>
      <c r="C256" s="179" t="str">
        <f>VLOOKUP(A256,'11 - FINANCEIRA'!A:M,3,0)</f>
        <v>Cabo de cobre flexível isolado, 6 mm², anti-chama 450/750 v, para circuitos terminais - fornecimento e instalação. af_12/2015 - preto</v>
      </c>
      <c r="D256" s="193">
        <f>VLOOKUP(A256,'11 - FINANCEIRA'!A:M,10,0)</f>
        <v>0</v>
      </c>
      <c r="E256" s="194" t="str">
        <f>VLOOKUP(A256,'11 - FINANCEIRA'!A:M,4,0)</f>
        <v>m</v>
      </c>
      <c r="G256" s="1298" t="str">
        <f t="shared" si="8"/>
        <v>NULO</v>
      </c>
      <c r="H256" s="1298">
        <f t="shared" si="9"/>
        <v>0</v>
      </c>
    </row>
    <row r="257" spans="1:8" ht="26.4" hidden="1">
      <c r="A257" s="205" t="s">
        <v>580</v>
      </c>
      <c r="B257" s="224" t="str">
        <f>VLOOKUP(A257,'11 - FINANCEIRA'!A:M,2,0)</f>
        <v>91930</v>
      </c>
      <c r="C257" s="179" t="str">
        <f>VLOOKUP(A257,'11 - FINANCEIRA'!A:M,3,0)</f>
        <v>Cabo de cobre flexível isolado, 6 mm², anti-chama 450/750 v, para circuitos terminais - fornecimento e instalação. af_12/2015 - azul</v>
      </c>
      <c r="D257" s="193">
        <f>VLOOKUP(A257,'11 - FINANCEIRA'!A:M,10,0)</f>
        <v>0</v>
      </c>
      <c r="E257" s="194" t="str">
        <f>VLOOKUP(A257,'11 - FINANCEIRA'!A:M,4,0)</f>
        <v>m</v>
      </c>
      <c r="G257" s="1298" t="str">
        <f t="shared" si="8"/>
        <v>NULO</v>
      </c>
      <c r="H257" s="1298">
        <f t="shared" si="9"/>
        <v>0</v>
      </c>
    </row>
    <row r="258" spans="1:8" ht="26.4" hidden="1">
      <c r="A258" s="205" t="s">
        <v>581</v>
      </c>
      <c r="B258" s="224" t="str">
        <f>VLOOKUP(A258,'11 - FINANCEIRA'!A:M,2,0)</f>
        <v>91930</v>
      </c>
      <c r="C258" s="179" t="str">
        <f>VLOOKUP(A258,'11 - FINANCEIRA'!A:M,3,0)</f>
        <v>Cabo de cobre flexível isolado, 6 mm², anti-chama 450/750 v, para circuitos terminais - fornecimento e instalação. af_12/2015 - verde</v>
      </c>
      <c r="D258" s="193">
        <f>VLOOKUP(A258,'11 - FINANCEIRA'!A:M,10,0)</f>
        <v>0</v>
      </c>
      <c r="E258" s="194" t="str">
        <f>VLOOKUP(A258,'11 - FINANCEIRA'!A:M,4,0)</f>
        <v>m</v>
      </c>
      <c r="G258" s="1298" t="str">
        <f t="shared" si="8"/>
        <v>NULO</v>
      </c>
      <c r="H258" s="1298">
        <f t="shared" si="9"/>
        <v>0</v>
      </c>
    </row>
    <row r="259" spans="1:8" ht="79.2" hidden="1">
      <c r="A259" s="205" t="s">
        <v>582</v>
      </c>
      <c r="B259" s="224" t="str">
        <f>VLOOKUP(A259,'11 - FINANCEIRA'!A:M,2,0)</f>
        <v>CP-1993-S151434</v>
      </c>
      <c r="C259" s="179" t="str">
        <f>VLOOKUP(A259,'11 - FINANCEIRA'!A:M,3,0)</f>
        <v>Cabo de cobre de média tensão isolado (xlpe/epr 15kv) 120,0mm², condutor em cobre eletrolítico nu, têmpera mole, encordoado circular compactado (classe 2). blindagem do condutor: composto termofixo semicondutor. isolação: composto termofixo de borracha epr 105 °c. blindagem da isolação: camada de composto termofixo semicondutor de fácil remoção a frio. blindagem metálica: fios de cobre nu. separador: fita não higroscópica de poliéster, aplicada em hélice cobrindo 100 % do cabo.</v>
      </c>
      <c r="D259" s="193">
        <f>VLOOKUP(A259,'11 - FINANCEIRA'!A:M,10,0)</f>
        <v>0</v>
      </c>
      <c r="E259" s="194" t="str">
        <f>VLOOKUP(A259,'11 - FINANCEIRA'!A:M,4,0)</f>
        <v>m</v>
      </c>
      <c r="G259" s="1298" t="str">
        <f t="shared" si="8"/>
        <v>NULO</v>
      </c>
      <c r="H259" s="1298">
        <f t="shared" si="9"/>
        <v>0</v>
      </c>
    </row>
    <row r="260" spans="1:8" ht="26.4" hidden="1">
      <c r="A260" s="205" t="s">
        <v>583</v>
      </c>
      <c r="B260" s="224" t="str">
        <f>VLOOKUP(A260,'11 - FINANCEIRA'!A:M,2,0)</f>
        <v>92992</v>
      </c>
      <c r="C260" s="179" t="str">
        <f>VLOOKUP(A260,'11 - FINANCEIRA'!A:M,3,0)</f>
        <v>Cabo de cobre flexível isolado, 95 mm², anti-chama 0,6/1,0 kv, para distribuição - fornecimento e instalação. af_12/2015</v>
      </c>
      <c r="D260" s="193">
        <f>VLOOKUP(A260,'11 - FINANCEIRA'!A:M,10,0)</f>
        <v>0</v>
      </c>
      <c r="E260" s="194" t="str">
        <f>VLOOKUP(A260,'11 - FINANCEIRA'!A:M,4,0)</f>
        <v>m</v>
      </c>
      <c r="G260" s="1298" t="str">
        <f t="shared" si="8"/>
        <v>NULO</v>
      </c>
      <c r="H260" s="1298">
        <f t="shared" si="9"/>
        <v>0</v>
      </c>
    </row>
    <row r="261" spans="1:8" ht="26.4" hidden="1">
      <c r="A261" s="205" t="s">
        <v>584</v>
      </c>
      <c r="B261" s="224" t="str">
        <f>VLOOKUP(A261,'11 - FINANCEIRA'!A:M,2,0)</f>
        <v>91931</v>
      </c>
      <c r="C261" s="179" t="str">
        <f>VLOOKUP(A261,'11 - FINANCEIRA'!A:M,3,0)</f>
        <v>Cabo de cobre flexível isolado, 6 mm², anti-chama 0,6/1,0 kv, para circuitos terminais - fornecimento e instalação. preto</v>
      </c>
      <c r="D261" s="193">
        <f>VLOOKUP(A261,'11 - FINANCEIRA'!A:M,10,0)</f>
        <v>0</v>
      </c>
      <c r="E261" s="194" t="str">
        <f>VLOOKUP(A261,'11 - FINANCEIRA'!A:M,4,0)</f>
        <v>m</v>
      </c>
      <c r="G261" s="1298" t="str">
        <f t="shared" si="8"/>
        <v>NULO</v>
      </c>
      <c r="H261" s="1298">
        <f t="shared" si="9"/>
        <v>0</v>
      </c>
    </row>
    <row r="262" spans="1:8" ht="26.4" hidden="1">
      <c r="A262" s="205" t="s">
        <v>585</v>
      </c>
      <c r="B262" s="224" t="str">
        <f>VLOOKUP(A262,'11 - FINANCEIRA'!A:M,2,0)</f>
        <v>91931</v>
      </c>
      <c r="C262" s="179" t="str">
        <f>VLOOKUP(A262,'11 - FINANCEIRA'!A:M,3,0)</f>
        <v>Cabo de cobre flexível isolado, 6 mm², anti-chama 0,6/1,0 kv, para circuitos terminais - fornecimento e instalação. verde</v>
      </c>
      <c r="D262" s="193">
        <f>VLOOKUP(A262,'11 - FINANCEIRA'!A:M,10,0)</f>
        <v>0</v>
      </c>
      <c r="E262" s="194" t="str">
        <f>VLOOKUP(A262,'11 - FINANCEIRA'!A:M,4,0)</f>
        <v>m</v>
      </c>
      <c r="G262" s="1298" t="str">
        <f t="shared" si="8"/>
        <v>NULO</v>
      </c>
      <c r="H262" s="1298">
        <f t="shared" si="9"/>
        <v>0</v>
      </c>
    </row>
    <row r="263" spans="1:8" ht="26.4" hidden="1">
      <c r="A263" s="205" t="s">
        <v>586</v>
      </c>
      <c r="B263" s="224" t="str">
        <f>VLOOKUP(A263,'11 - FINANCEIRA'!A:M,2,0)</f>
        <v>91931</v>
      </c>
      <c r="C263" s="179" t="str">
        <f>VLOOKUP(A263,'11 - FINANCEIRA'!A:M,3,0)</f>
        <v>Cabo de cobre flexível isolado, 6 mm², anti-chama 0,6/1,0 kv, para circuitos terminais - fornecimento e instalação. azul</v>
      </c>
      <c r="D263" s="193">
        <f>VLOOKUP(A263,'11 - FINANCEIRA'!A:M,10,0)</f>
        <v>0</v>
      </c>
      <c r="E263" s="194" t="str">
        <f>VLOOKUP(A263,'11 - FINANCEIRA'!A:M,4,0)</f>
        <v>m</v>
      </c>
      <c r="G263" s="1298" t="str">
        <f t="shared" si="8"/>
        <v>NULO</v>
      </c>
      <c r="H263" s="1298">
        <f t="shared" si="9"/>
        <v>0</v>
      </c>
    </row>
    <row r="264" spans="1:8" hidden="1">
      <c r="A264" s="205" t="s">
        <v>587</v>
      </c>
      <c r="B264" s="224" t="str">
        <f>VLOOKUP(A264,'11 - FINANCEIRA'!A:M,2,0)</f>
        <v>S151422</v>
      </c>
      <c r="C264" s="179" t="str">
        <f>VLOOKUP(A264,'11 - FINANCEIRA'!A:M,3,0)</f>
        <v>Cabo de cobre termoplástico, com isolamento para 1000v, seção de 25.0 mm² verde</v>
      </c>
      <c r="D264" s="193">
        <f>VLOOKUP(A264,'11 - FINANCEIRA'!A:M,10,0)</f>
        <v>0</v>
      </c>
      <c r="E264" s="194" t="str">
        <f>VLOOKUP(A264,'11 - FINANCEIRA'!A:M,4,0)</f>
        <v>m</v>
      </c>
      <c r="G264" s="1298" t="str">
        <f t="shared" si="8"/>
        <v>NULO</v>
      </c>
      <c r="H264" s="1298">
        <f t="shared" si="9"/>
        <v>0</v>
      </c>
    </row>
    <row r="265" spans="1:8" hidden="1">
      <c r="A265" s="205" t="s">
        <v>588</v>
      </c>
      <c r="B265" s="224" t="str">
        <f>VLOOKUP(A265,'11 - FINANCEIRA'!A:M,2,0)</f>
        <v>S151422</v>
      </c>
      <c r="C265" s="179" t="str">
        <f>VLOOKUP(A265,'11 - FINANCEIRA'!A:M,3,0)</f>
        <v>Cabo de cobre termoplástico, com isolamento para 1000v, seção de 25.0 mm² preto</v>
      </c>
      <c r="D265" s="193">
        <f>VLOOKUP(A265,'11 - FINANCEIRA'!A:M,10,0)</f>
        <v>0</v>
      </c>
      <c r="E265" s="194" t="str">
        <f>VLOOKUP(A265,'11 - FINANCEIRA'!A:M,4,0)</f>
        <v>m</v>
      </c>
      <c r="G265" s="1298" t="str">
        <f t="shared" si="8"/>
        <v>NULO</v>
      </c>
      <c r="H265" s="1298">
        <f t="shared" si="9"/>
        <v>0</v>
      </c>
    </row>
    <row r="266" spans="1:8" s="202" customFormat="1" hidden="1">
      <c r="A266" s="210" t="s">
        <v>589</v>
      </c>
      <c r="B266" s="224" t="str">
        <f>VLOOKUP(A266,'11 - FINANCEIRA'!A:M,2,0)</f>
        <v>S151422</v>
      </c>
      <c r="C266" s="179" t="str">
        <f>VLOOKUP(A266,'11 - FINANCEIRA'!A:M,3,0)</f>
        <v>Cabo de cobre termoplástico, com isolamento para 1000v, seção de 25.0 mm² azul</v>
      </c>
      <c r="D266" s="193">
        <f>VLOOKUP(A266,'11 - FINANCEIRA'!A:M,10,0)</f>
        <v>0</v>
      </c>
      <c r="E266" s="194" t="str">
        <f>VLOOKUP(A266,'11 - FINANCEIRA'!A:M,4,0)</f>
        <v>m</v>
      </c>
      <c r="F266" s="217"/>
      <c r="G266" s="1298" t="str">
        <f>IF(D266&gt;0,"POSITIVO",IF(D266=0,"NULO",IF(D266&lt;0,"NEGATIVO")))</f>
        <v>NULO</v>
      </c>
      <c r="H266" s="1298">
        <f>IF(G266="NULO",0,1)</f>
        <v>0</v>
      </c>
    </row>
    <row r="267" spans="1:8" ht="26.4" hidden="1">
      <c r="A267" s="205" t="s">
        <v>590</v>
      </c>
      <c r="B267" s="224" t="str">
        <f>VLOOKUP(A267,'11 - FINANCEIRA'!A:M,2,0)</f>
        <v>00001575</v>
      </c>
      <c r="C267" s="179" t="str">
        <f>VLOOKUP(A267,'11 - FINANCEIRA'!A:M,3,0)</f>
        <v>Terminal a compressao em cobre estanhado para cabo 16 mm², 1 furo e 1 compressao, para parafuso de fixacao m6</v>
      </c>
      <c r="D267" s="193">
        <f>VLOOKUP(A267,'11 - FINANCEIRA'!A:M,10,0)</f>
        <v>0</v>
      </c>
      <c r="E267" s="194" t="str">
        <f>VLOOKUP(A267,'11 - FINANCEIRA'!A:M,4,0)</f>
        <v>und</v>
      </c>
      <c r="G267" s="1298" t="str">
        <f t="shared" ref="G267:G293" si="12">IF(D267&gt;0,"POSITIVO",IF(D267=0,"NULO",IF(D267&lt;0,"NEGATIVO")))</f>
        <v>NULO</v>
      </c>
      <c r="H267" s="1298">
        <f t="shared" ref="H267:H293" si="13">IF(G267="NULO",0,1)</f>
        <v>0</v>
      </c>
    </row>
    <row r="268" spans="1:8" hidden="1">
      <c r="A268" s="205" t="s">
        <v>591</v>
      </c>
      <c r="B268" s="224" t="str">
        <f>VLOOKUP(A268,'11 - FINANCEIRA'!A:M,2,0)</f>
        <v>00001586</v>
      </c>
      <c r="C268" s="179" t="str">
        <f>VLOOKUP(A268,'11 - FINANCEIRA'!A:M,3,0)</f>
        <v>Terminal metalico a pressao para 1 cabo de 25 mm², com 1 furo de fixacao</v>
      </c>
      <c r="D268" s="193">
        <f>VLOOKUP(A268,'11 - FINANCEIRA'!A:M,10,0)</f>
        <v>0</v>
      </c>
      <c r="E268" s="194" t="str">
        <f>VLOOKUP(A268,'11 - FINANCEIRA'!A:M,4,0)</f>
        <v>und</v>
      </c>
      <c r="G268" s="1298" t="str">
        <f t="shared" si="12"/>
        <v>NULO</v>
      </c>
      <c r="H268" s="1298">
        <f t="shared" si="13"/>
        <v>0</v>
      </c>
    </row>
    <row r="269" spans="1:8" ht="26.4" hidden="1">
      <c r="A269" s="205" t="s">
        <v>592</v>
      </c>
      <c r="B269" s="224" t="str">
        <f>VLOOKUP(A269,'11 - FINANCEIRA'!A:M,2,0)</f>
        <v>00001580</v>
      </c>
      <c r="C269" s="179" t="str">
        <f>VLOOKUP(A269,'11 - FINANCEIRA'!A:M,3,0)</f>
        <v>Terminal a compressao em cobre estanhado para cabo 95 mm², 1 furo e 1 compressao, para parafuso de fixacao m12</v>
      </c>
      <c r="D269" s="193">
        <f>VLOOKUP(A269,'11 - FINANCEIRA'!A:M,10,0)</f>
        <v>0</v>
      </c>
      <c r="E269" s="194" t="str">
        <f>VLOOKUP(A269,'11 - FINANCEIRA'!A:M,4,0)</f>
        <v>und</v>
      </c>
      <c r="G269" s="1298" t="str">
        <f t="shared" si="12"/>
        <v>NULO</v>
      </c>
      <c r="H269" s="1298">
        <f t="shared" si="13"/>
        <v>0</v>
      </c>
    </row>
    <row r="270" spans="1:8" hidden="1">
      <c r="A270" s="205" t="s">
        <v>593</v>
      </c>
      <c r="B270" s="224" t="str">
        <f>VLOOKUP(A270,'11 - FINANCEIRA'!A:M,2,0)</f>
        <v>00001546</v>
      </c>
      <c r="C270" s="179" t="str">
        <f>VLOOKUP(A270,'11 - FINANCEIRA'!A:M,3,0)</f>
        <v>Terminal metalico a pressao para 1 cabo de 95 a 120 mm², com 2 furos para fixacao</v>
      </c>
      <c r="D270" s="193">
        <f>VLOOKUP(A270,'11 - FINANCEIRA'!A:M,10,0)</f>
        <v>0</v>
      </c>
      <c r="E270" s="194" t="str">
        <f>VLOOKUP(A270,'11 - FINANCEIRA'!A:M,4,0)</f>
        <v>und</v>
      </c>
      <c r="G270" s="1298" t="str">
        <f t="shared" si="12"/>
        <v>NULO</v>
      </c>
      <c r="H270" s="1298">
        <f t="shared" si="13"/>
        <v>0</v>
      </c>
    </row>
    <row r="271" spans="1:8" hidden="1">
      <c r="A271" s="205" t="s">
        <v>594</v>
      </c>
      <c r="B271" s="224" t="str">
        <f>VLOOKUP(A271,'11 - FINANCEIRA'!A:M,2,0)</f>
        <v>00038196</v>
      </c>
      <c r="C271" s="179" t="str">
        <f>VLOOKUP(A271,'11 - FINANCEIRA'!A:M,3,0)</f>
        <v>Terminal metalico a pressao para 1 cabo de 150 mm², com 1 furo de fixacao</v>
      </c>
      <c r="D271" s="193">
        <f>VLOOKUP(A271,'11 - FINANCEIRA'!A:M,10,0)</f>
        <v>0</v>
      </c>
      <c r="E271" s="194" t="str">
        <f>VLOOKUP(A271,'11 - FINANCEIRA'!A:M,4,0)</f>
        <v>und</v>
      </c>
      <c r="G271" s="1298" t="str">
        <f t="shared" si="12"/>
        <v>NULO</v>
      </c>
      <c r="H271" s="1298">
        <f t="shared" si="13"/>
        <v>0</v>
      </c>
    </row>
    <row r="272" spans="1:8" hidden="1">
      <c r="A272" s="205" t="s">
        <v>595</v>
      </c>
      <c r="B272" s="224" t="str">
        <f>VLOOKUP(A272,'11 - FINANCEIRA'!A:M,2,0)</f>
        <v>00011838</v>
      </c>
      <c r="C272" s="179" t="str">
        <f>VLOOKUP(A272,'11 - FINANCEIRA'!A:M,3,0)</f>
        <v>Terminal metalico a pressao para 1 cabo de 240 mm², com 1 furo de fixacao</v>
      </c>
      <c r="D272" s="193">
        <f>VLOOKUP(A272,'11 - FINANCEIRA'!A:M,10,0)</f>
        <v>0</v>
      </c>
      <c r="E272" s="194" t="str">
        <f>VLOOKUP(A272,'11 - FINANCEIRA'!A:M,4,0)</f>
        <v>und</v>
      </c>
      <c r="G272" s="1298" t="str">
        <f t="shared" si="12"/>
        <v>NULO</v>
      </c>
      <c r="H272" s="1298">
        <f t="shared" si="13"/>
        <v>0</v>
      </c>
    </row>
    <row r="273" spans="1:8" hidden="1">
      <c r="A273" s="205" t="s">
        <v>596</v>
      </c>
      <c r="B273" s="200" t="str">
        <f>VLOOKUP(A273,'11 - FINANCEIRA'!A:M,1,0)</f>
        <v>2.5.2.4</v>
      </c>
      <c r="C273" s="184" t="str">
        <f>VLOOKUP(A273,'11 - FINANCEIRA'!A:M,2,0)</f>
        <v>Calhas e Dutos</v>
      </c>
      <c r="D273" s="185"/>
      <c r="E273" s="200"/>
      <c r="F273" s="220"/>
      <c r="G273" s="1300"/>
      <c r="H273" s="1300">
        <f>SUM(H274:H290)</f>
        <v>0</v>
      </c>
    </row>
    <row r="274" spans="1:8" hidden="1">
      <c r="A274" s="205" t="s">
        <v>597</v>
      </c>
      <c r="B274" s="224" t="str">
        <f>VLOOKUP(A274,'11 - FINANCEIRA'!A:M,2,0)</f>
        <v>S151137</v>
      </c>
      <c r="C274" s="179" t="str">
        <f>VLOOKUP(A274,'11 - FINANCEIRA'!A:M,3,0)</f>
        <v>Eletroduto pead, cor preta, diam. 1.1/2", marca ref. kanaflex ou equivalente</v>
      </c>
      <c r="D274" s="193">
        <f>VLOOKUP(A274,'11 - FINANCEIRA'!A:M,10,0)</f>
        <v>0</v>
      </c>
      <c r="E274" s="194" t="str">
        <f>VLOOKUP(A274,'11 - FINANCEIRA'!A:M,4,0)</f>
        <v>m</v>
      </c>
      <c r="G274" s="1298" t="str">
        <f t="shared" si="12"/>
        <v>NULO</v>
      </c>
      <c r="H274" s="1298">
        <f t="shared" si="13"/>
        <v>0</v>
      </c>
    </row>
    <row r="275" spans="1:8" hidden="1">
      <c r="A275" s="205" t="s">
        <v>598</v>
      </c>
      <c r="B275" s="224" t="str">
        <f>VLOOKUP(A275,'11 - FINANCEIRA'!A:M,2,0)</f>
        <v>S151139</v>
      </c>
      <c r="C275" s="179" t="str">
        <f>VLOOKUP(A275,'11 - FINANCEIRA'!A:M,3,0)</f>
        <v>Eletroduto pead, cor preta, diam. 2", marca ref. kanaflex ou equivalente</v>
      </c>
      <c r="D275" s="193">
        <f>VLOOKUP(A275,'11 - FINANCEIRA'!A:M,10,0)</f>
        <v>0</v>
      </c>
      <c r="E275" s="194" t="str">
        <f>VLOOKUP(A275,'11 - FINANCEIRA'!A:M,4,0)</f>
        <v>m</v>
      </c>
      <c r="G275" s="1298" t="str">
        <f t="shared" si="12"/>
        <v>NULO</v>
      </c>
      <c r="H275" s="1298">
        <f t="shared" si="13"/>
        <v>0</v>
      </c>
    </row>
    <row r="276" spans="1:8" hidden="1">
      <c r="A276" s="205" t="s">
        <v>599</v>
      </c>
      <c r="B276" s="224" t="str">
        <f>VLOOKUP(A276,'11 - FINANCEIRA'!A:M,2,0)</f>
        <v>S151140</v>
      </c>
      <c r="C276" s="179" t="str">
        <f>VLOOKUP(A276,'11 - FINANCEIRA'!A:M,3,0)</f>
        <v>Eletroduto pead, cor preta, diam. 3", marca ref. kanaflex ou equivalente</v>
      </c>
      <c r="D276" s="193">
        <f>VLOOKUP(A276,'11 - FINANCEIRA'!A:M,10,0)</f>
        <v>0</v>
      </c>
      <c r="E276" s="194" t="str">
        <f>VLOOKUP(A276,'11 - FINANCEIRA'!A:M,4,0)</f>
        <v>m</v>
      </c>
      <c r="G276" s="1298" t="str">
        <f t="shared" si="12"/>
        <v>NULO</v>
      </c>
      <c r="H276" s="1298">
        <f t="shared" si="13"/>
        <v>0</v>
      </c>
    </row>
    <row r="277" spans="1:8" hidden="1">
      <c r="A277" s="205" t="s">
        <v>600</v>
      </c>
      <c r="B277" s="224" t="str">
        <f>VLOOKUP(A277,'11 - FINANCEIRA'!A:M,2,0)</f>
        <v>S151141</v>
      </c>
      <c r="C277" s="179" t="str">
        <f>VLOOKUP(A277,'11 - FINANCEIRA'!A:M,3,0)</f>
        <v>Eletroduto pead, cor preta, diam. 4", marca ref. kanaflex ou equivalente</v>
      </c>
      <c r="D277" s="193">
        <f>VLOOKUP(A277,'11 - FINANCEIRA'!A:M,10,0)</f>
        <v>0</v>
      </c>
      <c r="E277" s="194" t="str">
        <f>VLOOKUP(A277,'11 - FINANCEIRA'!A:M,4,0)</f>
        <v>m</v>
      </c>
      <c r="G277" s="1298" t="str">
        <f t="shared" si="12"/>
        <v>NULO</v>
      </c>
      <c r="H277" s="1298">
        <f t="shared" si="13"/>
        <v>0</v>
      </c>
    </row>
    <row r="278" spans="1:8" hidden="1">
      <c r="A278" s="205" t="s">
        <v>601</v>
      </c>
      <c r="B278" s="224" t="str">
        <f>VLOOKUP(A278,'11 - FINANCEIRA'!A:M,2,0)</f>
        <v>S151142</v>
      </c>
      <c r="C278" s="179" t="str">
        <f>VLOOKUP(A278,'11 - FINANCEIRA'!A:M,3,0)</f>
        <v>Eletroduto pead, cor preta, diam. 6", marca ref. kanaflex ou equivalente</v>
      </c>
      <c r="D278" s="193">
        <f>VLOOKUP(A278,'11 - FINANCEIRA'!A:M,10,0)</f>
        <v>0</v>
      </c>
      <c r="E278" s="194" t="str">
        <f>VLOOKUP(A278,'11 - FINANCEIRA'!A:M,4,0)</f>
        <v>m</v>
      </c>
      <c r="G278" s="1298" t="str">
        <f t="shared" si="12"/>
        <v>NULO</v>
      </c>
      <c r="H278" s="1298">
        <f t="shared" si="13"/>
        <v>0</v>
      </c>
    </row>
    <row r="279" spans="1:8" ht="25.5" hidden="1" customHeight="1">
      <c r="A279" s="205" t="s">
        <v>602</v>
      </c>
      <c r="B279" s="224" t="str">
        <f>VLOOKUP(A279,'11 - FINANCEIRA'!A:M,2,0)</f>
        <v>91863</v>
      </c>
      <c r="C279" s="179" t="str">
        <f>VLOOKUP(A279,'11 - FINANCEIRA'!A:M,3,0)</f>
        <v>Eletroduto rígido roscável, pvc, dn 25 mm (3/4"), para circuitos terminais, instalado em forro - fornecimento e instalação. af_12/2015</v>
      </c>
      <c r="D279" s="193">
        <f>VLOOKUP(A279,'11 - FINANCEIRA'!A:M,10,0)</f>
        <v>0</v>
      </c>
      <c r="E279" s="194" t="str">
        <f>VLOOKUP(A279,'11 - FINANCEIRA'!A:M,4,0)</f>
        <v>M</v>
      </c>
      <c r="G279" s="1298" t="str">
        <f t="shared" si="12"/>
        <v>NULO</v>
      </c>
      <c r="H279" s="1298">
        <f t="shared" si="13"/>
        <v>0</v>
      </c>
    </row>
    <row r="280" spans="1:8" ht="25.5" hidden="1" customHeight="1">
      <c r="A280" s="205" t="s">
        <v>603</v>
      </c>
      <c r="B280" s="224" t="str">
        <f>VLOOKUP(A280,'11 - FINANCEIRA'!A:M,2,0)</f>
        <v>93009</v>
      </c>
      <c r="C280" s="179" t="str">
        <f>VLOOKUP(A280,'11 - FINANCEIRA'!A:M,3,0)</f>
        <v>Eletroduto rígido roscável, pvc, dn 60 mm (2") - fornecimento e instalação. af_12/2015</v>
      </c>
      <c r="D280" s="193">
        <f>VLOOKUP(A280,'11 - FINANCEIRA'!A:M,10,0)</f>
        <v>0</v>
      </c>
      <c r="E280" s="194" t="str">
        <f>VLOOKUP(A280,'11 - FINANCEIRA'!A:M,4,0)</f>
        <v>M</v>
      </c>
      <c r="G280" s="1298" t="str">
        <f t="shared" si="12"/>
        <v>NULO</v>
      </c>
      <c r="H280" s="1298">
        <f t="shared" si="13"/>
        <v>0</v>
      </c>
    </row>
    <row r="281" spans="1:8" ht="25.5" hidden="1" customHeight="1">
      <c r="A281" s="205" t="s">
        <v>604</v>
      </c>
      <c r="B281" s="224" t="str">
        <f>VLOOKUP(A281,'11 - FINANCEIRA'!A:M,2,0)</f>
        <v>S151132</v>
      </c>
      <c r="C281" s="179" t="str">
        <f>VLOOKUP(A281,'11 - FINANCEIRA'!A:M,3,0)</f>
        <v>Eletroduto flexível corrugado 3/4" , marca de referência tigre</v>
      </c>
      <c r="D281" s="193">
        <f>VLOOKUP(A281,'11 - FINANCEIRA'!A:M,10,0)</f>
        <v>0</v>
      </c>
      <c r="E281" s="194" t="str">
        <f>VLOOKUP(A281,'11 - FINANCEIRA'!A:M,4,0)</f>
        <v>m</v>
      </c>
      <c r="G281" s="1298" t="str">
        <f>IF(D281&gt;0,"POSITIVO",IF(D281=0,"NULO",IF(D281&lt;0,"NEGATIVO")))</f>
        <v>NULO</v>
      </c>
      <c r="H281" s="1298">
        <f>IF(G281="NULO",0,1)</f>
        <v>0</v>
      </c>
    </row>
    <row r="282" spans="1:8" hidden="1">
      <c r="A282" s="205" t="s">
        <v>605</v>
      </c>
      <c r="B282" s="224" t="str">
        <f>VLOOKUP(A282,'11 - FINANCEIRA'!A:M,2,0)</f>
        <v>S151133</v>
      </c>
      <c r="C282" s="179" t="str">
        <f>VLOOKUP(A282,'11 - FINANCEIRA'!A:M,3,0)</f>
        <v>Eletroduto flexível corrugado 1", marca de referência tigre</v>
      </c>
      <c r="D282" s="193">
        <f>VLOOKUP(A282,'11 - FINANCEIRA'!A:M,10,0)</f>
        <v>0</v>
      </c>
      <c r="E282" s="194" t="str">
        <f>VLOOKUP(A282,'11 - FINANCEIRA'!A:M,4,0)</f>
        <v>m</v>
      </c>
      <c r="G282" s="1298" t="str">
        <f t="shared" si="12"/>
        <v>NULO</v>
      </c>
      <c r="H282" s="1298">
        <f t="shared" si="13"/>
        <v>0</v>
      </c>
    </row>
    <row r="283" spans="1:8" ht="26.4" hidden="1">
      <c r="A283" s="205" t="s">
        <v>606</v>
      </c>
      <c r="B283" s="224" t="str">
        <f>VLOOKUP(A283,'11 - FINANCEIRA'!A:M,2,0)</f>
        <v>ED-49052 V1</v>
      </c>
      <c r="C283" s="179" t="str">
        <f>VLOOKUP(A283,'11 - FINANCEIRA'!A:M,3,0)</f>
        <v>Eletrocalha perfurada galvanizada eletrolítica chapa 14 - 200 x 150 mm com tampa, inclusive conexão e suporte</v>
      </c>
      <c r="D283" s="193">
        <f>VLOOKUP(A283,'11 - FINANCEIRA'!A:M,10,0)</f>
        <v>0</v>
      </c>
      <c r="E283" s="194" t="str">
        <f>VLOOKUP(A283,'11 - FINANCEIRA'!A:M,4,0)</f>
        <v>m</v>
      </c>
      <c r="G283" s="1298" t="str">
        <f t="shared" si="12"/>
        <v>NULO</v>
      </c>
      <c r="H283" s="1298">
        <f t="shared" si="13"/>
        <v>0</v>
      </c>
    </row>
    <row r="284" spans="1:8" hidden="1">
      <c r="A284" s="205" t="s">
        <v>607</v>
      </c>
      <c r="B284" s="224" t="str">
        <f>VLOOKUP(A284,'11 - FINANCEIRA'!A:M,2,0)</f>
        <v>S150851</v>
      </c>
      <c r="C284" s="179" t="str">
        <f>VLOOKUP(A284,'11 - FINANCEIRA'!A:M,3,0)</f>
        <v>Saída horizontal para eletroduto de 1"</v>
      </c>
      <c r="D284" s="193">
        <f>VLOOKUP(A284,'11 - FINANCEIRA'!A:M,10,0)</f>
        <v>0</v>
      </c>
      <c r="E284" s="194" t="str">
        <f>VLOOKUP(A284,'11 - FINANCEIRA'!A:M,4,0)</f>
        <v>und</v>
      </c>
      <c r="G284" s="1298" t="str">
        <f t="shared" si="12"/>
        <v>NULO</v>
      </c>
      <c r="H284" s="1298">
        <f t="shared" si="13"/>
        <v>0</v>
      </c>
    </row>
    <row r="285" spans="1:8" hidden="1">
      <c r="A285" s="205" t="s">
        <v>608</v>
      </c>
      <c r="B285" s="224" t="str">
        <f>VLOOKUP(A285,'11 - FINANCEIRA'!A:M,2,0)</f>
        <v>S150852</v>
      </c>
      <c r="C285" s="179" t="str">
        <f>VLOOKUP(A285,'11 - FINANCEIRA'!A:M,3,0)</f>
        <v>Saída horizontal para eletroduto de 2"</v>
      </c>
      <c r="D285" s="193">
        <f>VLOOKUP(A285,'11 - FINANCEIRA'!A:M,10,0)</f>
        <v>0</v>
      </c>
      <c r="E285" s="194" t="str">
        <f>VLOOKUP(A285,'11 - FINANCEIRA'!A:M,4,0)</f>
        <v>und</v>
      </c>
      <c r="G285" s="1298" t="str">
        <f t="shared" si="12"/>
        <v>NULO</v>
      </c>
      <c r="H285" s="1298">
        <f t="shared" si="13"/>
        <v>0</v>
      </c>
    </row>
    <row r="286" spans="1:8" ht="39.6" hidden="1">
      <c r="A286" s="205" t="s">
        <v>609</v>
      </c>
      <c r="B286" s="224" t="str">
        <f>VLOOKUP(A286,'11 - FINANCEIRA'!A:M,2,0)</f>
        <v>S150704</v>
      </c>
      <c r="C286" s="179" t="str">
        <f>VLOOKUP(A286,'11 - FINANCEIRA'!A:M,3,0)</f>
        <v>Envelopamento de concreto simples com consumo mínimo de cimento de 250kg/m³, inclusive escavação para profundidade mínima do eletroduto de 50cm, de 45 x 45 cm, para 3 eletrodutos</v>
      </c>
      <c r="D286" s="193">
        <f>VLOOKUP(A286,'11 - FINANCEIRA'!A:M,10,0)</f>
        <v>0</v>
      </c>
      <c r="E286" s="194" t="str">
        <f>VLOOKUP(A286,'11 - FINANCEIRA'!A:M,4,0)</f>
        <v>m</v>
      </c>
      <c r="G286" s="1298" t="str">
        <f t="shared" si="12"/>
        <v>NULO</v>
      </c>
      <c r="H286" s="1298">
        <f t="shared" si="13"/>
        <v>0</v>
      </c>
    </row>
    <row r="287" spans="1:8" ht="39.6" hidden="1">
      <c r="A287" s="205" t="s">
        <v>610</v>
      </c>
      <c r="B287" s="224" t="str">
        <f>VLOOKUP(A287,'11 - FINANCEIRA'!A:M,2,0)</f>
        <v>S150702</v>
      </c>
      <c r="C287" s="179" t="str">
        <f>VLOOKUP(A287,'11 - FINANCEIRA'!A:M,3,0)</f>
        <v>Envelopamento de concreto simples com consumo mínimo de cimento de 250kg/m³, inclusive escavação para profundidade mínima do eletroduto de 50 cm, de 25 x 30 cm, para 2 eletrodutos</v>
      </c>
      <c r="D287" s="193">
        <f>VLOOKUP(A287,'11 - FINANCEIRA'!A:M,10,0)</f>
        <v>0</v>
      </c>
      <c r="E287" s="194" t="str">
        <f>VLOOKUP(A287,'11 - FINANCEIRA'!A:M,4,0)</f>
        <v>m</v>
      </c>
      <c r="G287" s="1298" t="str">
        <f t="shared" si="12"/>
        <v>NULO</v>
      </c>
      <c r="H287" s="1298">
        <f t="shared" si="13"/>
        <v>0</v>
      </c>
    </row>
    <row r="288" spans="1:8" hidden="1">
      <c r="A288" s="205" t="s">
        <v>611</v>
      </c>
      <c r="B288" s="224" t="str">
        <f>VLOOKUP(A288,'11 - FINANCEIRA'!A:M,2,0)</f>
        <v>S151127</v>
      </c>
      <c r="C288" s="179" t="str">
        <f>VLOOKUP(A288,'11 - FINANCEIRA'!A:M,3,0)</f>
        <v>Eletroduto de pvc rígido roscável, diâm. 1" (32mm), inclusive conexões</v>
      </c>
      <c r="D288" s="193">
        <f>VLOOKUP(A288,'11 - FINANCEIRA'!A:M,10,0)</f>
        <v>0</v>
      </c>
      <c r="E288" s="194" t="str">
        <f>VLOOKUP(A288,'11 - FINANCEIRA'!A:M,4,0)</f>
        <v>m</v>
      </c>
      <c r="G288" s="1298" t="str">
        <f t="shared" si="12"/>
        <v>NULO</v>
      </c>
      <c r="H288" s="1298">
        <f t="shared" si="13"/>
        <v>0</v>
      </c>
    </row>
    <row r="289" spans="1:8" hidden="1">
      <c r="A289" s="205" t="s">
        <v>612</v>
      </c>
      <c r="B289" s="224" t="str">
        <f>VLOOKUP(A289,'11 - FINANCEIRA'!A:M,2,0)</f>
        <v>93011</v>
      </c>
      <c r="C289" s="179" t="str">
        <f>VLOOKUP(A289,'11 - FINANCEIRA'!A:M,3,0)</f>
        <v>Eletroduto rígido roscável, pvc, dn 85 mm (3") - fornecimento e instalação. af_12/2015</v>
      </c>
      <c r="D289" s="193">
        <f>VLOOKUP(A289,'11 - FINANCEIRA'!A:M,10,0)</f>
        <v>0</v>
      </c>
      <c r="E289" s="194" t="str">
        <f>VLOOKUP(A289,'11 - FINANCEIRA'!A:M,4,0)</f>
        <v>m</v>
      </c>
      <c r="G289" s="1298" t="str">
        <f>IF(D289&gt;0,"POSITIVO",IF(D289=0,"NULO",IF(D289&lt;0,"NEGATIVO")))</f>
        <v>NULO</v>
      </c>
      <c r="H289" s="1298">
        <f>IF(G289="NULO",0,1)</f>
        <v>0</v>
      </c>
    </row>
    <row r="290" spans="1:8" ht="26.4" hidden="1">
      <c r="A290" s="205" t="s">
        <v>613</v>
      </c>
      <c r="B290" s="224" t="str">
        <f>VLOOKUP(A290,'11 - FINANCEIRA'!A:M,2,0)</f>
        <v>CP-9988-CP-95632003815</v>
      </c>
      <c r="C290" s="179" t="str">
        <f>VLOOKUP(A290,'11 - FINANCEIRA'!A:M,3,0)</f>
        <v>Canaleta de concreto - seção de 110 x 50 cm - espessura de 10 cm</v>
      </c>
      <c r="D290" s="193">
        <f>VLOOKUP(A290,'11 - FINANCEIRA'!A:M,10,0)</f>
        <v>0</v>
      </c>
      <c r="E290" s="194" t="str">
        <f>VLOOKUP(A290,'11 - FINANCEIRA'!A:M,4,0)</f>
        <v>m</v>
      </c>
      <c r="G290" s="1298" t="str">
        <f t="shared" si="12"/>
        <v>NULO</v>
      </c>
      <c r="H290" s="1298">
        <f t="shared" si="13"/>
        <v>0</v>
      </c>
    </row>
    <row r="291" spans="1:8" hidden="1">
      <c r="A291" s="205" t="s">
        <v>614</v>
      </c>
      <c r="B291" s="200" t="str">
        <f>VLOOKUP(A291,'11 - FINANCEIRA'!A:M,1,0)</f>
        <v>2.5.2.5</v>
      </c>
      <c r="C291" s="184" t="str">
        <f>VLOOKUP(A291,'11 - FINANCEIRA'!A:M,2,0)</f>
        <v>Equipamentos para Iluminação</v>
      </c>
      <c r="D291" s="185"/>
      <c r="E291" s="200"/>
      <c r="F291" s="220"/>
      <c r="G291" s="1300"/>
      <c r="H291" s="1300">
        <f>SUM(H292:H303)</f>
        <v>0</v>
      </c>
    </row>
    <row r="292" spans="1:8" ht="39.6" hidden="1">
      <c r="A292" s="205" t="s">
        <v>615</v>
      </c>
      <c r="B292" s="224" t="str">
        <f>VLOOKUP(A292,'11 - FINANCEIRA'!A:M,2,0)</f>
        <v>CP-8827-100623</v>
      </c>
      <c r="C292" s="179" t="str">
        <f>VLOOKUP(A292,'11 - FINANCEIRA'!A:M,3,0)</f>
        <v>Poste telecônico reto, em aço galvanizado, com flange / flangeado na base, com chumbadores e demais peças para fixação, pintura branca eletrostática a quente em poliéster, 7000 mm. ref: induspar ou similar</v>
      </c>
      <c r="D292" s="193">
        <f>VLOOKUP(A292,'11 - FINANCEIRA'!A:M,10,0)</f>
        <v>0</v>
      </c>
      <c r="E292" s="194" t="str">
        <f>VLOOKUP(A292,'11 - FINANCEIRA'!A:M,4,0)</f>
        <v>und</v>
      </c>
      <c r="G292" s="1298" t="str">
        <f t="shared" si="12"/>
        <v>NULO</v>
      </c>
      <c r="H292" s="1298">
        <f t="shared" si="13"/>
        <v>0</v>
      </c>
    </row>
    <row r="293" spans="1:8" ht="26.4" hidden="1">
      <c r="A293" s="205" t="s">
        <v>616</v>
      </c>
      <c r="B293" s="224" t="str">
        <f>VLOOKUP(A293,'11 - FINANCEIRA'!A:M,2,0)</f>
        <v>CP-2335-C4810</v>
      </c>
      <c r="C293" s="179" t="str">
        <f>VLOOKUP(A293,'11 - FINANCEIRA'!A:M,3,0)</f>
        <v>Refletor em led ip 66, 150w, 20.000 lúmens</v>
      </c>
      <c r="D293" s="193">
        <f>VLOOKUP(A293,'11 - FINANCEIRA'!A:M,10,0)</f>
        <v>0</v>
      </c>
      <c r="E293" s="194" t="str">
        <f>VLOOKUP(A293,'11 - FINANCEIRA'!A:M,4,0)</f>
        <v>und</v>
      </c>
      <c r="G293" s="1298" t="str">
        <f t="shared" si="12"/>
        <v>NULO</v>
      </c>
      <c r="H293" s="1298">
        <f t="shared" si="13"/>
        <v>0</v>
      </c>
    </row>
    <row r="294" spans="1:8" s="202" customFormat="1" ht="26.4" hidden="1">
      <c r="A294" s="210" t="s">
        <v>617</v>
      </c>
      <c r="B294" s="224" t="str">
        <f>VLOOKUP(A294,'11 - FINANCEIRA'!A:M,2,0)</f>
        <v>CP-2871-ED-49144</v>
      </c>
      <c r="C294" s="179" t="str">
        <f>VLOOKUP(A294,'11 - FINANCEIRA'!A:M,3,0)</f>
        <v xml:space="preserve">Cruzeta para fixação de 3 projetores, 1400mm, com fixadores, parafusos e demais conexões para poste telecônico </v>
      </c>
      <c r="D294" s="193">
        <f>VLOOKUP(A294,'11 - FINANCEIRA'!A:M,10,0)</f>
        <v>0</v>
      </c>
      <c r="E294" s="194" t="str">
        <f>VLOOKUP(A294,'11 - FINANCEIRA'!A:M,4,0)</f>
        <v>und</v>
      </c>
      <c r="F294" s="217"/>
      <c r="G294" s="1298" t="str">
        <f>IF(D294&gt;0,"POSITIVO",IF(D294=0,"NULO",IF(D294&lt;0,"NEGATIVO")))</f>
        <v>NULO</v>
      </c>
      <c r="H294" s="1298">
        <f>IF(G294="NULO",0,1)</f>
        <v>0</v>
      </c>
    </row>
    <row r="295" spans="1:8" ht="39.6" hidden="1">
      <c r="A295" s="205" t="s">
        <v>618</v>
      </c>
      <c r="B295" s="224" t="str">
        <f>VLOOKUP(A295,'11 - FINANCEIRA'!A:M,2,0)</f>
        <v>CP-9513-CP-4254100623</v>
      </c>
      <c r="C295" s="179" t="str">
        <f>VLOOKUP(A295,'11 - FINANCEIRA'!A:M,3,0)</f>
        <v>Poste telecônico reto, em aço galvanizado, com flange / flangeado na base, com chumbadores e demais peças para fixação, pintura branca eletrostática a quente em poliéster, 6000 mm. ref: induspar ou similar</v>
      </c>
      <c r="D295" s="193">
        <f>VLOOKUP(A295,'11 - FINANCEIRA'!A:M,10,0)</f>
        <v>0</v>
      </c>
      <c r="E295" s="194" t="str">
        <f>VLOOKUP(A295,'11 - FINANCEIRA'!A:M,4,0)</f>
        <v>und</v>
      </c>
      <c r="G295" s="1298" t="str">
        <f t="shared" ref="G295:G358" si="14">IF(D295&gt;0,"POSITIVO",IF(D295=0,"NULO",IF(D295&lt;0,"NEGATIVO")))</f>
        <v>NULO</v>
      </c>
      <c r="H295" s="1298">
        <f t="shared" ref="H295:H358" si="15">IF(G295="NULO",0,1)</f>
        <v>0</v>
      </c>
    </row>
    <row r="296" spans="1:8" ht="39.6" hidden="1">
      <c r="A296" s="205" t="s">
        <v>619</v>
      </c>
      <c r="B296" s="224" t="str">
        <f>VLOOKUP(A296,'11 - FINANCEIRA'!A:M,2,0)</f>
        <v>CP-8232-100623</v>
      </c>
      <c r="C296" s="179" t="str">
        <f>VLOOKUP(A296,'11 - FINANCEIRA'!A:M,3,0)</f>
        <v>Poste telecônico reto, em aço galvanizado, com flange / flangeado na base, com chumbadores e demais peças para fixação, pintura eletrostática a quente em poliéster, 2500 mm. com 01 luminária no formato pétala, led 23w-220v, ip65.</v>
      </c>
      <c r="D296" s="193">
        <f>VLOOKUP(A296,'11 - FINANCEIRA'!A:M,10,0)</f>
        <v>0</v>
      </c>
      <c r="E296" s="194" t="str">
        <f>VLOOKUP(A296,'11 - FINANCEIRA'!A:M,4,0)</f>
        <v>und</v>
      </c>
      <c r="G296" s="1298" t="str">
        <f t="shared" si="14"/>
        <v>NULO</v>
      </c>
      <c r="H296" s="1298">
        <f t="shared" si="15"/>
        <v>0</v>
      </c>
    </row>
    <row r="297" spans="1:8" ht="26.4" hidden="1">
      <c r="A297" s="205" t="s">
        <v>620</v>
      </c>
      <c r="B297" s="224" t="str">
        <f>VLOOKUP(A297,'11 - FINANCEIRA'!A:M,2,0)</f>
        <v>CP-1660-C4371</v>
      </c>
      <c r="C297" s="179" t="str">
        <f>VLOOKUP(A297,'11 - FINANCEIRA'!A:M,3,0)</f>
        <v xml:space="preserve">Arandela blindada, uso externo, 45°, ip 65, soquete e27 </v>
      </c>
      <c r="D297" s="193">
        <f>VLOOKUP(A297,'11 - FINANCEIRA'!A:M,10,0)</f>
        <v>0</v>
      </c>
      <c r="E297" s="194" t="str">
        <f>VLOOKUP(A297,'11 - FINANCEIRA'!A:M,4,0)</f>
        <v>und</v>
      </c>
      <c r="G297" s="1298" t="str">
        <f t="shared" si="14"/>
        <v>NULO</v>
      </c>
      <c r="H297" s="1298">
        <f t="shared" si="15"/>
        <v>0</v>
      </c>
    </row>
    <row r="298" spans="1:8" ht="26.4" hidden="1">
      <c r="A298" s="205" t="s">
        <v>621</v>
      </c>
      <c r="B298" s="224" t="str">
        <f>VLOOKUP(A298,'11 - FINANCEIRA'!A:M,2,0)</f>
        <v>CP-7330-ED-13344</v>
      </c>
      <c r="C298" s="179" t="str">
        <f>VLOOKUP(A298,'11 - FINANCEIRA'!A:M,3,0)</f>
        <v>Lampada led 23 w, 3000 lumens, e27</v>
      </c>
      <c r="D298" s="193">
        <f>VLOOKUP(A298,'11 - FINANCEIRA'!A:M,10,0)</f>
        <v>0</v>
      </c>
      <c r="E298" s="194" t="str">
        <f>VLOOKUP(A298,'11 - FINANCEIRA'!A:M,4,0)</f>
        <v>und</v>
      </c>
      <c r="G298" s="1298" t="str">
        <f t="shared" si="14"/>
        <v>NULO</v>
      </c>
      <c r="H298" s="1298">
        <f t="shared" si="15"/>
        <v>0</v>
      </c>
    </row>
    <row r="299" spans="1:8" hidden="1">
      <c r="A299" s="205" t="s">
        <v>622</v>
      </c>
      <c r="B299" s="224" t="str">
        <f>VLOOKUP(A299,'11 - FINANCEIRA'!A:M,2,0)</f>
        <v>97610</v>
      </c>
      <c r="C299" s="179" t="str">
        <f>VLOOKUP(A299,'11 - FINANCEIRA'!A:M,3,0)</f>
        <v>Lâmpada compacta de led 10 w, base e27 - fornecimento e instalação. af_02/2020</v>
      </c>
      <c r="D299" s="193">
        <f>VLOOKUP(A299,'11 - FINANCEIRA'!A:M,10,0)</f>
        <v>0</v>
      </c>
      <c r="E299" s="194" t="str">
        <f>VLOOKUP(A299,'11 - FINANCEIRA'!A:M,4,0)</f>
        <v>und</v>
      </c>
      <c r="G299" s="1298" t="str">
        <f t="shared" si="14"/>
        <v>NULO</v>
      </c>
      <c r="H299" s="1298">
        <f t="shared" si="15"/>
        <v>0</v>
      </c>
    </row>
    <row r="300" spans="1:8" ht="26.4" hidden="1">
      <c r="A300" s="205" t="s">
        <v>623</v>
      </c>
      <c r="B300" s="224" t="str">
        <f>VLOOKUP(A300,'11 - FINANCEIRA'!A:M,2,0)</f>
        <v>CP-9898-97587</v>
      </c>
      <c r="C300" s="179" t="str">
        <f>VLOOKUP(A300,'11 - FINANCEIRA'!A:M,3,0)</f>
        <v>Luminária de embutir p/ até 2 lampadas led e27, 12w</v>
      </c>
      <c r="D300" s="193">
        <f>VLOOKUP(A300,'11 - FINANCEIRA'!A:M,10,0)</f>
        <v>0</v>
      </c>
      <c r="E300" s="194" t="str">
        <f>VLOOKUP(A300,'11 - FINANCEIRA'!A:M,4,0)</f>
        <v>und</v>
      </c>
      <c r="G300" s="1298" t="str">
        <f t="shared" si="14"/>
        <v>NULO</v>
      </c>
      <c r="H300" s="1298">
        <f t="shared" si="15"/>
        <v>0</v>
      </c>
    </row>
    <row r="301" spans="1:8" ht="26.4" hidden="1">
      <c r="A301" s="205" t="s">
        <v>624</v>
      </c>
      <c r="B301" s="224" t="str">
        <f>VLOOKUP(A301,'11 - FINANCEIRA'!A:M,2,0)</f>
        <v>91996</v>
      </c>
      <c r="C301" s="179" t="str">
        <f>VLOOKUP(A301,'11 - FINANCEIRA'!A:M,3,0)</f>
        <v>Tomada média de embutir (1 módulo), 2p+t 10 a, incluindo suporte e placa - fornecimento e instalação. af_12/2015</v>
      </c>
      <c r="D301" s="193">
        <f>VLOOKUP(A301,'11 - FINANCEIRA'!A:M,10,0)</f>
        <v>0</v>
      </c>
      <c r="E301" s="194" t="str">
        <f>VLOOKUP(A301,'11 - FINANCEIRA'!A:M,4,0)</f>
        <v>und</v>
      </c>
      <c r="G301" s="1298" t="str">
        <f t="shared" si="14"/>
        <v>NULO</v>
      </c>
      <c r="H301" s="1298">
        <f t="shared" si="15"/>
        <v>0</v>
      </c>
    </row>
    <row r="302" spans="1:8" ht="26.4" hidden="1">
      <c r="A302" s="205" t="s">
        <v>625</v>
      </c>
      <c r="B302" s="224" t="str">
        <f>VLOOKUP(A302,'11 - FINANCEIRA'!A:M,2,0)</f>
        <v>91997</v>
      </c>
      <c r="C302" s="179" t="str">
        <f>VLOOKUP(A302,'11 - FINANCEIRA'!A:M,3,0)</f>
        <v>Tomada média de embutir (1 módulo), 2p+t 20 a, incluindo suporte e placa - fornecimento e instalação. af_12/2015</v>
      </c>
      <c r="D302" s="193">
        <f>VLOOKUP(A302,'11 - FINANCEIRA'!A:M,10,0)</f>
        <v>0</v>
      </c>
      <c r="E302" s="194" t="str">
        <f>VLOOKUP(A302,'11 - FINANCEIRA'!A:M,4,0)</f>
        <v>und</v>
      </c>
      <c r="G302" s="1298" t="str">
        <f t="shared" si="14"/>
        <v>NULO</v>
      </c>
      <c r="H302" s="1298">
        <f t="shared" si="15"/>
        <v>0</v>
      </c>
    </row>
    <row r="303" spans="1:8" ht="26.4" hidden="1">
      <c r="A303" s="205" t="s">
        <v>626</v>
      </c>
      <c r="B303" s="224" t="str">
        <f>VLOOKUP(A303,'11 - FINANCEIRA'!A:M,2,0)</f>
        <v>CP-8398-S00615</v>
      </c>
      <c r="C303" s="179" t="str">
        <f>VLOOKUP(A303,'11 - FINANCEIRA'!A:M,3,0)</f>
        <v>Luminária tipo pétala em led 250 w e braço curvo com sapata para fixação de luminária pública. 2000mm.</v>
      </c>
      <c r="D303" s="193">
        <f>VLOOKUP(A303,'11 - FINANCEIRA'!A:M,10,0)</f>
        <v>0</v>
      </c>
      <c r="E303" s="194" t="str">
        <f>VLOOKUP(A303,'11 - FINANCEIRA'!A:M,4,0)</f>
        <v>und</v>
      </c>
      <c r="G303" s="1298" t="str">
        <f t="shared" si="14"/>
        <v>NULO</v>
      </c>
      <c r="H303" s="1298">
        <f t="shared" si="15"/>
        <v>0</v>
      </c>
    </row>
    <row r="304" spans="1:8" hidden="1">
      <c r="A304" s="205" t="s">
        <v>627</v>
      </c>
      <c r="B304" s="200" t="str">
        <f>VLOOKUP(A304,'11 - FINANCEIRA'!A:M,1,0)</f>
        <v>2.5.2.6</v>
      </c>
      <c r="C304" s="184" t="str">
        <f>VLOOKUP(A304,'11 - FINANCEIRA'!A:M,2,0)</f>
        <v>Caixas de Passagem</v>
      </c>
      <c r="D304" s="185"/>
      <c r="E304" s="200"/>
      <c r="F304" s="220"/>
      <c r="G304" s="1300"/>
      <c r="H304" s="1300">
        <f>SUM(H305:H311)</f>
        <v>0</v>
      </c>
    </row>
    <row r="305" spans="1:8" hidden="1">
      <c r="A305" s="205" t="s">
        <v>628</v>
      </c>
      <c r="B305" s="224" t="str">
        <f>VLOOKUP(A305,'11 - FINANCEIRA'!A:M,2,0)</f>
        <v>S150634</v>
      </c>
      <c r="C305" s="179" t="str">
        <f>VLOOKUP(A305,'11 - FINANCEIRA'!A:M,3,0)</f>
        <v>Caixa de passagem 300x300x120mm, chapa 18, com tampa parafusada</v>
      </c>
      <c r="D305" s="193">
        <f>VLOOKUP(A305,'11 - FINANCEIRA'!A:M,10,0)</f>
        <v>0</v>
      </c>
      <c r="E305" s="194" t="str">
        <f>VLOOKUP(A305,'11 - FINANCEIRA'!A:M,4,0)</f>
        <v>und</v>
      </c>
      <c r="G305" s="1298" t="str">
        <f t="shared" si="14"/>
        <v>NULO</v>
      </c>
      <c r="H305" s="1298">
        <f t="shared" si="15"/>
        <v>0</v>
      </c>
    </row>
    <row r="306" spans="1:8" ht="39.6" hidden="1">
      <c r="A306" s="205" t="s">
        <v>629</v>
      </c>
      <c r="B306" s="224" t="str">
        <f>VLOOKUP(A306,'11 - FINANCEIRA'!A:M,2,0)</f>
        <v>S150614</v>
      </c>
      <c r="C306" s="179" t="str">
        <f>VLOOKUP(A306,'11 - FINANCEIRA'!A:M,3,0)</f>
        <v>Caixa de passagem de alvenaria de blocos de concreto 9x19x39cm, dimensões de 30x30x50cm, com revestimento interno em chapisco e reboco, tampa de concreto esp.5cm e lastro de brita 5 cm</v>
      </c>
      <c r="D306" s="193">
        <f>VLOOKUP(A306,'11 - FINANCEIRA'!A:M,10,0)</f>
        <v>0</v>
      </c>
      <c r="E306" s="194" t="str">
        <f>VLOOKUP(A306,'11 - FINANCEIRA'!A:M,4,0)</f>
        <v>und</v>
      </c>
      <c r="G306" s="1298" t="str">
        <f t="shared" si="14"/>
        <v>NULO</v>
      </c>
      <c r="H306" s="1298">
        <f t="shared" si="15"/>
        <v>0</v>
      </c>
    </row>
    <row r="307" spans="1:8" ht="39.6" hidden="1">
      <c r="A307" s="205" t="s">
        <v>630</v>
      </c>
      <c r="B307" s="224" t="str">
        <f>VLOOKUP(A307,'11 - FINANCEIRA'!A:M,2,0)</f>
        <v>S151002</v>
      </c>
      <c r="C307" s="179" t="str">
        <f>VLOOKUP(A307,'11 - FINANCEIRA'!A:M,3,0)</f>
        <v>Caixa de passagem de alvenaria de blocos cerâmicos 10 furos 10x20x20cm dimensões de 50x50x50cm, com revestimento interno em chapisco e reboco, tampa de concreto esp.5cm e lastro de brita 5 cm</v>
      </c>
      <c r="D307" s="193">
        <f>VLOOKUP(A307,'11 - FINANCEIRA'!A:M,10,0)</f>
        <v>0</v>
      </c>
      <c r="E307" s="194" t="str">
        <f>VLOOKUP(A307,'11 - FINANCEIRA'!A:M,4,0)</f>
        <v>und</v>
      </c>
      <c r="G307" s="1298" t="str">
        <f t="shared" si="14"/>
        <v>NULO</v>
      </c>
      <c r="H307" s="1298">
        <f t="shared" si="15"/>
        <v>0</v>
      </c>
    </row>
    <row r="308" spans="1:8" ht="39.6" hidden="1">
      <c r="A308" s="205" t="s">
        <v>631</v>
      </c>
      <c r="B308" s="224" t="str">
        <f>VLOOKUP(A308,'11 - FINANCEIRA'!A:M,2,0)</f>
        <v>S151016</v>
      </c>
      <c r="C308" s="179" t="str">
        <f>VLOOKUP(A308,'11 - FINANCEIRA'!A:M,3,0)</f>
        <v>Caixa de passagem de alvenaria de blocos de concreto 9x19x39cm, dimensões de 80x80x80m, com revestimento interno em chapisco e reboco tampa de concreto esp. 5cm e lastro de brita 5cm</v>
      </c>
      <c r="D308" s="193">
        <f>VLOOKUP(A308,'11 - FINANCEIRA'!A:M,10,0)</f>
        <v>0</v>
      </c>
      <c r="E308" s="194" t="str">
        <f>VLOOKUP(A308,'11 - FINANCEIRA'!A:M,4,0)</f>
        <v>und</v>
      </c>
      <c r="G308" s="1298" t="str">
        <f t="shared" si="14"/>
        <v>NULO</v>
      </c>
      <c r="H308" s="1298">
        <f t="shared" si="15"/>
        <v>0</v>
      </c>
    </row>
    <row r="309" spans="1:8" hidden="1">
      <c r="A309" s="205" t="s">
        <v>632</v>
      </c>
      <c r="B309" s="224" t="str">
        <f>VLOOKUP(A309,'11 - FINANCEIRA'!A:M,2,0)</f>
        <v>S150628</v>
      </c>
      <c r="C309" s="179" t="str">
        <f>VLOOKUP(A309,'11 - FINANCEIRA'!A:M,3,0)</f>
        <v>Caixa de embutir marca de referência tigreflex, 4x2"</v>
      </c>
      <c r="D309" s="193">
        <f>VLOOKUP(A309,'11 - FINANCEIRA'!A:M,10,0)</f>
        <v>0</v>
      </c>
      <c r="E309" s="194" t="str">
        <f>VLOOKUP(A309,'11 - FINANCEIRA'!A:M,4,0)</f>
        <v>und</v>
      </c>
      <c r="G309" s="1298" t="str">
        <f t="shared" si="14"/>
        <v>NULO</v>
      </c>
      <c r="H309" s="1298">
        <f t="shared" si="15"/>
        <v>0</v>
      </c>
    </row>
    <row r="310" spans="1:8" hidden="1">
      <c r="A310" s="205" t="s">
        <v>633</v>
      </c>
      <c r="B310" s="224" t="str">
        <f>VLOOKUP(A310,'11 - FINANCEIRA'!A:M,2,0)</f>
        <v>S180217</v>
      </c>
      <c r="C310" s="179" t="str">
        <f>VLOOKUP(A310,'11 - FINANCEIRA'!A:M,3,0)</f>
        <v>Espelho para caixa estampada 4 x 2"</v>
      </c>
      <c r="D310" s="193">
        <f>VLOOKUP(A310,'11 - FINANCEIRA'!A:M,10,0)</f>
        <v>0</v>
      </c>
      <c r="E310" s="194" t="str">
        <f>VLOOKUP(A310,'11 - FINANCEIRA'!A:M,4,0)</f>
        <v>und</v>
      </c>
      <c r="G310" s="1298" t="str">
        <f t="shared" si="14"/>
        <v>NULO</v>
      </c>
      <c r="H310" s="1298">
        <f t="shared" si="15"/>
        <v>0</v>
      </c>
    </row>
    <row r="311" spans="1:8" hidden="1">
      <c r="A311" s="205" t="s">
        <v>634</v>
      </c>
      <c r="B311" s="224" t="str">
        <f>VLOOKUP(A311,'11 - FINANCEIRA'!A:M,2,0)</f>
        <v>91936</v>
      </c>
      <c r="C311" s="179" t="str">
        <f>VLOOKUP(A311,'11 - FINANCEIRA'!A:M,3,0)</f>
        <v>Caixa octogonal 4" x 4", pvc, instalada em laje - fornecimento e instalação. af_12/2015</v>
      </c>
      <c r="D311" s="193">
        <f>VLOOKUP(A311,'11 - FINANCEIRA'!A:M,10,0)</f>
        <v>0</v>
      </c>
      <c r="E311" s="194" t="str">
        <f>VLOOKUP(A311,'11 - FINANCEIRA'!A:M,4,0)</f>
        <v>und</v>
      </c>
      <c r="G311" s="1298" t="str">
        <f t="shared" si="14"/>
        <v>NULO</v>
      </c>
      <c r="H311" s="1298">
        <f t="shared" si="15"/>
        <v>0</v>
      </c>
    </row>
    <row r="312" spans="1:8" hidden="1">
      <c r="A312" s="205" t="s">
        <v>635</v>
      </c>
      <c r="B312" s="200" t="str">
        <f>VLOOKUP(A312,'11 - FINANCEIRA'!A:M,1,0)</f>
        <v>2.5.2.7</v>
      </c>
      <c r="C312" s="184" t="str">
        <f>VLOOKUP(A312,'11 - FINANCEIRA'!A:M,2,0)</f>
        <v>Quadros, dispositivos de proteção e seccionamento</v>
      </c>
      <c r="D312" s="185"/>
      <c r="E312" s="200"/>
      <c r="F312" s="220"/>
      <c r="G312" s="1300"/>
      <c r="H312" s="1300">
        <f>SUM(H313:H323)</f>
        <v>0</v>
      </c>
    </row>
    <row r="313" spans="1:8" hidden="1">
      <c r="A313" s="205" t="s">
        <v>636</v>
      </c>
      <c r="B313" s="224" t="str">
        <f>VLOOKUP(A313,'11 - FINANCEIRA'!A:M,2,0)</f>
        <v>93653</v>
      </c>
      <c r="C313" s="179" t="str">
        <f>VLOOKUP(A313,'11 - FINANCEIRA'!A:M,3,0)</f>
        <v>Disjuntor monopolar tipo din, corrente nominal de 10a - fornecimento e instalação. af_04/2016</v>
      </c>
      <c r="D313" s="193">
        <f>VLOOKUP(A313,'11 - FINANCEIRA'!A:M,10,0)</f>
        <v>0</v>
      </c>
      <c r="E313" s="194" t="str">
        <f>VLOOKUP(A313,'11 - FINANCEIRA'!A:M,4,0)</f>
        <v>und</v>
      </c>
      <c r="G313" s="1298" t="str">
        <f>IF(D313&gt;0,"POSITIVO",IF(D313=0,"NULO",IF(D313&lt;0,"NEGATIVO")))</f>
        <v>NULO</v>
      </c>
      <c r="H313" s="1298">
        <f>IF(G313="NULO",0,1)</f>
        <v>0</v>
      </c>
    </row>
    <row r="314" spans="1:8" hidden="1">
      <c r="A314" s="205" t="s">
        <v>637</v>
      </c>
      <c r="B314" s="224" t="str">
        <f>VLOOKUP(A314,'11 - FINANCEIRA'!A:M,2,0)</f>
        <v>93654</v>
      </c>
      <c r="C314" s="179" t="str">
        <f>VLOOKUP(A314,'11 - FINANCEIRA'!A:M,3,0)</f>
        <v>Disjuntor monopolar tipo din, corrente nominal de 16a - fornecimento e instalação. af_04/2016</v>
      </c>
      <c r="D314" s="193">
        <f>VLOOKUP(A314,'11 - FINANCEIRA'!A:M,10,0)</f>
        <v>0</v>
      </c>
      <c r="E314" s="194" t="str">
        <f>VLOOKUP(A314,'11 - FINANCEIRA'!A:M,4,0)</f>
        <v>und</v>
      </c>
      <c r="G314" s="1298" t="str">
        <f t="shared" si="14"/>
        <v>NULO</v>
      </c>
      <c r="H314" s="1298">
        <f t="shared" si="15"/>
        <v>0</v>
      </c>
    </row>
    <row r="315" spans="1:8" hidden="1">
      <c r="A315" s="205" t="s">
        <v>638</v>
      </c>
      <c r="B315" s="224" t="str">
        <f>VLOOKUP(A315,'11 - FINANCEIRA'!A:M,2,0)</f>
        <v>93657</v>
      </c>
      <c r="C315" s="179" t="str">
        <f>VLOOKUP(A315,'11 - FINANCEIRA'!A:M,3,0)</f>
        <v>Disjuntor monopolar tipo din, corrente nominal de 32a - fornecimento e instalação. af_04/2016</v>
      </c>
      <c r="D315" s="193">
        <f>VLOOKUP(A315,'11 - FINANCEIRA'!A:M,10,0)</f>
        <v>0</v>
      </c>
      <c r="E315" s="194" t="str">
        <f>VLOOKUP(A315,'11 - FINANCEIRA'!A:M,4,0)</f>
        <v>und</v>
      </c>
      <c r="G315" s="1298" t="str">
        <f t="shared" si="14"/>
        <v>NULO</v>
      </c>
      <c r="H315" s="1298">
        <f t="shared" si="15"/>
        <v>0</v>
      </c>
    </row>
    <row r="316" spans="1:8" ht="26.4" hidden="1">
      <c r="A316" s="205" t="s">
        <v>639</v>
      </c>
      <c r="B316" s="224" t="str">
        <f>VLOOKUP(A316,'11 - FINANCEIRA'!A:M,2,0)</f>
        <v>CP-2681-C4530</v>
      </c>
      <c r="C316" s="179" t="str">
        <f>VLOOKUP(A316,'11 - FINANCEIRA'!A:M,3,0)</f>
        <v xml:space="preserve">Disjuntor dr tetrapolar din 40a, 30ma </v>
      </c>
      <c r="D316" s="193">
        <f>VLOOKUP(A316,'11 - FINANCEIRA'!A:M,10,0)</f>
        <v>0</v>
      </c>
      <c r="E316" s="194" t="str">
        <f>VLOOKUP(A316,'11 - FINANCEIRA'!A:M,4,0)</f>
        <v>und</v>
      </c>
      <c r="G316" s="1298" t="str">
        <f t="shared" si="14"/>
        <v>NULO</v>
      </c>
      <c r="H316" s="1298">
        <f t="shared" si="15"/>
        <v>0</v>
      </c>
    </row>
    <row r="317" spans="1:8" ht="26.4" hidden="1">
      <c r="A317" s="205" t="s">
        <v>640</v>
      </c>
      <c r="B317" s="224" t="str">
        <f>VLOOKUP(A317,'11 - FINANCEIRA'!A:M,2,0)</f>
        <v>S151337</v>
      </c>
      <c r="C317" s="179" t="str">
        <f>VLOOKUP(A317,'11 - FINANCEIRA'!A:M,3,0)</f>
        <v>Dispositivo de proteção contra surto (dps) bipolar, tensão nominal máxima 275vca, corente de surto máxima 40ka.</v>
      </c>
      <c r="D317" s="193">
        <f>VLOOKUP(A317,'11 - FINANCEIRA'!A:M,10,0)</f>
        <v>0</v>
      </c>
      <c r="E317" s="194" t="str">
        <f>VLOOKUP(A317,'11 - FINANCEIRA'!A:M,4,0)</f>
        <v>und</v>
      </c>
      <c r="G317" s="1298" t="str">
        <f t="shared" si="14"/>
        <v>NULO</v>
      </c>
      <c r="H317" s="1298">
        <f t="shared" si="15"/>
        <v>0</v>
      </c>
    </row>
    <row r="318" spans="1:8" ht="39.6" hidden="1">
      <c r="A318" s="205" t="s">
        <v>641</v>
      </c>
      <c r="B318" s="224" t="str">
        <f>VLOOKUP(A318,'11 - FINANCEIRA'!A:M,2,0)</f>
        <v>74131/004</v>
      </c>
      <c r="C318" s="179" t="str">
        <f>VLOOKUP(A318,'11 - FINANCEIRA'!A:M,3,0)</f>
        <v>Quadro de distribuição elétrica, de embutir, padrão din para até 18 disjuntores, com barramento de cobre trifásico 100a (barras isoladas com revestimento termocontrátil), espelho para proteção,  ip 54.</v>
      </c>
      <c r="D318" s="193">
        <f>VLOOKUP(A318,'11 - FINANCEIRA'!A:M,10,0)</f>
        <v>0</v>
      </c>
      <c r="E318" s="194" t="str">
        <f>VLOOKUP(A318,'11 - FINANCEIRA'!A:M,4,0)</f>
        <v>und</v>
      </c>
      <c r="G318" s="1298" t="str">
        <f t="shared" si="14"/>
        <v>NULO</v>
      </c>
      <c r="H318" s="1298">
        <f t="shared" si="15"/>
        <v>0</v>
      </c>
    </row>
    <row r="319" spans="1:8" ht="26.4" hidden="1">
      <c r="A319" s="205" t="s">
        <v>642</v>
      </c>
      <c r="B319" s="224" t="str">
        <f>VLOOKUP(A319,'11 - FINANCEIRA'!A:M,2,0)</f>
        <v>91953</v>
      </c>
      <c r="C319" s="179" t="str">
        <f>VLOOKUP(A319,'11 - FINANCEIRA'!A:M,3,0)</f>
        <v>Interruptor simples (1 módulo), 10a/250v, incluindo suporte e placa - fornecimento e instalação. af_12/2015</v>
      </c>
      <c r="D319" s="193">
        <f>VLOOKUP(A319,'11 - FINANCEIRA'!A:M,10,0)</f>
        <v>0</v>
      </c>
      <c r="E319" s="194" t="str">
        <f>VLOOKUP(A319,'11 - FINANCEIRA'!A:M,4,0)</f>
        <v>und</v>
      </c>
      <c r="G319" s="1298" t="str">
        <f t="shared" si="14"/>
        <v>NULO</v>
      </c>
      <c r="H319" s="1298">
        <f t="shared" si="15"/>
        <v>0</v>
      </c>
    </row>
    <row r="320" spans="1:8" ht="25.5" hidden="1" customHeight="1">
      <c r="A320" s="205" t="s">
        <v>643</v>
      </c>
      <c r="B320" s="224" t="str">
        <f>VLOOKUP(A320,'11 - FINANCEIRA'!A:M,2,0)</f>
        <v>91959</v>
      </c>
      <c r="C320" s="179" t="str">
        <f>VLOOKUP(A320,'11 - FINANCEIRA'!A:M,3,0)</f>
        <v>Interruptor simples (2 módulos), 10a/250v, incluindo suporte e placa - fornecimento e instalação. af_12/2015</v>
      </c>
      <c r="D320" s="193">
        <f>VLOOKUP(A320,'11 - FINANCEIRA'!A:M,10,0)</f>
        <v>0</v>
      </c>
      <c r="E320" s="194" t="str">
        <f>VLOOKUP(A320,'11 - FINANCEIRA'!A:M,4,0)</f>
        <v>und</v>
      </c>
      <c r="G320" s="1298" t="str">
        <f t="shared" si="14"/>
        <v>NULO</v>
      </c>
      <c r="H320" s="1298">
        <f t="shared" si="15"/>
        <v>0</v>
      </c>
    </row>
    <row r="321" spans="1:8" ht="25.5" hidden="1" customHeight="1">
      <c r="A321" s="205" t="s">
        <v>644</v>
      </c>
      <c r="B321" s="224" t="str">
        <f>VLOOKUP(A321,'11 - FINANCEIRA'!A:M,2,0)</f>
        <v>91967</v>
      </c>
      <c r="C321" s="179" t="str">
        <f>VLOOKUP(A321,'11 - FINANCEIRA'!A:M,3,0)</f>
        <v>Interruptor simples (3 módulos), 10a/250v, incluindo suporte e placa - fornecimento e instalação. af_12/2015</v>
      </c>
      <c r="D321" s="193">
        <f>VLOOKUP(A321,'11 - FINANCEIRA'!A:M,10,0)</f>
        <v>0</v>
      </c>
      <c r="E321" s="194" t="str">
        <f>VLOOKUP(A321,'11 - FINANCEIRA'!A:M,4,0)</f>
        <v>und</v>
      </c>
      <c r="G321" s="1298" t="str">
        <f>IF(D321&gt;0,"POSITIVO",IF(D321=0,"NULO",IF(D321&lt;0,"NEGATIVO")))</f>
        <v>NULO</v>
      </c>
      <c r="H321" s="1298">
        <f>IF(G321="NULO",0,1)</f>
        <v>0</v>
      </c>
    </row>
    <row r="322" spans="1:8" hidden="1">
      <c r="A322" s="205" t="s">
        <v>645</v>
      </c>
      <c r="B322" s="224" t="str">
        <f>VLOOKUP(A322,'11 - FINANCEIRA'!A:M,2,0)</f>
        <v>S151336</v>
      </c>
      <c r="C322" s="179" t="str">
        <f>VLOOKUP(A322,'11 - FINANCEIRA'!A:M,3,0)</f>
        <v>Disjuntor DR bipolar 16a a 25a, corrente nominal 30 ma</v>
      </c>
      <c r="D322" s="193">
        <f>VLOOKUP(A322,'11 - FINANCEIRA'!A:M,10,0)</f>
        <v>0</v>
      </c>
      <c r="E322" s="194" t="str">
        <f>VLOOKUP(A322,'11 - FINANCEIRA'!A:M,4,0)</f>
        <v>und</v>
      </c>
      <c r="G322" s="1298" t="str">
        <f t="shared" si="14"/>
        <v>NULO</v>
      </c>
      <c r="H322" s="1298">
        <f t="shared" si="15"/>
        <v>0</v>
      </c>
    </row>
    <row r="323" spans="1:8" ht="26.4" hidden="1">
      <c r="A323" s="205" t="s">
        <v>646</v>
      </c>
      <c r="B323" s="224" t="str">
        <f>VLOOKUP(A323,'11 - FINANCEIRA'!A:M,2,0)</f>
        <v>00039804</v>
      </c>
      <c r="C323" s="179" t="str">
        <f>VLOOKUP(A323,'11 - FINANCEIRA'!A:M,3,0)</f>
        <v>Quadro de distribuicao, em pvc, de embutir, com barramento terra / neutro, para 6 disjuntores nema ou 8 disjuntores din</v>
      </c>
      <c r="D323" s="193">
        <f>VLOOKUP(A323,'11 - FINANCEIRA'!A:M,10,0)</f>
        <v>0</v>
      </c>
      <c r="E323" s="194" t="str">
        <f>VLOOKUP(A323,'11 - FINANCEIRA'!A:M,4,0)</f>
        <v>und</v>
      </c>
      <c r="G323" s="1298" t="str">
        <f t="shared" si="14"/>
        <v>NULO</v>
      </c>
      <c r="H323" s="1298">
        <f t="shared" si="15"/>
        <v>0</v>
      </c>
    </row>
    <row r="324" spans="1:8" hidden="1">
      <c r="A324" s="205" t="s">
        <v>647</v>
      </c>
      <c r="B324" s="200" t="str">
        <f>VLOOKUP(A324,'11 - FINANCEIRA'!A:M,1,0)</f>
        <v>2.5.2.8</v>
      </c>
      <c r="C324" s="184" t="str">
        <f>VLOOKUP(A324,'11 - FINANCEIRA'!A:M,2,0)</f>
        <v>Aterramento</v>
      </c>
      <c r="D324" s="185"/>
      <c r="E324" s="200"/>
      <c r="F324" s="220"/>
      <c r="G324" s="1300"/>
      <c r="H324" s="1300">
        <f>SUM(H325:H331)</f>
        <v>0</v>
      </c>
    </row>
    <row r="325" spans="1:8" ht="26.4" hidden="1">
      <c r="A325" s="205" t="s">
        <v>648</v>
      </c>
      <c r="B325" s="224" t="str">
        <f>VLOOKUP(A325,'11 - FINANCEIRA'!A:M,2,0)</f>
        <v>96977</v>
      </c>
      <c r="C325" s="179" t="str">
        <f>VLOOKUP(A325,'11 - FINANCEIRA'!A:M,3,0)</f>
        <v>Cordoalha de cobre nu 50 mm², enterrada, sem isolador - fornecimento e instalação. af_12/2017</v>
      </c>
      <c r="D325" s="193">
        <f>VLOOKUP(A325,'11 - FINANCEIRA'!A:M,10,0)</f>
        <v>0</v>
      </c>
      <c r="E325" s="194" t="str">
        <f>VLOOKUP(A325,'11 - FINANCEIRA'!A:M,4,0)</f>
        <v>m</v>
      </c>
      <c r="G325" s="1298" t="str">
        <f t="shared" si="14"/>
        <v>NULO</v>
      </c>
      <c r="H325" s="1298">
        <f t="shared" si="15"/>
        <v>0</v>
      </c>
    </row>
    <row r="326" spans="1:8" ht="26.4" hidden="1">
      <c r="A326" s="205" t="s">
        <v>649</v>
      </c>
      <c r="B326" s="224" t="str">
        <f>VLOOKUP(A326,'11 - FINANCEIRA'!A:M,2,0)</f>
        <v>S160334</v>
      </c>
      <c r="C326" s="179" t="str">
        <f>VLOOKUP(A326,'11 - FINANCEIRA'!A:M,3,0)</f>
        <v>Terminal estanhado de 1 compressão 1 furo, 50mm², ref. tel-5150, marca de referência termotécnica ou equivalente</v>
      </c>
      <c r="D326" s="193">
        <f>VLOOKUP(A326,'11 - FINANCEIRA'!A:M,10,0)</f>
        <v>0</v>
      </c>
      <c r="E326" s="194" t="str">
        <f>VLOOKUP(A326,'11 - FINANCEIRA'!A:M,4,0)</f>
        <v>und</v>
      </c>
      <c r="G326" s="1298" t="str">
        <f t="shared" si="14"/>
        <v>NULO</v>
      </c>
      <c r="H326" s="1298">
        <f t="shared" si="15"/>
        <v>0</v>
      </c>
    </row>
    <row r="327" spans="1:8" ht="26.4" hidden="1">
      <c r="A327" s="205" t="s">
        <v>650</v>
      </c>
      <c r="B327" s="224" t="str">
        <f>VLOOKUP(A327,'11 - FINANCEIRA'!A:M,2,0)</f>
        <v>S160310</v>
      </c>
      <c r="C327" s="179" t="str">
        <f>VLOOKUP(A327,'11 - FINANCEIRA'!A:M,3,0)</f>
        <v>Conector de medição em latão com 2 parafusos para cabos de 16 a 50 mm², ref. tel-562, termotécnica ou equivalente</v>
      </c>
      <c r="D327" s="193">
        <f>VLOOKUP(A327,'11 - FINANCEIRA'!A:M,10,0)</f>
        <v>0</v>
      </c>
      <c r="E327" s="194" t="str">
        <f>VLOOKUP(A327,'11 - FINANCEIRA'!A:M,4,0)</f>
        <v>und</v>
      </c>
      <c r="G327" s="1298" t="str">
        <f t="shared" si="14"/>
        <v>NULO</v>
      </c>
      <c r="H327" s="1298">
        <f t="shared" si="15"/>
        <v>0</v>
      </c>
    </row>
    <row r="328" spans="1:8" ht="39.6" hidden="1">
      <c r="A328" s="205" t="s">
        <v>651</v>
      </c>
      <c r="B328" s="224" t="str">
        <f>VLOOKUP(A328,'11 - FINANCEIRA'!A:M,2,0)</f>
        <v>S160316</v>
      </c>
      <c r="C328" s="179" t="str">
        <f>VLOOKUP(A328,'11 - FINANCEIRA'!A:M,3,0)</f>
        <v>Caixa de inspeção tipo solo em pvc com bocal interior quadrado articulado e borda exterior redonda ø 300 x300mm para passeios e pisos sujeitos a carga pesada. ref: tel-535, termotécnica ou similar.</v>
      </c>
      <c r="D328" s="193">
        <f>VLOOKUP(A328,'11 - FINANCEIRA'!A:M,10,0)</f>
        <v>0</v>
      </c>
      <c r="E328" s="194" t="str">
        <f>VLOOKUP(A328,'11 - FINANCEIRA'!A:M,4,0)</f>
        <v>und</v>
      </c>
      <c r="G328" s="1298" t="str">
        <f t="shared" si="14"/>
        <v>NULO</v>
      </c>
      <c r="H328" s="1298">
        <f t="shared" si="15"/>
        <v>0</v>
      </c>
    </row>
    <row r="329" spans="1:8" ht="26.4" hidden="1">
      <c r="A329" s="205" t="s">
        <v>652</v>
      </c>
      <c r="B329" s="224" t="str">
        <f>VLOOKUP(A329,'11 - FINANCEIRA'!A:M,2,0)</f>
        <v>S160321</v>
      </c>
      <c r="C329" s="179" t="str">
        <f>VLOOKUP(A329,'11 - FINANCEIRA'!A:M,3,0)</f>
        <v>Tampa reforçada em ferro fundido com escotilha tel 536, inclusive assentamento, marca de referência termotécnica ou equivalente</v>
      </c>
      <c r="D329" s="193">
        <f>VLOOKUP(A329,'11 - FINANCEIRA'!A:M,10,0)</f>
        <v>0</v>
      </c>
      <c r="E329" s="194" t="str">
        <f>VLOOKUP(A329,'11 - FINANCEIRA'!A:M,4,0)</f>
        <v>und</v>
      </c>
      <c r="G329" s="1298" t="str">
        <f t="shared" si="14"/>
        <v>NULO</v>
      </c>
      <c r="H329" s="1298">
        <f t="shared" si="15"/>
        <v>0</v>
      </c>
    </row>
    <row r="330" spans="1:8" hidden="1">
      <c r="A330" s="205" t="s">
        <v>653</v>
      </c>
      <c r="B330" s="224" t="str">
        <f>VLOOKUP(A330,'11 - FINANCEIRA'!A:M,2,0)</f>
        <v>S151506</v>
      </c>
      <c r="C330" s="179" t="str">
        <f>VLOOKUP(A330,'11 - FINANCEIRA'!A:M,3,0)</f>
        <v>Haste de terra tipo copperweld - 5/8" x 2.40m</v>
      </c>
      <c r="D330" s="193">
        <f>VLOOKUP(A330,'11 - FINANCEIRA'!A:M,10,0)</f>
        <v>0</v>
      </c>
      <c r="E330" s="194" t="str">
        <f>VLOOKUP(A330,'11 - FINANCEIRA'!A:M,4,0)</f>
        <v>und</v>
      </c>
      <c r="G330" s="1298" t="str">
        <f t="shared" si="14"/>
        <v>NULO</v>
      </c>
      <c r="H330" s="1298">
        <f t="shared" si="15"/>
        <v>0</v>
      </c>
    </row>
    <row r="331" spans="1:8" ht="25.5" hidden="1" customHeight="1">
      <c r="A331" s="205" t="s">
        <v>654</v>
      </c>
      <c r="B331" s="224" t="str">
        <f>VLOOKUP(A331,'11 - FINANCEIRA'!A:M,2,0)</f>
        <v>S160312</v>
      </c>
      <c r="C331" s="179" t="str">
        <f>VLOOKUP(A331,'11 - FINANCEIRA'!A:M,3,0)</f>
        <v>Kit completo para solda exotérmica (molde hcl 5/8" ref: tel905611 / cartucho n° 115 ref: tel 909115 / alicate z 201 ref: tel 998201), marca de referência termotécnica ou equivalente inclusive conexões</v>
      </c>
      <c r="D331" s="193">
        <f>VLOOKUP(A331,'11 - FINANCEIRA'!A:M,10,0)</f>
        <v>0</v>
      </c>
      <c r="E331" s="194" t="str">
        <f>VLOOKUP(A331,'11 - FINANCEIRA'!A:M,4,0)</f>
        <v>und</v>
      </c>
      <c r="G331" s="1298" t="str">
        <f t="shared" si="14"/>
        <v>NULO</v>
      </c>
      <c r="H331" s="1298">
        <f t="shared" si="15"/>
        <v>0</v>
      </c>
    </row>
    <row r="332" spans="1:8" hidden="1">
      <c r="A332" s="205" t="s">
        <v>655</v>
      </c>
      <c r="B332" s="200" t="str">
        <f>VLOOKUP(A332,'11 - FINANCEIRA'!A:M,1,0)</f>
        <v>2.5.3</v>
      </c>
      <c r="C332" s="184" t="str">
        <f>VLOOKUP(A332,'11 - FINANCEIRA'!A:M,2,0)</f>
        <v>RAMAL DE LIGAÇÃO</v>
      </c>
      <c r="D332" s="185"/>
      <c r="E332" s="200"/>
      <c r="F332" s="220"/>
      <c r="G332" s="1300"/>
      <c r="H332" s="1300">
        <f>SUM(H333:H348)</f>
        <v>0</v>
      </c>
    </row>
    <row r="333" spans="1:8" hidden="1">
      <c r="A333" s="205" t="s">
        <v>656</v>
      </c>
      <c r="B333" s="224" t="str">
        <f>VLOOKUP(A333,'11 - FINANCEIRA'!A:M,2,0)</f>
        <v>CP-8326</v>
      </c>
      <c r="C333" s="179" t="str">
        <f>VLOOKUP(A333,'11 - FINANCEIRA'!A:M,3,0)</f>
        <v>Mão de obra para o ramal de ligação</v>
      </c>
      <c r="D333" s="193">
        <f>VLOOKUP(A333,'11 - FINANCEIRA'!A:M,10,0)</f>
        <v>0</v>
      </c>
      <c r="E333" s="194" t="str">
        <f>VLOOKUP(A333,'11 - FINANCEIRA'!A:M,4,0)</f>
        <v>und</v>
      </c>
      <c r="G333" s="1298" t="str">
        <f t="shared" si="14"/>
        <v>NULO</v>
      </c>
      <c r="H333" s="1298">
        <f t="shared" si="15"/>
        <v>0</v>
      </c>
    </row>
    <row r="334" spans="1:8" ht="26.4" hidden="1">
      <c r="A334" s="205" t="s">
        <v>657</v>
      </c>
      <c r="B334" s="224" t="str">
        <f>VLOOKUP(A334,'11 - FINANCEIRA'!A:M,2,0)</f>
        <v>00013370</v>
      </c>
      <c r="C334" s="179" t="str">
        <f>VLOOKUP(A334,'11 - FINANCEIRA'!A:M,3,0)</f>
        <v>Chave seccionadora-fusivel blindada tripolar, abertura com carga, para fusivel nh01, corrente nominal de 250 a</v>
      </c>
      <c r="D334" s="193">
        <f>VLOOKUP(A334,'11 - FINANCEIRA'!A:M,10,0)</f>
        <v>0</v>
      </c>
      <c r="E334" s="194" t="str">
        <f>VLOOKUP(A334,'11 - FINANCEIRA'!A:M,4,0)</f>
        <v>und</v>
      </c>
      <c r="G334" s="1298" t="str">
        <f t="shared" si="14"/>
        <v>NULO</v>
      </c>
      <c r="H334" s="1298">
        <f t="shared" si="15"/>
        <v>0</v>
      </c>
    </row>
    <row r="335" spans="1:8" hidden="1">
      <c r="A335" s="205" t="s">
        <v>658</v>
      </c>
      <c r="B335" s="224" t="str">
        <f>VLOOKUP(A335,'11 - FINANCEIRA'!A:M,2,0)</f>
        <v>00000867</v>
      </c>
      <c r="C335" s="179" t="str">
        <f>VLOOKUP(A335,'11 - FINANCEIRA'!A:M,3,0)</f>
        <v>Cabo de cobre nu 50 mm² meio-duro</v>
      </c>
      <c r="D335" s="193">
        <f>VLOOKUP(A335,'11 - FINANCEIRA'!A:M,10,0)</f>
        <v>0</v>
      </c>
      <c r="E335" s="194" t="str">
        <f>VLOOKUP(A335,'11 - FINANCEIRA'!A:M,4,0)</f>
        <v>m</v>
      </c>
      <c r="G335" s="1298" t="str">
        <f t="shared" si="14"/>
        <v>NULO</v>
      </c>
      <c r="H335" s="1298">
        <f t="shared" si="15"/>
        <v>0</v>
      </c>
    </row>
    <row r="336" spans="1:8" s="202" customFormat="1" ht="26.4" hidden="1">
      <c r="A336" s="210" t="s">
        <v>659</v>
      </c>
      <c r="B336" s="224" t="str">
        <f>VLOOKUP(A336,'11 - FINANCEIRA'!A:M,2,0)</f>
        <v>00004161</v>
      </c>
      <c r="C336" s="179" t="str">
        <f>VLOOKUP(A336,'11 - FINANCEIRA'!A:M,3,0)</f>
        <v>Mufla terminal primaria unipolar uso interno para cabo 35/70mm² isolacao 8,7/15kv em epr - borracha de silicone</v>
      </c>
      <c r="D336" s="193">
        <f>VLOOKUP(A336,'11 - FINANCEIRA'!A:M,10,0)</f>
        <v>0</v>
      </c>
      <c r="E336" s="194" t="str">
        <f>VLOOKUP(A336,'11 - FINANCEIRA'!A:M,4,0)</f>
        <v>und</v>
      </c>
      <c r="F336" s="217"/>
      <c r="G336" s="1298" t="str">
        <f>IF(D336&gt;0,"POSITIVO",IF(D336=0,"NULO",IF(D336&lt;0,"NEGATIVO")))</f>
        <v>NULO</v>
      </c>
      <c r="H336" s="1298">
        <f>IF(G336="NULO",0,1)</f>
        <v>0</v>
      </c>
    </row>
    <row r="337" spans="1:8" hidden="1">
      <c r="A337" s="205" t="s">
        <v>660</v>
      </c>
      <c r="B337" s="224" t="str">
        <f>VLOOKUP(A337,'11 - FINANCEIRA'!A:M,2,0)</f>
        <v>I049101</v>
      </c>
      <c r="C337" s="179" t="str">
        <f>VLOOKUP(A337,'11 - FINANCEIRA'!A:M,3,0)</f>
        <v>Cruzeta de madeira p/ poste 90 x 135 x 2400mm</v>
      </c>
      <c r="D337" s="193">
        <f>VLOOKUP(A337,'11 - FINANCEIRA'!A:M,10,0)</f>
        <v>0</v>
      </c>
      <c r="E337" s="194" t="str">
        <f>VLOOKUP(A337,'11 - FINANCEIRA'!A:M,4,0)</f>
        <v>und</v>
      </c>
      <c r="G337" s="1298" t="str">
        <f t="shared" si="14"/>
        <v>NULO</v>
      </c>
      <c r="H337" s="1298">
        <f t="shared" si="15"/>
        <v>0</v>
      </c>
    </row>
    <row r="338" spans="1:8" hidden="1">
      <c r="A338" s="205" t="s">
        <v>661</v>
      </c>
      <c r="B338" s="224" t="str">
        <f>VLOOKUP(A338,'11 - FINANCEIRA'!A:M,2,0)</f>
        <v>S151433</v>
      </c>
      <c r="C338" s="179" t="str">
        <f>VLOOKUP(A338,'11 - FINANCEIRA'!A:M,3,0)</f>
        <v>Cabo de cobre termoplástico, com isolamento para 15kv, seção de 25,0mm²</v>
      </c>
      <c r="D338" s="193">
        <f>VLOOKUP(A338,'11 - FINANCEIRA'!A:M,10,0)</f>
        <v>0</v>
      </c>
      <c r="E338" s="194" t="str">
        <f>VLOOKUP(A338,'11 - FINANCEIRA'!A:M,4,0)</f>
        <v>m</v>
      </c>
      <c r="G338" s="1298" t="str">
        <f t="shared" si="14"/>
        <v>NULO</v>
      </c>
      <c r="H338" s="1298">
        <f t="shared" si="15"/>
        <v>0</v>
      </c>
    </row>
    <row r="339" spans="1:8" hidden="1">
      <c r="A339" s="205" t="s">
        <v>662</v>
      </c>
      <c r="B339" s="224" t="str">
        <f>VLOOKUP(A339,'11 - FINANCEIRA'!A:M,2,0)</f>
        <v>10640</v>
      </c>
      <c r="C339" s="179" t="str">
        <f>VLOOKUP(A339,'11 - FINANCEIRA'!A:M,3,0)</f>
        <v>Arame nº 12 galvanizado</v>
      </c>
      <c r="D339" s="193">
        <f>VLOOKUP(A339,'11 - FINANCEIRA'!A:M,10,0)</f>
        <v>0</v>
      </c>
      <c r="E339" s="194" t="str">
        <f>VLOOKUP(A339,'11 - FINANCEIRA'!A:M,4,0)</f>
        <v>Kg</v>
      </c>
      <c r="G339" s="1298" t="str">
        <f t="shared" si="14"/>
        <v>NULO</v>
      </c>
      <c r="H339" s="1298">
        <f t="shared" si="15"/>
        <v>0</v>
      </c>
    </row>
    <row r="340" spans="1:8" hidden="1">
      <c r="A340" s="205" t="s">
        <v>663</v>
      </c>
      <c r="B340" s="224" t="str">
        <f>VLOOKUP(A340,'11 - FINANCEIRA'!A:M,2,0)</f>
        <v>I042047</v>
      </c>
      <c r="C340" s="179" t="str">
        <f>VLOOKUP(A340,'11 - FINANCEIRA'!A:M,3,0)</f>
        <v>Eletroduto de ferro galvanizado 6"</v>
      </c>
      <c r="D340" s="193">
        <f>VLOOKUP(A340,'11 - FINANCEIRA'!A:M,10,0)</f>
        <v>0</v>
      </c>
      <c r="E340" s="194" t="str">
        <f>VLOOKUP(A340,'11 - FINANCEIRA'!A:M,4,0)</f>
        <v>m</v>
      </c>
      <c r="G340" s="1298" t="str">
        <f t="shared" si="14"/>
        <v>NULO</v>
      </c>
      <c r="H340" s="1298">
        <f t="shared" si="15"/>
        <v>0</v>
      </c>
    </row>
    <row r="341" spans="1:8" hidden="1">
      <c r="A341" s="205" t="s">
        <v>664</v>
      </c>
      <c r="B341" s="224" t="str">
        <f>VLOOKUP(A341,'11 - FINANCEIRA'!A:M,2,0)</f>
        <v>00003917</v>
      </c>
      <c r="C341" s="179" t="str">
        <f>VLOOKUP(A341,'11 - FINANCEIRA'!A:M,3,0)</f>
        <v>Luva de ferro galvanizado, com rosca bsp, de 6"</v>
      </c>
      <c r="D341" s="193">
        <f>VLOOKUP(A341,'11 - FINANCEIRA'!A:M,10,0)</f>
        <v>0</v>
      </c>
      <c r="E341" s="194" t="str">
        <f>VLOOKUP(A341,'11 - FINANCEIRA'!A:M,4,0)</f>
        <v>und</v>
      </c>
      <c r="G341" s="1298" t="str">
        <f t="shared" si="14"/>
        <v>NULO</v>
      </c>
      <c r="H341" s="1298">
        <f t="shared" si="15"/>
        <v>0</v>
      </c>
    </row>
    <row r="342" spans="1:8" hidden="1">
      <c r="A342" s="205" t="s">
        <v>665</v>
      </c>
      <c r="B342" s="224" t="str">
        <f>VLOOKUP(A342,'11 - FINANCEIRA'!A:M,2,0)</f>
        <v>S151506</v>
      </c>
      <c r="C342" s="179" t="str">
        <f>VLOOKUP(A342,'11 - FINANCEIRA'!A:M,3,0)</f>
        <v>Haste de terra tipo copperweld - 5/8" x 2.40m</v>
      </c>
      <c r="D342" s="193">
        <f>VLOOKUP(A342,'11 - FINANCEIRA'!A:M,10,0)</f>
        <v>0</v>
      </c>
      <c r="E342" s="194" t="str">
        <f>VLOOKUP(A342,'11 - FINANCEIRA'!A:M,4,0)</f>
        <v>und</v>
      </c>
      <c r="G342" s="1298" t="str">
        <f t="shared" si="14"/>
        <v>NULO</v>
      </c>
      <c r="H342" s="1298">
        <f t="shared" si="15"/>
        <v>0</v>
      </c>
    </row>
    <row r="343" spans="1:8" ht="39.6" hidden="1">
      <c r="A343" s="205" t="s">
        <v>666</v>
      </c>
      <c r="B343" s="224" t="str">
        <f>VLOOKUP(A343,'11 - FINANCEIRA'!A:M,2,0)</f>
        <v>S160312</v>
      </c>
      <c r="C343" s="179" t="str">
        <f>VLOOKUP(A343,'11 - FINANCEIRA'!A:M,3,0)</f>
        <v>Kit completo para solda exotérmica (molde hcl 5/8" ref: tel905611 / cartucho n° 115 ref: tel 909115 / alicate z 201 ref: tel 998201), marca de referência termotécnica ou equivalente inclusive conexões</v>
      </c>
      <c r="D343" s="193">
        <f>VLOOKUP(A343,'11 - FINANCEIRA'!A:M,10,0)</f>
        <v>0</v>
      </c>
      <c r="E343" s="194" t="str">
        <f>VLOOKUP(A343,'11 - FINANCEIRA'!A:M,4,0)</f>
        <v>und</v>
      </c>
      <c r="G343" s="1298" t="str">
        <f t="shared" si="14"/>
        <v>NULO</v>
      </c>
      <c r="H343" s="1298">
        <f t="shared" si="15"/>
        <v>0</v>
      </c>
    </row>
    <row r="344" spans="1:8" hidden="1">
      <c r="A344" s="205" t="s">
        <v>667</v>
      </c>
      <c r="B344" s="224" t="str">
        <f>VLOOKUP(A344,'11 - FINANCEIRA'!A:M,2,0)</f>
        <v>S160318</v>
      </c>
      <c r="C344" s="179" t="str">
        <f>VLOOKUP(A344,'11 - FINANCEIRA'!A:M,3,0)</f>
        <v>Cabo de cobre nú 35mm², ref. tel 5735, marca de referência termotécnica ou equivalente</v>
      </c>
      <c r="D344" s="193">
        <f>VLOOKUP(A344,'11 - FINANCEIRA'!A:M,10,0)</f>
        <v>0</v>
      </c>
      <c r="E344" s="194" t="str">
        <f>VLOOKUP(A344,'11 - FINANCEIRA'!A:M,4,0)</f>
        <v>m</v>
      </c>
      <c r="G344" s="1298" t="str">
        <f t="shared" si="14"/>
        <v>NULO</v>
      </c>
      <c r="H344" s="1298">
        <f t="shared" si="15"/>
        <v>0</v>
      </c>
    </row>
    <row r="345" spans="1:8" hidden="1">
      <c r="A345" s="205" t="s">
        <v>668</v>
      </c>
      <c r="B345" s="224" t="str">
        <f>VLOOKUP(A345,'11 - FINANCEIRA'!A:M,2,0)</f>
        <v>I048041</v>
      </c>
      <c r="C345" s="179" t="str">
        <f>VLOOKUP(A345,'11 - FINANCEIRA'!A:M,3,0)</f>
        <v>Para-raios polimerico 12kv - 10ka com suporte</v>
      </c>
      <c r="D345" s="193">
        <f>VLOOKUP(A345,'11 - FINANCEIRA'!A:M,10,0)</f>
        <v>0</v>
      </c>
      <c r="E345" s="194" t="str">
        <f>VLOOKUP(A345,'11 - FINANCEIRA'!A:M,4,0)</f>
        <v>UN</v>
      </c>
      <c r="G345" s="1298" t="str">
        <f t="shared" si="14"/>
        <v>NULO</v>
      </c>
      <c r="H345" s="1298">
        <f t="shared" si="15"/>
        <v>0</v>
      </c>
    </row>
    <row r="346" spans="1:8" hidden="1">
      <c r="A346" s="205" t="s">
        <v>669</v>
      </c>
      <c r="B346" s="224" t="str">
        <f>VLOOKUP(A346,'11 - FINANCEIRA'!A:M,2,0)</f>
        <v>10378</v>
      </c>
      <c r="C346" s="179" t="str">
        <f>VLOOKUP(A346,'11 - FINANCEIRA'!A:M,3,0)</f>
        <v>Placa em alumínio espessura = 1,5mm</v>
      </c>
      <c r="D346" s="193">
        <f>VLOOKUP(A346,'11 - FINANCEIRA'!A:M,10,0)</f>
        <v>0</v>
      </c>
      <c r="E346" s="194" t="str">
        <f>VLOOKUP(A346,'11 - FINANCEIRA'!A:M,4,0)</f>
        <v>m²</v>
      </c>
      <c r="G346" s="1298" t="str">
        <f t="shared" si="14"/>
        <v>NULO</v>
      </c>
      <c r="H346" s="1298">
        <f t="shared" si="15"/>
        <v>0</v>
      </c>
    </row>
    <row r="347" spans="1:8" hidden="1">
      <c r="A347" s="205" t="s">
        <v>670</v>
      </c>
      <c r="B347" s="224" t="str">
        <f>VLOOKUP(A347,'11 - FINANCEIRA'!A:M,2,0)</f>
        <v>I040140</v>
      </c>
      <c r="C347" s="179" t="str">
        <f>VLOOKUP(A347,'11 - FINANCEIRA'!A:M,3,0)</f>
        <v>Poste circular de concreto 11m/600kg</v>
      </c>
      <c r="D347" s="193">
        <f>VLOOKUP(A347,'11 - FINANCEIRA'!A:M,10,0)</f>
        <v>0</v>
      </c>
      <c r="E347" s="194" t="str">
        <f>VLOOKUP(A347,'11 - FINANCEIRA'!A:M,4,0)</f>
        <v>und</v>
      </c>
      <c r="G347" s="1298" t="str">
        <f t="shared" si="14"/>
        <v>NULO</v>
      </c>
      <c r="H347" s="1298">
        <f t="shared" si="15"/>
        <v>0</v>
      </c>
    </row>
    <row r="348" spans="1:8" ht="39.6" hidden="1">
      <c r="A348" s="205" t="s">
        <v>671</v>
      </c>
      <c r="B348" s="224" t="str">
        <f>VLOOKUP(A348,'11 - FINANCEIRA'!A:M,2,0)</f>
        <v>100612</v>
      </c>
      <c r="C348" s="179" t="str">
        <f>VLOOKUP(A348,'11 - FINANCEIRA'!A:M,3,0)</f>
        <v>Assentamento de poste de concreto com comprimento nominal de 11 m, carga nominal de 600 dan, engastamento base concretada com 1 m de concreto e 0,7 m de solo (não inclui fornecimento). af_11/2019</v>
      </c>
      <c r="D348" s="193">
        <f>VLOOKUP(A348,'11 - FINANCEIRA'!A:M,10,0)</f>
        <v>0</v>
      </c>
      <c r="E348" s="194" t="str">
        <f>VLOOKUP(A348,'11 - FINANCEIRA'!A:M,4,0)</f>
        <v>und</v>
      </c>
      <c r="G348" s="1298" t="str">
        <f t="shared" si="14"/>
        <v>NULO</v>
      </c>
      <c r="H348" s="1298">
        <f t="shared" si="15"/>
        <v>0</v>
      </c>
    </row>
    <row r="349" spans="1:8" hidden="1">
      <c r="A349" s="205" t="s">
        <v>672</v>
      </c>
      <c r="B349" s="200" t="str">
        <f>VLOOKUP(A349,'11 - FINANCEIRA'!A:M,1,0)</f>
        <v>2.5.4</v>
      </c>
      <c r="C349" s="184" t="str">
        <f>VLOOKUP(A349,'11 - FINANCEIRA'!A:M,2,0)</f>
        <v>SPDA</v>
      </c>
      <c r="D349" s="185"/>
      <c r="E349" s="200"/>
      <c r="F349" s="220"/>
      <c r="G349" s="1300"/>
      <c r="H349" s="1300">
        <f>SUM(H350:H371)</f>
        <v>0</v>
      </c>
    </row>
    <row r="350" spans="1:8" ht="26.4" hidden="1">
      <c r="A350" s="205" t="s">
        <v>673</v>
      </c>
      <c r="B350" s="224" t="str">
        <f>VLOOKUP(A350,'11 - FINANCEIRA'!A:M,2,0)</f>
        <v>S160318</v>
      </c>
      <c r="C350" s="179" t="str">
        <f>VLOOKUP(A350,'11 - FINANCEIRA'!A:M,3,0)</f>
        <v xml:space="preserve">Cabo de cobre nu, bitola 35 mm², tipo cordoalha, 7 fios, ø 2,50 mm; ref: tel-5635, termotécnica ou similar. </v>
      </c>
      <c r="D350" s="193">
        <f>VLOOKUP(A350,'11 - FINANCEIRA'!A:M,10,0)</f>
        <v>0</v>
      </c>
      <c r="E350" s="194" t="str">
        <f>VLOOKUP(A350,'11 - FINANCEIRA'!A:M,4,0)</f>
        <v>m</v>
      </c>
      <c r="G350" s="1298" t="str">
        <f t="shared" si="14"/>
        <v>NULO</v>
      </c>
      <c r="H350" s="1298">
        <f t="shared" si="15"/>
        <v>0</v>
      </c>
    </row>
    <row r="351" spans="1:8" ht="26.4" hidden="1">
      <c r="A351" s="205" t="s">
        <v>674</v>
      </c>
      <c r="B351" s="224" t="str">
        <f>VLOOKUP(A351,'11 - FINANCEIRA'!A:M,2,0)</f>
        <v>S160317</v>
      </c>
      <c r="C351" s="179" t="str">
        <f>VLOOKUP(A351,'11 - FINANCEIRA'!A:M,3,0)</f>
        <v xml:space="preserve">Cabo de cobre nu, bitola 50 mm², tipo cordoalha, 7 fios, ø 3,00 mm; ref: tel-5650, termotécnica ou similar. </v>
      </c>
      <c r="D351" s="193">
        <f>VLOOKUP(A351,'11 - FINANCEIRA'!A:M,10,0)</f>
        <v>0</v>
      </c>
      <c r="E351" s="194" t="str">
        <f>VLOOKUP(A351,'11 - FINANCEIRA'!A:M,4,0)</f>
        <v>m</v>
      </c>
      <c r="G351" s="1298" t="str">
        <f t="shared" si="14"/>
        <v>NULO</v>
      </c>
      <c r="H351" s="1298">
        <f t="shared" si="15"/>
        <v>0</v>
      </c>
    </row>
    <row r="352" spans="1:8" hidden="1">
      <c r="A352" s="205" t="s">
        <v>675</v>
      </c>
      <c r="B352" s="224" t="str">
        <f>VLOOKUP(A352,'11 - FINANCEIRA'!A:M,2,0)</f>
        <v>S160309</v>
      </c>
      <c r="C352" s="179" t="str">
        <f>VLOOKUP(A352,'11 - FINANCEIRA'!A:M,3,0)</f>
        <v xml:space="preserve">Terminal aéreo 1 furo 5/16x250mm ref: tel-044, termotécnica ou similar. </v>
      </c>
      <c r="D352" s="193">
        <f>VLOOKUP(A352,'11 - FINANCEIRA'!A:M,10,0)</f>
        <v>0</v>
      </c>
      <c r="E352" s="194" t="str">
        <f>VLOOKUP(A352,'11 - FINANCEIRA'!A:M,4,0)</f>
        <v>und</v>
      </c>
      <c r="G352" s="1298" t="str">
        <f t="shared" si="14"/>
        <v>NULO</v>
      </c>
      <c r="H352" s="1298">
        <f t="shared" si="15"/>
        <v>0</v>
      </c>
    </row>
    <row r="353" spans="1:8" ht="39.6" hidden="1">
      <c r="A353" s="205" t="s">
        <v>676</v>
      </c>
      <c r="B353" s="224" t="str">
        <f>VLOOKUP(A353,'11 - FINANCEIRA'!A:M,2,0)</f>
        <v>S160313</v>
      </c>
      <c r="C353" s="179" t="str">
        <f>VLOOKUP(A353,'11 - FINANCEIRA'!A:M,3,0)</f>
        <v>Fixador universal latão estanhado p/ cabos 16 a 70 mm² ref. 5024, incl. parafuso sextavado m6x45mm, arruela lisa 1/4", bucha nº8, vedação dos furos c/ poliuretano ref. 5905, marca de ref. termotécnica ou equivalente</v>
      </c>
      <c r="D353" s="193">
        <f>VLOOKUP(A353,'11 - FINANCEIRA'!A:M,10,0)</f>
        <v>0</v>
      </c>
      <c r="E353" s="194" t="str">
        <f>VLOOKUP(A353,'11 - FINANCEIRA'!A:M,4,0)</f>
        <v>und</v>
      </c>
      <c r="G353" s="1298" t="str">
        <f t="shared" si="14"/>
        <v>NULO</v>
      </c>
      <c r="H353" s="1298">
        <f t="shared" si="15"/>
        <v>0</v>
      </c>
    </row>
    <row r="354" spans="1:8" hidden="1">
      <c r="A354" s="205" t="s">
        <v>677</v>
      </c>
      <c r="B354" s="224" t="str">
        <f>VLOOKUP(A354,'11 - FINANCEIRA'!A:M,2,0)</f>
        <v>S160313</v>
      </c>
      <c r="C354" s="179" t="str">
        <f>VLOOKUP(A354,'11 - FINANCEIRA'!A:M,3,0)</f>
        <v xml:space="preserve">Presilha de cobre para cabos de 35 mm² ref: tel-085, termotécnica ou similar. </v>
      </c>
      <c r="D354" s="193">
        <f>VLOOKUP(A354,'11 - FINANCEIRA'!A:M,10,0)</f>
        <v>0</v>
      </c>
      <c r="E354" s="194" t="str">
        <f>VLOOKUP(A354,'11 - FINANCEIRA'!A:M,4,0)</f>
        <v>und</v>
      </c>
      <c r="G354" s="1298" t="str">
        <f t="shared" si="14"/>
        <v>NULO</v>
      </c>
      <c r="H354" s="1298">
        <f t="shared" si="15"/>
        <v>0</v>
      </c>
    </row>
    <row r="355" spans="1:8" ht="26.4" hidden="1">
      <c r="A355" s="205" t="s">
        <v>678</v>
      </c>
      <c r="B355" s="224" t="str">
        <f>VLOOKUP(A355,'11 - FINANCEIRA'!A:M,2,0)</f>
        <v>S160328</v>
      </c>
      <c r="C355" s="179" t="str">
        <f>VLOOKUP(A355,'11 - FINANCEIRA'!A:M,3,0)</f>
        <v>Terminal estanhado de 1 compressão 1 furo, 35mm², ref. tel-5135, marca de referência termotécnica ou equivalente</v>
      </c>
      <c r="D355" s="193">
        <f>VLOOKUP(A355,'11 - FINANCEIRA'!A:M,10,0)</f>
        <v>0</v>
      </c>
      <c r="E355" s="194" t="str">
        <f>VLOOKUP(A355,'11 - FINANCEIRA'!A:M,4,0)</f>
        <v>und</v>
      </c>
      <c r="G355" s="1298" t="str">
        <f t="shared" si="14"/>
        <v>NULO</v>
      </c>
      <c r="H355" s="1298">
        <f t="shared" si="15"/>
        <v>0</v>
      </c>
    </row>
    <row r="356" spans="1:8" ht="26.4" hidden="1">
      <c r="A356" s="205" t="s">
        <v>679</v>
      </c>
      <c r="B356" s="224" t="str">
        <f>VLOOKUP(A356,'11 - FINANCEIRA'!A:M,2,0)</f>
        <v>S160334</v>
      </c>
      <c r="C356" s="179" t="str">
        <f>VLOOKUP(A356,'11 - FINANCEIRA'!A:M,3,0)</f>
        <v>Terminal estanhado de 1 compressão 1 furo, 50mm², ref. tel-5150, marca de referência termotécnica ou equivalente</v>
      </c>
      <c r="D356" s="193">
        <f>VLOOKUP(A356,'11 - FINANCEIRA'!A:M,10,0)</f>
        <v>0</v>
      </c>
      <c r="E356" s="194" t="str">
        <f>VLOOKUP(A356,'11 - FINANCEIRA'!A:M,4,0)</f>
        <v>und</v>
      </c>
      <c r="G356" s="1298" t="str">
        <f t="shared" si="14"/>
        <v>NULO</v>
      </c>
      <c r="H356" s="1298">
        <f t="shared" si="15"/>
        <v>0</v>
      </c>
    </row>
    <row r="357" spans="1:8" ht="25.5" hidden="1" customHeight="1">
      <c r="A357" s="205" t="s">
        <v>680</v>
      </c>
      <c r="B357" s="224" t="str">
        <f>VLOOKUP(A357,'11 - FINANCEIRA'!A:M,2,0)</f>
        <v>S160322</v>
      </c>
      <c r="C357" s="179" t="str">
        <f>VLOOKUP(A357,'11 - FINANCEIRA'!A:M,3,0)</f>
        <v>Abraçadeira tipo "d" com cunha, diâmetro 1", ref. tel-095, marca de referência termotécnica ou equivalente</v>
      </c>
      <c r="D357" s="193">
        <f>VLOOKUP(A357,'11 - FINANCEIRA'!A:M,10,0)</f>
        <v>0</v>
      </c>
      <c r="E357" s="194" t="str">
        <f>VLOOKUP(A357,'11 - FINANCEIRA'!A:M,4,0)</f>
        <v>und</v>
      </c>
      <c r="G357" s="1298" t="str">
        <f t="shared" si="14"/>
        <v>NULO</v>
      </c>
      <c r="H357" s="1298">
        <f t="shared" si="15"/>
        <v>0</v>
      </c>
    </row>
    <row r="358" spans="1:8" ht="26.4" hidden="1">
      <c r="A358" s="205" t="s">
        <v>681</v>
      </c>
      <c r="B358" s="224" t="str">
        <f>VLOOKUP(A358,'11 - FINANCEIRA'!A:M,2,0)</f>
        <v>S160310</v>
      </c>
      <c r="C358" s="179" t="str">
        <f>VLOOKUP(A358,'11 - FINANCEIRA'!A:M,3,0)</f>
        <v xml:space="preserve">Conector em bronze reforçado para 2 cabos de cobre de 16-70mm² e haste de aterramento, com grampo u, porcas e arruelas em aço gf. ref: tel-580, termotécnica ou similar. </v>
      </c>
      <c r="D358" s="193">
        <f>VLOOKUP(A358,'11 - FINANCEIRA'!A:M,10,0)</f>
        <v>0</v>
      </c>
      <c r="E358" s="194" t="str">
        <f>VLOOKUP(A358,'11 - FINANCEIRA'!A:M,4,0)</f>
        <v>und</v>
      </c>
      <c r="G358" s="1298" t="str">
        <f t="shared" si="14"/>
        <v>NULO</v>
      </c>
      <c r="H358" s="1298">
        <f t="shared" si="15"/>
        <v>0</v>
      </c>
    </row>
    <row r="359" spans="1:8" s="202" customFormat="1" hidden="1">
      <c r="A359" s="210" t="s">
        <v>682</v>
      </c>
      <c r="B359" s="224" t="str">
        <f>VLOOKUP(A359,'11 - FINANCEIRA'!A:M,2,0)</f>
        <v>96989</v>
      </c>
      <c r="C359" s="179" t="str">
        <f>VLOOKUP(A359,'11 - FINANCEIRA'!A:M,3,0)</f>
        <v>Captor tipo franklin para spda - fornecimento e instalação. af_12/2017</v>
      </c>
      <c r="D359" s="193">
        <f>VLOOKUP(A359,'11 - FINANCEIRA'!A:M,10,0)</f>
        <v>0</v>
      </c>
      <c r="E359" s="194" t="str">
        <f>VLOOKUP(A359,'11 - FINANCEIRA'!A:M,4,0)</f>
        <v>UN</v>
      </c>
      <c r="F359" s="217"/>
      <c r="G359" s="1298" t="str">
        <f>IF(D359&gt;0,"POSITIVO",IF(D359=0,"NULO",IF(D359&lt;0,"NEGATIVO")))</f>
        <v>NULO</v>
      </c>
      <c r="H359" s="1298">
        <f>IF(G359="NULO",0,1)</f>
        <v>0</v>
      </c>
    </row>
    <row r="360" spans="1:8" ht="39.6" hidden="1">
      <c r="A360" s="205" t="s">
        <v>683</v>
      </c>
      <c r="B360" s="224" t="str">
        <f>VLOOKUP(A360,'11 - FINANCEIRA'!A:M,2,0)</f>
        <v>S160313</v>
      </c>
      <c r="C360" s="179" t="str">
        <f>VLOOKUP(A360,'11 - FINANCEIRA'!A:M,3,0)</f>
        <v>Fixador universal latão estanhado p/ cabos 16 a 70 mm² ref. 5024, incl. parafuso sextavado m6x45mm, arruela lisa 1/4", bucha nº8, vedação dos furos c/ poliuretano ref. 5905, marca de ref. termotécnica ou equivalente</v>
      </c>
      <c r="D360" s="193">
        <f>VLOOKUP(A360,'11 - FINANCEIRA'!A:M,10,0)</f>
        <v>0</v>
      </c>
      <c r="E360" s="194" t="str">
        <f>VLOOKUP(A360,'11 - FINANCEIRA'!A:M,4,0)</f>
        <v>und</v>
      </c>
      <c r="G360" s="1298" t="str">
        <f t="shared" ref="G360:G421" si="16">IF(D360&gt;0,"POSITIVO",IF(D360=0,"NULO",IF(D360&lt;0,"NEGATIVO")))</f>
        <v>NULO</v>
      </c>
      <c r="H360" s="1298">
        <f t="shared" ref="H360:H421" si="17">IF(G360="NULO",0,1)</f>
        <v>0</v>
      </c>
    </row>
    <row r="361" spans="1:8" hidden="1">
      <c r="A361" s="205" t="s">
        <v>684</v>
      </c>
      <c r="B361" s="224" t="str">
        <f>VLOOKUP(A361,'11 - FINANCEIRA'!A:M,2,0)</f>
        <v>S160330</v>
      </c>
      <c r="C361" s="179" t="str">
        <f>VLOOKUP(A361,'11 - FINANCEIRA'!A:M,3,0)</f>
        <v xml:space="preserve">Conector para gradis aramados, ref: tel-736, termotécnica ou similar. </v>
      </c>
      <c r="D361" s="193">
        <f>VLOOKUP(A361,'11 - FINANCEIRA'!A:M,10,0)</f>
        <v>0</v>
      </c>
      <c r="E361" s="194" t="str">
        <f>VLOOKUP(A361,'11 - FINANCEIRA'!A:M,4,0)</f>
        <v>und</v>
      </c>
      <c r="G361" s="1298" t="str">
        <f t="shared" si="16"/>
        <v>NULO</v>
      </c>
      <c r="H361" s="1298">
        <f t="shared" si="17"/>
        <v>0</v>
      </c>
    </row>
    <row r="362" spans="1:8" hidden="1">
      <c r="A362" s="205" t="s">
        <v>685</v>
      </c>
      <c r="B362" s="224" t="str">
        <f>VLOOKUP(A362,'11 - FINANCEIRA'!A:M,2,0)</f>
        <v>I048053</v>
      </c>
      <c r="C362" s="179" t="str">
        <f>VLOOKUP(A362,'11 - FINANCEIRA'!A:M,3,0)</f>
        <v>Conector medicao em bronze c/ 4 parafusos tel-560</v>
      </c>
      <c r="D362" s="193">
        <f>VLOOKUP(A362,'11 - FINANCEIRA'!A:M,10,0)</f>
        <v>0</v>
      </c>
      <c r="E362" s="194" t="str">
        <f>VLOOKUP(A362,'11 - FINANCEIRA'!A:M,4,0)</f>
        <v>und</v>
      </c>
      <c r="G362" s="1298" t="str">
        <f t="shared" si="16"/>
        <v>NULO</v>
      </c>
      <c r="H362" s="1298">
        <f t="shared" si="17"/>
        <v>0</v>
      </c>
    </row>
    <row r="363" spans="1:8" hidden="1">
      <c r="A363" s="205" t="s">
        <v>686</v>
      </c>
      <c r="B363" s="224" t="str">
        <f>VLOOKUP(A363,'11 - FINANCEIRA'!A:M,2,0)</f>
        <v>I048067</v>
      </c>
      <c r="C363" s="179" t="str">
        <f>VLOOKUP(A363,'11 - FINANCEIRA'!A:M,3,0)</f>
        <v>Fixador tipo õmega latao furo 5.5mm p/ cabo 35mm²</v>
      </c>
      <c r="D363" s="193">
        <f>VLOOKUP(A363,'11 - FINANCEIRA'!A:M,10,0)</f>
        <v>0</v>
      </c>
      <c r="E363" s="194" t="str">
        <f>VLOOKUP(A363,'11 - FINANCEIRA'!A:M,4,0)</f>
        <v>und</v>
      </c>
      <c r="G363" s="1298" t="str">
        <f t="shared" si="16"/>
        <v>NULO</v>
      </c>
      <c r="H363" s="1298">
        <f t="shared" si="17"/>
        <v>0</v>
      </c>
    </row>
    <row r="364" spans="1:8" ht="26.4" hidden="1">
      <c r="A364" s="205" t="s">
        <v>687</v>
      </c>
      <c r="B364" s="224" t="str">
        <f>VLOOKUP(A364,'11 - FINANCEIRA'!A:M,2,0)</f>
        <v>S160334</v>
      </c>
      <c r="C364" s="179" t="str">
        <f>VLOOKUP(A364,'11 - FINANCEIRA'!A:M,3,0)</f>
        <v>Terminal estanhado de 1 compressão 1 furo, 50mm², ref. tel-5150, marca de referência termotécnica ou equivalente</v>
      </c>
      <c r="D364" s="193">
        <f>VLOOKUP(A364,'11 - FINANCEIRA'!A:M,10,0)</f>
        <v>0</v>
      </c>
      <c r="E364" s="194" t="str">
        <f>VLOOKUP(A364,'11 - FINANCEIRA'!A:M,4,0)</f>
        <v>und</v>
      </c>
      <c r="G364" s="1298" t="str">
        <f t="shared" si="16"/>
        <v>NULO</v>
      </c>
      <c r="H364" s="1298">
        <f t="shared" si="17"/>
        <v>0</v>
      </c>
    </row>
    <row r="365" spans="1:8" ht="26.4" hidden="1">
      <c r="A365" s="205" t="s">
        <v>688</v>
      </c>
      <c r="B365" s="224" t="str">
        <f>VLOOKUP(A365,'11 - FINANCEIRA'!A:M,2,0)</f>
        <v>S160316</v>
      </c>
      <c r="C365" s="179" t="str">
        <f>VLOOKUP(A365,'11 - FINANCEIRA'!A:M,3,0)</f>
        <v>Caixa de inspeção em pvc, diâmetro 300 mm, ref tel-552, marca de referência termotécnica ou equivalente, inclusive escavação e reaterro</v>
      </c>
      <c r="D365" s="193">
        <f>VLOOKUP(A365,'11 - FINANCEIRA'!A:M,10,0)</f>
        <v>0</v>
      </c>
      <c r="E365" s="194" t="str">
        <f>VLOOKUP(A365,'11 - FINANCEIRA'!A:M,4,0)</f>
        <v>und</v>
      </c>
      <c r="G365" s="1298" t="str">
        <f t="shared" si="16"/>
        <v>NULO</v>
      </c>
      <c r="H365" s="1298">
        <f t="shared" si="17"/>
        <v>0</v>
      </c>
    </row>
    <row r="366" spans="1:8" ht="26.4" hidden="1">
      <c r="A366" s="205" t="s">
        <v>689</v>
      </c>
      <c r="B366" s="224" t="str">
        <f>VLOOKUP(A366,'11 - FINANCEIRA'!A:M,2,0)</f>
        <v>S160321</v>
      </c>
      <c r="C366" s="179" t="str">
        <f>VLOOKUP(A366,'11 - FINANCEIRA'!A:M,3,0)</f>
        <v>Tampa reforçada em ferro fundido com escotilha tel 536, inclusive assentamento, marca de referência termotécnica ou equivalente</v>
      </c>
      <c r="D366" s="193">
        <f>VLOOKUP(A366,'11 - FINANCEIRA'!A:M,10,0)</f>
        <v>0</v>
      </c>
      <c r="E366" s="194" t="str">
        <f>VLOOKUP(A366,'11 - FINANCEIRA'!A:M,4,0)</f>
        <v>und</v>
      </c>
      <c r="G366" s="1298" t="str">
        <f t="shared" si="16"/>
        <v>NULO</v>
      </c>
      <c r="H366" s="1298">
        <f t="shared" si="17"/>
        <v>0</v>
      </c>
    </row>
    <row r="367" spans="1:8" ht="39.6" hidden="1">
      <c r="A367" s="205" t="s">
        <v>690</v>
      </c>
      <c r="B367" s="224" t="str">
        <f>VLOOKUP(A367,'11 - FINANCEIRA'!A:M,2,0)</f>
        <v>S160324</v>
      </c>
      <c r="C367" s="179" t="str">
        <f>VLOOKUP(A367,'11 - FINANCEIRA'!A:M,3,0)</f>
        <v>Caixa de equalização de potenciais para uso interno e externo com cinco (5) terminais para aterramento (bep), em polipropileno, ref. tel-902, marca de referência termotécnica ou equivalente</v>
      </c>
      <c r="D367" s="193">
        <f>VLOOKUP(A367,'11 - FINANCEIRA'!A:M,10,0)</f>
        <v>0</v>
      </c>
      <c r="E367" s="194" t="str">
        <f>VLOOKUP(A367,'11 - FINANCEIRA'!A:M,4,0)</f>
        <v>und</v>
      </c>
      <c r="G367" s="1298" t="str">
        <f t="shared" si="16"/>
        <v>NULO</v>
      </c>
      <c r="H367" s="1298">
        <f t="shared" si="17"/>
        <v>0</v>
      </c>
    </row>
    <row r="368" spans="1:8" ht="39.6" hidden="1">
      <c r="A368" s="205" t="s">
        <v>691</v>
      </c>
      <c r="B368" s="224" t="str">
        <f>VLOOKUP(A368,'11 - FINANCEIRA'!A:M,2,0)</f>
        <v>S160325</v>
      </c>
      <c r="C368" s="179" t="str">
        <f>VLOOKUP(A368,'11 - FINANCEIRA'!A:M,3,0)</f>
        <v>Caixa de equalização de potenciais para uso interno e externo com nove (9) terminais para aterramento (bep), em aço, com flange inferior e vedação na porta, ref. tel-903, marca de referência termotécnica ou equivalente</v>
      </c>
      <c r="D368" s="193">
        <f>VLOOKUP(A368,'11 - FINANCEIRA'!A:M,10,0)</f>
        <v>0</v>
      </c>
      <c r="E368" s="194" t="str">
        <f>VLOOKUP(A368,'11 - FINANCEIRA'!A:M,4,0)</f>
        <v>und</v>
      </c>
      <c r="G368" s="1298" t="str">
        <f t="shared" si="16"/>
        <v>NULO</v>
      </c>
      <c r="H368" s="1298">
        <f t="shared" si="17"/>
        <v>0</v>
      </c>
    </row>
    <row r="369" spans="1:8" hidden="1">
      <c r="A369" s="205" t="s">
        <v>692</v>
      </c>
      <c r="B369" s="224" t="str">
        <f>VLOOKUP(A369,'11 - FINANCEIRA'!A:M,2,0)</f>
        <v>S151506</v>
      </c>
      <c r="C369" s="179" t="str">
        <f>VLOOKUP(A369,'11 - FINANCEIRA'!A:M,3,0)</f>
        <v>Haste de terra tipo copperweld - 5/8" x 2.40m</v>
      </c>
      <c r="D369" s="193">
        <f>VLOOKUP(A369,'11 - FINANCEIRA'!A:M,10,0)</f>
        <v>0</v>
      </c>
      <c r="E369" s="194" t="str">
        <f>VLOOKUP(A369,'11 - FINANCEIRA'!A:M,4,0)</f>
        <v>und</v>
      </c>
      <c r="G369" s="1298" t="str">
        <f t="shared" si="16"/>
        <v>NULO</v>
      </c>
      <c r="H369" s="1298">
        <f t="shared" si="17"/>
        <v>0</v>
      </c>
    </row>
    <row r="370" spans="1:8" ht="39.6" hidden="1">
      <c r="A370" s="205" t="s">
        <v>693</v>
      </c>
      <c r="B370" s="224" t="str">
        <f>VLOOKUP(A370,'11 - FINANCEIRA'!A:M,2,0)</f>
        <v>S160312</v>
      </c>
      <c r="C370" s="179" t="str">
        <f>VLOOKUP(A370,'11 - FINANCEIRA'!A:M,3,0)</f>
        <v>Kit completo para solda exotérmica (molde hcl 5/8" ref: tel905611 / cartucho n° 115 ref: tel 909115 / alicate z 201 ref: tel 998201), marca de referência termotécnica ou equivalente inclusive conexões</v>
      </c>
      <c r="D370" s="193">
        <f>VLOOKUP(A370,'11 - FINANCEIRA'!A:M,10,0)</f>
        <v>0</v>
      </c>
      <c r="E370" s="194" t="str">
        <f>VLOOKUP(A370,'11 - FINANCEIRA'!A:M,4,0)</f>
        <v>und</v>
      </c>
      <c r="G370" s="1298" t="str">
        <f t="shared" si="16"/>
        <v>NULO</v>
      </c>
      <c r="H370" s="1298">
        <f t="shared" si="17"/>
        <v>0</v>
      </c>
    </row>
    <row r="371" spans="1:8" hidden="1">
      <c r="A371" s="205" t="s">
        <v>694</v>
      </c>
      <c r="B371" s="224" t="str">
        <f>VLOOKUP(A371,'11 - FINANCEIRA'!A:M,2,0)</f>
        <v>S151127</v>
      </c>
      <c r="C371" s="179" t="str">
        <f>VLOOKUP(A371,'11 - FINANCEIRA'!A:M,3,0)</f>
        <v>Eletroduto de pvc rígido roscável, diâm. 1" (32mm), inclusive conexões</v>
      </c>
      <c r="D371" s="193">
        <f>VLOOKUP(A371,'11 - FINANCEIRA'!A:M,10,0)</f>
        <v>0</v>
      </c>
      <c r="E371" s="194" t="str">
        <f>VLOOKUP(A371,'11 - FINANCEIRA'!A:M,4,0)</f>
        <v>m</v>
      </c>
      <c r="G371" s="1298" t="str">
        <f t="shared" si="16"/>
        <v>NULO</v>
      </c>
      <c r="H371" s="1298">
        <f t="shared" si="17"/>
        <v>0</v>
      </c>
    </row>
    <row r="372" spans="1:8" hidden="1">
      <c r="A372" s="205" t="s">
        <v>695</v>
      </c>
      <c r="B372" s="200" t="str">
        <f>VLOOKUP(A372,'11 - FINANCEIRA'!A:M,1,0)</f>
        <v>2.5.5</v>
      </c>
      <c r="C372" s="184" t="str">
        <f>VLOOKUP(A372,'11 - FINANCEIRA'!A:M,2,0)</f>
        <v>CABEAMENTO ESTRUTURADO E CFTV</v>
      </c>
      <c r="D372" s="185"/>
      <c r="E372" s="200"/>
      <c r="F372" s="220"/>
      <c r="G372" s="1300"/>
      <c r="H372" s="1300">
        <f>SUM(H373:H405)</f>
        <v>0</v>
      </c>
    </row>
    <row r="373" spans="1:8" ht="26.4" hidden="1">
      <c r="A373" s="205" t="s">
        <v>696</v>
      </c>
      <c r="B373" s="224" t="str">
        <f>VLOOKUP(A373,'11 - FINANCEIRA'!A:M,2,0)</f>
        <v>CP-6839-41147</v>
      </c>
      <c r="C373" s="179" t="str">
        <f>VLOOKUP(A373,'11 - FINANCEIRA'!A:M,3,0)</f>
        <v>Cabo de par trançado blindado (f/utp), categoria 6, ou superior, com condutores de cobre rígidos 24 awg, uso indoor/outdoor ref: furukawa ou similar (m)</v>
      </c>
      <c r="D373" s="193">
        <f>VLOOKUP(A373,'11 - FINANCEIRA'!A:M,10,0)</f>
        <v>0</v>
      </c>
      <c r="E373" s="194" t="str">
        <f>VLOOKUP(A373,'11 - FINANCEIRA'!A:M,4,0)</f>
        <v>m</v>
      </c>
      <c r="G373" s="1298" t="str">
        <f t="shared" si="16"/>
        <v>NULO</v>
      </c>
      <c r="H373" s="1298">
        <f t="shared" si="17"/>
        <v>0</v>
      </c>
    </row>
    <row r="374" spans="1:8" ht="26.4" hidden="1">
      <c r="A374" s="205" t="s">
        <v>697</v>
      </c>
      <c r="B374" s="224" t="str">
        <f>VLOOKUP(A374,'11 - FINANCEIRA'!A:M,2,0)</f>
        <v>CP-9152-ED-48372</v>
      </c>
      <c r="C374" s="179" t="str">
        <f>VLOOKUP(A374,'11 - FINANCEIRA'!A:M,3,0)</f>
        <v xml:space="preserve">Patch cord f/utp cat.6 - cabo flexível blindado cat.6 montado com conectores rj45 nas duas extremidades. ref: furukawa ou similar </v>
      </c>
      <c r="D374" s="193">
        <f>VLOOKUP(A374,'11 - FINANCEIRA'!A:M,10,0)</f>
        <v>0</v>
      </c>
      <c r="E374" s="194" t="str">
        <f>VLOOKUP(A374,'11 - FINANCEIRA'!A:M,4,0)</f>
        <v>pc</v>
      </c>
      <c r="G374" s="1298" t="str">
        <f t="shared" si="16"/>
        <v>NULO</v>
      </c>
      <c r="H374" s="1298">
        <f t="shared" si="17"/>
        <v>0</v>
      </c>
    </row>
    <row r="375" spans="1:8" ht="26.4" hidden="1">
      <c r="A375" s="205" t="s">
        <v>698</v>
      </c>
      <c r="B375" s="224" t="str">
        <f>VLOOKUP(A375,'11 - FINANCEIRA'!A:M,2,0)</f>
        <v>CP-2718-C3751</v>
      </c>
      <c r="C375" s="179" t="str">
        <f>VLOOKUP(A375,'11 - FINANCEIRA'!A:M,3,0)</f>
        <v>Cabo de fibra óptica, 02 pares</v>
      </c>
      <c r="D375" s="193">
        <f>VLOOKUP(A375,'11 - FINANCEIRA'!A:M,10,0)</f>
        <v>0</v>
      </c>
      <c r="E375" s="194" t="str">
        <f>VLOOKUP(A375,'11 - FINANCEIRA'!A:M,4,0)</f>
        <v>m</v>
      </c>
      <c r="G375" s="1298" t="str">
        <f t="shared" si="16"/>
        <v>NULO</v>
      </c>
      <c r="H375" s="1298">
        <f t="shared" si="17"/>
        <v>0</v>
      </c>
    </row>
    <row r="376" spans="1:8" ht="26.4" hidden="1">
      <c r="A376" s="205" t="s">
        <v>699</v>
      </c>
      <c r="B376" s="224" t="str">
        <f>VLOOKUP(A376,'11 - FINANCEIRA'!A:M,2,0)</f>
        <v>95781</v>
      </c>
      <c r="C376" s="179" t="str">
        <f>VLOOKUP(A376,'11 - FINANCEIRA'!A:M,3,0)</f>
        <v>Condulete de alumínio 4x2”, furos 1”, múltiplo, com espelho para 2 rj45 conectores fêmea blindado cat.6 - conector fêmea do tipo keystone jack. ref: furukawa ou similar</v>
      </c>
      <c r="D376" s="193">
        <f>VLOOKUP(A376,'11 - FINANCEIRA'!A:M,10,0)</f>
        <v>0</v>
      </c>
      <c r="E376" s="194" t="str">
        <f>VLOOKUP(A376,'11 - FINANCEIRA'!A:M,4,0)</f>
        <v>und</v>
      </c>
      <c r="G376" s="1298" t="str">
        <f t="shared" si="16"/>
        <v>NULO</v>
      </c>
      <c r="H376" s="1298">
        <f t="shared" si="17"/>
        <v>0</v>
      </c>
    </row>
    <row r="377" spans="1:8" hidden="1">
      <c r="A377" s="205" t="s">
        <v>700</v>
      </c>
      <c r="B377" s="224" t="str">
        <f>VLOOKUP(A377,'11 - FINANCEIRA'!A:M,2,0)</f>
        <v>98307</v>
      </c>
      <c r="C377" s="179" t="str">
        <f>VLOOKUP(A377,'11 - FINANCEIRA'!A:M,3,0)</f>
        <v>Tomada de rede rj45 - fornecimento e instalação. af_11/2019</v>
      </c>
      <c r="D377" s="193">
        <f>VLOOKUP(A377,'11 - FINANCEIRA'!A:M,10,0)</f>
        <v>0</v>
      </c>
      <c r="E377" s="194" t="str">
        <f>VLOOKUP(A377,'11 - FINANCEIRA'!A:M,4,0)</f>
        <v>und</v>
      </c>
      <c r="G377" s="1298" t="str">
        <f t="shared" si="16"/>
        <v>NULO</v>
      </c>
      <c r="H377" s="1298">
        <f t="shared" si="17"/>
        <v>0</v>
      </c>
    </row>
    <row r="378" spans="1:8" hidden="1">
      <c r="A378" s="205" t="s">
        <v>701</v>
      </c>
      <c r="B378" s="224" t="str">
        <f>VLOOKUP(A378,'11 - FINANCEIRA'!A:M,2,0)</f>
        <v>95780</v>
      </c>
      <c r="C378" s="179" t="str">
        <f>VLOOKUP(A378,'11 - FINANCEIRA'!A:M,3,0)</f>
        <v>Condulete de alumínio 4x2”, furos 1”, múltiplo com espelho</v>
      </c>
      <c r="D378" s="193">
        <f>VLOOKUP(A378,'11 - FINANCEIRA'!A:M,10,0)</f>
        <v>0</v>
      </c>
      <c r="E378" s="194" t="str">
        <f>VLOOKUP(A378,'11 - FINANCEIRA'!A:M,4,0)</f>
        <v>und</v>
      </c>
      <c r="G378" s="1298" t="str">
        <f t="shared" si="16"/>
        <v>NULO</v>
      </c>
      <c r="H378" s="1298">
        <f t="shared" si="17"/>
        <v>0</v>
      </c>
    </row>
    <row r="379" spans="1:8" hidden="1">
      <c r="A379" s="205" t="s">
        <v>702</v>
      </c>
      <c r="B379" s="224" t="str">
        <f>VLOOKUP(A379,'11 - FINANCEIRA'!A:M,2,0)</f>
        <v>S160108</v>
      </c>
      <c r="C379" s="179" t="str">
        <f>VLOOKUP(A379,'11 - FINANCEIRA'!A:M,3,0)</f>
        <v xml:space="preserve">Caixa de passagem de embutir no piso, padrão telebrás, r1, com tampa em ferro fundido. </v>
      </c>
      <c r="D379" s="193">
        <f>VLOOKUP(A379,'11 - FINANCEIRA'!A:M,10,0)</f>
        <v>0</v>
      </c>
      <c r="E379" s="194" t="str">
        <f>VLOOKUP(A379,'11 - FINANCEIRA'!A:M,4,0)</f>
        <v>und</v>
      </c>
      <c r="G379" s="1298" t="str">
        <f t="shared" si="16"/>
        <v>NULO</v>
      </c>
      <c r="H379" s="1298">
        <f t="shared" si="17"/>
        <v>0</v>
      </c>
    </row>
    <row r="380" spans="1:8" hidden="1">
      <c r="A380" s="205" t="s">
        <v>703</v>
      </c>
      <c r="B380" s="224" t="str">
        <f>VLOOKUP(A380,'11 - FINANCEIRA'!A:M,2,0)</f>
        <v>S160110</v>
      </c>
      <c r="C380" s="179" t="str">
        <f>VLOOKUP(A380,'11 - FINANCEIRA'!A:M,3,0)</f>
        <v>Caixa de telefone em chapa de aço padrão telebras do tipo cie-4 600x600x120 mm</v>
      </c>
      <c r="D380" s="193">
        <f>VLOOKUP(A380,'11 - FINANCEIRA'!A:M,10,0)</f>
        <v>0</v>
      </c>
      <c r="E380" s="194" t="str">
        <f>VLOOKUP(A380,'11 - FINANCEIRA'!A:M,4,0)</f>
        <v>und</v>
      </c>
      <c r="G380" s="1298" t="str">
        <f t="shared" si="16"/>
        <v>NULO</v>
      </c>
      <c r="H380" s="1298">
        <f t="shared" si="17"/>
        <v>0</v>
      </c>
    </row>
    <row r="381" spans="1:8" ht="26.4" hidden="1">
      <c r="A381" s="205" t="s">
        <v>704</v>
      </c>
      <c r="B381" s="224" t="str">
        <f>VLOOKUP(A381,'11 - FINANCEIRA'!A:M,2,0)</f>
        <v>91940</v>
      </c>
      <c r="C381" s="179" t="str">
        <f>VLOOKUP(A381,'11 - FINANCEIRA'!A:M,3,0)</f>
        <v>Caixa retangular 4" x 2" média (1,30 m do piso), pvc, instalada em parede - fornecimento e instalação. af_12/2015</v>
      </c>
      <c r="D381" s="193">
        <f>VLOOKUP(A381,'11 - FINANCEIRA'!A:M,10,0)</f>
        <v>0</v>
      </c>
      <c r="E381" s="194" t="str">
        <f>VLOOKUP(A381,'11 - FINANCEIRA'!A:M,4,0)</f>
        <v>und</v>
      </c>
      <c r="G381" s="1298" t="str">
        <f t="shared" si="16"/>
        <v>NULO</v>
      </c>
      <c r="H381" s="1298">
        <f t="shared" si="17"/>
        <v>0</v>
      </c>
    </row>
    <row r="382" spans="1:8" hidden="1">
      <c r="A382" s="205" t="s">
        <v>705</v>
      </c>
      <c r="B382" s="224" t="str">
        <f>VLOOKUP(A382,'11 - FINANCEIRA'!A:M,2,0)</f>
        <v>S151127</v>
      </c>
      <c r="C382" s="179" t="str">
        <f>VLOOKUP(A382,'11 - FINANCEIRA'!A:M,3,0)</f>
        <v>Eletroduto de pvc rígido roscável, diâm. 1" (32mm), inclusive conexões</v>
      </c>
      <c r="D382" s="193">
        <f>VLOOKUP(A382,'11 - FINANCEIRA'!A:M,10,0)</f>
        <v>0</v>
      </c>
      <c r="E382" s="194" t="str">
        <f>VLOOKUP(A382,'11 - FINANCEIRA'!A:M,4,0)</f>
        <v>m</v>
      </c>
      <c r="G382" s="1298" t="str">
        <f t="shared" si="16"/>
        <v>NULO</v>
      </c>
      <c r="H382" s="1298">
        <f t="shared" si="17"/>
        <v>0</v>
      </c>
    </row>
    <row r="383" spans="1:8" ht="26.4" hidden="1">
      <c r="A383" s="205" t="s">
        <v>706</v>
      </c>
      <c r="B383" s="224" t="str">
        <f>VLOOKUP(A383,'11 - FINANCEIRA'!A:M,2,0)</f>
        <v>CP-8296-ED-49321</v>
      </c>
      <c r="C383" s="179" t="str">
        <f>VLOOKUP(A383,'11 - FINANCEIRA'!A:M,3,0)</f>
        <v>Eletroduto de aço galvanizado médio, inclusive conexões, suportes e fixação dn 50 (2")</v>
      </c>
      <c r="D383" s="193">
        <f>VLOOKUP(A383,'11 - FINANCEIRA'!A:M,10,0)</f>
        <v>0</v>
      </c>
      <c r="E383" s="194" t="str">
        <f>VLOOKUP(A383,'11 - FINANCEIRA'!A:M,4,0)</f>
        <v>m</v>
      </c>
      <c r="G383" s="1298" t="str">
        <f t="shared" si="16"/>
        <v>NULO</v>
      </c>
      <c r="H383" s="1298">
        <f t="shared" si="17"/>
        <v>0</v>
      </c>
    </row>
    <row r="384" spans="1:8" ht="26.4" hidden="1">
      <c r="A384" s="205" t="s">
        <v>707</v>
      </c>
      <c r="B384" s="224" t="str">
        <f>VLOOKUP(A384,'11 - FINANCEIRA'!A:M,2,0)</f>
        <v>91863</v>
      </c>
      <c r="C384" s="179" t="str">
        <f>VLOOKUP(A384,'11 - FINANCEIRA'!A:M,3,0)</f>
        <v>Eletroduto rígido roscável, pvc, dn 25 mm (3/4"), para circuitos terminais, instalado em forro - fornecimento e instalação. af_12/2015</v>
      </c>
      <c r="D384" s="193">
        <f>VLOOKUP(A384,'11 - FINANCEIRA'!A:M,10,0)</f>
        <v>0</v>
      </c>
      <c r="E384" s="194" t="str">
        <f>VLOOKUP(A384,'11 - FINANCEIRA'!A:M,4,0)</f>
        <v>m</v>
      </c>
      <c r="G384" s="1298" t="str">
        <f t="shared" si="16"/>
        <v>NULO</v>
      </c>
      <c r="H384" s="1298">
        <f t="shared" si="17"/>
        <v>0</v>
      </c>
    </row>
    <row r="385" spans="1:8" hidden="1">
      <c r="A385" s="205" t="s">
        <v>708</v>
      </c>
      <c r="B385" s="224" t="str">
        <f>VLOOKUP(A385,'11 - FINANCEIRA'!A:M,2,0)</f>
        <v>97668</v>
      </c>
      <c r="C385" s="179" t="str">
        <f>VLOOKUP(A385,'11 - FINANCEIRA'!A:M,3,0)</f>
        <v>Duto em polietileno de alta densidade (pead) ∅2” ref: kanalex ou similar</v>
      </c>
      <c r="D385" s="193">
        <f>VLOOKUP(A385,'11 - FINANCEIRA'!A:M,10,0)</f>
        <v>0</v>
      </c>
      <c r="E385" s="194" t="str">
        <f>VLOOKUP(A385,'11 - FINANCEIRA'!A:M,4,0)</f>
        <v>m</v>
      </c>
      <c r="G385" s="1298" t="str">
        <f t="shared" si="16"/>
        <v>NULO</v>
      </c>
      <c r="H385" s="1298">
        <f t="shared" si="17"/>
        <v>0</v>
      </c>
    </row>
    <row r="386" spans="1:8" ht="39.6" hidden="1">
      <c r="A386" s="205" t="s">
        <v>709</v>
      </c>
      <c r="B386" s="224" t="str">
        <f>VLOOKUP(A386,'11 - FINANCEIRA'!A:M,2,0)</f>
        <v>S150702</v>
      </c>
      <c r="C386" s="179" t="str">
        <f>VLOOKUP(A386,'11 - FINANCEIRA'!A:M,3,0)</f>
        <v>Envelopamento de concreto simples com consumo mínimo de cimento de 250kg/m³, inclusive escavação para profundidade mínima do eletroduto de 50 cm, de 25 x 30 cm, para 2 eletrodutos</v>
      </c>
      <c r="D386" s="193">
        <f>VLOOKUP(A386,'11 - FINANCEIRA'!A:M,10,0)</f>
        <v>0</v>
      </c>
      <c r="E386" s="194" t="str">
        <f>VLOOKUP(A386,'11 - FINANCEIRA'!A:M,4,0)</f>
        <v>m</v>
      </c>
      <c r="G386" s="1298" t="str">
        <f t="shared" si="16"/>
        <v>NULO</v>
      </c>
      <c r="H386" s="1298">
        <f t="shared" si="17"/>
        <v>0</v>
      </c>
    </row>
    <row r="387" spans="1:8" hidden="1">
      <c r="A387" s="205" t="s">
        <v>710</v>
      </c>
      <c r="B387" s="224" t="str">
        <f>VLOOKUP(A387,'11 - FINANCEIRA'!A:M,2,0)</f>
        <v>S151129</v>
      </c>
      <c r="C387" s="179" t="str">
        <f>VLOOKUP(A387,'11 - FINANCEIRA'!A:M,3,0)</f>
        <v>Eletroduto de pvc rígido roscável, diâm. 1 1/2" (50mm), inclusive conexões</v>
      </c>
      <c r="D387" s="193">
        <f>VLOOKUP(A387,'11 - FINANCEIRA'!A:M,10,0)</f>
        <v>0</v>
      </c>
      <c r="E387" s="194" t="str">
        <f>VLOOKUP(A387,'11 - FINANCEIRA'!A:M,4,0)</f>
        <v>m</v>
      </c>
      <c r="G387" s="1298" t="str">
        <f t="shared" si="16"/>
        <v>NULO</v>
      </c>
      <c r="H387" s="1298">
        <f t="shared" si="17"/>
        <v>0</v>
      </c>
    </row>
    <row r="388" spans="1:8" hidden="1">
      <c r="A388" s="205" t="s">
        <v>711</v>
      </c>
      <c r="B388" s="224" t="str">
        <f>VLOOKUP(A388,'11 - FINANCEIRA'!A:M,2,0)</f>
        <v>S151127</v>
      </c>
      <c r="C388" s="179" t="str">
        <f>VLOOKUP(A388,'11 - FINANCEIRA'!A:M,3,0)</f>
        <v>Duto em polietileno de alta densidade (pead) ∅1” ref: kanalex ou similar</v>
      </c>
      <c r="D388" s="193">
        <f>VLOOKUP(A388,'11 - FINANCEIRA'!A:M,10,0)</f>
        <v>0</v>
      </c>
      <c r="E388" s="194" t="str">
        <f>VLOOKUP(A388,'11 - FINANCEIRA'!A:M,4,0)</f>
        <v>m</v>
      </c>
      <c r="G388" s="1298" t="str">
        <f t="shared" si="16"/>
        <v>NULO</v>
      </c>
      <c r="H388" s="1298">
        <f t="shared" si="17"/>
        <v>0</v>
      </c>
    </row>
    <row r="389" spans="1:8" hidden="1">
      <c r="A389" s="205" t="s">
        <v>712</v>
      </c>
      <c r="B389" s="224" t="str">
        <f>VLOOKUP(A389,'11 - FINANCEIRA'!A:M,2,0)</f>
        <v>S151133</v>
      </c>
      <c r="C389" s="179" t="str">
        <f>VLOOKUP(A389,'11 - FINANCEIRA'!A:M,3,0)</f>
        <v>Eletroduto flexível corrugado 1", marca de referência tigre</v>
      </c>
      <c r="D389" s="193">
        <f>VLOOKUP(A389,'11 - FINANCEIRA'!A:M,10,0)</f>
        <v>0</v>
      </c>
      <c r="E389" s="194" t="str">
        <f>VLOOKUP(A389,'11 - FINANCEIRA'!A:M,4,0)</f>
        <v>m</v>
      </c>
      <c r="G389" s="1298" t="str">
        <f t="shared" si="16"/>
        <v>NULO</v>
      </c>
      <c r="H389" s="1298">
        <f t="shared" si="17"/>
        <v>0</v>
      </c>
    </row>
    <row r="390" spans="1:8" s="202" customFormat="1" ht="26.4" hidden="1">
      <c r="A390" s="210" t="s">
        <v>713</v>
      </c>
      <c r="B390" s="224" t="str">
        <f>VLOOKUP(A390,'11 - FINANCEIRA'!A:M,2,0)</f>
        <v>CP-4996-C3764</v>
      </c>
      <c r="C390" s="179" t="str">
        <f>VLOOKUP(A390,'11 - FINANCEIRA'!A:M,3,0)</f>
        <v xml:space="preserve">Rack de parede 19" fechado com chave, 16us, 470x570mm, com portas laterais e frontal, com venezianas, cooler de ventilação na parte superior. </v>
      </c>
      <c r="D390" s="193">
        <f>VLOOKUP(A390,'11 - FINANCEIRA'!A:M,10,0)</f>
        <v>0</v>
      </c>
      <c r="E390" s="194" t="str">
        <f>VLOOKUP(A390,'11 - FINANCEIRA'!A:M,4,0)</f>
        <v>und</v>
      </c>
      <c r="F390" s="217"/>
      <c r="G390" s="1298" t="str">
        <f>IF(D390&gt;0,"POSITIVO",IF(D390=0,"NULO",IF(D390&lt;0,"NEGATIVO")))</f>
        <v>NULO</v>
      </c>
      <c r="H390" s="1298">
        <f>IF(G390="NULO",0,1)</f>
        <v>0</v>
      </c>
    </row>
    <row r="391" spans="1:8" s="202" customFormat="1" ht="39.6" hidden="1">
      <c r="A391" s="210" t="s">
        <v>714</v>
      </c>
      <c r="B391" s="224" t="str">
        <f>VLOOKUP(A391,'11 - FINANCEIRA'!A:M,2,0)</f>
        <v>CP-6629-C4175</v>
      </c>
      <c r="C391" s="179" t="str">
        <f>VLOOKUP(A391,'11 - FINANCEIRA'!A:M,3,0)</f>
        <v>Switch de 24 portas, com taxa de transmissão de 10/100/1000 mbps portas rj-45 10/100/1000 poe+ com detecção automática, camada 3, 4 portas gigabit ethernet sfp fixas, instalação em rack de 19". ref: 2930f 24g poe+ 4sfp – aruba ou similar</v>
      </c>
      <c r="D391" s="193">
        <f>VLOOKUP(A391,'11 - FINANCEIRA'!A:M,10,0)</f>
        <v>0</v>
      </c>
      <c r="E391" s="194" t="str">
        <f>VLOOKUP(A391,'11 - FINANCEIRA'!A:M,4,0)</f>
        <v>und</v>
      </c>
      <c r="F391" s="217"/>
      <c r="G391" s="1298" t="str">
        <f>IF(D391&gt;0,"POSITIVO",IF(D391=0,"NULO",IF(D391&lt;0,"NEGATIVO")))</f>
        <v>NULO</v>
      </c>
      <c r="H391" s="1298">
        <f>IF(G391="NULO",0,1)</f>
        <v>0</v>
      </c>
    </row>
    <row r="392" spans="1:8" hidden="1">
      <c r="A392" s="205" t="s">
        <v>715</v>
      </c>
      <c r="B392" s="224" t="str">
        <f>VLOOKUP(A392,'11 - FINANCEIRA'!A:M,2,0)</f>
        <v>98302</v>
      </c>
      <c r="C392" s="179" t="str">
        <f>VLOOKUP(A392,'11 - FINANCEIRA'!A:M,3,0)</f>
        <v>Patch panel 24 portas, categoria 6 - fornecimento e instalação. af_11/2019</v>
      </c>
      <c r="D392" s="193">
        <f>VLOOKUP(A392,'11 - FINANCEIRA'!A:M,10,0)</f>
        <v>0</v>
      </c>
      <c r="E392" s="194" t="str">
        <f>VLOOKUP(A392,'11 - FINANCEIRA'!A:M,4,0)</f>
        <v>und</v>
      </c>
      <c r="G392" s="1298" t="str">
        <f t="shared" si="16"/>
        <v>NULO</v>
      </c>
      <c r="H392" s="1298">
        <f t="shared" si="17"/>
        <v>0</v>
      </c>
    </row>
    <row r="393" spans="1:8" ht="26.4" hidden="1">
      <c r="A393" s="205" t="s">
        <v>716</v>
      </c>
      <c r="B393" s="224" t="str">
        <f>VLOOKUP(A393,'11 - FINANCEIRA'!A:M,2,0)</f>
        <v>CP-8348-C4569</v>
      </c>
      <c r="C393" s="179" t="str">
        <f>VLOOKUP(A393,'11 - FINANCEIRA'!A:M,3,0)</f>
        <v>Calha de tomadas com filtro para instalação, em rack, com 06 tomadas 2p+t, ref: pial</v>
      </c>
      <c r="D393" s="193">
        <f>VLOOKUP(A393,'11 - FINANCEIRA'!A:M,10,0)</f>
        <v>0</v>
      </c>
      <c r="E393" s="194" t="str">
        <f>VLOOKUP(A393,'11 - FINANCEIRA'!A:M,4,0)</f>
        <v>und</v>
      </c>
      <c r="G393" s="1298" t="str">
        <f t="shared" si="16"/>
        <v>NULO</v>
      </c>
      <c r="H393" s="1298">
        <f t="shared" si="17"/>
        <v>0</v>
      </c>
    </row>
    <row r="394" spans="1:8" ht="39.6" hidden="1">
      <c r="A394" s="205" t="s">
        <v>717</v>
      </c>
      <c r="B394" s="224" t="str">
        <f>VLOOKUP(A394,'11 - FINANCEIRA'!A:M,2,0)</f>
        <v>CP-0098-ED-48376</v>
      </c>
      <c r="C394" s="179" t="str">
        <f>VLOOKUP(A394,'11 - FINANCEIRA'!A:M,3,0)</f>
        <v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v>
      </c>
      <c r="D394" s="193">
        <f>VLOOKUP(A394,'11 - FINANCEIRA'!A:M,10,0)</f>
        <v>0</v>
      </c>
      <c r="E394" s="194" t="str">
        <f>VLOOKUP(A394,'11 - FINANCEIRA'!A:M,4,0)</f>
        <v>cj</v>
      </c>
      <c r="G394" s="1298" t="str">
        <f t="shared" si="16"/>
        <v>NULO</v>
      </c>
      <c r="H394" s="1298">
        <f t="shared" si="17"/>
        <v>0</v>
      </c>
    </row>
    <row r="395" spans="1:8" ht="26.4" hidden="1">
      <c r="A395" s="205" t="s">
        <v>718</v>
      </c>
      <c r="B395" s="224" t="str">
        <f>VLOOKUP(A395,'11 - FINANCEIRA'!A:M,2,0)</f>
        <v>CP-2641-C4568</v>
      </c>
      <c r="C395" s="179" t="str">
        <f>VLOOKUP(A395,'11 - FINANCEIRA'!A:M,3,0)</f>
        <v>Organizador de cabos horizontal, aberto, padrão rack 19"</v>
      </c>
      <c r="D395" s="193">
        <f>VLOOKUP(A395,'11 - FINANCEIRA'!A:M,10,0)</f>
        <v>0</v>
      </c>
      <c r="E395" s="194" t="str">
        <f>VLOOKUP(A395,'11 - FINANCEIRA'!A:M,4,0)</f>
        <v>und</v>
      </c>
      <c r="G395" s="1298" t="str">
        <f t="shared" si="16"/>
        <v>NULO</v>
      </c>
      <c r="H395" s="1298">
        <f t="shared" si="17"/>
        <v>0</v>
      </c>
    </row>
    <row r="396" spans="1:8" ht="26.4" hidden="1">
      <c r="A396" s="205" t="s">
        <v>719</v>
      </c>
      <c r="B396" s="224" t="str">
        <f>VLOOKUP(A396,'11 - FINANCEIRA'!A:M,2,0)</f>
        <v>CP-2292-ED-48378</v>
      </c>
      <c r="C396" s="179" t="str">
        <f>VLOOKUP(A396,'11 - FINANCEIRA'!A:M,3,0)</f>
        <v>Tampa cega de 1u para rack 19"</v>
      </c>
      <c r="D396" s="193">
        <f>VLOOKUP(A396,'11 - FINANCEIRA'!A:M,10,0)</f>
        <v>0</v>
      </c>
      <c r="E396" s="194" t="str">
        <f>VLOOKUP(A396,'11 - FINANCEIRA'!A:M,4,0)</f>
        <v>cj</v>
      </c>
      <c r="G396" s="1298" t="str">
        <f t="shared" si="16"/>
        <v>NULO</v>
      </c>
      <c r="H396" s="1298">
        <f t="shared" si="17"/>
        <v>0</v>
      </c>
    </row>
    <row r="397" spans="1:8" ht="26.4" hidden="1">
      <c r="A397" s="205" t="s">
        <v>720</v>
      </c>
      <c r="B397" s="224" t="str">
        <f>VLOOKUP(A397,'11 - FINANCEIRA'!A:M,2,0)</f>
        <v>CP-6491-C3765</v>
      </c>
      <c r="C397" s="179" t="str">
        <f>VLOOKUP(A397,'11 - FINANCEIRA'!A:M,3,0)</f>
        <v xml:space="preserve">Dio 24fo distribuidor interno óptico sc mm 62.5/125 gaveta 19'' 1u </v>
      </c>
      <c r="D397" s="193">
        <f>VLOOKUP(A397,'11 - FINANCEIRA'!A:M,10,0)</f>
        <v>0</v>
      </c>
      <c r="E397" s="194" t="str">
        <f>VLOOKUP(A397,'11 - FINANCEIRA'!A:M,4,0)</f>
        <v>UN</v>
      </c>
      <c r="G397" s="1298" t="str">
        <f t="shared" si="16"/>
        <v>NULO</v>
      </c>
      <c r="H397" s="1298">
        <f t="shared" si="17"/>
        <v>0</v>
      </c>
    </row>
    <row r="398" spans="1:8" ht="26.4" hidden="1">
      <c r="A398" s="205" t="s">
        <v>721</v>
      </c>
      <c r="B398" s="224" t="str">
        <f>VLOOKUP(A398,'11 - FINANCEIRA'!A:M,2,0)</f>
        <v>CP-2132-S160106</v>
      </c>
      <c r="C398" s="179" t="str">
        <f>VLOOKUP(A398,'11 - FINANCEIRA'!A:M,3,0)</f>
        <v>Aterramento com haste de terra 5/8"x2.40m, cabo de cobre nú 25mm²</v>
      </c>
      <c r="D398" s="193">
        <f>VLOOKUP(A398,'11 - FINANCEIRA'!A:M,10,0)</f>
        <v>0</v>
      </c>
      <c r="E398" s="194" t="str">
        <f>VLOOKUP(A398,'11 - FINANCEIRA'!A:M,4,0)</f>
        <v>und</v>
      </c>
      <c r="G398" s="1298" t="str">
        <f t="shared" si="16"/>
        <v>NULO</v>
      </c>
      <c r="H398" s="1298">
        <f t="shared" si="17"/>
        <v>0</v>
      </c>
    </row>
    <row r="399" spans="1:8" ht="26.4" hidden="1">
      <c r="A399" s="205" t="s">
        <v>722</v>
      </c>
      <c r="B399" s="224" t="str">
        <f>VLOOKUP(A399,'11 - FINANCEIRA'!A:M,2,0)</f>
        <v>92984</v>
      </c>
      <c r="C399" s="179" t="str">
        <f>VLOOKUP(A399,'11 - FINANCEIRA'!A:M,3,0)</f>
        <v>Cabo de cobre flexível isolado, 25 mm², anti-chama 0,6/1,0 kv, para distribuição - fornecimento e instalação. af_12/2015 - verde</v>
      </c>
      <c r="D399" s="193">
        <f>VLOOKUP(A399,'11 - FINANCEIRA'!A:M,10,0)</f>
        <v>0</v>
      </c>
      <c r="E399" s="194" t="str">
        <f>VLOOKUP(A399,'11 - FINANCEIRA'!A:M,4,0)</f>
        <v>m</v>
      </c>
      <c r="G399" s="1298" t="str">
        <f>IF(D399&gt;0,"POSITIVO",IF(D399=0,"NULO",IF(D399&lt;0,"NEGATIVO")))</f>
        <v>NULO</v>
      </c>
      <c r="H399" s="1298">
        <f>IF(G399="NULO",0,1)</f>
        <v>0</v>
      </c>
    </row>
    <row r="400" spans="1:8" ht="26.4" hidden="1">
      <c r="A400" s="205" t="s">
        <v>723</v>
      </c>
      <c r="B400" s="224" t="str">
        <f>VLOOKUP(A400,'11 - FINANCEIRA'!A:M,2,0)</f>
        <v>S160310</v>
      </c>
      <c r="C400" s="179" t="str">
        <f>VLOOKUP(A400,'11 - FINANCEIRA'!A:M,3,0)</f>
        <v>Conector de medição em latão com 2 parafusos para cabos de 16 a 50 mm², ref. tel-562, termotécnica ou equivalente</v>
      </c>
      <c r="D400" s="193">
        <f>VLOOKUP(A400,'11 - FINANCEIRA'!A:M,10,0)</f>
        <v>0</v>
      </c>
      <c r="E400" s="194" t="str">
        <f>VLOOKUP(A400,'11 - FINANCEIRA'!A:M,4,0)</f>
        <v>und</v>
      </c>
      <c r="G400" s="1298" t="str">
        <f t="shared" si="16"/>
        <v>NULO</v>
      </c>
      <c r="H400" s="1298">
        <f t="shared" si="17"/>
        <v>0</v>
      </c>
    </row>
    <row r="401" spans="1:8" ht="39.6" hidden="1">
      <c r="A401" s="205" t="s">
        <v>724</v>
      </c>
      <c r="B401" s="224" t="str">
        <f>VLOOKUP(A401,'11 - FINANCEIRA'!A:M,2,0)</f>
        <v>COMP-458410</v>
      </c>
      <c r="C401" s="179" t="str">
        <f>VLOOKUP(A401,'11 - FINANCEIRA'!A:M,3,0)</f>
        <v>Câmera ip speed dome 2mp com 37x de zoom, resolução full hd, com análise inteligente de vídeo, mapa de calor e detecção de face, alimentação: 24 vac / 3 a, poe+ (ieee 802.3at), ip67 e ik10, ref: vip 7237 sd intelbras ou similar com suporte conforme projeto</v>
      </c>
      <c r="D401" s="193">
        <f>VLOOKUP(A401,'11 - FINANCEIRA'!A:M,10,0)</f>
        <v>0</v>
      </c>
      <c r="E401" s="194" t="str">
        <f>VLOOKUP(A401,'11 - FINANCEIRA'!A:M,4,0)</f>
        <v>und</v>
      </c>
      <c r="G401" s="1298" t="str">
        <f t="shared" si="16"/>
        <v>NULO</v>
      </c>
      <c r="H401" s="1298">
        <f t="shared" si="17"/>
        <v>0</v>
      </c>
    </row>
    <row r="402" spans="1:8" ht="39.6" hidden="1">
      <c r="A402" s="205" t="s">
        <v>725</v>
      </c>
      <c r="B402" s="224" t="str">
        <f>VLOOKUP(A402,'11 - FINANCEIRA'!A:M,2,0)</f>
        <v>COMP-313404</v>
      </c>
      <c r="C402" s="179" t="str">
        <f>VLOOKUP(A402,'11 - FINANCEIRA'!A:M,3,0)</f>
        <v>Câmera ip dome, resolução de 1 mp, lente fixa de 2,8 mm, ir inteligente com alcance de 20 metros, instalação interna ou externa, alimentação: 12 vdc/poe (802.3af), ref: vip s4020 g2 intelbras com suporte conforme projeto</v>
      </c>
      <c r="D402" s="193">
        <f>VLOOKUP(A402,'11 - FINANCEIRA'!A:M,10,0)</f>
        <v>0</v>
      </c>
      <c r="E402" s="194" t="str">
        <f>VLOOKUP(A402,'11 - FINANCEIRA'!A:M,4,0)</f>
        <v>und</v>
      </c>
      <c r="G402" s="1298" t="str">
        <f t="shared" si="16"/>
        <v>NULO</v>
      </c>
      <c r="H402" s="1298">
        <f t="shared" si="17"/>
        <v>0</v>
      </c>
    </row>
    <row r="403" spans="1:8" ht="39.6" hidden="1">
      <c r="A403" s="205" t="s">
        <v>726</v>
      </c>
      <c r="B403" s="224" t="str">
        <f>VLOOKUP(A403,'11 - FINANCEIRA'!A:M,2,0)</f>
        <v>COMP-931947</v>
      </c>
      <c r="C403" s="179" t="str">
        <f>VLOOKUP(A403,'11 - FINANCEIRA'!A:M,3,0)</f>
        <v>Câmera ip bullet 12mp, zoom motorizado, inteligências de vídeo, entrada e saída de alarme, alimentação: 12 vdc ou, poe+ (ieee 802.3at), ip67 e ik10, ref: vip 71250 z intelbras ou similar com suporte conforme projeto</v>
      </c>
      <c r="D403" s="193">
        <f>VLOOKUP(A403,'11 - FINANCEIRA'!A:M,10,0)</f>
        <v>0</v>
      </c>
      <c r="E403" s="194" t="str">
        <f>VLOOKUP(A403,'11 - FINANCEIRA'!A:M,4,0)</f>
        <v>und</v>
      </c>
      <c r="G403" s="1298" t="str">
        <f t="shared" si="16"/>
        <v>NULO</v>
      </c>
      <c r="H403" s="1298">
        <f t="shared" si="17"/>
        <v>0</v>
      </c>
    </row>
    <row r="404" spans="1:8" ht="39.6" hidden="1">
      <c r="A404" s="205" t="s">
        <v>727</v>
      </c>
      <c r="B404" s="224" t="str">
        <f>VLOOKUP(A404,'11 - FINANCEIRA'!A:M,2,0)</f>
        <v>COMP-033007</v>
      </c>
      <c r="C404" s="179" t="str">
        <f>VLOOKUP(A404,'11 - FINANCEIRA'!A:M,3,0)</f>
        <v>"gravador digital de vídeo em rede para até 32 câmeras ip em full hd a 30 fps 2 interfaces de rede gigabit ethernet, 16 entradas de alarme, reconhecimento automático das câmeras ips, fonte interna, 100-240 vac. 50/60 hz, ref: nvd 7132 intelbras ou similar"</v>
      </c>
      <c r="D404" s="193">
        <f>VLOOKUP(A404,'11 - FINANCEIRA'!A:M,10,0)</f>
        <v>0</v>
      </c>
      <c r="E404" s="194" t="str">
        <f>VLOOKUP(A404,'11 - FINANCEIRA'!A:M,4,0)</f>
        <v>und</v>
      </c>
      <c r="G404" s="1298" t="str">
        <f t="shared" si="16"/>
        <v>NULO</v>
      </c>
      <c r="H404" s="1298">
        <f t="shared" si="17"/>
        <v>0</v>
      </c>
    </row>
    <row r="405" spans="1:8" ht="26.4" hidden="1">
      <c r="A405" s="205" t="s">
        <v>728</v>
      </c>
      <c r="B405" s="224" t="str">
        <f>VLOOKUP(A405,'11 - FINANCEIRA'!A:M,2,0)</f>
        <v>COMP-976005</v>
      </c>
      <c r="C405" s="179" t="str">
        <f>VLOOKUP(A405,'11 - FINANCEIRA'!A:M,3,0)</f>
        <v>Conversor de midia poe 2 km 100 base-fx para 10/100 base-tx</v>
      </c>
      <c r="D405" s="193">
        <f>VLOOKUP(A405,'11 - FINANCEIRA'!A:M,10,0)</f>
        <v>0</v>
      </c>
      <c r="E405" s="194" t="str">
        <f>VLOOKUP(A405,'11 - FINANCEIRA'!A:M,4,0)</f>
        <v>und</v>
      </c>
      <c r="G405" s="1298" t="str">
        <f t="shared" si="16"/>
        <v>NULO</v>
      </c>
      <c r="H405" s="1298">
        <f t="shared" si="17"/>
        <v>0</v>
      </c>
    </row>
    <row r="406" spans="1:8" hidden="1">
      <c r="A406" s="205" t="s">
        <v>283</v>
      </c>
      <c r="B406" s="200" t="str">
        <f>VLOOKUP(A406,'11 - FINANCEIRA'!A:M,1,0)</f>
        <v>2.6</v>
      </c>
      <c r="C406" s="184" t="str">
        <f>VLOOKUP(A406,'11 - FINANCEIRA'!A:M,2,0)</f>
        <v>HIDROMECANICO</v>
      </c>
      <c r="D406" s="185"/>
      <c r="E406" s="200"/>
      <c r="F406" s="220"/>
      <c r="G406" s="1300"/>
      <c r="H406" s="1300">
        <f>SUM(H407:H434)</f>
        <v>0</v>
      </c>
    </row>
    <row r="407" spans="1:8" s="189" customFormat="1" hidden="1">
      <c r="A407" s="207" t="s">
        <v>729</v>
      </c>
      <c r="B407" s="200" t="str">
        <f>VLOOKUP(A407,'11 - FINANCEIRA'!A:M,1,0)</f>
        <v>2.6.1</v>
      </c>
      <c r="C407" s="184" t="str">
        <f>VLOOKUP(A407,'11 - FINANCEIRA'!A:M,2,0)</f>
        <v>EQUIPAMENTOS (BDI = 14,02%)</v>
      </c>
      <c r="D407" s="185"/>
      <c r="E407" s="200"/>
      <c r="F407" s="219"/>
      <c r="G407" s="1301"/>
      <c r="H407" s="1301">
        <f>SUM(H408:H413)</f>
        <v>0</v>
      </c>
    </row>
    <row r="408" spans="1:8" s="202" customFormat="1" ht="26.4" hidden="1">
      <c r="A408" s="210" t="s">
        <v>730</v>
      </c>
      <c r="B408" s="224" t="str">
        <f>VLOOKUP(A408,'11 - FINANCEIRA'!A:M,2,0)</f>
        <v>COMP-954588</v>
      </c>
      <c r="C408" s="179" t="str">
        <f>VLOOKUP(A408,'11 - FINANCEIRA'!A:M,3,0)</f>
        <v>Comporta do poço de bomba com abertura livre de 2,10m x 2,5 m, fixação químico, com atuador elétrico e manual.  - BDI = 14,02</v>
      </c>
      <c r="D408" s="193">
        <f>VLOOKUP(A408,'11 - FINANCEIRA'!A:M,10,0)</f>
        <v>0</v>
      </c>
      <c r="E408" s="194" t="str">
        <f>VLOOKUP(A408,'11 - FINANCEIRA'!A:M,4,0)</f>
        <v>und</v>
      </c>
      <c r="F408" s="217"/>
      <c r="G408" s="1298" t="str">
        <f>IF(D408&gt;0,"POSITIVO",IF(D408=0,"NULO",IF(D408&lt;0,"NEGATIVO")))</f>
        <v>NULO</v>
      </c>
      <c r="H408" s="1298">
        <f>IF(G408="NULO",0,1)</f>
        <v>0</v>
      </c>
    </row>
    <row r="409" spans="1:8" ht="26.4" hidden="1">
      <c r="A409" s="205" t="s">
        <v>731</v>
      </c>
      <c r="B409" s="224" t="str">
        <f>VLOOKUP(A409,'11 - FINANCEIRA'!A:M,2,0)</f>
        <v>INS-940514</v>
      </c>
      <c r="C409" s="179" t="str">
        <f>VLOOKUP(A409,'11 - FINANCEIRA'!A:M,3,0)</f>
        <v>Grade mecanizada e automatizada, retenção sólido grosseiro igual ou maior que 50 mm, 2,0 m largura e 3,5 m altura, inclinação 75° - BDI = 14,02</v>
      </c>
      <c r="D409" s="193">
        <f>VLOOKUP(A409,'11 - FINANCEIRA'!A:M,10,0)</f>
        <v>0</v>
      </c>
      <c r="E409" s="194" t="str">
        <f>VLOOKUP(A409,'11 - FINANCEIRA'!A:M,4,0)</f>
        <v>und</v>
      </c>
      <c r="G409" s="1298" t="str">
        <f t="shared" si="16"/>
        <v>NULO</v>
      </c>
      <c r="H409" s="1298">
        <f t="shared" si="17"/>
        <v>0</v>
      </c>
    </row>
    <row r="410" spans="1:8" hidden="1">
      <c r="A410" s="205" t="s">
        <v>732</v>
      </c>
      <c r="B410" s="224" t="str">
        <f>VLOOKUP(A410,'11 - FINANCEIRA'!A:M,2,0)</f>
        <v>INS-551494</v>
      </c>
      <c r="C410" s="179" t="str">
        <f>VLOOKUP(A410,'11 - FINANCEIRA'!A:M,3,0)</f>
        <v>Válvula de retenção portinhola simples, tipo wafer, pn 10  - BDI = 14,02</v>
      </c>
      <c r="D410" s="193">
        <f>VLOOKUP(A410,'11 - FINANCEIRA'!A:M,10,0)</f>
        <v>0</v>
      </c>
      <c r="E410" s="194" t="str">
        <f>VLOOKUP(A410,'11 - FINANCEIRA'!A:M,4,0)</f>
        <v>und</v>
      </c>
      <c r="G410" s="1298" t="str">
        <f t="shared" si="16"/>
        <v>NULO</v>
      </c>
      <c r="H410" s="1298">
        <f t="shared" si="17"/>
        <v>0</v>
      </c>
    </row>
    <row r="411" spans="1:8" hidden="1">
      <c r="A411" s="205" t="s">
        <v>733</v>
      </c>
      <c r="B411" s="224" t="str">
        <f>VLOOKUP(A411,'11 - FINANCEIRA'!A:M,2,0)</f>
        <v>INS-111400</v>
      </c>
      <c r="C411" s="179" t="str">
        <f>VLOOKUP(A411,'11 - FINANCEIRA'!A:M,3,0)</f>
        <v>Válvula flap – pn 10, flange na classe k7, pn 10, nbr 7675. - BDI = 14,02</v>
      </c>
      <c r="D411" s="193">
        <f>VLOOKUP(A411,'11 - FINANCEIRA'!A:M,10,0)</f>
        <v>0</v>
      </c>
      <c r="E411" s="194" t="str">
        <f>VLOOKUP(A411,'11 - FINANCEIRA'!A:M,4,0)</f>
        <v>und</v>
      </c>
      <c r="G411" s="1298" t="str">
        <f t="shared" si="16"/>
        <v>NULO</v>
      </c>
      <c r="H411" s="1298">
        <f t="shared" si="17"/>
        <v>0</v>
      </c>
    </row>
    <row r="412" spans="1:8" ht="39.6" hidden="1">
      <c r="A412" s="205" t="s">
        <v>734</v>
      </c>
      <c r="B412" s="188" t="str">
        <f>VLOOKUP(A412,'11 - FINANCEIRA'!A:M,2,0)</f>
        <v>INS-333485-JUN20</v>
      </c>
      <c r="C412" s="179" t="str">
        <f>VLOOKUP(A412,'11 - FINANCEIRA'!A:M,3,0)</f>
        <v>Bomba submersível, q=2,5m³/s, com descarga entre flanges, coluna de descarga vertical com dn 1200mm e flange de saída para linha de recalque na classe k7, pn 10, nbr 7675 (frete incluso) - BDI = 14,02</v>
      </c>
      <c r="D412" s="193">
        <f>VLOOKUP(A412,'11 - FINANCEIRA'!A:M,10,0)</f>
        <v>0</v>
      </c>
      <c r="E412" s="194" t="str">
        <f>VLOOKUP(A412,'11 - FINANCEIRA'!A:M,4,0)</f>
        <v>und</v>
      </c>
      <c r="G412" s="1298" t="str">
        <f t="shared" si="16"/>
        <v>NULO</v>
      </c>
      <c r="H412" s="1298">
        <f t="shared" si="17"/>
        <v>0</v>
      </c>
    </row>
    <row r="413" spans="1:8" ht="39.6" hidden="1">
      <c r="A413" s="205" t="s">
        <v>735</v>
      </c>
      <c r="B413" s="224" t="str">
        <f>VLOOKUP(A413,'11 - FINANCEIRA'!A:M,2,0)</f>
        <v>CP-8662-CP-8637-INS-330573</v>
      </c>
      <c r="C413" s="179" t="str">
        <f>VLOOKUP(A413,'11 - FINANCEIRA'!A:M,3,0)</f>
        <v>Equipamento de içamento: monovia em perfil metálico com talha elétrica com trole elétrico, carga = 5.000 kg laranja bdi=14,02% - BDI = 14,02</v>
      </c>
      <c r="D413" s="193">
        <f>VLOOKUP(A413,'11 - FINANCEIRA'!A:M,10,0)</f>
        <v>0</v>
      </c>
      <c r="E413" s="194" t="str">
        <f>VLOOKUP(A413,'11 - FINANCEIRA'!A:M,4,0)</f>
        <v>und</v>
      </c>
      <c r="G413" s="1298" t="str">
        <f t="shared" si="16"/>
        <v>NULO</v>
      </c>
      <c r="H413" s="1298">
        <f t="shared" si="17"/>
        <v>0</v>
      </c>
    </row>
    <row r="414" spans="1:8" s="189" customFormat="1" hidden="1">
      <c r="A414" s="207" t="s">
        <v>736</v>
      </c>
      <c r="B414" s="200" t="str">
        <f>VLOOKUP(A414,'11 - FINANCEIRA'!A:M,1,0)</f>
        <v>2.6.2</v>
      </c>
      <c r="C414" s="184" t="str">
        <f>VLOOKUP(A414,'11 - FINANCEIRA'!A:M,2,0)</f>
        <v>INSTALAÇÃO DE EQUIPAMENTOS</v>
      </c>
      <c r="D414" s="185"/>
      <c r="E414" s="200"/>
      <c r="F414" s="219"/>
      <c r="G414" s="1301"/>
      <c r="H414" s="1301">
        <f>SUM(H415:H421)</f>
        <v>0</v>
      </c>
    </row>
    <row r="415" spans="1:8" ht="26.4" hidden="1">
      <c r="A415" s="205" t="s">
        <v>737</v>
      </c>
      <c r="B415" s="224" t="str">
        <f>VLOOKUP(A415,'11 - FINANCEIRA'!A:M,2,0)</f>
        <v>COMP-975652</v>
      </c>
      <c r="C415" s="179" t="str">
        <f>VLOOKUP(A415,'11 - FINANCEIRA'!A:M,3,0)</f>
        <v>Transporte e montagem de comportas de poço de bomba</v>
      </c>
      <c r="D415" s="193">
        <f>VLOOKUP(A415,'11 - FINANCEIRA'!A:M,10,0)</f>
        <v>0</v>
      </c>
      <c r="E415" s="194" t="str">
        <f>VLOOKUP(A415,'11 - FINANCEIRA'!A:M,4,0)</f>
        <v>und</v>
      </c>
      <c r="G415" s="1298" t="str">
        <f t="shared" si="16"/>
        <v>NULO</v>
      </c>
      <c r="H415" s="1298">
        <f t="shared" si="17"/>
        <v>0</v>
      </c>
    </row>
    <row r="416" spans="1:8" ht="26.4" hidden="1">
      <c r="A416" s="205" t="s">
        <v>738</v>
      </c>
      <c r="B416" s="224" t="str">
        <f>VLOOKUP(A416,'11 - FINANCEIRA'!A:M,2,0)</f>
        <v>COMP-355707</v>
      </c>
      <c r="C416" s="179" t="str">
        <f>VLOOKUP(A416,'11 - FINANCEIRA'!A:M,3,0)</f>
        <v>Transporte e instalação de grade mecanizada e automatizada, retenção sólido grosseiro igual ou maior que 50 mm, 2,0 m largura e 3,5 m altura, inclinação 75°</v>
      </c>
      <c r="D416" s="193">
        <f>VLOOKUP(A416,'11 - FINANCEIRA'!A:M,10,0)</f>
        <v>0</v>
      </c>
      <c r="E416" s="194" t="str">
        <f>VLOOKUP(A416,'11 - FINANCEIRA'!A:M,4,0)</f>
        <v>und</v>
      </c>
      <c r="G416" s="1298" t="str">
        <f t="shared" si="16"/>
        <v>NULO</v>
      </c>
      <c r="H416" s="1298">
        <f t="shared" si="17"/>
        <v>0</v>
      </c>
    </row>
    <row r="417" spans="1:8" ht="26.4" hidden="1">
      <c r="A417" s="205" t="s">
        <v>739</v>
      </c>
      <c r="B417" s="224" t="str">
        <f>VLOOKUP(A417,'11 - FINANCEIRA'!A:M,2,0)</f>
        <v>COMP-137756</v>
      </c>
      <c r="C417" s="179" t="str">
        <f>VLOOKUP(A417,'11 - FINANCEIRA'!A:M,3,0)</f>
        <v xml:space="preserve">Transporte e instalação de válvula de retenção portinhola simples, tipo wafer, pn 10 </v>
      </c>
      <c r="D417" s="193">
        <f>VLOOKUP(A417,'11 - FINANCEIRA'!A:M,10,0)</f>
        <v>0</v>
      </c>
      <c r="E417" s="194" t="str">
        <f>VLOOKUP(A417,'11 - FINANCEIRA'!A:M,4,0)</f>
        <v>und</v>
      </c>
      <c r="G417" s="1298" t="str">
        <f t="shared" si="16"/>
        <v>NULO</v>
      </c>
      <c r="H417" s="1298">
        <f t="shared" si="17"/>
        <v>0</v>
      </c>
    </row>
    <row r="418" spans="1:8" ht="26.4" hidden="1">
      <c r="A418" s="205" t="s">
        <v>740</v>
      </c>
      <c r="B418" s="224" t="str">
        <f>VLOOKUP(A418,'11 - FINANCEIRA'!A:M,2,0)</f>
        <v>COMP-037602</v>
      </c>
      <c r="C418" s="179" t="str">
        <f>VLOOKUP(A418,'11 - FINANCEIRA'!A:M,3,0)</f>
        <v>Transporte e instalação de válvula flap – pn 10, flange na classe k7, pn 10, nbr 7675.</v>
      </c>
      <c r="D418" s="193">
        <f>VLOOKUP(A418,'11 - FINANCEIRA'!A:M,10,0)</f>
        <v>0</v>
      </c>
      <c r="E418" s="194" t="str">
        <f>VLOOKUP(A418,'11 - FINANCEIRA'!A:M,4,0)</f>
        <v>und</v>
      </c>
      <c r="G418" s="1298" t="str">
        <f t="shared" si="16"/>
        <v>NULO</v>
      </c>
      <c r="H418" s="1298">
        <f t="shared" si="17"/>
        <v>0</v>
      </c>
    </row>
    <row r="419" spans="1:8" ht="39.6" hidden="1">
      <c r="A419" s="205" t="s">
        <v>741</v>
      </c>
      <c r="B419" s="224" t="str">
        <f>VLOOKUP(A419,'11 - FINANCEIRA'!A:M,2,0)</f>
        <v>COMP-622488</v>
      </c>
      <c r="C419" s="179" t="str">
        <f>VLOOKUP(A419,'11 - FINANCEIRA'!A:M,3,0)</f>
        <v xml:space="preserve">Instalação de bomba submersível, q=2,5m³/s, com descarga entre flanges, coluna de descarga vertical com dn 1200mm e flange de saída para linha de recalque na classe k7, pn 10, nbr 7675 </v>
      </c>
      <c r="D419" s="193">
        <f>VLOOKUP(A419,'11 - FINANCEIRA'!A:M,10,0)</f>
        <v>0</v>
      </c>
      <c r="E419" s="194" t="str">
        <f>VLOOKUP(A419,'11 - FINANCEIRA'!A:M,4,0)</f>
        <v>und</v>
      </c>
      <c r="G419" s="1298" t="str">
        <f t="shared" si="16"/>
        <v>NULO</v>
      </c>
      <c r="H419" s="1298">
        <f t="shared" si="17"/>
        <v>0</v>
      </c>
    </row>
    <row r="420" spans="1:8" ht="26.4" hidden="1">
      <c r="A420" s="205" t="s">
        <v>742</v>
      </c>
      <c r="B420" s="224" t="str">
        <f>VLOOKUP(A420,'11 - FINANCEIRA'!A:M,2,0)</f>
        <v>COMP-293431</v>
      </c>
      <c r="C420" s="179" t="str">
        <f>VLOOKUP(A420,'11 - FINANCEIRA'!A:M,3,0)</f>
        <v>Transporte e montagem de equipamento de içamento: monovia em perfil metálico com talha elétrica com trole elétrico, carga = 5.000 kg - BDI = 14,02</v>
      </c>
      <c r="D420" s="193">
        <f>VLOOKUP(A420,'11 - FINANCEIRA'!A:M,10,0)</f>
        <v>0</v>
      </c>
      <c r="E420" s="194" t="str">
        <f>VLOOKUP(A420,'11 - FINANCEIRA'!A:M,4,0)</f>
        <v>und</v>
      </c>
      <c r="G420" s="1298" t="str">
        <f t="shared" si="16"/>
        <v>NULO</v>
      </c>
      <c r="H420" s="1298">
        <f t="shared" si="17"/>
        <v>0</v>
      </c>
    </row>
    <row r="421" spans="1:8" ht="39.6" hidden="1">
      <c r="A421" s="205" t="s">
        <v>743</v>
      </c>
      <c r="B421" s="224" t="str">
        <f>VLOOKUP(A421,'11 - FINANCEIRA'!A:M,2,0)</f>
        <v>CP-2082-06.001.0318-0</v>
      </c>
      <c r="C421" s="179" t="str">
        <f>VLOOKUP(A421,'11 - FINANCEIRA'!A:M,3,0)</f>
        <v>Montagem e fornecimento de haste de prolongamento com extremidades rosqueadas, diâmetro 1.1/6”, l=6000mm em pedestais de comando ou manobra</v>
      </c>
      <c r="D421" s="193">
        <f>VLOOKUP(A421,'11 - FINANCEIRA'!A:M,10,0)</f>
        <v>0</v>
      </c>
      <c r="E421" s="194" t="str">
        <f>VLOOKUP(A421,'11 - FINANCEIRA'!A:M,4,0)</f>
        <v>und</v>
      </c>
      <c r="G421" s="1298" t="str">
        <f t="shared" si="16"/>
        <v>NULO</v>
      </c>
      <c r="H421" s="1298">
        <f t="shared" si="17"/>
        <v>0</v>
      </c>
    </row>
    <row r="422" spans="1:8" s="189" customFormat="1" hidden="1">
      <c r="A422" s="207" t="s">
        <v>744</v>
      </c>
      <c r="B422" s="200" t="str">
        <f>VLOOKUP(A422,'11 - FINANCEIRA'!A:M,1,0)</f>
        <v>2.6.3</v>
      </c>
      <c r="C422" s="184" t="str">
        <f>VLOOKUP(A422,'11 - FINANCEIRA'!A:M,2,0)</f>
        <v>TUBULAÇÃO</v>
      </c>
      <c r="D422" s="185"/>
      <c r="E422" s="200"/>
      <c r="F422" s="219"/>
      <c r="G422" s="1301"/>
      <c r="H422" s="1301">
        <f>SUM(H423:H434)</f>
        <v>0</v>
      </c>
    </row>
    <row r="423" spans="1:8" s="189" customFormat="1" hidden="1">
      <c r="A423" s="207" t="s">
        <v>745</v>
      </c>
      <c r="B423" s="200" t="str">
        <f>VLOOKUP(A423,'11 - FINANCEIRA'!A:M,1,0)</f>
        <v>2.6.3.1</v>
      </c>
      <c r="C423" s="184" t="str">
        <f>VLOOKUP(A423,'11 - FINANCEIRA'!A:M,2,0)</f>
        <v xml:space="preserve">Fornecimento (BDI = 14,02%) </v>
      </c>
      <c r="D423" s="185"/>
      <c r="E423" s="200"/>
      <c r="F423" s="219"/>
      <c r="G423" s="1301"/>
      <c r="H423" s="1301">
        <f>SUM(H424:H434)</f>
        <v>0</v>
      </c>
    </row>
    <row r="424" spans="1:8" ht="26.4" hidden="1">
      <c r="A424" s="205" t="s">
        <v>746</v>
      </c>
      <c r="B424" s="224" t="str">
        <f>VLOOKUP(A424,'11 - FINANCEIRA'!A:M,2,0)</f>
        <v>CP-0836-I4620</v>
      </c>
      <c r="C424" s="179" t="str">
        <f>VLOOKUP(A424,'11 - FINANCEIRA'!A:M,3,0)</f>
        <v>Tubo fofo c/ flanges dn 1200 pn10 - l=800 - BDI = 14,02</v>
      </c>
      <c r="D424" s="193">
        <f>VLOOKUP(A424,'11 - FINANCEIRA'!A:M,10,0)</f>
        <v>0</v>
      </c>
      <c r="E424" s="194" t="str">
        <f>VLOOKUP(A424,'11 - FINANCEIRA'!A:M,4,0)</f>
        <v>und</v>
      </c>
      <c r="G424" s="1298" t="str">
        <f t="shared" ref="G424:G436" si="18">IF(D424&gt;0,"POSITIVO",IF(D424=0,"NULO",IF(D424&lt;0,"NEGATIVO")))</f>
        <v>NULO</v>
      </c>
      <c r="H424" s="1298">
        <f t="shared" ref="H424:H436" si="19">IF(G424="NULO",0,1)</f>
        <v>0</v>
      </c>
    </row>
    <row r="425" spans="1:8" ht="26.4" hidden="1">
      <c r="A425" s="205" t="s">
        <v>747</v>
      </c>
      <c r="B425" s="224" t="str">
        <f>VLOOKUP(A425,'11 - FINANCEIRA'!A:M,2,0)</f>
        <v>CP-4313-I4812</v>
      </c>
      <c r="C425" s="179" t="str">
        <f>VLOOKUP(A425,'11 - FINANCEIRA'!A:M,3,0)</f>
        <v>Tubo fofo c/flange e ponta dn 1200 pn10 - l=3900 - BDI = 14,02</v>
      </c>
      <c r="D425" s="193">
        <f>VLOOKUP(A425,'11 - FINANCEIRA'!A:M,10,0)</f>
        <v>0</v>
      </c>
      <c r="E425" s="194" t="str">
        <f>VLOOKUP(A425,'11 - FINANCEIRA'!A:M,4,0)</f>
        <v>und</v>
      </c>
      <c r="G425" s="1298" t="str">
        <f t="shared" si="18"/>
        <v>NULO</v>
      </c>
      <c r="H425" s="1298">
        <f t="shared" si="19"/>
        <v>0</v>
      </c>
    </row>
    <row r="426" spans="1:8" ht="39.6" hidden="1">
      <c r="A426" s="205" t="s">
        <v>748</v>
      </c>
      <c r="B426" s="224" t="str">
        <f>VLOOKUP(A426,'11 - FINANCEIRA'!A:M,2,0)</f>
        <v>CP-3231-COMP-019624</v>
      </c>
      <c r="C426" s="179" t="str">
        <f>VLOOKUP(A426,'11 - FINANCEIRA'!A:M,3,0)</f>
        <v>Tubo ponta e bolsa 1200 - JTE, classe k9 - l= 6000  - BDI = 14,02</v>
      </c>
      <c r="D426" s="193">
        <f>VLOOKUP(A426,'11 - FINANCEIRA'!A:M,10,0)</f>
        <v>0</v>
      </c>
      <c r="E426" s="194" t="str">
        <f>VLOOKUP(A426,'11 - FINANCEIRA'!A:M,4,0)</f>
        <v>und</v>
      </c>
      <c r="G426" s="1298" t="str">
        <f t="shared" si="18"/>
        <v>NULO</v>
      </c>
      <c r="H426" s="1298">
        <f t="shared" si="19"/>
        <v>0</v>
      </c>
    </row>
    <row r="427" spans="1:8" ht="39.6" hidden="1">
      <c r="A427" s="205" t="s">
        <v>749</v>
      </c>
      <c r="B427" s="224" t="str">
        <f>VLOOKUP(A427,'11 - FINANCEIRA'!A:M,2,0)</f>
        <v>CP-9082-COMP-019624</v>
      </c>
      <c r="C427" s="179" t="str">
        <f>VLOOKUP(A427,'11 - FINANCEIRA'!A:M,3,0)</f>
        <v>Tubo ponta e bolsa 1200 - JTE, classe k9 l= 7000  - BDI = 14,02</v>
      </c>
      <c r="D427" s="193">
        <f>VLOOKUP(A427,'11 - FINANCEIRA'!A:M,10,0)</f>
        <v>0</v>
      </c>
      <c r="E427" s="194" t="str">
        <f>VLOOKUP(A427,'11 - FINANCEIRA'!A:M,4,0)</f>
        <v>m</v>
      </c>
      <c r="G427" s="1298" t="str">
        <f t="shared" si="18"/>
        <v>NULO</v>
      </c>
      <c r="H427" s="1298">
        <f t="shared" si="19"/>
        <v>0</v>
      </c>
    </row>
    <row r="428" spans="1:8" ht="39.6" hidden="1">
      <c r="A428" s="205" t="s">
        <v>750</v>
      </c>
      <c r="B428" s="224" t="str">
        <f>VLOOKUP(A428,'11 - FINANCEIRA'!A:M,2,0)</f>
        <v>CP-4739-COMP-334223</v>
      </c>
      <c r="C428" s="179" t="str">
        <f>VLOOKUP(A428,'11 - FINANCEIRA'!A:M,3,0)</f>
        <v>Tubo cilíndrico 1200 para junta travada externa-JTE l = 1800mm - BDI = 14,02</v>
      </c>
      <c r="D428" s="193">
        <f>VLOOKUP(A428,'11 - FINANCEIRA'!A:M,10,0)</f>
        <v>0</v>
      </c>
      <c r="E428" s="194" t="str">
        <f>VLOOKUP(A428,'11 - FINANCEIRA'!A:M,4,0)</f>
        <v>und</v>
      </c>
      <c r="G428" s="1298" t="str">
        <f t="shared" si="18"/>
        <v>NULO</v>
      </c>
      <c r="H428" s="1298">
        <f t="shared" si="19"/>
        <v>0</v>
      </c>
    </row>
    <row r="429" spans="1:8" ht="26.4" hidden="1">
      <c r="A429" s="205" t="s">
        <v>751</v>
      </c>
      <c r="B429" s="224" t="str">
        <f>VLOOKUP(A429,'11 - FINANCEIRA'!A:M,2,0)</f>
        <v>CP-3855-CP-3110-I4442</v>
      </c>
      <c r="C429" s="179" t="str">
        <f>VLOOKUP(A429,'11 - FINANCEIRA'!A:M,3,0)</f>
        <v>Tubo fofo c/flange e bolsa je dn 1200 pn10 - l=4600 - BDI = 14,02</v>
      </c>
      <c r="D429" s="193">
        <f>VLOOKUP(A429,'11 - FINANCEIRA'!A:M,10,0)</f>
        <v>0</v>
      </c>
      <c r="E429" s="194" t="str">
        <f>VLOOKUP(A429,'11 - FINANCEIRA'!A:M,4,0)</f>
        <v>und</v>
      </c>
      <c r="G429" s="1298" t="str">
        <f t="shared" si="18"/>
        <v>NULO</v>
      </c>
      <c r="H429" s="1298">
        <f t="shared" si="19"/>
        <v>0</v>
      </c>
    </row>
    <row r="430" spans="1:8" ht="26.4" hidden="1">
      <c r="A430" s="205" t="s">
        <v>752</v>
      </c>
      <c r="B430" s="224" t="str">
        <f>VLOOKUP(A430,'11 - FINANCEIRA'!A:M,2,0)</f>
        <v>CP-9641-I7647</v>
      </c>
      <c r="C430" s="179" t="str">
        <f>VLOOKUP(A430,'11 - FINANCEIRA'!A:M,3,0)</f>
        <v>Curva fofo 22 30 jte para água dn 1200 - BDI = 14,02</v>
      </c>
      <c r="D430" s="193">
        <f>VLOOKUP(A430,'11 - FINANCEIRA'!A:M,10,0)</f>
        <v>0</v>
      </c>
      <c r="E430" s="194" t="str">
        <f>VLOOKUP(A430,'11 - FINANCEIRA'!A:M,4,0)</f>
        <v>und</v>
      </c>
      <c r="G430" s="1298" t="str">
        <f t="shared" si="18"/>
        <v>NULO</v>
      </c>
      <c r="H430" s="1298">
        <f t="shared" si="19"/>
        <v>0</v>
      </c>
    </row>
    <row r="431" spans="1:8" ht="26.4" hidden="1">
      <c r="A431" s="205" t="s">
        <v>753</v>
      </c>
      <c r="B431" s="224" t="str">
        <f>VLOOKUP(A431,'11 - FINANCEIRA'!A:M,2,0)</f>
        <v>CP-9638-I4009</v>
      </c>
      <c r="C431" s="179" t="str">
        <f>VLOOKUP(A431,'11 - FINANCEIRA'!A:M,3,0)</f>
        <v>Junta de desmontagem travada axialmente pn10 dn 1200 - BDI = 14,02</v>
      </c>
      <c r="D431" s="193">
        <f>VLOOKUP(A431,'11 - FINANCEIRA'!A:M,10,0)</f>
        <v>0</v>
      </c>
      <c r="E431" s="194" t="str">
        <f>VLOOKUP(A431,'11 - FINANCEIRA'!A:M,4,0)</f>
        <v>und</v>
      </c>
      <c r="G431" s="1298" t="str">
        <f t="shared" si="18"/>
        <v>NULO</v>
      </c>
      <c r="H431" s="1298">
        <f t="shared" si="19"/>
        <v>0</v>
      </c>
    </row>
    <row r="432" spans="1:8" ht="26.4" hidden="1">
      <c r="A432" s="205" t="s">
        <v>754</v>
      </c>
      <c r="B432" s="224" t="str">
        <f>VLOOKUP(A432,'11 - FINANCEIRA'!A:M,2,0)</f>
        <v>CP-0019-M012104061</v>
      </c>
      <c r="C432" s="179" t="str">
        <f>VLOOKUP(A432,'11 - FINANCEIRA'!A:M,3,0)</f>
        <v>Junta para flange classe k7 fofo dn 1200 - BDI = 14,02</v>
      </c>
      <c r="D432" s="193">
        <f>VLOOKUP(A432,'11 - FINANCEIRA'!A:M,10,0)</f>
        <v>0</v>
      </c>
      <c r="E432" s="194" t="str">
        <f>VLOOKUP(A432,'11 - FINANCEIRA'!A:M,4,0)</f>
        <v>pc</v>
      </c>
      <c r="G432" s="1298" t="str">
        <f t="shared" si="18"/>
        <v>NULO</v>
      </c>
      <c r="H432" s="1298">
        <f t="shared" si="19"/>
        <v>0</v>
      </c>
    </row>
    <row r="433" spans="1:8" ht="26.4" hidden="1">
      <c r="A433" s="205" t="s">
        <v>755</v>
      </c>
      <c r="B433" s="224" t="str">
        <f>VLOOKUP(A433,'11 - FINANCEIRA'!A:M,2,0)</f>
        <v>CP-1944-CP-7939-I4250</v>
      </c>
      <c r="C433" s="179" t="str">
        <f>VLOOKUP(A433,'11 - FINANCEIRA'!A:M,3,0)</f>
        <v>Parafuso c/ porcas para flanges  - BDI = 14,02</v>
      </c>
      <c r="D433" s="193">
        <f>VLOOKUP(A433,'11 - FINANCEIRA'!A:M,10,0)</f>
        <v>0</v>
      </c>
      <c r="E433" s="194" t="str">
        <f>VLOOKUP(A433,'11 - FINANCEIRA'!A:M,4,0)</f>
        <v>und</v>
      </c>
      <c r="G433" s="1298" t="str">
        <f t="shared" si="18"/>
        <v>NULO</v>
      </c>
      <c r="H433" s="1298">
        <f t="shared" si="19"/>
        <v>0</v>
      </c>
    </row>
    <row r="434" spans="1:8" ht="26.4" hidden="1">
      <c r="A434" s="205" t="s">
        <v>756</v>
      </c>
      <c r="B434" s="224" t="str">
        <f>VLOOKUP(A434,'11 - FINANCEIRA'!A:M,2,0)</f>
        <v xml:space="preserve"> CP-1538-83726</v>
      </c>
      <c r="C434" s="179" t="str">
        <f>VLOOKUP(A434,'11 - FINANCEIRA'!A:M,3,0)</f>
        <v>Assentamento de peças, conexões, aparelhos e acessorios de ferro fundido ductil, junta elástica, mecânica ou flangeada, com diametros de 1200 mm.</v>
      </c>
      <c r="D434" s="193">
        <f>VLOOKUP(A434,'11 - FINANCEIRA'!A:M,10,0)</f>
        <v>0</v>
      </c>
      <c r="E434" s="194" t="str">
        <f>VLOOKUP(A434,'11 - FINANCEIRA'!A:M,4,0)</f>
        <v>m</v>
      </c>
      <c r="G434" s="1298" t="str">
        <f t="shared" si="18"/>
        <v>NULO</v>
      </c>
      <c r="H434" s="1298">
        <f t="shared" si="19"/>
        <v>0</v>
      </c>
    </row>
    <row r="435" spans="1:8">
      <c r="A435" s="205" t="s">
        <v>300</v>
      </c>
      <c r="B435" s="1906" t="str">
        <f>'11 - FINANCEIRA'!A430</f>
        <v>GRUPO 003: COMISSIONAMENTO E OPERAÇÃO ASSISTIDA</v>
      </c>
      <c r="C435" s="1905"/>
      <c r="D435" s="1905"/>
      <c r="E435" s="1907"/>
      <c r="G435" s="1298"/>
      <c r="H435" s="1298">
        <f>SUM(H436:H436)</f>
        <v>1</v>
      </c>
    </row>
    <row r="436" spans="1:8" ht="39.6">
      <c r="A436" s="205" t="s">
        <v>287</v>
      </c>
      <c r="B436" s="224" t="str">
        <f>VLOOKUP(A436,'11 - FINANCEIRA'!A:M,2,0)</f>
        <v>COMP-651284</v>
      </c>
      <c r="C436" s="179" t="str">
        <f>VLOOKUP(A436,'11 - FINANCEIRA'!A:M,3,0)</f>
        <v>Serviços de operação assistida, incluíndo comissionamento e testes de equipamentos, simulação de operações, treinamentos e todas as atividades necessárias para garantir a funcionalidade esperada da estação de bombeamento.</v>
      </c>
      <c r="D436" s="193">
        <f>VLOOKUP(A436,'11 - FINANCEIRA'!A:M,10,0)</f>
        <v>2</v>
      </c>
      <c r="E436" s="194" t="str">
        <f>VLOOKUP(A436,'11 - FINANCEIRA'!A:M,4,0)</f>
        <v>mês</v>
      </c>
      <c r="G436" s="1298" t="str">
        <f t="shared" si="18"/>
        <v>POSITIVO</v>
      </c>
      <c r="H436" s="1298">
        <f t="shared" si="19"/>
        <v>1</v>
      </c>
    </row>
    <row r="437" spans="1:8" hidden="1">
      <c r="A437" s="205">
        <v>4</v>
      </c>
      <c r="B437" s="1904" t="str">
        <f>'11 - FINANCEIRA'!A433</f>
        <v>GRUPO 004: NOVOS SERVIÇOS</v>
      </c>
      <c r="C437" s="1905"/>
      <c r="D437" s="1905"/>
      <c r="E437" s="1905"/>
      <c r="G437" s="1298"/>
      <c r="H437" s="1298">
        <f>SUM(H438:H442)</f>
        <v>0</v>
      </c>
    </row>
    <row r="438" spans="1:8" hidden="1">
      <c r="A438" s="205" t="s">
        <v>291</v>
      </c>
      <c r="B438" s="200" t="str">
        <f>VLOOKUP(A438,'11 - FINANCEIRA'!A:M,1,0)</f>
        <v>4.1</v>
      </c>
      <c r="C438" s="184" t="str">
        <f>VLOOKUP(A438,'11 - FINANCEIRA'!A:M,2,0)</f>
        <v>SERVIÇOS NOVOS</v>
      </c>
      <c r="D438" s="185"/>
      <c r="E438" s="200"/>
      <c r="G438" s="1298"/>
      <c r="H438" s="1301">
        <f>SUM(H439:H453)</f>
        <v>0</v>
      </c>
    </row>
    <row r="439" spans="1:8" hidden="1">
      <c r="A439" s="205" t="s">
        <v>757</v>
      </c>
      <c r="B439" s="188">
        <f>VLOOKUP(A439,'11 - FINANCEIRA'!A:M,2,0)</f>
        <v>7040100290</v>
      </c>
      <c r="C439" s="179" t="str">
        <f>VLOOKUP(A439,'11 - FINANCEIRA'!A:M,3,0)</f>
        <v>ATERRO COM ARGILA C/ COMPAC MECANICA</v>
      </c>
      <c r="D439" s="193">
        <f>VLOOKUP(A439,'11 - FINANCEIRA'!A:M,10,0)</f>
        <v>0</v>
      </c>
      <c r="E439" s="194" t="str">
        <f>VLOOKUP(A439,'11 - FINANCEIRA'!A:M,4,0)</f>
        <v>m³</v>
      </c>
      <c r="G439" s="1298" t="str">
        <f t="shared" ref="G439:G447" si="20">IF(D439&gt;0,"POSITIVO",IF(D439=0,"NULO",IF(D439&lt;0,"NEGATIVO")))</f>
        <v>NULO</v>
      </c>
      <c r="H439" s="1298">
        <f t="shared" ref="H439:H447" si="21">IF(G439="NULO",0,1)</f>
        <v>0</v>
      </c>
    </row>
    <row r="440" spans="1:8" ht="26.4" hidden="1">
      <c r="A440" s="205" t="s">
        <v>758</v>
      </c>
      <c r="B440" s="188">
        <f>VLOOKUP(A440,'11 - FINANCEIRA'!A:M,2,0)</f>
        <v>5914351</v>
      </c>
      <c r="C440" s="179" t="str">
        <f>VLOOKUP(A440,'11 - FINANCEIRA'!A:M,3,0)</f>
        <v>Carga, Manobras E Descarga De Areia, Brita, Pedra De Mao E Solos Com Caminhao Basculante 6 m3 (Descarga Livre)</v>
      </c>
      <c r="D440" s="193">
        <f>VLOOKUP(A440,'11 - FINANCEIRA'!A:M,10,0)</f>
        <v>0</v>
      </c>
      <c r="E440" s="194" t="str">
        <f>VLOOKUP(A440,'11 - FINANCEIRA'!A:M,4,0)</f>
        <v>m³</v>
      </c>
      <c r="G440" s="1298" t="str">
        <f t="shared" si="20"/>
        <v>NULO</v>
      </c>
      <c r="H440" s="1298">
        <f t="shared" si="21"/>
        <v>0</v>
      </c>
    </row>
    <row r="441" spans="1:8" hidden="1">
      <c r="A441" s="205" t="s">
        <v>759</v>
      </c>
      <c r="B441" s="188">
        <f>VLOOKUP(A441,'11 - FINANCEIRA'!A:M,2,0)</f>
        <v>7010100310</v>
      </c>
      <c r="C441" s="179" t="str">
        <f>VLOOKUP(A441,'11 - FINANCEIRA'!A:M,3,0)</f>
        <v>Grupo gerador de 81 a 125 KVA</v>
      </c>
      <c r="D441" s="193">
        <f>VLOOKUP(A441,'11 - FINANCEIRA'!A:M,10,0)</f>
        <v>0</v>
      </c>
      <c r="E441" s="194" t="str">
        <f>VLOOKUP(A441,'11 - FINANCEIRA'!A:M,4,0)</f>
        <v>mês</v>
      </c>
      <c r="G441" s="1298" t="str">
        <f t="shared" si="20"/>
        <v>NULO</v>
      </c>
      <c r="H441" s="1298">
        <f t="shared" si="21"/>
        <v>0</v>
      </c>
    </row>
    <row r="442" spans="1:8" hidden="1">
      <c r="A442" s="205" t="s">
        <v>760</v>
      </c>
      <c r="B442" s="188">
        <f>VLOOKUP(A442,'11 - FINANCEIRA'!A:M,2,0)</f>
        <v>7010100290</v>
      </c>
      <c r="C442" s="179" t="str">
        <f>VLOOKUP(A442,'11 - FINANCEIRA'!A:M,3,0)</f>
        <v>Grupo gerador de 21 a 80 KVA</v>
      </c>
      <c r="D442" s="193">
        <f>VLOOKUP(A442,'11 - FINANCEIRA'!A:M,10,0)</f>
        <v>0</v>
      </c>
      <c r="E442" s="194" t="str">
        <f>VLOOKUP(A442,'11 - FINANCEIRA'!A:M,4,0)</f>
        <v>mês</v>
      </c>
      <c r="G442" s="1298" t="str">
        <f t="shared" si="20"/>
        <v>NULO</v>
      </c>
      <c r="H442" s="1298">
        <f t="shared" si="21"/>
        <v>0</v>
      </c>
    </row>
    <row r="443" spans="1:8" ht="26.4" hidden="1">
      <c r="A443" s="205" t="s">
        <v>761</v>
      </c>
      <c r="B443" s="188" t="str">
        <f>VLOOKUP(A443,'11 - FINANCEIRA'!A:M,2,0)</f>
        <v>CPU 1</v>
      </c>
      <c r="C443" s="179" t="str">
        <f>VLOOKUP(A443,'11 - FINANCEIRA'!A:M,3,0)</f>
        <v>Estaca prancha metálica - Fornecimento, solda e cravação com comprimento de 15 metros a 25 metros, conforme projeto</v>
      </c>
      <c r="D443" s="193">
        <f>VLOOKUP(A443,'11 - FINANCEIRA'!A:M,10,0)</f>
        <v>0</v>
      </c>
      <c r="E443" s="194" t="str">
        <f>VLOOKUP(A443,'11 - FINANCEIRA'!A:M,4,0)</f>
        <v>kg</v>
      </c>
      <c r="G443" s="1298" t="str">
        <f t="shared" si="20"/>
        <v>NULO</v>
      </c>
      <c r="H443" s="1298">
        <f t="shared" si="21"/>
        <v>0</v>
      </c>
    </row>
    <row r="444" spans="1:8" ht="26.4" hidden="1">
      <c r="A444" s="205" t="s">
        <v>762</v>
      </c>
      <c r="B444" s="188">
        <f>VLOOKUP(A444,'11 - FINANCEIRA'!A:M,2,0)</f>
        <v>100324</v>
      </c>
      <c r="C444" s="179" t="str">
        <f>VLOOKUP(A444,'11 - FINANCEIRA'!A:M,3,0)</f>
        <v>LASTRO COM MATERIAL GRANULAR (PEDRA BRITADA N.1 E PEDRA BRITADA N.2), APLICADO EM PISOS OU RADIERS, ESPESSURA DE *10 CM*. AF_07/2019</v>
      </c>
      <c r="D444" s="193">
        <f>VLOOKUP(A444,'11 - FINANCEIRA'!A:M,10,0)</f>
        <v>0</v>
      </c>
      <c r="E444" s="194" t="str">
        <f>VLOOKUP(A444,'11 - FINANCEIRA'!A:M,4,0)</f>
        <v>m³</v>
      </c>
      <c r="G444" s="1298" t="str">
        <f t="shared" si="20"/>
        <v>NULO</v>
      </c>
      <c r="H444" s="1298">
        <f t="shared" si="21"/>
        <v>0</v>
      </c>
    </row>
    <row r="445" spans="1:8" ht="26.4" hidden="1">
      <c r="A445" s="205" t="s">
        <v>763</v>
      </c>
      <c r="B445" s="188">
        <f>VLOOKUP(A445,'11 - FINANCEIRA'!A:M,2,0)</f>
        <v>4011562</v>
      </c>
      <c r="C445" s="179" t="str">
        <f>VLOOKUP(A445,'11 - FINANCEIRA'!A:M,3,0)</f>
        <v>Geogrelha bidirecional com resistência a tração de 30 kN/m - deformação &lt; 5% - malha de 36 x 34 mm - para reforço de base  granular</v>
      </c>
      <c r="D445" s="193">
        <f>VLOOKUP(A445,'11 - FINANCEIRA'!A:M,10,0)</f>
        <v>0</v>
      </c>
      <c r="E445" s="194" t="str">
        <f>VLOOKUP(A445,'11 - FINANCEIRA'!A:M,4,0)</f>
        <v>m³</v>
      </c>
      <c r="G445" s="1298" t="str">
        <f t="shared" si="20"/>
        <v>NULO</v>
      </c>
      <c r="H445" s="1298">
        <f t="shared" si="21"/>
        <v>0</v>
      </c>
    </row>
    <row r="446" spans="1:8" hidden="1">
      <c r="A446" s="205" t="s">
        <v>764</v>
      </c>
      <c r="B446" s="188">
        <f>VLOOKUP(A446,'11 - FINANCEIRA'!A:M,2,0)</f>
        <v>40639</v>
      </c>
      <c r="C446" s="179" t="str">
        <f>VLOOKUP(A446,'11 - FINANCEIRA'!A:M,3,0)</f>
        <v>Dreno vertical D = 75 mm em PVC, com geotêxtil não tecido resistência longitudinal 16 kn/m</v>
      </c>
      <c r="D446" s="193">
        <f>VLOOKUP(A446,'11 - FINANCEIRA'!A:M,10,0)</f>
        <v>0</v>
      </c>
      <c r="E446" s="194" t="str">
        <f>VLOOKUP(A446,'11 - FINANCEIRA'!A:M,4,0)</f>
        <v>m</v>
      </c>
      <c r="G446" s="1298" t="str">
        <f t="shared" si="20"/>
        <v>NULO</v>
      </c>
      <c r="H446" s="1298">
        <f t="shared" si="21"/>
        <v>0</v>
      </c>
    </row>
    <row r="447" spans="1:8" ht="26.4" hidden="1">
      <c r="A447" s="205" t="s">
        <v>765</v>
      </c>
      <c r="B447" s="188" t="str">
        <f>VLOOKUP(A447,'11 - FINANCEIRA'!A:M,2,0)</f>
        <v>IOPES - PROJETOS</v>
      </c>
      <c r="C447" s="179" t="str">
        <f>VLOOKUP(A447,'11 - FINANCEIRA'!A:M,3,0)</f>
        <v>Projeto estrutural, inclusive fundação</v>
      </c>
      <c r="D447" s="193">
        <f>VLOOKUP(A447,'11 - FINANCEIRA'!A:M,10,0)</f>
        <v>0</v>
      </c>
      <c r="E447" s="194" t="str">
        <f>VLOOKUP(A447,'11 - FINANCEIRA'!A:M,4,0)</f>
        <v>m²</v>
      </c>
      <c r="G447" s="1298" t="str">
        <f t="shared" si="20"/>
        <v>NULO</v>
      </c>
      <c r="H447" s="1298">
        <f t="shared" si="21"/>
        <v>0</v>
      </c>
    </row>
    <row r="448" spans="1:8" hidden="1">
      <c r="A448" s="205" t="s">
        <v>766</v>
      </c>
      <c r="B448" s="188">
        <f>VLOOKUP(A448,'11 - FINANCEIRA'!A:M,2,0)</f>
        <v>2003838</v>
      </c>
      <c r="C448" s="179" t="str">
        <f>VLOOKUP(A448,'11 - FINANCEIRA'!A:M,3,0)</f>
        <v xml:space="preserve">Drenagem dos terrenos adjacentes (foram utilizados drenos de concreto de 1500 mm) </v>
      </c>
      <c r="D448" s="193">
        <f>VLOOKUP(A448,'11 - FINANCEIRA'!A:M,10,0)</f>
        <v>0</v>
      </c>
      <c r="E448" s="194" t="str">
        <f>VLOOKUP(A448,'11 - FINANCEIRA'!A:M,4,0)</f>
        <v>m</v>
      </c>
      <c r="G448" s="1298" t="str">
        <f t="shared" ref="G448:G453" si="22">IF(D448&gt;0,"POSITIVO",IF(D448=0,"NULO",IF(D448&lt;0,"NEGATIVO")))</f>
        <v>NULO</v>
      </c>
      <c r="H448" s="1298">
        <f t="shared" ref="H448:H453" si="23">IF(G448="NULO",0,1)</f>
        <v>0</v>
      </c>
    </row>
    <row r="449" spans="1:8" ht="26.4" hidden="1">
      <c r="A449" s="205" t="s">
        <v>767</v>
      </c>
      <c r="B449" s="188">
        <f>VLOOKUP(A449,'11 - FINANCEIRA'!A:M,2,0)</f>
        <v>4016096</v>
      </c>
      <c r="C449" s="179" t="str">
        <f>VLOOKUP(A449,'11 - FINANCEIRA'!A:M,3,0)</f>
        <v>Escavação e carga de material de jazida com escavadeira hidráulica (Remanejamento de solo para reforço do Dique)</v>
      </c>
      <c r="D449" s="193">
        <f>VLOOKUP(A449,'11 - FINANCEIRA'!A:M,10,0)</f>
        <v>0</v>
      </c>
      <c r="E449" s="194" t="str">
        <f>VLOOKUP(A449,'11 - FINANCEIRA'!A:M,4,0)</f>
        <v>m³</v>
      </c>
      <c r="G449" s="1298" t="str">
        <f t="shared" si="22"/>
        <v>NULO</v>
      </c>
      <c r="H449" s="1298">
        <f t="shared" si="23"/>
        <v>0</v>
      </c>
    </row>
    <row r="450" spans="1:8" ht="26.4" hidden="1">
      <c r="A450" s="205" t="s">
        <v>768</v>
      </c>
      <c r="B450" s="188" t="str">
        <f>VLOOKUP(A450,'11 - FINANCEIRA'!A:M,2,0)</f>
        <v>CPU 2</v>
      </c>
      <c r="C450" s="179" t="str">
        <f>VLOOKUP(A450,'11 - FINANCEIRA'!A:M,3,0)</f>
        <v>Colchão com pedra tipo rachão, para base de galeria, inclusive compactação mecânica e transporte - fornecimento e assentamento</v>
      </c>
      <c r="D450" s="193">
        <f>VLOOKUP(A450,'11 - FINANCEIRA'!A:M,10,0)</f>
        <v>0</v>
      </c>
      <c r="E450" s="194" t="str">
        <f>VLOOKUP(A450,'11 - FINANCEIRA'!A:M,4,0)</f>
        <v>m³</v>
      </c>
      <c r="G450" s="1298" t="str">
        <f t="shared" si="22"/>
        <v>NULO</v>
      </c>
      <c r="H450" s="1298">
        <f t="shared" si="23"/>
        <v>0</v>
      </c>
    </row>
    <row r="451" spans="1:8" ht="26.4" hidden="1">
      <c r="A451" s="205" t="s">
        <v>769</v>
      </c>
      <c r="B451" s="188">
        <f>VLOOKUP(A451,'11 - FINANCEIRA'!A:M,2,0)</f>
        <v>98114</v>
      </c>
      <c r="C451" s="179" t="str">
        <f>VLOOKUP(A451,'11 - FINANCEIRA'!A:M,3,0)</f>
        <v>TAMPA CIRCULAR PARA ESGOTO E DRENAGEM, EM FERRO FUNDIDO, DIÂMETRO INTERNO = 0,6 M.</v>
      </c>
      <c r="D451" s="193">
        <f>VLOOKUP(A451,'11 - FINANCEIRA'!A:M,10,0)</f>
        <v>0</v>
      </c>
      <c r="E451" s="194" t="str">
        <f>VLOOKUP(A451,'11 - FINANCEIRA'!A:M,4,0)</f>
        <v>und</v>
      </c>
      <c r="G451" s="1298" t="str">
        <f t="shared" si="22"/>
        <v>NULO</v>
      </c>
      <c r="H451" s="1298">
        <f t="shared" si="23"/>
        <v>0</v>
      </c>
    </row>
    <row r="452" spans="1:8" hidden="1">
      <c r="A452" s="205" t="s">
        <v>770</v>
      </c>
      <c r="B452" s="188" t="str">
        <f>VLOOKUP(A452,'11 - FINANCEIRA'!A:M,2,0)</f>
        <v>CPU 3</v>
      </c>
      <c r="C452" s="179" t="str">
        <f>VLOOKUP(A452,'11 - FINANCEIRA'!A:M,3,0)</f>
        <v>Elaboração de Plano de Recuperação de Áreas Degradadas - PRAD</v>
      </c>
      <c r="D452" s="193">
        <f>VLOOKUP(A452,'11 - FINANCEIRA'!A:M,10,0)</f>
        <v>0</v>
      </c>
      <c r="E452" s="194" t="str">
        <f>VLOOKUP(A452,'11 - FINANCEIRA'!A:M,4,0)</f>
        <v>und</v>
      </c>
      <c r="G452" s="1298" t="str">
        <f t="shared" si="22"/>
        <v>NULO</v>
      </c>
      <c r="H452" s="1298">
        <f t="shared" si="23"/>
        <v>0</v>
      </c>
    </row>
    <row r="453" spans="1:8" ht="26.4" hidden="1">
      <c r="A453" s="205" t="s">
        <v>771</v>
      </c>
      <c r="B453" s="188">
        <f>VLOOKUP(A453,'11 - FINANCEIRA'!A:M,2,0)</f>
        <v>40705</v>
      </c>
      <c r="C453" s="179" t="str">
        <f>VLOOKUP(A453,'11 - FINANCEIRA'!A:M,3,0)</f>
        <v>Execução de junta de dilatação 2 x 2 cm considerando 1cm de aplicação de isopor e 1cm de aplicação de mastique elástico do tipo sikaflex 1a ou equivalente</v>
      </c>
      <c r="D453" s="193">
        <f>VLOOKUP(A453,'11 - FINANCEIRA'!A:M,10,0)</f>
        <v>0</v>
      </c>
      <c r="E453" s="194" t="str">
        <f>VLOOKUP(A453,'11 - FINANCEIRA'!A:M,4,0)</f>
        <v>und</v>
      </c>
      <c r="G453" s="1298" t="str">
        <f t="shared" si="22"/>
        <v>NULO</v>
      </c>
      <c r="H453" s="1298">
        <f t="shared" si="23"/>
        <v>0</v>
      </c>
    </row>
    <row r="454" spans="1:8" hidden="1">
      <c r="A454" s="205" t="s">
        <v>772</v>
      </c>
      <c r="B454" s="188" t="str">
        <f>VLOOKUP(A454,'11 - FINANCEIRA'!A:M,2,0)</f>
        <v>cotação 5</v>
      </c>
      <c r="C454" s="179" t="str">
        <f>VLOOKUP(A454,'11 - FINANCEIRA'!A:M,3,0)</f>
        <v>EXTREMIDADE FLANGE E BOLSA COM JUNTA ELASTICA JGS</v>
      </c>
      <c r="D454" s="193">
        <f>VLOOKUP(A454,'11 - FINANCEIRA'!A:M,10,0)</f>
        <v>0</v>
      </c>
      <c r="E454" s="194" t="str">
        <f>VLOOKUP(A454,'11 - FINANCEIRA'!A:M,4,0)</f>
        <v>und</v>
      </c>
      <c r="G454" s="1298" t="str">
        <f t="shared" ref="G454:G462" si="24">IF(D454&gt;0,"POSITIVO",IF(D454=0,"NULO",IF(D454&lt;0,"NEGATIVO")))</f>
        <v>NULO</v>
      </c>
      <c r="H454" s="1298">
        <f t="shared" ref="H454:H462" si="25">IF(G454="NULO",0,1)</f>
        <v>0</v>
      </c>
    </row>
    <row r="455" spans="1:8" hidden="1">
      <c r="A455" s="205" t="s">
        <v>773</v>
      </c>
      <c r="B455" s="188" t="str">
        <f>VLOOKUP(A455,'11 - FINANCEIRA'!A:M,2,0)</f>
        <v>cotação 6</v>
      </c>
      <c r="C455" s="179" t="str">
        <f>VLOOKUP(A455,'11 - FINANCEIRA'!A:M,3,0)</f>
        <v>EXTREMIDADE FLANGE E PONTA PARA JUNTAS JGS E JTI</v>
      </c>
      <c r="D455" s="193">
        <f>VLOOKUP(A455,'11 - FINANCEIRA'!A:M,10,0)</f>
        <v>0</v>
      </c>
      <c r="E455" s="194" t="str">
        <f>VLOOKUP(A455,'11 - FINANCEIRA'!A:M,4,0)</f>
        <v>und</v>
      </c>
      <c r="G455" s="1298" t="str">
        <f t="shared" si="24"/>
        <v>NULO</v>
      </c>
      <c r="H455" s="1298">
        <f t="shared" si="25"/>
        <v>0</v>
      </c>
    </row>
    <row r="456" spans="1:8" hidden="1">
      <c r="A456" s="205" t="s">
        <v>774</v>
      </c>
      <c r="B456" s="188" t="str">
        <f>VLOOKUP(A456,'11 - FINANCEIRA'!A:M,2,0)</f>
        <v>cotação 7</v>
      </c>
      <c r="C456" s="179" t="str">
        <f>VLOOKUP(A456,'11 - FINANCEIRA'!A:M,3,0)</f>
        <v>TOCO COM FLANGES L= 0,50 M</v>
      </c>
      <c r="D456" s="193">
        <f>VLOOKUP(A456,'11 - FINANCEIRA'!A:M,10,0)</f>
        <v>0</v>
      </c>
      <c r="E456" s="194" t="str">
        <f>VLOOKUP(A456,'11 - FINANCEIRA'!A:M,4,0)</f>
        <v>und</v>
      </c>
      <c r="G456" s="1298" t="str">
        <f t="shared" si="24"/>
        <v>NULO</v>
      </c>
      <c r="H456" s="1298">
        <f t="shared" si="25"/>
        <v>0</v>
      </c>
    </row>
    <row r="457" spans="1:8" hidden="1">
      <c r="A457" s="205" t="s">
        <v>775</v>
      </c>
      <c r="B457" s="188" t="str">
        <f>VLOOKUP(A457,'11 - FINANCEIRA'!A:M,2,0)</f>
        <v>cotação 8</v>
      </c>
      <c r="C457" s="179" t="str">
        <f>VLOOKUP(A457,'11 - FINANCEIRA'!A:M,3,0)</f>
        <v xml:space="preserve">TUBO CLASSE K7 PONTA E BOLSA COM JUNTA TRAVADA EXTERNA JTE l= 6630 </v>
      </c>
      <c r="D457" s="193">
        <f>VLOOKUP(A457,'11 - FINANCEIRA'!A:M,10,0)</f>
        <v>0</v>
      </c>
      <c r="E457" s="194" t="str">
        <f>VLOOKUP(A457,'11 - FINANCEIRA'!A:M,4,0)</f>
        <v>und</v>
      </c>
      <c r="G457" s="1298" t="str">
        <f t="shared" si="24"/>
        <v>NULO</v>
      </c>
      <c r="H457" s="1298">
        <f t="shared" si="25"/>
        <v>0</v>
      </c>
    </row>
    <row r="458" spans="1:8" hidden="1">
      <c r="A458" s="205" t="s">
        <v>776</v>
      </c>
      <c r="B458" s="188" t="str">
        <f>VLOOKUP(A458,'11 - FINANCEIRA'!A:M,2,0)</f>
        <v>cotação 1</v>
      </c>
      <c r="C458" s="179" t="str">
        <f>VLOOKUP(A458,'11 - FINANCEIRA'!A:M,3,0)</f>
        <v>Viga de apoio das grades</v>
      </c>
      <c r="D458" s="193">
        <f>VLOOKUP(A458,'11 - FINANCEIRA'!A:M,10,0)</f>
        <v>0</v>
      </c>
      <c r="E458" s="194" t="str">
        <f>VLOOKUP(A458,'11 - FINANCEIRA'!A:M,4,0)</f>
        <v>und</v>
      </c>
      <c r="G458" s="1298" t="str">
        <f t="shared" si="24"/>
        <v>NULO</v>
      </c>
      <c r="H458" s="1298">
        <f t="shared" si="25"/>
        <v>0</v>
      </c>
    </row>
    <row r="459" spans="1:8" hidden="1">
      <c r="A459" s="205" t="s">
        <v>777</v>
      </c>
      <c r="B459" s="188" t="str">
        <f>VLOOKUP(A459,'11 - FINANCEIRA'!A:M,2,0)</f>
        <v>cotação 2</v>
      </c>
      <c r="C459" s="179" t="str">
        <f>VLOOKUP(A459,'11 - FINANCEIRA'!A:M,3,0)</f>
        <v>Grade fixa</v>
      </c>
      <c r="D459" s="193">
        <f>VLOOKUP(A459,'11 - FINANCEIRA'!A:M,10,0)</f>
        <v>0</v>
      </c>
      <c r="E459" s="194" t="str">
        <f>VLOOKUP(A459,'11 - FINANCEIRA'!A:M,4,0)</f>
        <v>und</v>
      </c>
      <c r="G459" s="1298" t="str">
        <f t="shared" si="24"/>
        <v>NULO</v>
      </c>
      <c r="H459" s="1298">
        <f t="shared" si="25"/>
        <v>0</v>
      </c>
    </row>
    <row r="460" spans="1:8" hidden="1">
      <c r="A460" s="205" t="s">
        <v>778</v>
      </c>
      <c r="B460" s="188" t="str">
        <f>VLOOKUP(A460,'11 - FINANCEIRA'!A:M,2,0)</f>
        <v>cotação 3</v>
      </c>
      <c r="C460" s="179" t="str">
        <f>VLOOKUP(A460,'11 - FINANCEIRA'!A:M,3,0)</f>
        <v>Comportas fixas</v>
      </c>
      <c r="D460" s="193">
        <f>VLOOKUP(A460,'11 - FINANCEIRA'!A:M,10,0)</f>
        <v>0</v>
      </c>
      <c r="E460" s="194" t="str">
        <f>VLOOKUP(A460,'11 - FINANCEIRA'!A:M,4,0)</f>
        <v>und</v>
      </c>
      <c r="G460" s="1298" t="str">
        <f t="shared" si="24"/>
        <v>NULO</v>
      </c>
      <c r="H460" s="1298">
        <f t="shared" si="25"/>
        <v>0</v>
      </c>
    </row>
    <row r="461" spans="1:8" hidden="1">
      <c r="A461" s="205" t="s">
        <v>779</v>
      </c>
      <c r="B461" s="188" t="str">
        <f>VLOOKUP(A461,'11 - FINANCEIRA'!A:M,2,0)</f>
        <v>cotação 4</v>
      </c>
      <c r="C461" s="179" t="str">
        <f>VLOOKUP(A461,'11 - FINANCEIRA'!A:M,3,0)</f>
        <v xml:space="preserve">Quadro de conexão das bombas - QD-CH-APM </v>
      </c>
      <c r="D461" s="193">
        <f>VLOOKUP(A461,'11 - FINANCEIRA'!A:M,10,0)</f>
        <v>0</v>
      </c>
      <c r="E461" s="194" t="str">
        <f>VLOOKUP(A461,'11 - FINANCEIRA'!A:M,4,0)</f>
        <v>und</v>
      </c>
      <c r="G461" s="1298" t="str">
        <f t="shared" si="24"/>
        <v>NULO</v>
      </c>
      <c r="H461" s="1298">
        <f t="shared" si="25"/>
        <v>0</v>
      </c>
    </row>
    <row r="462" spans="1:8" ht="39.6" hidden="1">
      <c r="A462" s="205" t="s">
        <v>780</v>
      </c>
      <c r="B462" s="188" t="str">
        <f>VLOOKUP(A462,'11 - FINANCEIRA'!A:M,2,0)</f>
        <v>DER-ES</v>
      </c>
      <c r="C462" s="179" t="str">
        <f>VLOOKUP(A462,'11 - FINANCEIRA'!A:M,3,0)</f>
        <v>Alvenaria de blocos de concreto estrut. (14x19x39cm) cheios, c/ resist. mín. compr. 15MPa, assentados c/ arg. de cimento e areia no traço 1:4, esp. juntas 10mm e esp. da parede s/ revest. 14cm</v>
      </c>
      <c r="D462" s="193">
        <f>VLOOKUP(A462,'11 - FINANCEIRA'!A:M,10,0)</f>
        <v>0</v>
      </c>
      <c r="E462" s="194" t="str">
        <f>VLOOKUP(A462,'11 - FINANCEIRA'!A:M,4,0)</f>
        <v>M²</v>
      </c>
      <c r="G462" s="1298" t="str">
        <f t="shared" si="24"/>
        <v>NULO</v>
      </c>
      <c r="H462" s="1298">
        <f t="shared" si="25"/>
        <v>0</v>
      </c>
    </row>
    <row r="463" spans="1:8" ht="39.6" hidden="1">
      <c r="A463" s="205" t="s">
        <v>781</v>
      </c>
      <c r="B463" s="188" t="str">
        <f>VLOOKUP(A463,'11 - FINANCEIRA'!A:M,2,0)</f>
        <v>IOPES</v>
      </c>
      <c r="C463" s="179" t="str">
        <f>VLOOKUP(A463,'11 - FINANCEIRA'!A:M,3,0)</f>
        <v>Índice de preço para remoção de entulho decorrente da execução de obras (Classe A CONAMA - NBR 10.004 - Classe II-B), incluindo aluguel da caçamba, carga, transporte e descarga em área licenciada</v>
      </c>
      <c r="D463" s="193">
        <f>VLOOKUP(A463,'11 - FINANCEIRA'!A:M,10,0)</f>
        <v>0</v>
      </c>
      <c r="E463" s="194" t="str">
        <f>VLOOKUP(A463,'11 - FINANCEIRA'!A:M,4,0)</f>
        <v>M³</v>
      </c>
      <c r="G463" s="1298" t="str">
        <f t="shared" ref="G463:G468" si="26">IF(D463&gt;0,"POSITIVO",IF(D463=0,"NULO",IF(D463&lt;0,"NEGATIVO")))</f>
        <v>NULO</v>
      </c>
      <c r="H463" s="1298">
        <f t="shared" ref="H463:H468" si="27">IF(G463="NULO",0,1)</f>
        <v>0</v>
      </c>
    </row>
    <row r="464" spans="1:8" hidden="1">
      <c r="A464" s="205" t="s">
        <v>782</v>
      </c>
      <c r="B464" s="188" t="str">
        <f>VLOOKUP(A464,'11 - FINANCEIRA'!A:M,2,0)</f>
        <v>PRÓPRIO</v>
      </c>
      <c r="C464" s="179" t="str">
        <f>VLOOKUP(A464,'11 - FINANCEIRA'!A:M,3,0)</f>
        <v>Armazenamento de Eletrocentro, incluindo segurança, e manutenção preventiva</v>
      </c>
      <c r="D464" s="193">
        <f>VLOOKUP(A464,'11 - FINANCEIRA'!A:M,10,0)</f>
        <v>0</v>
      </c>
      <c r="E464" s="194" t="str">
        <f>VLOOKUP(A464,'11 - FINANCEIRA'!A:M,4,0)</f>
        <v>mês</v>
      </c>
      <c r="G464" s="1298" t="str">
        <f t="shared" si="26"/>
        <v>NULO</v>
      </c>
      <c r="H464" s="1298">
        <f t="shared" si="27"/>
        <v>0</v>
      </c>
    </row>
    <row r="465" spans="1:8" ht="39.6" hidden="1">
      <c r="A465" s="205" t="s">
        <v>783</v>
      </c>
      <c r="B465" s="188" t="str">
        <f>VLOOKUP(A465,'11 - FINANCEIRA'!A:M,2,0)</f>
        <v>SINAPI</v>
      </c>
      <c r="C465" s="179" t="str">
        <f>VLOOKUP(A465,'11 - FINANCEIRA'!A:M,3,0)</f>
        <v>EXECUÇÃO DE REVESTIMENTO DE CONCRETO PROJETADO COM ESPESSURA DE 7 CM, ARMADO COM TELA, INCLINAÇÃO DE 90°, APLICAÇÃO CONTÍNUA, UTILIZANDO EQUIPAMENTO DE PROJEÇÃO COM 6 M³/H DE CAPACIDADE</v>
      </c>
      <c r="D465" s="193">
        <f>VLOOKUP(A465,'11 - FINANCEIRA'!A:M,10,0)</f>
        <v>0</v>
      </c>
      <c r="E465" s="194" t="str">
        <f>VLOOKUP(A465,'11 - FINANCEIRA'!A:M,4,0)</f>
        <v>m2</v>
      </c>
      <c r="G465" s="1298" t="str">
        <f t="shared" si="26"/>
        <v>NULO</v>
      </c>
      <c r="H465" s="1298">
        <f t="shared" si="27"/>
        <v>0</v>
      </c>
    </row>
    <row r="466" spans="1:8" ht="26.4" hidden="1">
      <c r="A466" s="205" t="s">
        <v>784</v>
      </c>
      <c r="B466" s="188" t="str">
        <f>VLOOKUP(A466,'11 - FINANCEIRA'!A:M,2,0)</f>
        <v>SEDURB</v>
      </c>
      <c r="C466" s="179" t="str">
        <f>VLOOKUP(A466,'11 - FINANCEIRA'!A:M,3,0)</f>
        <v>Estruturas em aço inox para complemento dos gradeamentos de lixo, base dos geradores e base dos painéis - Fornecimento e Instalação</v>
      </c>
      <c r="D466" s="193">
        <f>VLOOKUP(A466,'11 - FINANCEIRA'!A:M,10,0)</f>
        <v>0</v>
      </c>
      <c r="E466" s="194" t="str">
        <f>VLOOKUP(A466,'11 - FINANCEIRA'!A:M,4,0)</f>
        <v>und</v>
      </c>
      <c r="G466" s="1298" t="str">
        <f t="shared" si="26"/>
        <v>NULO</v>
      </c>
      <c r="H466" s="1298">
        <f t="shared" si="27"/>
        <v>0</v>
      </c>
    </row>
    <row r="467" spans="1:8" hidden="1">
      <c r="A467" s="205" t="s">
        <v>785</v>
      </c>
      <c r="B467" s="188" t="str">
        <f>VLOOKUP(A467,'11 - FINANCEIRA'!A:M,2,0)</f>
        <v>PRÓPRIO</v>
      </c>
      <c r="C467" s="179" t="str">
        <f>VLOOKUP(A467,'11 - FINANCEIRA'!A:M,3,0)</f>
        <v>Elaboração de Projeto As-built</v>
      </c>
      <c r="D467" s="193">
        <f>VLOOKUP(A467,'11 - FINANCEIRA'!A:M,10,0)</f>
        <v>0</v>
      </c>
      <c r="E467" s="194" t="str">
        <f>VLOOKUP(A467,'11 - FINANCEIRA'!A:M,4,0)</f>
        <v>und</v>
      </c>
      <c r="G467" s="1298" t="str">
        <f t="shared" si="26"/>
        <v>NULO</v>
      </c>
      <c r="H467" s="1298">
        <f t="shared" si="27"/>
        <v>0</v>
      </c>
    </row>
    <row r="468" spans="1:8" hidden="1">
      <c r="B468" s="1254"/>
      <c r="C468" s="1255"/>
      <c r="D468" s="1256"/>
      <c r="E468" s="1254"/>
      <c r="G468" s="1298" t="str">
        <f t="shared" si="26"/>
        <v>NULO</v>
      </c>
      <c r="H468" s="1298">
        <f t="shared" si="27"/>
        <v>0</v>
      </c>
    </row>
    <row r="469" spans="1:8">
      <c r="C469" s="799" t="s">
        <v>786</v>
      </c>
      <c r="G469" s="1298"/>
      <c r="H469" s="1298"/>
    </row>
    <row r="470" spans="1:8">
      <c r="C470" s="800"/>
      <c r="G470" s="1298"/>
      <c r="H470" s="1298"/>
    </row>
    <row r="590" spans="3:3">
      <c r="C590" s="182" t="s">
        <v>787</v>
      </c>
    </row>
    <row r="726" spans="14:14">
      <c r="N726" s="182">
        <f>TRUNC(SUM(N719:N724),3)</f>
        <v>0</v>
      </c>
    </row>
    <row r="727" spans="14:14">
      <c r="N727" s="182">
        <f>+N726-D727</f>
        <v>0</v>
      </c>
    </row>
    <row r="797" spans="3:18">
      <c r="C797" s="182" t="s">
        <v>788</v>
      </c>
      <c r="G797" s="1298"/>
      <c r="H797" s="1298"/>
      <c r="R797" s="182" t="s">
        <v>789</v>
      </c>
    </row>
    <row r="929" spans="10:14">
      <c r="J929" s="1302"/>
      <c r="K929" s="1302"/>
      <c r="L929" s="1302"/>
      <c r="M929" s="1416"/>
    </row>
    <row r="930" spans="10:14">
      <c r="N930" s="182">
        <f>TRUNC(SUM(N908:N928),3)</f>
        <v>0</v>
      </c>
    </row>
    <row r="945" spans="14:14">
      <c r="N945" s="182">
        <f>TRUNC(SUM(N937:N943),3)</f>
        <v>0</v>
      </c>
    </row>
    <row r="5439" spans="14:14">
      <c r="N5439" s="182">
        <v>4.0000000000000001E-3</v>
      </c>
    </row>
  </sheetData>
  <autoFilter ref="F14:H469" xr:uid="{00000000-0009-0000-0000-000004000000}">
    <filterColumn colId="2">
      <filters blank="1">
        <filter val="1"/>
        <filter val="12"/>
        <filter val="2"/>
        <filter val="24"/>
        <filter val="3"/>
      </filters>
    </filterColumn>
  </autoFilter>
  <mergeCells count="7">
    <mergeCell ref="B437:E437"/>
    <mergeCell ref="B435:E435"/>
    <mergeCell ref="C2:C5"/>
    <mergeCell ref="F12:I12"/>
    <mergeCell ref="B14:E14"/>
    <mergeCell ref="B15:E15"/>
    <mergeCell ref="B30:E30"/>
  </mergeCells>
  <phoneticPr fontId="98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84" fitToHeight="0" orientation="portrait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V984"/>
  <sheetViews>
    <sheetView showGridLines="0" showZeros="0" tabSelected="1" view="pageBreakPreview" topLeftCell="E450" zoomScale="70" zoomScaleNormal="70" zoomScaleSheetLayoutView="70" workbookViewId="0">
      <selection activeCell="M467" sqref="M467"/>
    </sheetView>
  </sheetViews>
  <sheetFormatPr defaultColWidth="9.109375" defaultRowHeight="14.4" outlineLevelRow="1"/>
  <cols>
    <col min="1" max="1" width="15" style="348" customWidth="1"/>
    <col min="2" max="2" width="13.33203125" style="597" customWidth="1"/>
    <col min="3" max="3" width="74.5546875" customWidth="1"/>
    <col min="4" max="4" width="5.44140625" customWidth="1"/>
    <col min="5" max="6" width="17.6640625" customWidth="1"/>
    <col min="7" max="7" width="19.33203125" customWidth="1"/>
    <col min="8" max="8" width="14.33203125" customWidth="1"/>
    <col min="9" max="9" width="21.5546875" customWidth="1"/>
    <col min="10" max="10" width="19.109375" customWidth="1"/>
    <col min="11" max="11" width="20.6640625" customWidth="1"/>
    <col min="12" max="13" width="19.88671875" customWidth="1"/>
    <col min="14" max="14" width="14.33203125" style="124" customWidth="1"/>
    <col min="15" max="15" width="42.44140625" customWidth="1"/>
    <col min="16" max="16" width="17" bestFit="1" customWidth="1"/>
    <col min="17" max="17" width="10.109375" bestFit="1" customWidth="1"/>
    <col min="18" max="18" width="14" bestFit="1" customWidth="1"/>
    <col min="19" max="19" width="9.33203125" bestFit="1" customWidth="1"/>
    <col min="21" max="21" width="9.33203125" bestFit="1" customWidth="1"/>
    <col min="22" max="22" width="11.109375" bestFit="1" customWidth="1"/>
    <col min="23" max="26" width="9.33203125" bestFit="1" customWidth="1"/>
  </cols>
  <sheetData>
    <row r="1" spans="1:18" ht="15" thickBot="1">
      <c r="A1" s="252"/>
      <c r="B1" s="593"/>
      <c r="C1" s="253"/>
      <c r="D1" s="253"/>
      <c r="E1" s="253"/>
      <c r="F1" s="254"/>
      <c r="G1" s="255"/>
      <c r="H1" s="256"/>
      <c r="I1" s="257"/>
      <c r="J1" s="258"/>
      <c r="K1" s="259"/>
      <c r="L1" s="259"/>
      <c r="M1" s="257">
        <f>K465</f>
        <v>118013.68</v>
      </c>
      <c r="N1" s="808"/>
      <c r="O1" s="260"/>
      <c r="P1" s="260"/>
      <c r="Q1" s="260"/>
      <c r="R1" s="260"/>
    </row>
    <row r="2" spans="1:18" s="1048" customFormat="1" ht="40.200000000000003" customHeight="1">
      <c r="A2" s="1044"/>
      <c r="B2" s="1045"/>
      <c r="C2" s="1464" t="s">
        <v>790</v>
      </c>
      <c r="D2" s="1441" t="s">
        <v>791</v>
      </c>
      <c r="E2" s="1442"/>
      <c r="F2" s="1442"/>
      <c r="G2" s="1442"/>
      <c r="H2" s="1442"/>
      <c r="I2" s="1442"/>
      <c r="J2" s="1442"/>
      <c r="K2" s="1443"/>
      <c r="L2" s="1046" t="s">
        <v>792</v>
      </c>
      <c r="M2" s="1047">
        <f ca="1">TODAY()</f>
        <v>46127</v>
      </c>
      <c r="N2" s="809"/>
      <c r="O2" s="809"/>
      <c r="P2" s="1047"/>
    </row>
    <row r="3" spans="1:18" s="1048" customFormat="1" ht="40.200000000000003" customHeight="1">
      <c r="A3" s="1049"/>
      <c r="B3" s="1050"/>
      <c r="C3" s="1465"/>
      <c r="D3" s="1455" t="s">
        <v>793</v>
      </c>
      <c r="E3" s="1456"/>
      <c r="F3" s="1456"/>
      <c r="G3" s="1456"/>
      <c r="H3" s="1456"/>
      <c r="I3" s="1456"/>
      <c r="J3" s="1456"/>
      <c r="K3" s="1457"/>
      <c r="L3" s="1060" t="s">
        <v>794</v>
      </c>
      <c r="M3" s="1061">
        <v>37</v>
      </c>
      <c r="N3" s="809"/>
      <c r="O3" s="809"/>
      <c r="P3" s="1051"/>
    </row>
    <row r="4" spans="1:18" s="1048" customFormat="1" ht="40.200000000000003" customHeight="1" thickBot="1">
      <c r="A4" s="1052"/>
      <c r="B4" s="1053"/>
      <c r="C4" s="1466"/>
      <c r="D4" s="1444" t="s">
        <v>795</v>
      </c>
      <c r="E4" s="1445"/>
      <c r="F4" s="1445"/>
      <c r="G4" s="1445"/>
      <c r="H4" s="1445"/>
      <c r="I4" s="1445"/>
      <c r="J4" s="1445"/>
      <c r="K4" s="1446"/>
      <c r="L4" s="1062" t="s">
        <v>2560</v>
      </c>
      <c r="M4" s="1063"/>
      <c r="N4" s="809"/>
      <c r="O4" s="809"/>
      <c r="P4" s="1054"/>
    </row>
    <row r="5" spans="1:18" ht="17.399999999999999">
      <c r="A5" s="1449" t="s">
        <v>796</v>
      </c>
      <c r="B5" s="1449"/>
      <c r="C5" s="1449"/>
      <c r="D5" s="1449"/>
      <c r="E5" s="1449"/>
      <c r="F5" s="1449"/>
      <c r="G5" s="1449"/>
      <c r="H5" s="1449"/>
      <c r="I5" s="1449"/>
      <c r="J5" s="1449"/>
      <c r="K5" s="1449"/>
      <c r="L5" s="1449"/>
      <c r="M5" s="1449"/>
      <c r="N5" s="809"/>
      <c r="O5" s="77"/>
      <c r="P5" s="77"/>
      <c r="Q5" s="77"/>
      <c r="R5" s="77"/>
    </row>
    <row r="6" spans="1:18" ht="15.75" customHeight="1">
      <c r="A6" s="1450" t="s">
        <v>259</v>
      </c>
      <c r="B6" s="1450"/>
      <c r="C6" s="1451" t="s">
        <v>797</v>
      </c>
      <c r="D6" s="1451" t="s">
        <v>798</v>
      </c>
      <c r="E6" s="1452" t="s">
        <v>799</v>
      </c>
      <c r="F6" s="1452"/>
      <c r="G6" s="1452"/>
      <c r="H6" s="1453" t="s">
        <v>800</v>
      </c>
      <c r="I6" s="1453"/>
      <c r="J6" s="1454">
        <v>37</v>
      </c>
      <c r="K6" s="1454"/>
      <c r="L6" s="1453" t="s">
        <v>801</v>
      </c>
      <c r="M6" s="1453"/>
      <c r="N6" s="810"/>
      <c r="O6" s="261"/>
      <c r="P6" s="261"/>
      <c r="Q6" s="261"/>
      <c r="R6" s="261"/>
    </row>
    <row r="7" spans="1:18" ht="15.75" customHeight="1">
      <c r="A7" s="1304" t="s">
        <v>802</v>
      </c>
      <c r="B7" s="1305" t="s">
        <v>64</v>
      </c>
      <c r="C7" s="1451"/>
      <c r="D7" s="1451"/>
      <c r="E7" s="1303" t="s">
        <v>803</v>
      </c>
      <c r="F7" s="1303" t="s">
        <v>804</v>
      </c>
      <c r="G7" s="1306" t="s">
        <v>293</v>
      </c>
      <c r="H7" s="1303" t="s">
        <v>804</v>
      </c>
      <c r="I7" s="1306" t="s">
        <v>293</v>
      </c>
      <c r="J7" s="1303" t="s">
        <v>804</v>
      </c>
      <c r="K7" s="1303" t="s">
        <v>293</v>
      </c>
      <c r="L7" s="1303" t="s">
        <v>804</v>
      </c>
      <c r="M7" s="1306" t="s">
        <v>293</v>
      </c>
      <c r="N7" s="810"/>
      <c r="O7" s="788" t="s">
        <v>805</v>
      </c>
      <c r="P7" s="261"/>
      <c r="Q7" s="261"/>
      <c r="R7" s="261"/>
    </row>
    <row r="8" spans="1:18" ht="19.95" customHeight="1">
      <c r="A8" s="1307" t="s">
        <v>806</v>
      </c>
      <c r="B8" s="1308"/>
      <c r="C8" s="1309"/>
      <c r="D8" s="1309"/>
      <c r="E8" s="1309"/>
      <c r="F8" s="1309"/>
      <c r="G8" s="1310"/>
      <c r="H8" s="1309"/>
      <c r="I8" s="1310"/>
      <c r="J8" s="1309"/>
      <c r="K8" s="1309"/>
      <c r="L8" s="1309"/>
      <c r="M8" s="1311"/>
      <c r="N8" s="811"/>
      <c r="O8" s="262"/>
      <c r="P8" s="262"/>
      <c r="Q8" s="262"/>
      <c r="R8" s="262"/>
    </row>
    <row r="9" spans="1:18" s="576" customFormat="1" ht="19.95" customHeight="1">
      <c r="A9" s="1312" t="s">
        <v>262</v>
      </c>
      <c r="B9" s="1313" t="s">
        <v>263</v>
      </c>
      <c r="C9" s="1309"/>
      <c r="D9" s="1309"/>
      <c r="E9" s="1309"/>
      <c r="F9" s="1309"/>
      <c r="G9" s="1310">
        <f>SUBTOTAL(9,G10:G16)</f>
        <v>73962.790000000008</v>
      </c>
      <c r="H9" s="1309"/>
      <c r="I9" s="1310"/>
      <c r="J9" s="1309"/>
      <c r="K9" s="1314">
        <f>SUBTOTAL(9,K10:K16)</f>
        <v>0</v>
      </c>
      <c r="L9" s="1309"/>
      <c r="M9" s="1311">
        <f>SUBTOTAL(9,M10:M16)</f>
        <v>73962.790000000008</v>
      </c>
      <c r="N9" s="811"/>
      <c r="O9" s="262"/>
      <c r="P9" s="262"/>
      <c r="Q9" s="262"/>
      <c r="R9" s="262"/>
    </row>
    <row r="10" spans="1:18" ht="39.6" outlineLevel="1">
      <c r="A10" s="263" t="s">
        <v>347</v>
      </c>
      <c r="B10" s="581" t="s">
        <v>807</v>
      </c>
      <c r="C10" s="265" t="s">
        <v>808</v>
      </c>
      <c r="D10" s="264" t="s">
        <v>809</v>
      </c>
      <c r="E10" s="266">
        <v>37.58</v>
      </c>
      <c r="F10" s="267">
        <v>50</v>
      </c>
      <c r="G10" s="268">
        <f t="shared" ref="G10:G16" si="0">ROUND(F10*E10,2)</f>
        <v>1879</v>
      </c>
      <c r="H10" s="269">
        <v>50</v>
      </c>
      <c r="I10" s="268">
        <f>ROUND((E10*H10),2)</f>
        <v>1879</v>
      </c>
      <c r="J10" s="269">
        <f>VLOOKUP(A10,'12 - CORPO'!$A$1:$R$5122,18,FALSE)</f>
        <v>0</v>
      </c>
      <c r="K10" s="270">
        <f>M10-I10</f>
        <v>0</v>
      </c>
      <c r="L10" s="269">
        <f t="shared" ref="L10:L16" si="1">(H10+J10)</f>
        <v>50</v>
      </c>
      <c r="M10" s="268">
        <f>ROUND((E10*L10),2)</f>
        <v>1879</v>
      </c>
      <c r="N10" s="808"/>
      <c r="O10" s="260">
        <f>F10-L10</f>
        <v>0</v>
      </c>
      <c r="P10" s="260"/>
      <c r="Q10" s="260"/>
      <c r="R10" s="260"/>
    </row>
    <row r="11" spans="1:18" ht="26.4" outlineLevel="1">
      <c r="A11" s="271" t="s">
        <v>348</v>
      </c>
      <c r="B11" s="579" t="s">
        <v>810</v>
      </c>
      <c r="C11" s="273" t="s">
        <v>811</v>
      </c>
      <c r="D11" s="272" t="s">
        <v>809</v>
      </c>
      <c r="E11" s="274">
        <v>309.23</v>
      </c>
      <c r="F11" s="275">
        <v>50</v>
      </c>
      <c r="G11" s="276">
        <f t="shared" si="0"/>
        <v>15461.5</v>
      </c>
      <c r="H11" s="277">
        <v>50</v>
      </c>
      <c r="I11" s="276">
        <f t="shared" ref="I11:I16" si="2">ROUND((E11*H11),2)</f>
        <v>15461.5</v>
      </c>
      <c r="J11" s="277">
        <f>VLOOKUP(A11,'12 - CORPO'!$A$1:$R$5122,18,FALSE)</f>
        <v>0</v>
      </c>
      <c r="K11" s="278">
        <f>M11-I11</f>
        <v>0</v>
      </c>
      <c r="L11" s="277">
        <f t="shared" si="1"/>
        <v>50</v>
      </c>
      <c r="M11" s="276">
        <f t="shared" ref="M11:M16" si="3">ROUND((E11*L11),2)</f>
        <v>15461.5</v>
      </c>
      <c r="N11" s="808"/>
      <c r="O11" s="260">
        <f t="shared" ref="O11:O22" si="4">F11-L11</f>
        <v>0</v>
      </c>
      <c r="P11" s="260"/>
      <c r="Q11" s="260"/>
      <c r="R11" s="260"/>
    </row>
    <row r="12" spans="1:18" ht="39.6" outlineLevel="1">
      <c r="A12" s="271" t="s">
        <v>349</v>
      </c>
      <c r="B12" s="579" t="s">
        <v>812</v>
      </c>
      <c r="C12" s="273" t="s">
        <v>813</v>
      </c>
      <c r="D12" s="272" t="s">
        <v>809</v>
      </c>
      <c r="E12" s="274">
        <v>453.78</v>
      </c>
      <c r="F12" s="275">
        <v>50</v>
      </c>
      <c r="G12" s="276">
        <f t="shared" si="0"/>
        <v>22689</v>
      </c>
      <c r="H12" s="277">
        <v>50</v>
      </c>
      <c r="I12" s="276">
        <f t="shared" si="2"/>
        <v>22689</v>
      </c>
      <c r="J12" s="277">
        <f>VLOOKUP(A12,'12 - CORPO'!$A$1:$R$5122,18,FALSE)</f>
        <v>0</v>
      </c>
      <c r="K12" s="278">
        <f t="shared" ref="K12:K22" si="5">M12-I12</f>
        <v>0</v>
      </c>
      <c r="L12" s="277">
        <f t="shared" si="1"/>
        <v>50</v>
      </c>
      <c r="M12" s="276">
        <f t="shared" si="3"/>
        <v>22689</v>
      </c>
      <c r="N12" s="808"/>
      <c r="O12" s="260">
        <f t="shared" si="4"/>
        <v>0</v>
      </c>
      <c r="P12" s="260"/>
      <c r="Q12" s="260"/>
      <c r="R12" s="260"/>
    </row>
    <row r="13" spans="1:18" ht="26.4" outlineLevel="1">
      <c r="A13" s="271" t="s">
        <v>350</v>
      </c>
      <c r="B13" s="579" t="s">
        <v>814</v>
      </c>
      <c r="C13" s="273" t="s">
        <v>815</v>
      </c>
      <c r="D13" s="272" t="s">
        <v>816</v>
      </c>
      <c r="E13" s="274">
        <v>1791.13</v>
      </c>
      <c r="F13" s="275">
        <v>1</v>
      </c>
      <c r="G13" s="276">
        <f t="shared" si="0"/>
        <v>1791.13</v>
      </c>
      <c r="H13" s="277">
        <v>1</v>
      </c>
      <c r="I13" s="276">
        <f t="shared" si="2"/>
        <v>1791.13</v>
      </c>
      <c r="J13" s="277">
        <f>VLOOKUP(A13,'12 - CORPO'!$A$1:$R$5122,18,FALSE)</f>
        <v>0</v>
      </c>
      <c r="K13" s="278">
        <f t="shared" si="5"/>
        <v>0</v>
      </c>
      <c r="L13" s="277">
        <f t="shared" si="1"/>
        <v>1</v>
      </c>
      <c r="M13" s="276">
        <f t="shared" si="3"/>
        <v>1791.13</v>
      </c>
      <c r="N13" s="808"/>
      <c r="O13" s="260">
        <f t="shared" si="4"/>
        <v>0</v>
      </c>
      <c r="P13" s="260"/>
      <c r="Q13" s="260"/>
      <c r="R13" s="260"/>
    </row>
    <row r="14" spans="1:18" ht="39.6" outlineLevel="1">
      <c r="A14" s="271" t="s">
        <v>351</v>
      </c>
      <c r="B14" s="579" t="s">
        <v>817</v>
      </c>
      <c r="C14" s="273" t="s">
        <v>818</v>
      </c>
      <c r="D14" s="272" t="s">
        <v>809</v>
      </c>
      <c r="E14" s="274">
        <v>135.15</v>
      </c>
      <c r="F14" s="275">
        <v>200</v>
      </c>
      <c r="G14" s="276">
        <f t="shared" si="0"/>
        <v>27030</v>
      </c>
      <c r="H14" s="277">
        <v>200</v>
      </c>
      <c r="I14" s="276">
        <f t="shared" si="2"/>
        <v>27030</v>
      </c>
      <c r="J14" s="277">
        <f>VLOOKUP(A14,'12 - CORPO'!$A$1:$R$5122,18,FALSE)</f>
        <v>0</v>
      </c>
      <c r="K14" s="278">
        <f t="shared" si="5"/>
        <v>0</v>
      </c>
      <c r="L14" s="277">
        <f t="shared" si="1"/>
        <v>200</v>
      </c>
      <c r="M14" s="276">
        <f t="shared" si="3"/>
        <v>27030</v>
      </c>
      <c r="N14" s="808"/>
      <c r="O14" s="260">
        <f t="shared" si="4"/>
        <v>0</v>
      </c>
      <c r="P14" s="260"/>
      <c r="Q14" s="260"/>
      <c r="R14" s="260"/>
    </row>
    <row r="15" spans="1:18" ht="19.95" customHeight="1" outlineLevel="1">
      <c r="A15" s="271" t="s">
        <v>352</v>
      </c>
      <c r="B15" s="579" t="s">
        <v>819</v>
      </c>
      <c r="C15" s="273" t="s">
        <v>820</v>
      </c>
      <c r="D15" s="272" t="s">
        <v>821</v>
      </c>
      <c r="E15" s="279">
        <v>231.49</v>
      </c>
      <c r="F15" s="280">
        <v>18.96</v>
      </c>
      <c r="G15" s="276">
        <f t="shared" si="0"/>
        <v>4389.05</v>
      </c>
      <c r="H15" s="277">
        <v>18.96</v>
      </c>
      <c r="I15" s="281">
        <f t="shared" si="2"/>
        <v>4389.05</v>
      </c>
      <c r="J15" s="277">
        <f>VLOOKUP(A15,'12 - CORPO'!$A$1:$R$5122,18,FALSE)</f>
        <v>0</v>
      </c>
      <c r="K15" s="278">
        <f t="shared" si="5"/>
        <v>0</v>
      </c>
      <c r="L15" s="282">
        <f t="shared" si="1"/>
        <v>18.96</v>
      </c>
      <c r="M15" s="281">
        <f t="shared" si="3"/>
        <v>4389.05</v>
      </c>
      <c r="N15" s="808"/>
      <c r="O15" s="260">
        <f t="shared" si="4"/>
        <v>0</v>
      </c>
      <c r="P15" s="260"/>
      <c r="Q15" s="260"/>
      <c r="R15" s="260"/>
    </row>
    <row r="16" spans="1:18" ht="26.4" outlineLevel="1">
      <c r="A16" s="271" t="s">
        <v>353</v>
      </c>
      <c r="B16" s="580" t="s">
        <v>822</v>
      </c>
      <c r="C16" s="273" t="s">
        <v>823</v>
      </c>
      <c r="D16" s="272" t="s">
        <v>816</v>
      </c>
      <c r="E16" s="274">
        <v>723.11</v>
      </c>
      <c r="F16" s="275">
        <v>1</v>
      </c>
      <c r="G16" s="276">
        <f t="shared" si="0"/>
        <v>723.11</v>
      </c>
      <c r="H16" s="277">
        <v>1</v>
      </c>
      <c r="I16" s="276">
        <f t="shared" si="2"/>
        <v>723.11</v>
      </c>
      <c r="J16" s="277">
        <f>VLOOKUP(A16,'12 - CORPO'!$A$1:$R$5122,18,FALSE)</f>
        <v>0</v>
      </c>
      <c r="K16" s="278">
        <f t="shared" si="5"/>
        <v>0</v>
      </c>
      <c r="L16" s="277">
        <f t="shared" si="1"/>
        <v>1</v>
      </c>
      <c r="M16" s="276">
        <f t="shared" si="3"/>
        <v>723.11</v>
      </c>
      <c r="N16" s="808"/>
      <c r="O16" s="260">
        <f t="shared" si="4"/>
        <v>0</v>
      </c>
      <c r="P16" s="260"/>
      <c r="Q16" s="260"/>
      <c r="R16" s="260"/>
    </row>
    <row r="17" spans="1:18" ht="19.95" customHeight="1">
      <c r="A17" s="1312" t="s">
        <v>269</v>
      </c>
      <c r="B17" s="1313" t="s">
        <v>270</v>
      </c>
      <c r="C17" s="1309"/>
      <c r="D17" s="1309"/>
      <c r="E17" s="1309"/>
      <c r="F17" s="1309"/>
      <c r="G17" s="1310">
        <f>SUBTOTAL(9,G18:G22)</f>
        <v>152748.78</v>
      </c>
      <c r="H17" s="1309"/>
      <c r="I17" s="1310"/>
      <c r="J17" s="1309"/>
      <c r="K17" s="1311">
        <f>SUBTOTAL(9,K18:K22)</f>
        <v>0</v>
      </c>
      <c r="L17" s="1309"/>
      <c r="M17" s="1311">
        <f>SUBTOTAL(9,M18:M22)</f>
        <v>152748.78</v>
      </c>
      <c r="N17" s="811"/>
      <c r="O17" s="262"/>
      <c r="P17" s="262"/>
      <c r="Q17" s="262"/>
      <c r="R17" s="262"/>
    </row>
    <row r="18" spans="1:18" ht="19.95" customHeight="1" outlineLevel="1">
      <c r="A18" s="283" t="s">
        <v>354</v>
      </c>
      <c r="B18" s="594" t="s">
        <v>824</v>
      </c>
      <c r="C18" s="284" t="s">
        <v>825</v>
      </c>
      <c r="D18" s="285" t="s">
        <v>816</v>
      </c>
      <c r="E18" s="286">
        <v>1082.3800000000001</v>
      </c>
      <c r="F18" s="287">
        <v>5</v>
      </c>
      <c r="G18" s="288">
        <f>ROUND(F18*E18,2)</f>
        <v>5411.9</v>
      </c>
      <c r="H18" s="277">
        <v>5</v>
      </c>
      <c r="I18" s="288">
        <f>ROUND((E18*H18),2)</f>
        <v>5411.9</v>
      </c>
      <c r="J18" s="289">
        <f>VLOOKUP(A18,'12 - CORPO'!$A$1:$R$5122,18,FALSE)</f>
        <v>0</v>
      </c>
      <c r="K18" s="290">
        <f t="shared" si="5"/>
        <v>0</v>
      </c>
      <c r="L18" s="289">
        <f>(H18+J18)</f>
        <v>5</v>
      </c>
      <c r="M18" s="288">
        <f>ROUND((E18*L18),2)</f>
        <v>5411.9</v>
      </c>
      <c r="N18" s="808"/>
      <c r="O18" s="260">
        <f t="shared" si="4"/>
        <v>0</v>
      </c>
      <c r="P18" s="260"/>
      <c r="Q18" s="260"/>
      <c r="R18" s="260"/>
    </row>
    <row r="19" spans="1:18" ht="39.6" outlineLevel="1">
      <c r="A19" s="291" t="s">
        <v>355</v>
      </c>
      <c r="B19" s="319" t="s">
        <v>826</v>
      </c>
      <c r="C19" s="273" t="s">
        <v>827</v>
      </c>
      <c r="D19" s="292" t="s">
        <v>828</v>
      </c>
      <c r="E19" s="274">
        <v>865.9</v>
      </c>
      <c r="F19" s="275">
        <v>38</v>
      </c>
      <c r="G19" s="276">
        <f>ROUND(F19*E19,2)</f>
        <v>32904.199999999997</v>
      </c>
      <c r="H19" s="277">
        <v>38</v>
      </c>
      <c r="I19" s="288">
        <f>ROUND((E19*H19),2)</f>
        <v>32904.199999999997</v>
      </c>
      <c r="J19" s="277">
        <f>VLOOKUP(A19,'12 - CORPO'!$A$1:$R$5122,18,FALSE)</f>
        <v>0</v>
      </c>
      <c r="K19" s="278">
        <f t="shared" si="5"/>
        <v>0</v>
      </c>
      <c r="L19" s="277">
        <f>(H19+J19)</f>
        <v>38</v>
      </c>
      <c r="M19" s="276">
        <f>ROUND((E19*L19),2)</f>
        <v>32904.199999999997</v>
      </c>
      <c r="N19" s="808"/>
      <c r="O19" s="260">
        <f t="shared" si="4"/>
        <v>0</v>
      </c>
      <c r="P19" s="260"/>
      <c r="Q19" s="260"/>
      <c r="R19" s="260"/>
    </row>
    <row r="20" spans="1:18" ht="39.6" outlineLevel="1">
      <c r="A20" s="291" t="s">
        <v>356</v>
      </c>
      <c r="B20" s="319" t="s">
        <v>829</v>
      </c>
      <c r="C20" s="273" t="s">
        <v>830</v>
      </c>
      <c r="D20" s="292" t="s">
        <v>828</v>
      </c>
      <c r="E20" s="274">
        <v>885.69</v>
      </c>
      <c r="F20" s="275">
        <v>38</v>
      </c>
      <c r="G20" s="276">
        <f>ROUND(F20*E20,2)</f>
        <v>33656.22</v>
      </c>
      <c r="H20" s="277">
        <v>38</v>
      </c>
      <c r="I20" s="288">
        <f>ROUND((E20*H20),2)</f>
        <v>33656.22</v>
      </c>
      <c r="J20" s="277">
        <f>VLOOKUP(A20,'12 - CORPO'!$A$1:$R$5122,18,FALSE)</f>
        <v>0</v>
      </c>
      <c r="K20" s="278">
        <f t="shared" si="5"/>
        <v>0</v>
      </c>
      <c r="L20" s="277">
        <f>(H20+J20)</f>
        <v>38</v>
      </c>
      <c r="M20" s="276">
        <f>ROUND((E20*L20),2)</f>
        <v>33656.22</v>
      </c>
      <c r="N20" s="808"/>
      <c r="O20" s="260">
        <f t="shared" si="4"/>
        <v>0</v>
      </c>
      <c r="P20" s="260"/>
      <c r="Q20" s="260"/>
      <c r="R20" s="260"/>
    </row>
    <row r="21" spans="1:18" ht="52.8" outlineLevel="1">
      <c r="A21" s="291" t="s">
        <v>357</v>
      </c>
      <c r="B21" s="319" t="s">
        <v>831</v>
      </c>
      <c r="C21" s="273" t="s">
        <v>832</v>
      </c>
      <c r="D21" s="292" t="s">
        <v>828</v>
      </c>
      <c r="E21" s="274">
        <v>874.15</v>
      </c>
      <c r="F21" s="275">
        <v>70</v>
      </c>
      <c r="G21" s="276">
        <f>ROUND(F21*E21,2)</f>
        <v>61190.5</v>
      </c>
      <c r="H21" s="277">
        <v>70</v>
      </c>
      <c r="I21" s="288">
        <f>ROUND((E21*H21),2)</f>
        <v>61190.5</v>
      </c>
      <c r="J21" s="277">
        <f>VLOOKUP(A21,'12 - CORPO'!$A$1:$R$5122,18,FALSE)</f>
        <v>0</v>
      </c>
      <c r="K21" s="278">
        <f t="shared" si="5"/>
        <v>0</v>
      </c>
      <c r="L21" s="277">
        <f>(H21+J21)</f>
        <v>70</v>
      </c>
      <c r="M21" s="276">
        <f>ROUND((E21*L21),2)</f>
        <v>61190.5</v>
      </c>
      <c r="N21" s="808"/>
      <c r="O21" s="260">
        <f t="shared" si="4"/>
        <v>0</v>
      </c>
      <c r="P21" s="260"/>
      <c r="Q21" s="260"/>
      <c r="R21" s="260"/>
    </row>
    <row r="22" spans="1:18" ht="39.6" outlineLevel="1">
      <c r="A22" s="291" t="s">
        <v>358</v>
      </c>
      <c r="B22" s="319" t="s">
        <v>833</v>
      </c>
      <c r="C22" s="273" t="s">
        <v>834</v>
      </c>
      <c r="D22" s="292" t="s">
        <v>828</v>
      </c>
      <c r="E22" s="274">
        <v>515.41999999999996</v>
      </c>
      <c r="F22" s="275">
        <v>38</v>
      </c>
      <c r="G22" s="276">
        <f>ROUND(F22*E22,2)</f>
        <v>19585.96</v>
      </c>
      <c r="H22" s="277">
        <v>38</v>
      </c>
      <c r="I22" s="288">
        <f>ROUND((E22*H22),2)</f>
        <v>19585.96</v>
      </c>
      <c r="J22" s="277">
        <f>VLOOKUP(A22,'12 - CORPO'!$A$1:$R$5122,18,FALSE)</f>
        <v>0</v>
      </c>
      <c r="K22" s="278">
        <f t="shared" si="5"/>
        <v>0</v>
      </c>
      <c r="L22" s="277">
        <f>(H22+J22)</f>
        <v>38</v>
      </c>
      <c r="M22" s="276">
        <f>ROUND((E22*L22),2)</f>
        <v>19585.96</v>
      </c>
      <c r="N22" s="808"/>
      <c r="O22" s="260">
        <f t="shared" si="4"/>
        <v>0</v>
      </c>
      <c r="P22" s="260"/>
      <c r="Q22" s="260"/>
      <c r="R22" s="260"/>
    </row>
    <row r="23" spans="1:18" ht="19.95" customHeight="1">
      <c r="A23" s="1315"/>
      <c r="B23" s="1316"/>
      <c r="C23" s="1461" t="s">
        <v>835</v>
      </c>
      <c r="D23" s="1462"/>
      <c r="E23" s="1462"/>
      <c r="F23" s="1463"/>
      <c r="G23" s="1317">
        <f>SUBTOTAL(9,$G$9:$G$22)</f>
        <v>226711.56999999998</v>
      </c>
      <c r="H23" s="1318"/>
      <c r="I23" s="1319">
        <f>SUBTOTAL(9,$I$10:$I$22)</f>
        <v>226711.56999999998</v>
      </c>
      <c r="J23" s="1318"/>
      <c r="K23" s="1319">
        <f>SUBTOTAL(9,$K$10:$K$22)</f>
        <v>0</v>
      </c>
      <c r="L23" s="1318"/>
      <c r="M23" s="1319">
        <f>SUBTOTAL(9,$M$10:$M$22)</f>
        <v>226711.56999999998</v>
      </c>
      <c r="N23" s="808"/>
      <c r="O23" s="260"/>
      <c r="P23" s="260"/>
      <c r="Q23" s="260"/>
      <c r="R23" s="260"/>
    </row>
    <row r="24" spans="1:18" ht="19.95" customHeight="1">
      <c r="A24" s="1307" t="s">
        <v>836</v>
      </c>
      <c r="B24" s="1308"/>
      <c r="C24" s="1309"/>
      <c r="D24" s="1309"/>
      <c r="E24" s="1309"/>
      <c r="F24" s="1309"/>
      <c r="G24" s="1310"/>
      <c r="H24" s="1309"/>
      <c r="I24" s="1310"/>
      <c r="J24" s="1309"/>
      <c r="K24" s="1309"/>
      <c r="L24" s="1309"/>
      <c r="M24" s="1311"/>
      <c r="N24" s="811"/>
      <c r="O24" s="262"/>
      <c r="P24" s="262"/>
      <c r="Q24" s="262"/>
      <c r="R24" s="262"/>
    </row>
    <row r="25" spans="1:18" ht="19.95" customHeight="1">
      <c r="A25" s="1312" t="s">
        <v>273</v>
      </c>
      <c r="B25" s="1309" t="s">
        <v>274</v>
      </c>
      <c r="C25" s="1309"/>
      <c r="D25" s="1309"/>
      <c r="E25" s="1309"/>
      <c r="F25" s="1309"/>
      <c r="G25" s="1310">
        <f>SUBTOTAL(9,G26:G31)</f>
        <v>15531.89</v>
      </c>
      <c r="H25" s="1309"/>
      <c r="I25" s="1310">
        <f>SUBTOTAL(9,I26:I31)</f>
        <v>15531.89</v>
      </c>
      <c r="J25" s="1309"/>
      <c r="K25" s="1309">
        <f>SUBTOTAL(9,K26:K31)</f>
        <v>0</v>
      </c>
      <c r="L25" s="1309"/>
      <c r="M25" s="1311">
        <f>SUBTOTAL(9,M26:M31)</f>
        <v>15531.89</v>
      </c>
      <c r="N25" s="811"/>
      <c r="O25" s="262"/>
      <c r="P25" s="262"/>
      <c r="Q25" s="262"/>
      <c r="R25" s="262"/>
    </row>
    <row r="26" spans="1:18" ht="19.95" customHeight="1">
      <c r="A26" s="1320" t="s">
        <v>359</v>
      </c>
      <c r="B26" s="1321" t="s">
        <v>837</v>
      </c>
      <c r="C26" s="1322"/>
      <c r="D26" s="1322"/>
      <c r="E26" s="1322"/>
      <c r="F26" s="1322"/>
      <c r="G26" s="1323">
        <f>SUBTOTAL(9,G27:G28)</f>
        <v>13224</v>
      </c>
      <c r="H26" s="1322"/>
      <c r="I26" s="1323">
        <f>SUBTOTAL(9,I27:I28)</f>
        <v>13224</v>
      </c>
      <c r="J26" s="1322"/>
      <c r="K26" s="1322"/>
      <c r="L26" s="1322"/>
      <c r="M26" s="1324">
        <f>SUBTOTAL(9,M27:M28)</f>
        <v>13224</v>
      </c>
      <c r="N26" s="811"/>
      <c r="O26" s="262"/>
      <c r="P26" s="262"/>
      <c r="Q26" s="262"/>
      <c r="R26" s="262"/>
    </row>
    <row r="27" spans="1:18" ht="52.8" outlineLevel="1">
      <c r="A27" s="283" t="s">
        <v>360</v>
      </c>
      <c r="B27" s="592" t="s">
        <v>838</v>
      </c>
      <c r="C27" s="284" t="s">
        <v>839</v>
      </c>
      <c r="D27" s="285" t="s">
        <v>840</v>
      </c>
      <c r="E27" s="286">
        <v>9.65</v>
      </c>
      <c r="F27" s="287">
        <v>672</v>
      </c>
      <c r="G27" s="288">
        <f>ROUND(F27*E27,2)</f>
        <v>6484.8</v>
      </c>
      <c r="H27" s="289">
        <v>672</v>
      </c>
      <c r="I27" s="288">
        <f>ROUND((E27*H27),2)</f>
        <v>6484.8</v>
      </c>
      <c r="J27" s="289">
        <f>VLOOKUP(A27,'12 - CORPO'!$A$1:$R$5122,18,FALSE)</f>
        <v>0</v>
      </c>
      <c r="K27" s="577">
        <f>M27-I27</f>
        <v>0</v>
      </c>
      <c r="L27" s="289">
        <f>(H27+J27)</f>
        <v>672</v>
      </c>
      <c r="M27" s="288">
        <f>ROUND((E27*L27),2)</f>
        <v>6484.8</v>
      </c>
      <c r="N27" s="808"/>
      <c r="O27" s="260">
        <f t="shared" ref="O27:P53" si="6">F27-L27</f>
        <v>0</v>
      </c>
      <c r="P27" s="260">
        <f t="shared" si="6"/>
        <v>0</v>
      </c>
      <c r="Q27" s="260"/>
      <c r="R27" s="260"/>
    </row>
    <row r="28" spans="1:18" ht="39.6" outlineLevel="1">
      <c r="A28" s="283" t="s">
        <v>361</v>
      </c>
      <c r="B28" s="580" t="s">
        <v>841</v>
      </c>
      <c r="C28" s="294" t="s">
        <v>842</v>
      </c>
      <c r="D28" s="292" t="s">
        <v>843</v>
      </c>
      <c r="E28" s="295">
        <v>0.26</v>
      </c>
      <c r="F28" s="296">
        <v>25920</v>
      </c>
      <c r="G28" s="276">
        <f>ROUND(F28*E28,2)</f>
        <v>6739.2</v>
      </c>
      <c r="H28" s="297">
        <v>25920</v>
      </c>
      <c r="I28" s="288">
        <f>ROUND((E28*H28),2)</f>
        <v>6739.2</v>
      </c>
      <c r="J28" s="297">
        <f>VLOOKUP(A28,'12 - CORPO'!$A$1:$R$5122,18,FALSE)</f>
        <v>0</v>
      </c>
      <c r="K28" s="298">
        <f>M28-I28</f>
        <v>0</v>
      </c>
      <c r="L28" s="297">
        <f>(H28+J28)</f>
        <v>25920</v>
      </c>
      <c r="M28" s="276">
        <f>ROUND((E28*L28),2)</f>
        <v>6739.2</v>
      </c>
      <c r="N28" s="808"/>
      <c r="O28" s="260">
        <f t="shared" si="6"/>
        <v>0</v>
      </c>
      <c r="P28" s="260">
        <f t="shared" si="6"/>
        <v>0</v>
      </c>
      <c r="Q28" s="260"/>
      <c r="R28" s="260"/>
    </row>
    <row r="29" spans="1:18" ht="19.95" customHeight="1">
      <c r="A29" s="1320" t="s">
        <v>362</v>
      </c>
      <c r="B29" s="1321" t="s">
        <v>844</v>
      </c>
      <c r="C29" s="1322"/>
      <c r="D29" s="1322"/>
      <c r="E29" s="1322"/>
      <c r="F29" s="1322"/>
      <c r="G29" s="1323">
        <f>SUBTOTAL(9,G30:G31)</f>
        <v>2307.8900000000003</v>
      </c>
      <c r="H29" s="1322"/>
      <c r="I29" s="1323">
        <f>SUBTOTAL(9,I30:I31)</f>
        <v>2307.8900000000003</v>
      </c>
      <c r="J29" s="1322"/>
      <c r="K29" s="1322"/>
      <c r="L29" s="1322"/>
      <c r="M29" s="1324">
        <f>SUBTOTAL(9,M30:M31)</f>
        <v>2307.8900000000003</v>
      </c>
      <c r="N29" s="811"/>
      <c r="O29" s="262"/>
      <c r="P29" s="260">
        <f t="shared" si="6"/>
        <v>0</v>
      </c>
      <c r="Q29" s="262"/>
      <c r="R29" s="262"/>
    </row>
    <row r="30" spans="1:18" ht="26.4" outlineLevel="1">
      <c r="A30" s="583" t="s">
        <v>845</v>
      </c>
      <c r="B30" s="592" t="s">
        <v>846</v>
      </c>
      <c r="C30" s="284" t="s">
        <v>847</v>
      </c>
      <c r="D30" s="285" t="s">
        <v>840</v>
      </c>
      <c r="E30" s="286">
        <v>1105.6400000000001</v>
      </c>
      <c r="F30" s="287">
        <v>1</v>
      </c>
      <c r="G30" s="288">
        <f>ROUND(F30*E30,2)</f>
        <v>1105.6400000000001</v>
      </c>
      <c r="H30" s="289">
        <v>1</v>
      </c>
      <c r="I30" s="288">
        <f>ROUND((E30*H30),2)</f>
        <v>1105.6400000000001</v>
      </c>
      <c r="J30" s="289">
        <f>VLOOKUP(A30,'12 - CORPO'!$A$1:$R$5122,18,FALSE)</f>
        <v>0</v>
      </c>
      <c r="K30" s="577">
        <f>M30-I30</f>
        <v>0</v>
      </c>
      <c r="L30" s="289">
        <f>(H30+J30)</f>
        <v>1</v>
      </c>
      <c r="M30" s="288">
        <f>ROUND((E30*L30),2)</f>
        <v>1105.6400000000001</v>
      </c>
      <c r="N30" s="808"/>
      <c r="O30" s="260">
        <f t="shared" si="6"/>
        <v>0</v>
      </c>
      <c r="P30" s="260">
        <f t="shared" si="6"/>
        <v>0</v>
      </c>
      <c r="Q30" s="260"/>
      <c r="R30" s="260"/>
    </row>
    <row r="31" spans="1:18" outlineLevel="1">
      <c r="A31" s="578" t="s">
        <v>848</v>
      </c>
      <c r="B31" s="580" t="s">
        <v>849</v>
      </c>
      <c r="C31" s="663" t="s">
        <v>850</v>
      </c>
      <c r="D31" s="664" t="s">
        <v>843</v>
      </c>
      <c r="E31" s="689">
        <v>1202.25</v>
      </c>
      <c r="F31" s="690">
        <v>1</v>
      </c>
      <c r="G31" s="691">
        <f>ROUND(F31*E31,2)</f>
        <v>1202.25</v>
      </c>
      <c r="H31" s="669">
        <v>1</v>
      </c>
      <c r="I31" s="691">
        <f>ROUND((E31*H31),2)</f>
        <v>1202.25</v>
      </c>
      <c r="J31" s="669">
        <f>VLOOKUP(A31,'12 - CORPO'!$A$1:$R$5122,18,FALSE)</f>
        <v>0</v>
      </c>
      <c r="K31" s="692">
        <f>M31-I31</f>
        <v>0</v>
      </c>
      <c r="L31" s="669">
        <f>(H31+J31)</f>
        <v>1</v>
      </c>
      <c r="M31" s="691">
        <f>ROUND((E31*L31),2)</f>
        <v>1202.25</v>
      </c>
      <c r="N31" s="808"/>
      <c r="O31" s="260">
        <f t="shared" si="6"/>
        <v>0</v>
      </c>
      <c r="P31" s="260">
        <f t="shared" si="6"/>
        <v>0</v>
      </c>
      <c r="Q31" s="260"/>
      <c r="R31" s="260"/>
    </row>
    <row r="32" spans="1:18" ht="19.95" customHeight="1">
      <c r="A32" s="1312" t="s">
        <v>275</v>
      </c>
      <c r="B32" s="1309" t="s">
        <v>276</v>
      </c>
      <c r="C32" s="1309"/>
      <c r="D32" s="1309"/>
      <c r="E32" s="1309"/>
      <c r="F32" s="1309"/>
      <c r="G32" s="1310">
        <f>SUBTOTAL(9,G33:G53)</f>
        <v>3162800.1000000006</v>
      </c>
      <c r="H32" s="1309"/>
      <c r="I32" s="1310">
        <f>SUBTOTAL(9,I33:I53)</f>
        <v>2687754.6900000004</v>
      </c>
      <c r="J32" s="1309"/>
      <c r="K32" s="1314">
        <f>SUBTOTAL(9,K33:K53)</f>
        <v>8577.2199999999866</v>
      </c>
      <c r="L32" s="1309"/>
      <c r="M32" s="1311">
        <f>SUBTOTAL(9,M33:M53)</f>
        <v>2696331.9100000006</v>
      </c>
      <c r="N32" s="811"/>
      <c r="O32" s="262"/>
      <c r="P32" s="260"/>
      <c r="Q32" s="262"/>
      <c r="R32" s="262"/>
    </row>
    <row r="33" spans="1:22" ht="26.4" outlineLevel="1">
      <c r="A33" s="293" t="s">
        <v>365</v>
      </c>
      <c r="B33" s="318" t="s">
        <v>851</v>
      </c>
      <c r="C33" s="294" t="s">
        <v>852</v>
      </c>
      <c r="D33" s="292" t="s">
        <v>853</v>
      </c>
      <c r="E33" s="295">
        <v>7.37</v>
      </c>
      <c r="F33" s="296">
        <v>36928.47</v>
      </c>
      <c r="G33" s="276">
        <f>ROUND(F33*E33,2)</f>
        <v>272162.82</v>
      </c>
      <c r="H33" s="297">
        <v>36927.647451999997</v>
      </c>
      <c r="I33" s="276">
        <f>ROUND((E33*H33),2)</f>
        <v>272156.76</v>
      </c>
      <c r="J33" s="297">
        <f>VLOOKUP(A33,'12 - CORPO'!$A$1:$R$5122,18,FALSE)</f>
        <v>0</v>
      </c>
      <c r="K33" s="298">
        <f t="shared" ref="K33:K48" si="7">M33-I33</f>
        <v>0</v>
      </c>
      <c r="L33" s="297">
        <f t="shared" ref="L33:L48" si="8">(H33+J33)</f>
        <v>36927.647451999997</v>
      </c>
      <c r="M33" s="276">
        <f t="shared" ref="M33:M45" si="9">ROUND((E33*L33),2)</f>
        <v>272156.76</v>
      </c>
      <c r="N33" s="808"/>
      <c r="O33" s="260">
        <f t="shared" si="6"/>
        <v>0.82254800000373507</v>
      </c>
      <c r="P33" s="260">
        <f t="shared" si="6"/>
        <v>6.0599999999976717</v>
      </c>
      <c r="Q33" s="260"/>
      <c r="R33" s="260"/>
      <c r="U33">
        <v>648</v>
      </c>
    </row>
    <row r="34" spans="1:22" ht="19.95" customHeight="1" outlineLevel="1">
      <c r="A34" s="293" t="s">
        <v>366</v>
      </c>
      <c r="B34" s="318" t="s">
        <v>854</v>
      </c>
      <c r="C34" s="294" t="s">
        <v>855</v>
      </c>
      <c r="D34" s="292" t="s">
        <v>856</v>
      </c>
      <c r="E34" s="299">
        <v>0.45</v>
      </c>
      <c r="F34" s="300">
        <v>497376.43</v>
      </c>
      <c r="G34" s="276">
        <f t="shared" ref="G34:G45" si="10">ROUND(F34*E34,2)</f>
        <v>223819.39</v>
      </c>
      <c r="H34" s="301">
        <v>434064.16648179758</v>
      </c>
      <c r="I34" s="276">
        <f>ROUND((E34*H34),2)</f>
        <v>195328.87</v>
      </c>
      <c r="J34" s="297">
        <f>VLOOKUP(A34,'12 - CORPO'!$A$1:$R$5122,18,FALSE)</f>
        <v>0</v>
      </c>
      <c r="K34" s="303">
        <f t="shared" si="7"/>
        <v>0</v>
      </c>
      <c r="L34" s="301">
        <f t="shared" si="8"/>
        <v>434064.16648179758</v>
      </c>
      <c r="M34" s="302">
        <f t="shared" si="9"/>
        <v>195328.87</v>
      </c>
      <c r="N34" s="808"/>
      <c r="O34" s="260">
        <f t="shared" si="6"/>
        <v>63312.26351820241</v>
      </c>
      <c r="P34" s="260">
        <f t="shared" si="6"/>
        <v>28490.520000000019</v>
      </c>
      <c r="Q34" s="260"/>
      <c r="R34" s="260"/>
      <c r="U34">
        <v>1200</v>
      </c>
      <c r="V34">
        <v>14160</v>
      </c>
    </row>
    <row r="35" spans="1:22" ht="39.6" outlineLevel="1">
      <c r="A35" s="293" t="s">
        <v>367</v>
      </c>
      <c r="B35" s="318" t="s">
        <v>857</v>
      </c>
      <c r="C35" s="294" t="s">
        <v>858</v>
      </c>
      <c r="D35" s="292" t="s">
        <v>859</v>
      </c>
      <c r="E35" s="295">
        <v>2.82</v>
      </c>
      <c r="F35" s="296">
        <f>20160+4620</f>
        <v>24780</v>
      </c>
      <c r="G35" s="276">
        <f t="shared" si="10"/>
        <v>69879.600000000006</v>
      </c>
      <c r="H35" s="297">
        <v>24779</v>
      </c>
      <c r="I35" s="276">
        <f>ROUND((E35*H35),2)</f>
        <v>69876.78</v>
      </c>
      <c r="J35" s="297">
        <f>VLOOKUP(A35,'12 - CORPO'!$A$1:$R$5122,18,FALSE)</f>
        <v>0</v>
      </c>
      <c r="K35" s="298">
        <f t="shared" si="7"/>
        <v>0</v>
      </c>
      <c r="L35" s="297">
        <f t="shared" si="8"/>
        <v>24779</v>
      </c>
      <c r="M35" s="276">
        <f t="shared" si="9"/>
        <v>69876.78</v>
      </c>
      <c r="N35" s="808"/>
      <c r="O35" s="260">
        <f t="shared" si="6"/>
        <v>1</v>
      </c>
      <c r="P35" s="260">
        <f t="shared" si="6"/>
        <v>2.8200000000069849</v>
      </c>
      <c r="Q35" s="260"/>
      <c r="R35" s="260"/>
    </row>
    <row r="36" spans="1:22" ht="26.4" outlineLevel="1">
      <c r="A36" s="293" t="s">
        <v>368</v>
      </c>
      <c r="B36" s="318" t="s">
        <v>860</v>
      </c>
      <c r="C36" s="294" t="s">
        <v>861</v>
      </c>
      <c r="D36" s="292" t="s">
        <v>862</v>
      </c>
      <c r="E36" s="304">
        <v>4250.1499999999996</v>
      </c>
      <c r="F36" s="305">
        <v>9</v>
      </c>
      <c r="G36" s="276">
        <f t="shared" si="10"/>
        <v>38251.35</v>
      </c>
      <c r="H36" s="306">
        <v>0</v>
      </c>
      <c r="I36" s="276">
        <f t="shared" ref="I36:I47" si="11">ROUND((E36*H36),2)</f>
        <v>0</v>
      </c>
      <c r="J36" s="297">
        <f>VLOOKUP(A36,'12 - CORPO'!$A$1:$R$5122,18,FALSE)</f>
        <v>0</v>
      </c>
      <c r="K36" s="307">
        <f t="shared" si="7"/>
        <v>0</v>
      </c>
      <c r="L36" s="306">
        <f t="shared" si="8"/>
        <v>0</v>
      </c>
      <c r="M36" s="281">
        <f t="shared" si="9"/>
        <v>0</v>
      </c>
      <c r="N36" s="808"/>
      <c r="O36" s="260">
        <f t="shared" si="6"/>
        <v>9</v>
      </c>
      <c r="P36" s="260">
        <f t="shared" si="6"/>
        <v>38251.35</v>
      </c>
      <c r="Q36" s="260"/>
      <c r="R36" s="260"/>
    </row>
    <row r="37" spans="1:22" ht="26.4" outlineLevel="1">
      <c r="A37" s="293" t="s">
        <v>369</v>
      </c>
      <c r="B37" s="318" t="s">
        <v>863</v>
      </c>
      <c r="C37" s="294" t="s">
        <v>864</v>
      </c>
      <c r="D37" s="292" t="s">
        <v>821</v>
      </c>
      <c r="E37" s="295">
        <v>214.1</v>
      </c>
      <c r="F37" s="296">
        <v>289.60000000000002</v>
      </c>
      <c r="G37" s="276">
        <f t="shared" si="10"/>
        <v>62003.360000000001</v>
      </c>
      <c r="H37" s="297">
        <v>289.59997760000005</v>
      </c>
      <c r="I37" s="276">
        <f t="shared" si="11"/>
        <v>62003.360000000001</v>
      </c>
      <c r="J37" s="297">
        <f>VLOOKUP(A37,'12 - CORPO'!$A$1:$R$5122,18,FALSE)</f>
        <v>0</v>
      </c>
      <c r="K37" s="298">
        <f t="shared" si="7"/>
        <v>0</v>
      </c>
      <c r="L37" s="297">
        <f t="shared" si="8"/>
        <v>289.59997760000005</v>
      </c>
      <c r="M37" s="276">
        <f t="shared" si="9"/>
        <v>62003.360000000001</v>
      </c>
      <c r="N37" s="808"/>
      <c r="O37" s="260">
        <f t="shared" si="6"/>
        <v>2.2399999977551488E-5</v>
      </c>
      <c r="P37" s="260">
        <f t="shared" si="6"/>
        <v>0</v>
      </c>
      <c r="Q37" s="260"/>
      <c r="R37" s="260"/>
    </row>
    <row r="38" spans="1:22" ht="26.4" outlineLevel="1">
      <c r="A38" s="293" t="s">
        <v>370</v>
      </c>
      <c r="B38" s="318" t="s">
        <v>865</v>
      </c>
      <c r="C38" s="294" t="s">
        <v>866</v>
      </c>
      <c r="D38" s="292" t="s">
        <v>853</v>
      </c>
      <c r="E38" s="295">
        <v>127.27</v>
      </c>
      <c r="F38" s="296">
        <f>152.5+265.78</f>
        <v>418.28</v>
      </c>
      <c r="G38" s="276">
        <f t="shared" si="10"/>
        <v>53234.5</v>
      </c>
      <c r="H38" s="297">
        <v>341.03540000000004</v>
      </c>
      <c r="I38" s="276">
        <f t="shared" si="11"/>
        <v>43403.58</v>
      </c>
      <c r="J38" s="297">
        <f>VLOOKUP(A38,'12 - CORPO'!$A$1:$R$5122,18,FALSE)</f>
        <v>0</v>
      </c>
      <c r="K38" s="298">
        <f t="shared" si="7"/>
        <v>0</v>
      </c>
      <c r="L38" s="297">
        <f t="shared" si="8"/>
        <v>341.03540000000004</v>
      </c>
      <c r="M38" s="276">
        <f t="shared" si="9"/>
        <v>43403.58</v>
      </c>
      <c r="N38" s="808"/>
      <c r="O38" s="260">
        <f t="shared" si="6"/>
        <v>77.244599999999934</v>
      </c>
      <c r="P38" s="260">
        <f t="shared" si="6"/>
        <v>9830.9199999999983</v>
      </c>
      <c r="Q38" s="260"/>
      <c r="R38" s="260"/>
    </row>
    <row r="39" spans="1:22" ht="19.95" customHeight="1" outlineLevel="1">
      <c r="A39" s="293" t="s">
        <v>371</v>
      </c>
      <c r="B39" s="318" t="s">
        <v>867</v>
      </c>
      <c r="C39" s="294" t="s">
        <v>868</v>
      </c>
      <c r="D39" s="292" t="s">
        <v>853</v>
      </c>
      <c r="E39" s="295">
        <v>479.6</v>
      </c>
      <c r="F39" s="296">
        <f>26.06+64.67</f>
        <v>90.73</v>
      </c>
      <c r="G39" s="276">
        <f t="shared" si="10"/>
        <v>43514.11</v>
      </c>
      <c r="H39" s="297">
        <v>61.191500000000005</v>
      </c>
      <c r="I39" s="276">
        <f t="shared" si="11"/>
        <v>29347.439999999999</v>
      </c>
      <c r="J39" s="297">
        <f>VLOOKUP(A39,'12 - CORPO'!$A$1:$R$5122,18,FALSE)</f>
        <v>0</v>
      </c>
      <c r="K39" s="298">
        <f t="shared" si="7"/>
        <v>0</v>
      </c>
      <c r="L39" s="297">
        <f t="shared" si="8"/>
        <v>61.191500000000005</v>
      </c>
      <c r="M39" s="276">
        <f t="shared" si="9"/>
        <v>29347.439999999999</v>
      </c>
      <c r="N39" s="808"/>
      <c r="O39" s="260">
        <f t="shared" si="6"/>
        <v>29.538499999999999</v>
      </c>
      <c r="P39" s="260">
        <f t="shared" si="6"/>
        <v>14166.670000000002</v>
      </c>
      <c r="Q39" s="260"/>
      <c r="R39" s="260"/>
    </row>
    <row r="40" spans="1:22" ht="26.4" outlineLevel="1">
      <c r="A40" s="293" t="s">
        <v>372</v>
      </c>
      <c r="B40" s="318" t="s">
        <v>869</v>
      </c>
      <c r="C40" s="294" t="s">
        <v>870</v>
      </c>
      <c r="D40" s="292" t="s">
        <v>821</v>
      </c>
      <c r="E40" s="304">
        <v>133.24</v>
      </c>
      <c r="F40" s="305">
        <f>2460+447.69</f>
        <v>2907.69</v>
      </c>
      <c r="G40" s="276">
        <f t="shared" si="10"/>
        <v>387420.62</v>
      </c>
      <c r="H40" s="306">
        <v>2346.9467999999997</v>
      </c>
      <c r="I40" s="276">
        <f t="shared" si="11"/>
        <v>312707.19</v>
      </c>
      <c r="J40" s="297">
        <f>VLOOKUP(A40,'12 - CORPO'!$A$1:$R$5122,18,FALSE)</f>
        <v>0</v>
      </c>
      <c r="K40" s="307">
        <f t="shared" si="7"/>
        <v>0</v>
      </c>
      <c r="L40" s="306">
        <f t="shared" si="8"/>
        <v>2346.9467999999997</v>
      </c>
      <c r="M40" s="281">
        <f t="shared" si="9"/>
        <v>312707.19</v>
      </c>
      <c r="N40" s="808"/>
      <c r="O40" s="260">
        <f t="shared" si="6"/>
        <v>560.74320000000034</v>
      </c>
      <c r="P40" s="260">
        <f t="shared" si="6"/>
        <v>74713.429999999993</v>
      </c>
      <c r="Q40" s="260"/>
      <c r="R40" s="260"/>
    </row>
    <row r="41" spans="1:22" ht="19.95" customHeight="1" outlineLevel="1">
      <c r="A41" s="293" t="s">
        <v>373</v>
      </c>
      <c r="B41" s="318" t="s">
        <v>871</v>
      </c>
      <c r="C41" s="294" t="s">
        <v>872</v>
      </c>
      <c r="D41" s="292" t="s">
        <v>853</v>
      </c>
      <c r="E41" s="295">
        <v>365</v>
      </c>
      <c r="F41" s="296">
        <f>536+274.72+188.5</f>
        <v>999.22</v>
      </c>
      <c r="G41" s="276">
        <f t="shared" si="10"/>
        <v>364715.3</v>
      </c>
      <c r="H41" s="297">
        <v>977.00035000000003</v>
      </c>
      <c r="I41" s="276">
        <f t="shared" si="11"/>
        <v>356605.13</v>
      </c>
      <c r="J41" s="297">
        <f>VLOOKUP(A41,'12 - CORPO'!$A$1:$R$5122,18,FALSE)</f>
        <v>19.370000000000005</v>
      </c>
      <c r="K41" s="298">
        <f t="shared" si="7"/>
        <v>7070.0499999999884</v>
      </c>
      <c r="L41" s="297">
        <f t="shared" si="8"/>
        <v>996.37035000000003</v>
      </c>
      <c r="M41" s="276">
        <f t="shared" si="9"/>
        <v>363675.18</v>
      </c>
      <c r="N41" s="808"/>
      <c r="O41" s="260">
        <f t="shared" si="6"/>
        <v>2.8496499999999969</v>
      </c>
      <c r="P41" s="260">
        <f t="shared" si="6"/>
        <v>1040.1199999999953</v>
      </c>
      <c r="Q41" s="260"/>
      <c r="R41">
        <v>648</v>
      </c>
      <c r="S41">
        <f>R41*20</f>
        <v>12960</v>
      </c>
      <c r="U41" s="1164">
        <f>E41*1.39</f>
        <v>507.34999999999997</v>
      </c>
      <c r="V41" s="1164">
        <f>U41*20</f>
        <v>10147</v>
      </c>
    </row>
    <row r="42" spans="1:22" s="449" customFormat="1" outlineLevel="1">
      <c r="A42" s="293" t="s">
        <v>374</v>
      </c>
      <c r="B42" s="318" t="s">
        <v>873</v>
      </c>
      <c r="C42" s="294" t="s">
        <v>874</v>
      </c>
      <c r="D42" s="292" t="s">
        <v>853</v>
      </c>
      <c r="E42" s="304">
        <v>38.58</v>
      </c>
      <c r="F42" s="305">
        <f>536+274.72+188.5</f>
        <v>999.22</v>
      </c>
      <c r="G42" s="281">
        <f t="shared" si="10"/>
        <v>38549.910000000003</v>
      </c>
      <c r="H42" s="306">
        <v>977.00035000000003</v>
      </c>
      <c r="I42" s="276">
        <f t="shared" si="11"/>
        <v>37692.67</v>
      </c>
      <c r="J42" s="306">
        <f>VLOOKUP(A42,'12 - CORPO'!$A$1:$R$5122,18,FALSE)</f>
        <v>19.370000000000005</v>
      </c>
      <c r="K42" s="307">
        <f t="shared" si="7"/>
        <v>747.30000000000291</v>
      </c>
      <c r="L42" s="306">
        <f t="shared" si="8"/>
        <v>996.37035000000003</v>
      </c>
      <c r="M42" s="281">
        <f t="shared" si="9"/>
        <v>38439.97</v>
      </c>
      <c r="N42" s="812"/>
      <c r="O42" s="260">
        <f t="shared" si="6"/>
        <v>2.8496499999999969</v>
      </c>
      <c r="P42" s="260">
        <f t="shared" si="6"/>
        <v>109.94000000000233</v>
      </c>
      <c r="Q42" s="448"/>
      <c r="R42">
        <f>40*20</f>
        <v>800</v>
      </c>
      <c r="S42">
        <v>14160</v>
      </c>
      <c r="U42" s="1164">
        <f>E42*1.39</f>
        <v>53.626199999999997</v>
      </c>
      <c r="V42" s="1164">
        <f>U42*20</f>
        <v>1072.5239999999999</v>
      </c>
    </row>
    <row r="43" spans="1:22" ht="19.95" customHeight="1" outlineLevel="1">
      <c r="A43" s="293" t="s">
        <v>375</v>
      </c>
      <c r="B43" s="318" t="s">
        <v>875</v>
      </c>
      <c r="C43" s="294" t="s">
        <v>876</v>
      </c>
      <c r="D43" s="292" t="s">
        <v>877</v>
      </c>
      <c r="E43" s="295">
        <v>10.14</v>
      </c>
      <c r="F43" s="296">
        <f>477+8443.56</f>
        <v>8920.56</v>
      </c>
      <c r="G43" s="276">
        <f t="shared" si="10"/>
        <v>90454.48</v>
      </c>
      <c r="H43" s="297">
        <v>8917.7119999999995</v>
      </c>
      <c r="I43" s="276">
        <f t="shared" si="11"/>
        <v>90425.600000000006</v>
      </c>
      <c r="J43" s="297">
        <f>VLOOKUP(A43,'12 - CORPO'!$A$1:$R$5122,18,FALSE)</f>
        <v>0</v>
      </c>
      <c r="K43" s="298">
        <f t="shared" si="7"/>
        <v>0</v>
      </c>
      <c r="L43" s="297">
        <f t="shared" si="8"/>
        <v>8917.7119999999995</v>
      </c>
      <c r="M43" s="276">
        <f t="shared" si="9"/>
        <v>90425.600000000006</v>
      </c>
      <c r="N43" s="808"/>
      <c r="O43" s="260">
        <f t="shared" si="6"/>
        <v>2.8479999999999563</v>
      </c>
      <c r="P43" s="260">
        <f t="shared" si="6"/>
        <v>28.879999999990105</v>
      </c>
      <c r="Q43" s="260"/>
      <c r="R43" s="260"/>
    </row>
    <row r="44" spans="1:22" outlineLevel="1">
      <c r="A44" s="293" t="s">
        <v>376</v>
      </c>
      <c r="B44" s="318" t="s">
        <v>878</v>
      </c>
      <c r="C44" s="294" t="s">
        <v>879</v>
      </c>
      <c r="D44" s="292" t="s">
        <v>877</v>
      </c>
      <c r="E44" s="304">
        <v>9.6</v>
      </c>
      <c r="F44" s="305">
        <f>67314+23518.12</f>
        <v>90832.12</v>
      </c>
      <c r="G44" s="276">
        <f t="shared" si="10"/>
        <v>871988.35</v>
      </c>
      <c r="H44" s="306">
        <v>69113.66040326943</v>
      </c>
      <c r="I44" s="276">
        <f t="shared" si="11"/>
        <v>663491.14</v>
      </c>
      <c r="J44" s="297">
        <f>VLOOKUP(A44,'12 - CORPO'!$A$1:$R$5122,18,FALSE)</f>
        <v>79.152919999993173</v>
      </c>
      <c r="K44" s="307">
        <f t="shared" si="7"/>
        <v>759.86999999999534</v>
      </c>
      <c r="L44" s="306">
        <f t="shared" si="8"/>
        <v>69192.813323269424</v>
      </c>
      <c r="M44" s="281">
        <f t="shared" si="9"/>
        <v>664251.01</v>
      </c>
      <c r="N44" s="808"/>
      <c r="O44" s="260">
        <f t="shared" si="6"/>
        <v>21639.306676730572</v>
      </c>
      <c r="P44" s="260">
        <f t="shared" si="6"/>
        <v>207737.33999999997</v>
      </c>
      <c r="Q44" s="260"/>
      <c r="R44" s="260"/>
    </row>
    <row r="45" spans="1:22" outlineLevel="1">
      <c r="A45" s="293" t="s">
        <v>377</v>
      </c>
      <c r="B45" s="318" t="s">
        <v>880</v>
      </c>
      <c r="C45" s="294" t="s">
        <v>881</v>
      </c>
      <c r="D45" s="292" t="s">
        <v>853</v>
      </c>
      <c r="E45" s="295">
        <v>67.95</v>
      </c>
      <c r="F45" s="296">
        <v>449.2</v>
      </c>
      <c r="G45" s="276">
        <f t="shared" si="10"/>
        <v>30523.14</v>
      </c>
      <c r="H45" s="297">
        <v>449.20000000000005</v>
      </c>
      <c r="I45" s="276">
        <f t="shared" si="11"/>
        <v>30523.14</v>
      </c>
      <c r="J45" s="297">
        <f>VLOOKUP(A45,'12 - CORPO'!$A$1:$R$5122,18,FALSE)</f>
        <v>0</v>
      </c>
      <c r="K45" s="298">
        <f t="shared" si="7"/>
        <v>0</v>
      </c>
      <c r="L45" s="297">
        <f t="shared" si="8"/>
        <v>449.20000000000005</v>
      </c>
      <c r="M45" s="276">
        <f t="shared" si="9"/>
        <v>30523.14</v>
      </c>
      <c r="N45" s="808"/>
      <c r="O45" s="260">
        <f t="shared" si="6"/>
        <v>0</v>
      </c>
      <c r="P45" s="260">
        <f t="shared" si="6"/>
        <v>0</v>
      </c>
      <c r="Q45" s="260"/>
      <c r="R45" s="260"/>
    </row>
    <row r="46" spans="1:22" ht="19.95" customHeight="1" outlineLevel="1">
      <c r="A46" s="293" t="s">
        <v>378</v>
      </c>
      <c r="B46" s="318" t="s">
        <v>882</v>
      </c>
      <c r="C46" s="294" t="s">
        <v>883</v>
      </c>
      <c r="D46" s="292" t="s">
        <v>853</v>
      </c>
      <c r="E46" s="295">
        <v>12.3</v>
      </c>
      <c r="F46" s="296">
        <v>6414.3</v>
      </c>
      <c r="G46" s="276">
        <f>ROUND(F46*E46,2)</f>
        <v>78895.89</v>
      </c>
      <c r="H46" s="297">
        <v>2306.8000000000002</v>
      </c>
      <c r="I46" s="276">
        <f t="shared" si="11"/>
        <v>28373.64</v>
      </c>
      <c r="J46" s="297">
        <f>VLOOKUP(A46,'12 - CORPO'!$A$1:$R$5122,18,FALSE)</f>
        <v>0</v>
      </c>
      <c r="K46" s="298">
        <f t="shared" si="7"/>
        <v>0</v>
      </c>
      <c r="L46" s="297">
        <f t="shared" si="8"/>
        <v>2306.8000000000002</v>
      </c>
      <c r="M46" s="276">
        <f>ROUND((E46*L46),2)</f>
        <v>28373.64</v>
      </c>
      <c r="N46" s="808"/>
      <c r="O46" s="260">
        <f t="shared" si="6"/>
        <v>4107.5</v>
      </c>
      <c r="P46" s="260">
        <f t="shared" si="6"/>
        <v>50522.25</v>
      </c>
      <c r="Q46" s="260"/>
      <c r="R46" s="260"/>
    </row>
    <row r="47" spans="1:22" ht="26.4" outlineLevel="1">
      <c r="A47" s="293" t="s">
        <v>379</v>
      </c>
      <c r="B47" s="318" t="s">
        <v>884</v>
      </c>
      <c r="C47" s="294" t="s">
        <v>885</v>
      </c>
      <c r="D47" s="292" t="s">
        <v>886</v>
      </c>
      <c r="E47" s="304">
        <v>82.61</v>
      </c>
      <c r="F47" s="305">
        <v>5458.53</v>
      </c>
      <c r="G47" s="276">
        <f>ROUND(F47*E47,2)</f>
        <v>450929.16</v>
      </c>
      <c r="H47" s="306">
        <v>5112.4298999999992</v>
      </c>
      <c r="I47" s="276">
        <f t="shared" si="11"/>
        <v>422337.83</v>
      </c>
      <c r="J47" s="297">
        <f>VLOOKUP(A47,'12 - CORPO'!$A$1:$R$5122,18,FALSE)</f>
        <v>0</v>
      </c>
      <c r="K47" s="307">
        <f t="shared" si="7"/>
        <v>0</v>
      </c>
      <c r="L47" s="306">
        <f t="shared" si="8"/>
        <v>5112.4298999999992</v>
      </c>
      <c r="M47" s="281">
        <f>ROUND((E47*L47),2)</f>
        <v>422337.83</v>
      </c>
      <c r="N47" s="808"/>
      <c r="O47" s="260">
        <f t="shared" si="6"/>
        <v>346.10010000000057</v>
      </c>
      <c r="P47" s="260">
        <f t="shared" si="6"/>
        <v>28591.329999999958</v>
      </c>
      <c r="Q47" s="260"/>
      <c r="R47" s="260"/>
    </row>
    <row r="48" spans="1:22" ht="26.4" outlineLevel="1">
      <c r="A48" s="584" t="s">
        <v>380</v>
      </c>
      <c r="B48" s="595" t="s">
        <v>887</v>
      </c>
      <c r="C48" s="585" t="s">
        <v>888</v>
      </c>
      <c r="D48" s="586" t="s">
        <v>877</v>
      </c>
      <c r="E48" s="587">
        <v>6.61</v>
      </c>
      <c r="F48" s="588">
        <v>1923.16</v>
      </c>
      <c r="G48" s="589">
        <f>ROUND(F48*E48,2)</f>
        <v>12712.09</v>
      </c>
      <c r="H48" s="590">
        <v>0</v>
      </c>
      <c r="I48" s="589">
        <f>ROUND((E48*H48),2)</f>
        <v>0</v>
      </c>
      <c r="J48" s="590">
        <f>VLOOKUP(A48,'12 - CORPO'!$A$1:$R$5122,18,FALSE)</f>
        <v>0</v>
      </c>
      <c r="K48" s="591">
        <f t="shared" si="7"/>
        <v>0</v>
      </c>
      <c r="L48" s="590">
        <f t="shared" si="8"/>
        <v>0</v>
      </c>
      <c r="M48" s="589">
        <f>ROUND((E48*L48),2)</f>
        <v>0</v>
      </c>
      <c r="N48" s="808"/>
      <c r="O48" s="260">
        <f t="shared" si="6"/>
        <v>1923.16</v>
      </c>
      <c r="P48" s="260">
        <f t="shared" si="6"/>
        <v>12712.09</v>
      </c>
      <c r="Q48" s="260"/>
      <c r="R48" s="260"/>
    </row>
    <row r="49" spans="1:19" ht="19.95" customHeight="1">
      <c r="A49" s="1320" t="s">
        <v>381</v>
      </c>
      <c r="B49" s="1447" t="s">
        <v>889</v>
      </c>
      <c r="C49" s="1447"/>
      <c r="D49" s="1322"/>
      <c r="E49" s="1322"/>
      <c r="F49" s="1322"/>
      <c r="G49" s="1323">
        <f>SUBTOTAL(9,G50:G53)</f>
        <v>73746.03</v>
      </c>
      <c r="H49" s="1322"/>
      <c r="I49" s="1323">
        <f>SUBTOTAL(9,I50:I53)</f>
        <v>73481.56</v>
      </c>
      <c r="J49" s="1322"/>
      <c r="K49" s="1324">
        <f>SUBTOTAL(9,K50:K53)</f>
        <v>0</v>
      </c>
      <c r="L49" s="1322"/>
      <c r="M49" s="1324">
        <f>SUBTOTAL(9,M50:M53)</f>
        <v>73481.56</v>
      </c>
      <c r="N49" s="811"/>
      <c r="O49" s="262"/>
      <c r="P49" s="260"/>
      <c r="Q49" s="262"/>
      <c r="R49" s="262"/>
    </row>
    <row r="50" spans="1:19" ht="26.4" outlineLevel="1">
      <c r="A50" s="313" t="s">
        <v>382</v>
      </c>
      <c r="B50" s="314" t="s">
        <v>890</v>
      </c>
      <c r="C50" s="308" t="s">
        <v>891</v>
      </c>
      <c r="D50" s="285" t="s">
        <v>853</v>
      </c>
      <c r="E50" s="309">
        <v>7.36</v>
      </c>
      <c r="F50" s="310">
        <v>44.5</v>
      </c>
      <c r="G50" s="288">
        <f t="shared" ref="G50:G57" si="12">ROUND(F50*E50,2)</f>
        <v>327.52</v>
      </c>
      <c r="H50" s="311">
        <v>44.5</v>
      </c>
      <c r="I50" s="288">
        <f t="shared" ref="I50:I57" si="13">ROUND((E50*H50),2)</f>
        <v>327.52</v>
      </c>
      <c r="J50" s="311">
        <f>VLOOKUP(A50,'12 - CORPO'!$A$1:$R$5122,18,FALSE)</f>
        <v>0</v>
      </c>
      <c r="K50" s="312">
        <f t="shared" ref="K50:K57" si="14">M50-I50</f>
        <v>0</v>
      </c>
      <c r="L50" s="311">
        <f t="shared" ref="L50:L57" si="15">(H50+J50)</f>
        <v>44.5</v>
      </c>
      <c r="M50" s="288">
        <f t="shared" ref="M50:M57" si="16">ROUND((E50*L50),2)</f>
        <v>327.52</v>
      </c>
      <c r="N50" s="808"/>
      <c r="O50" s="260">
        <f t="shared" si="6"/>
        <v>0</v>
      </c>
      <c r="P50" s="260">
        <f t="shared" si="6"/>
        <v>0</v>
      </c>
      <c r="Q50" s="260"/>
      <c r="R50" s="260"/>
    </row>
    <row r="51" spans="1:19" outlineLevel="1">
      <c r="A51" s="293" t="s">
        <v>383</v>
      </c>
      <c r="B51" s="318" t="s">
        <v>878</v>
      </c>
      <c r="C51" s="294" t="s">
        <v>879</v>
      </c>
      <c r="D51" s="292" t="s">
        <v>877</v>
      </c>
      <c r="E51" s="295">
        <v>9.6</v>
      </c>
      <c r="F51" s="296">
        <v>5777</v>
      </c>
      <c r="G51" s="276">
        <f t="shared" si="12"/>
        <v>55459.199999999997</v>
      </c>
      <c r="H51" s="297">
        <v>5777</v>
      </c>
      <c r="I51" s="276">
        <f t="shared" si="13"/>
        <v>55459.199999999997</v>
      </c>
      <c r="J51" s="297">
        <f>VLOOKUP(A51,'12 - CORPO'!$A$1:$R$5122,18,FALSE)</f>
        <v>0</v>
      </c>
      <c r="K51" s="298">
        <f t="shared" si="14"/>
        <v>0</v>
      </c>
      <c r="L51" s="297">
        <f t="shared" si="15"/>
        <v>5777</v>
      </c>
      <c r="M51" s="276">
        <f t="shared" si="16"/>
        <v>55459.199999999997</v>
      </c>
      <c r="N51" s="808"/>
      <c r="O51" s="260">
        <f t="shared" si="6"/>
        <v>0</v>
      </c>
      <c r="P51" s="260">
        <f t="shared" si="6"/>
        <v>0</v>
      </c>
      <c r="Q51" s="260"/>
      <c r="R51" s="260"/>
    </row>
    <row r="52" spans="1:19" ht="19.95" customHeight="1" outlineLevel="1">
      <c r="A52" s="313" t="s">
        <v>384</v>
      </c>
      <c r="B52" s="314" t="s">
        <v>871</v>
      </c>
      <c r="C52" s="308" t="s">
        <v>892</v>
      </c>
      <c r="D52" s="285" t="s">
        <v>853</v>
      </c>
      <c r="E52" s="309">
        <v>365</v>
      </c>
      <c r="F52" s="310">
        <v>44.5</v>
      </c>
      <c r="G52" s="288">
        <f t="shared" si="12"/>
        <v>16242.5</v>
      </c>
      <c r="H52" s="311">
        <v>44.5</v>
      </c>
      <c r="I52" s="288">
        <f t="shared" si="13"/>
        <v>16242.5</v>
      </c>
      <c r="J52" s="311">
        <f>VLOOKUP(A52,'12 - CORPO'!$A$1:$R$5122,18,FALSE)</f>
        <v>0</v>
      </c>
      <c r="K52" s="312">
        <f t="shared" si="14"/>
        <v>0</v>
      </c>
      <c r="L52" s="311">
        <f t="shared" si="15"/>
        <v>44.5</v>
      </c>
      <c r="M52" s="288">
        <f t="shared" si="16"/>
        <v>16242.5</v>
      </c>
      <c r="N52" s="808"/>
      <c r="O52" s="260">
        <f t="shared" si="6"/>
        <v>0</v>
      </c>
      <c r="P52" s="260">
        <f t="shared" si="6"/>
        <v>0</v>
      </c>
      <c r="Q52" s="260"/>
      <c r="R52" s="260"/>
    </row>
    <row r="53" spans="1:19" ht="19.95" customHeight="1" outlineLevel="1">
      <c r="A53" s="293" t="s">
        <v>385</v>
      </c>
      <c r="B53" s="318" t="s">
        <v>873</v>
      </c>
      <c r="C53" s="294" t="s">
        <v>874</v>
      </c>
      <c r="D53" s="292" t="s">
        <v>853</v>
      </c>
      <c r="E53" s="295">
        <v>38.58</v>
      </c>
      <c r="F53" s="296">
        <v>44.5</v>
      </c>
      <c r="G53" s="276">
        <f t="shared" si="12"/>
        <v>1716.81</v>
      </c>
      <c r="H53" s="297">
        <v>37.645000000000003</v>
      </c>
      <c r="I53" s="276">
        <f t="shared" si="13"/>
        <v>1452.34</v>
      </c>
      <c r="J53" s="297">
        <f>VLOOKUP(A53,'12 - CORPO'!$A$1:$R$5122,18,FALSE)</f>
        <v>0</v>
      </c>
      <c r="K53" s="298">
        <f t="shared" si="14"/>
        <v>0</v>
      </c>
      <c r="L53" s="297">
        <f t="shared" si="15"/>
        <v>37.645000000000003</v>
      </c>
      <c r="M53" s="276">
        <f t="shared" si="16"/>
        <v>1452.34</v>
      </c>
      <c r="N53" s="808"/>
      <c r="O53" s="260">
        <f t="shared" si="6"/>
        <v>6.8549999999999969</v>
      </c>
      <c r="P53" s="260">
        <f t="shared" si="6"/>
        <v>264.47000000000003</v>
      </c>
      <c r="Q53" s="260"/>
      <c r="R53" s="260"/>
    </row>
    <row r="54" spans="1:19" ht="19.95" customHeight="1">
      <c r="A54" s="1312" t="s">
        <v>277</v>
      </c>
      <c r="B54" s="1309" t="s">
        <v>278</v>
      </c>
      <c r="C54" s="1309" t="s">
        <v>150</v>
      </c>
      <c r="D54" s="1309"/>
      <c r="E54" s="1309"/>
      <c r="F54" s="1309"/>
      <c r="G54" s="1310">
        <f>SUBTOTAL(9,G55:G202)</f>
        <v>741604.84000000008</v>
      </c>
      <c r="H54" s="1309"/>
      <c r="I54" s="1310">
        <f>SUBTOTAL(9,I55:I202)</f>
        <v>442847.27999999997</v>
      </c>
      <c r="J54" s="1309"/>
      <c r="K54" s="1310">
        <f>SUBTOTAL(9,K55:K202)</f>
        <v>3397.5</v>
      </c>
      <c r="L54" s="1309"/>
      <c r="M54" s="1311">
        <f>SUBTOTAL(9,M55:M202)</f>
        <v>446244.77999999997</v>
      </c>
      <c r="N54" s="811"/>
      <c r="O54" s="262"/>
      <c r="P54" s="260"/>
      <c r="Q54" s="262"/>
      <c r="R54" s="262"/>
    </row>
    <row r="55" spans="1:19" ht="19.95" customHeight="1">
      <c r="A55" s="1320" t="s">
        <v>386</v>
      </c>
      <c r="B55" s="1447" t="s">
        <v>893</v>
      </c>
      <c r="C55" s="1447"/>
      <c r="D55" s="1322"/>
      <c r="E55" s="1322"/>
      <c r="F55" s="1322"/>
      <c r="G55" s="1323">
        <f>SUBTOTAL(9,G56:G60)</f>
        <v>20903.009999999998</v>
      </c>
      <c r="H55" s="1322"/>
      <c r="I55" s="1323">
        <f>SUBTOTAL(9,I56:I60)</f>
        <v>20310.419999999998</v>
      </c>
      <c r="J55" s="1322"/>
      <c r="K55" s="1323">
        <f>SUBTOTAL(9,K56:K60)</f>
        <v>0</v>
      </c>
      <c r="L55" s="1322"/>
      <c r="M55" s="1324">
        <f>SUBTOTAL(9,M56:M60)</f>
        <v>20310.419999999998</v>
      </c>
      <c r="N55" s="811"/>
      <c r="O55" s="262"/>
      <c r="P55" s="260"/>
      <c r="Q55" s="262"/>
      <c r="R55" s="262"/>
    </row>
    <row r="56" spans="1:19" ht="26.4" outlineLevel="1">
      <c r="A56" s="313" t="s">
        <v>387</v>
      </c>
      <c r="B56" s="314" t="s">
        <v>869</v>
      </c>
      <c r="C56" s="308" t="s">
        <v>894</v>
      </c>
      <c r="D56" s="285" t="s">
        <v>821</v>
      </c>
      <c r="E56" s="309">
        <v>133.24</v>
      </c>
      <c r="F56" s="310">
        <v>28</v>
      </c>
      <c r="G56" s="288">
        <f t="shared" si="12"/>
        <v>3730.72</v>
      </c>
      <c r="H56" s="311">
        <v>27.689999999999998</v>
      </c>
      <c r="I56" s="288">
        <f t="shared" si="13"/>
        <v>3689.42</v>
      </c>
      <c r="J56" s="311">
        <f>VLOOKUP(A56,'12 - CORPO'!$A$1:$R$5122,18,FALSE)</f>
        <v>0</v>
      </c>
      <c r="K56" s="312">
        <f t="shared" si="14"/>
        <v>0</v>
      </c>
      <c r="L56" s="311">
        <f t="shared" si="15"/>
        <v>27.689999999999998</v>
      </c>
      <c r="M56" s="288">
        <f t="shared" si="16"/>
        <v>3689.42</v>
      </c>
      <c r="N56" s="808"/>
      <c r="O56" s="260">
        <f t="shared" ref="O56:P119" si="17">F56-L56</f>
        <v>0.31000000000000227</v>
      </c>
      <c r="P56" s="260">
        <f t="shared" ref="P56:P117" si="18">G56-M56</f>
        <v>41.299999999999727</v>
      </c>
      <c r="Q56" s="260"/>
      <c r="R56" s="260"/>
      <c r="S56" s="1164"/>
    </row>
    <row r="57" spans="1:19" ht="19.95" customHeight="1" outlineLevel="1">
      <c r="A57" s="293" t="s">
        <v>388</v>
      </c>
      <c r="B57" s="318" t="s">
        <v>875</v>
      </c>
      <c r="C57" s="294" t="s">
        <v>876</v>
      </c>
      <c r="D57" s="292" t="s">
        <v>877</v>
      </c>
      <c r="E57" s="295">
        <v>10.14</v>
      </c>
      <c r="F57" s="296">
        <v>57</v>
      </c>
      <c r="G57" s="276">
        <f t="shared" si="12"/>
        <v>577.98</v>
      </c>
      <c r="H57" s="297">
        <v>57</v>
      </c>
      <c r="I57" s="276">
        <f t="shared" si="13"/>
        <v>577.98</v>
      </c>
      <c r="J57" s="297">
        <f>VLOOKUP(A57,'12 - CORPO'!$A$1:$R$5122,18,FALSE)</f>
        <v>0</v>
      </c>
      <c r="K57" s="298">
        <f t="shared" si="14"/>
        <v>0</v>
      </c>
      <c r="L57" s="297">
        <f t="shared" si="15"/>
        <v>57</v>
      </c>
      <c r="M57" s="276">
        <f t="shared" si="16"/>
        <v>577.98</v>
      </c>
      <c r="N57" s="808"/>
      <c r="O57" s="260">
        <f t="shared" si="17"/>
        <v>0</v>
      </c>
      <c r="P57" s="260">
        <f t="shared" si="18"/>
        <v>0</v>
      </c>
      <c r="Q57" s="260"/>
      <c r="R57" s="260"/>
      <c r="S57" s="1164"/>
    </row>
    <row r="58" spans="1:19" ht="19.95" customHeight="1" outlineLevel="1">
      <c r="A58" s="313" t="s">
        <v>389</v>
      </c>
      <c r="B58" s="314" t="s">
        <v>878</v>
      </c>
      <c r="C58" s="308" t="s">
        <v>879</v>
      </c>
      <c r="D58" s="285" t="s">
        <v>877</v>
      </c>
      <c r="E58" s="309">
        <v>9.6</v>
      </c>
      <c r="F58" s="310">
        <v>1119</v>
      </c>
      <c r="G58" s="288">
        <f>ROUND(F58*E58,2)</f>
        <v>10742.4</v>
      </c>
      <c r="H58" s="311">
        <v>1119</v>
      </c>
      <c r="I58" s="288">
        <f>ROUND((E58*H58),2)</f>
        <v>10742.4</v>
      </c>
      <c r="J58" s="311">
        <f>VLOOKUP(A58,'12 - CORPO'!$A$1:$R$5122,18,FALSE)</f>
        <v>0</v>
      </c>
      <c r="K58" s="312">
        <f>M58-I58</f>
        <v>0</v>
      </c>
      <c r="L58" s="311">
        <f>(H58+J58)</f>
        <v>1119</v>
      </c>
      <c r="M58" s="288">
        <f>ROUND((E58*L58),2)</f>
        <v>10742.4</v>
      </c>
      <c r="N58" s="808"/>
      <c r="O58" s="260">
        <f t="shared" si="17"/>
        <v>0</v>
      </c>
      <c r="P58" s="260">
        <f t="shared" si="18"/>
        <v>0</v>
      </c>
      <c r="Q58" s="260"/>
      <c r="R58" s="260"/>
      <c r="S58" s="1164"/>
    </row>
    <row r="59" spans="1:19" ht="19.95" customHeight="1" outlineLevel="1">
      <c r="A59" s="293" t="s">
        <v>390</v>
      </c>
      <c r="B59" s="318" t="s">
        <v>871</v>
      </c>
      <c r="C59" s="294" t="s">
        <v>872</v>
      </c>
      <c r="D59" s="292" t="s">
        <v>853</v>
      </c>
      <c r="E59" s="295">
        <v>365</v>
      </c>
      <c r="F59" s="296">
        <v>14.5</v>
      </c>
      <c r="G59" s="276">
        <f>ROUND(F59*E59,2)</f>
        <v>5292.5</v>
      </c>
      <c r="H59" s="297">
        <v>13.134</v>
      </c>
      <c r="I59" s="276">
        <f>ROUND((E59*H59),2)</f>
        <v>4793.91</v>
      </c>
      <c r="J59" s="297">
        <f>VLOOKUP(A59,'12 - CORPO'!$A$1:$R$5122,18,FALSE)</f>
        <v>0</v>
      </c>
      <c r="K59" s="298">
        <f>M59-I59</f>
        <v>0</v>
      </c>
      <c r="L59" s="297">
        <f>(H59+J59)</f>
        <v>13.134</v>
      </c>
      <c r="M59" s="276">
        <f>ROUND((E59*L59),2)</f>
        <v>4793.91</v>
      </c>
      <c r="N59" s="808"/>
      <c r="O59" s="260">
        <f t="shared" si="17"/>
        <v>1.3659999999999997</v>
      </c>
      <c r="P59" s="260">
        <f t="shared" si="18"/>
        <v>498.59000000000015</v>
      </c>
      <c r="Q59" s="260"/>
      <c r="R59" s="260"/>
      <c r="S59" s="1164"/>
    </row>
    <row r="60" spans="1:19" ht="19.95" customHeight="1" outlineLevel="1">
      <c r="A60" s="661" t="s">
        <v>391</v>
      </c>
      <c r="B60" s="662" t="s">
        <v>873</v>
      </c>
      <c r="C60" s="663" t="s">
        <v>874</v>
      </c>
      <c r="D60" s="664" t="s">
        <v>853</v>
      </c>
      <c r="E60" s="689">
        <v>38.58</v>
      </c>
      <c r="F60" s="690">
        <v>14.5</v>
      </c>
      <c r="G60" s="691">
        <f>ROUND(F60*E60,2)</f>
        <v>559.41</v>
      </c>
      <c r="H60" s="669">
        <v>13.134</v>
      </c>
      <c r="I60" s="691">
        <f>ROUND((E60*H60),2)</f>
        <v>506.71</v>
      </c>
      <c r="J60" s="669">
        <f>VLOOKUP(A60,'12 - CORPO'!$A$1:$R$5122,18,FALSE)</f>
        <v>0</v>
      </c>
      <c r="K60" s="692">
        <f>M60-I60</f>
        <v>0</v>
      </c>
      <c r="L60" s="669">
        <f>(H60+J60)</f>
        <v>13.134</v>
      </c>
      <c r="M60" s="691">
        <f>ROUND((E60*L60),2)</f>
        <v>506.71</v>
      </c>
      <c r="N60" s="808"/>
      <c r="O60" s="260">
        <f t="shared" si="17"/>
        <v>1.3659999999999997</v>
      </c>
      <c r="P60" s="260">
        <f t="shared" si="18"/>
        <v>52.699999999999989</v>
      </c>
      <c r="Q60" s="260"/>
      <c r="R60" s="260"/>
      <c r="S60" s="1164"/>
    </row>
    <row r="61" spans="1:19" ht="19.95" customHeight="1">
      <c r="A61" s="1320" t="s">
        <v>392</v>
      </c>
      <c r="B61" s="1447" t="s">
        <v>895</v>
      </c>
      <c r="C61" s="1447"/>
      <c r="D61" s="1322"/>
      <c r="E61" s="1322"/>
      <c r="F61" s="1322"/>
      <c r="G61" s="1323">
        <f>SUBTOTAL(9,G62:G75)</f>
        <v>19781.61</v>
      </c>
      <c r="H61" s="1322"/>
      <c r="I61" s="1323">
        <f>SUBTOTAL(9,I62:I75)</f>
        <v>19778.330000000002</v>
      </c>
      <c r="J61" s="1322"/>
      <c r="K61" s="1322"/>
      <c r="L61" s="1322"/>
      <c r="M61" s="1324">
        <f>SUBTOTAL(9,M62:M75)</f>
        <v>19778.330000000002</v>
      </c>
      <c r="N61" s="811"/>
      <c r="O61" s="262"/>
      <c r="P61" s="260"/>
      <c r="Q61" s="262"/>
      <c r="R61" s="262"/>
      <c r="S61" s="1164"/>
    </row>
    <row r="62" spans="1:19" ht="39.6" outlineLevel="1">
      <c r="A62" s="598" t="s">
        <v>393</v>
      </c>
      <c r="B62" s="599" t="s">
        <v>896</v>
      </c>
      <c r="C62" s="600" t="s">
        <v>897</v>
      </c>
      <c r="D62" s="601" t="s">
        <v>821</v>
      </c>
      <c r="E62" s="602">
        <v>82.09</v>
      </c>
      <c r="F62" s="603">
        <v>109.8</v>
      </c>
      <c r="G62" s="268">
        <f t="shared" ref="G62:G72" si="19">ROUND(F62*E62,2)</f>
        <v>9013.48</v>
      </c>
      <c r="H62" s="604">
        <v>109.75999999999999</v>
      </c>
      <c r="I62" s="268">
        <f t="shared" ref="I62:I72" si="20">ROUND((E62*H62),2)</f>
        <v>9010.2000000000007</v>
      </c>
      <c r="J62" s="604">
        <f>VLOOKUP(A62,'12 - CORPO'!$A$1:$R$5122,18,FALSE)</f>
        <v>0</v>
      </c>
      <c r="K62" s="605">
        <f t="shared" ref="K62:K72" si="21">M62-I62</f>
        <v>0</v>
      </c>
      <c r="L62" s="604">
        <f t="shared" ref="L62:L72" si="22">(H62+J62)</f>
        <v>109.75999999999999</v>
      </c>
      <c r="M62" s="268">
        <f t="shared" ref="M62:M72" si="23">ROUND((E62*L62),2)</f>
        <v>9010.2000000000007</v>
      </c>
      <c r="N62" s="808"/>
      <c r="O62" s="260">
        <f t="shared" si="17"/>
        <v>4.0000000000006253E-2</v>
      </c>
      <c r="P62" s="260">
        <f t="shared" si="18"/>
        <v>3.2799999999988358</v>
      </c>
      <c r="Q62" s="260"/>
      <c r="R62" s="260"/>
      <c r="S62" s="1164"/>
    </row>
    <row r="63" spans="1:19" ht="26.4" outlineLevel="1">
      <c r="A63" s="293" t="s">
        <v>394</v>
      </c>
      <c r="B63" s="318" t="s">
        <v>898</v>
      </c>
      <c r="C63" s="294" t="s">
        <v>899</v>
      </c>
      <c r="D63" s="292" t="s">
        <v>821</v>
      </c>
      <c r="E63" s="295">
        <v>485</v>
      </c>
      <c r="F63" s="296">
        <v>5.04</v>
      </c>
      <c r="G63" s="276">
        <f t="shared" si="19"/>
        <v>2444.4</v>
      </c>
      <c r="H63" s="297">
        <v>5.04</v>
      </c>
      <c r="I63" s="276">
        <f t="shared" si="20"/>
        <v>2444.4</v>
      </c>
      <c r="J63" s="297">
        <f>VLOOKUP(A63,'12 - CORPO'!$A$1:$R$5122,18,FALSE)</f>
        <v>0</v>
      </c>
      <c r="K63" s="298">
        <f t="shared" si="21"/>
        <v>0</v>
      </c>
      <c r="L63" s="297">
        <f t="shared" si="22"/>
        <v>5.04</v>
      </c>
      <c r="M63" s="276">
        <f t="shared" si="23"/>
        <v>2444.4</v>
      </c>
      <c r="N63" s="808"/>
      <c r="O63" s="260">
        <f t="shared" si="17"/>
        <v>0</v>
      </c>
      <c r="P63" s="260">
        <f t="shared" si="18"/>
        <v>0</v>
      </c>
      <c r="Q63" s="260"/>
      <c r="R63" s="260"/>
      <c r="S63" s="1164"/>
    </row>
    <row r="64" spans="1:19" outlineLevel="1">
      <c r="A64" s="293" t="s">
        <v>395</v>
      </c>
      <c r="B64" s="318" t="s">
        <v>900</v>
      </c>
      <c r="C64" s="294" t="s">
        <v>901</v>
      </c>
      <c r="D64" s="292" t="s">
        <v>902</v>
      </c>
      <c r="E64" s="295">
        <v>54.68</v>
      </c>
      <c r="F64" s="296">
        <v>3.2</v>
      </c>
      <c r="G64" s="276">
        <f t="shared" si="19"/>
        <v>174.98</v>
      </c>
      <c r="H64" s="297">
        <v>3.2</v>
      </c>
      <c r="I64" s="276">
        <f t="shared" si="20"/>
        <v>174.98</v>
      </c>
      <c r="J64" s="297">
        <f>VLOOKUP(A64,'12 - CORPO'!$A$1:$R$5122,18,FALSE)</f>
        <v>0</v>
      </c>
      <c r="K64" s="298">
        <f t="shared" si="21"/>
        <v>0</v>
      </c>
      <c r="L64" s="297">
        <f t="shared" si="22"/>
        <v>3.2</v>
      </c>
      <c r="M64" s="276">
        <f t="shared" si="23"/>
        <v>174.98</v>
      </c>
      <c r="N64" s="808"/>
      <c r="O64" s="260">
        <f t="shared" si="17"/>
        <v>0</v>
      </c>
      <c r="P64" s="260">
        <f t="shared" si="18"/>
        <v>0</v>
      </c>
      <c r="Q64" s="260"/>
      <c r="R64" s="260"/>
      <c r="S64" s="1164"/>
    </row>
    <row r="65" spans="1:19" outlineLevel="1">
      <c r="A65" s="293" t="s">
        <v>396</v>
      </c>
      <c r="B65" s="318" t="s">
        <v>903</v>
      </c>
      <c r="C65" s="294" t="s">
        <v>904</v>
      </c>
      <c r="D65" s="292" t="s">
        <v>821</v>
      </c>
      <c r="E65" s="295">
        <v>450.81</v>
      </c>
      <c r="F65" s="296">
        <v>2.16</v>
      </c>
      <c r="G65" s="276">
        <f t="shared" si="19"/>
        <v>973.75</v>
      </c>
      <c r="H65" s="297">
        <v>2.16</v>
      </c>
      <c r="I65" s="276">
        <f t="shared" si="20"/>
        <v>973.75</v>
      </c>
      <c r="J65" s="297">
        <f>VLOOKUP(A65,'12 - CORPO'!$A$1:$R$5122,18,FALSE)</f>
        <v>0</v>
      </c>
      <c r="K65" s="298">
        <f t="shared" si="21"/>
        <v>0</v>
      </c>
      <c r="L65" s="297">
        <f t="shared" si="22"/>
        <v>2.16</v>
      </c>
      <c r="M65" s="276">
        <f t="shared" si="23"/>
        <v>973.75</v>
      </c>
      <c r="N65" s="808"/>
      <c r="O65" s="260">
        <f t="shared" si="17"/>
        <v>0</v>
      </c>
      <c r="P65" s="260">
        <f t="shared" si="18"/>
        <v>0</v>
      </c>
      <c r="Q65" s="260"/>
      <c r="R65" s="260"/>
      <c r="S65" s="1164"/>
    </row>
    <row r="66" spans="1:19" ht="26.4" outlineLevel="1">
      <c r="A66" s="293" t="s">
        <v>397</v>
      </c>
      <c r="B66" s="318" t="s">
        <v>905</v>
      </c>
      <c r="C66" s="294" t="s">
        <v>906</v>
      </c>
      <c r="D66" s="292" t="s">
        <v>809</v>
      </c>
      <c r="E66" s="295">
        <v>117.81</v>
      </c>
      <c r="F66" s="296">
        <v>3.6</v>
      </c>
      <c r="G66" s="276">
        <f t="shared" si="19"/>
        <v>424.12</v>
      </c>
      <c r="H66" s="297">
        <v>3.6</v>
      </c>
      <c r="I66" s="276">
        <f t="shared" si="20"/>
        <v>424.12</v>
      </c>
      <c r="J66" s="297">
        <f>VLOOKUP(A66,'12 - CORPO'!$A$1:$R$5122,18,FALSE)</f>
        <v>0</v>
      </c>
      <c r="K66" s="298">
        <f t="shared" si="21"/>
        <v>0</v>
      </c>
      <c r="L66" s="297">
        <f t="shared" si="22"/>
        <v>3.6</v>
      </c>
      <c r="M66" s="276">
        <f t="shared" si="23"/>
        <v>424.12</v>
      </c>
      <c r="N66" s="808"/>
      <c r="O66" s="260">
        <f t="shared" si="17"/>
        <v>0</v>
      </c>
      <c r="P66" s="260">
        <f t="shared" si="18"/>
        <v>0</v>
      </c>
      <c r="Q66" s="260"/>
      <c r="R66" s="260"/>
      <c r="S66" s="1164"/>
    </row>
    <row r="67" spans="1:19" ht="26.4" outlineLevel="1">
      <c r="A67" s="293" t="s">
        <v>398</v>
      </c>
      <c r="B67" s="318" t="s">
        <v>907</v>
      </c>
      <c r="C67" s="294" t="s">
        <v>908</v>
      </c>
      <c r="D67" s="292" t="s">
        <v>821</v>
      </c>
      <c r="E67" s="295">
        <v>156.02000000000001</v>
      </c>
      <c r="F67" s="296">
        <v>0.32</v>
      </c>
      <c r="G67" s="276">
        <f t="shared" si="19"/>
        <v>49.93</v>
      </c>
      <c r="H67" s="297">
        <v>0.32</v>
      </c>
      <c r="I67" s="276">
        <f t="shared" si="20"/>
        <v>49.93</v>
      </c>
      <c r="J67" s="297">
        <f>VLOOKUP(A67,'12 - CORPO'!$A$1:$R$5122,18,FALSE)</f>
        <v>0</v>
      </c>
      <c r="K67" s="298">
        <f t="shared" si="21"/>
        <v>0</v>
      </c>
      <c r="L67" s="297">
        <f t="shared" si="22"/>
        <v>0.32</v>
      </c>
      <c r="M67" s="276">
        <f t="shared" si="23"/>
        <v>49.93</v>
      </c>
      <c r="N67" s="808"/>
      <c r="O67" s="260">
        <f t="shared" si="17"/>
        <v>0</v>
      </c>
      <c r="P67" s="260">
        <f t="shared" si="18"/>
        <v>0</v>
      </c>
      <c r="Q67" s="260"/>
      <c r="R67" s="260"/>
      <c r="S67" s="1164"/>
    </row>
    <row r="68" spans="1:19" ht="26.4" outlineLevel="1">
      <c r="A68" s="293" t="s">
        <v>399</v>
      </c>
      <c r="B68" s="318" t="s">
        <v>909</v>
      </c>
      <c r="C68" s="294" t="s">
        <v>910</v>
      </c>
      <c r="D68" s="292" t="s">
        <v>821</v>
      </c>
      <c r="E68" s="295">
        <v>40.200000000000003</v>
      </c>
      <c r="F68" s="296">
        <v>34.200000000000003</v>
      </c>
      <c r="G68" s="276">
        <f t="shared" si="19"/>
        <v>1374.84</v>
      </c>
      <c r="H68" s="297">
        <v>34.200000000000003</v>
      </c>
      <c r="I68" s="276">
        <f t="shared" si="20"/>
        <v>1374.84</v>
      </c>
      <c r="J68" s="297">
        <f>VLOOKUP(A68,'12 - CORPO'!$A$1:$R$5122,18,FALSE)</f>
        <v>0</v>
      </c>
      <c r="K68" s="298">
        <f t="shared" si="21"/>
        <v>0</v>
      </c>
      <c r="L68" s="297">
        <f t="shared" si="22"/>
        <v>34.200000000000003</v>
      </c>
      <c r="M68" s="276">
        <f t="shared" si="23"/>
        <v>1374.84</v>
      </c>
      <c r="N68" s="808"/>
      <c r="O68" s="260">
        <f t="shared" si="17"/>
        <v>0</v>
      </c>
      <c r="P68" s="260">
        <f t="shared" si="18"/>
        <v>0</v>
      </c>
      <c r="Q68" s="260"/>
      <c r="R68" s="260"/>
      <c r="S68" s="1164"/>
    </row>
    <row r="69" spans="1:19" ht="39.6" outlineLevel="1">
      <c r="A69" s="293" t="s">
        <v>400</v>
      </c>
      <c r="B69" s="318" t="s">
        <v>911</v>
      </c>
      <c r="C69" s="294" t="s">
        <v>912</v>
      </c>
      <c r="D69" s="292" t="s">
        <v>821</v>
      </c>
      <c r="E69" s="295">
        <v>33.299999999999997</v>
      </c>
      <c r="F69" s="296">
        <v>34.200000000000003</v>
      </c>
      <c r="G69" s="276">
        <f t="shared" si="19"/>
        <v>1138.8599999999999</v>
      </c>
      <c r="H69" s="297">
        <v>34.200000000000003</v>
      </c>
      <c r="I69" s="276">
        <f t="shared" si="20"/>
        <v>1138.8599999999999</v>
      </c>
      <c r="J69" s="297">
        <f>VLOOKUP(A69,'12 - CORPO'!$A$1:$R$5122,18,FALSE)</f>
        <v>0</v>
      </c>
      <c r="K69" s="298">
        <f t="shared" si="21"/>
        <v>0</v>
      </c>
      <c r="L69" s="297">
        <f t="shared" si="22"/>
        <v>34.200000000000003</v>
      </c>
      <c r="M69" s="276">
        <f>ROUND((E69*L69),2)</f>
        <v>1138.8599999999999</v>
      </c>
      <c r="N69" s="808"/>
      <c r="O69" s="260">
        <f t="shared" si="17"/>
        <v>0</v>
      </c>
      <c r="P69" s="260">
        <f t="shared" si="18"/>
        <v>0</v>
      </c>
      <c r="Q69" s="260"/>
      <c r="R69" s="260"/>
      <c r="S69" s="1164"/>
    </row>
    <row r="70" spans="1:19" ht="26.4" outlineLevel="1">
      <c r="A70" s="293" t="s">
        <v>401</v>
      </c>
      <c r="B70" s="318" t="s">
        <v>913</v>
      </c>
      <c r="C70" s="294" t="s">
        <v>914</v>
      </c>
      <c r="D70" s="292" t="s">
        <v>809</v>
      </c>
      <c r="E70" s="295">
        <v>81.819999999999993</v>
      </c>
      <c r="F70" s="296">
        <v>3.1</v>
      </c>
      <c r="G70" s="276">
        <f t="shared" si="19"/>
        <v>253.64</v>
      </c>
      <c r="H70" s="297">
        <v>3.1</v>
      </c>
      <c r="I70" s="276">
        <f t="shared" si="20"/>
        <v>253.64</v>
      </c>
      <c r="J70" s="297">
        <f>VLOOKUP(A70,'12 - CORPO'!$A$1:$R$5122,18,FALSE)</f>
        <v>0</v>
      </c>
      <c r="K70" s="298">
        <f t="shared" si="21"/>
        <v>0</v>
      </c>
      <c r="L70" s="297">
        <f t="shared" si="22"/>
        <v>3.1</v>
      </c>
      <c r="M70" s="276">
        <f t="shared" si="23"/>
        <v>253.64</v>
      </c>
      <c r="N70" s="808"/>
      <c r="O70" s="260">
        <f t="shared" si="17"/>
        <v>0</v>
      </c>
      <c r="P70" s="260">
        <f t="shared" si="18"/>
        <v>0</v>
      </c>
      <c r="Q70" s="260"/>
      <c r="R70" s="260"/>
      <c r="S70" s="1164"/>
    </row>
    <row r="71" spans="1:19" outlineLevel="1">
      <c r="A71" s="293" t="s">
        <v>402</v>
      </c>
      <c r="B71" s="318" t="s">
        <v>915</v>
      </c>
      <c r="C71" s="294" t="s">
        <v>916</v>
      </c>
      <c r="D71" s="292" t="s">
        <v>809</v>
      </c>
      <c r="E71" s="295">
        <v>349.3</v>
      </c>
      <c r="F71" s="296">
        <v>0.45</v>
      </c>
      <c r="G71" s="276">
        <f t="shared" si="19"/>
        <v>157.19</v>
      </c>
      <c r="H71" s="297">
        <v>0.45</v>
      </c>
      <c r="I71" s="276">
        <f t="shared" si="20"/>
        <v>157.19</v>
      </c>
      <c r="J71" s="297">
        <f>VLOOKUP(A71,'12 - CORPO'!$A$1:$R$5122,18,FALSE)</f>
        <v>0</v>
      </c>
      <c r="K71" s="298">
        <f t="shared" si="21"/>
        <v>0</v>
      </c>
      <c r="L71" s="297">
        <f t="shared" si="22"/>
        <v>0.45</v>
      </c>
      <c r="M71" s="276">
        <f t="shared" si="23"/>
        <v>157.19</v>
      </c>
      <c r="N71" s="808"/>
      <c r="O71" s="260">
        <f t="shared" si="17"/>
        <v>0</v>
      </c>
      <c r="P71" s="260">
        <f t="shared" si="18"/>
        <v>0</v>
      </c>
      <c r="Q71" s="260"/>
      <c r="R71" s="260"/>
      <c r="S71" s="1164"/>
    </row>
    <row r="72" spans="1:19" outlineLevel="1">
      <c r="A72" s="293" t="s">
        <v>403</v>
      </c>
      <c r="B72" s="318" t="s">
        <v>917</v>
      </c>
      <c r="C72" s="294" t="s">
        <v>918</v>
      </c>
      <c r="D72" s="292" t="s">
        <v>816</v>
      </c>
      <c r="E72" s="295">
        <v>729.45</v>
      </c>
      <c r="F72" s="296">
        <v>2</v>
      </c>
      <c r="G72" s="276">
        <f t="shared" si="19"/>
        <v>1458.9</v>
      </c>
      <c r="H72" s="297">
        <v>2</v>
      </c>
      <c r="I72" s="276">
        <f t="shared" si="20"/>
        <v>1458.9</v>
      </c>
      <c r="J72" s="297">
        <f>VLOOKUP(A72,'12 - CORPO'!$A$1:$R$5122,18,FALSE)</f>
        <v>0</v>
      </c>
      <c r="K72" s="298">
        <f t="shared" si="21"/>
        <v>0</v>
      </c>
      <c r="L72" s="297">
        <f t="shared" si="22"/>
        <v>2</v>
      </c>
      <c r="M72" s="276">
        <f t="shared" si="23"/>
        <v>1458.9</v>
      </c>
      <c r="N72" s="808"/>
      <c r="O72" s="260">
        <f t="shared" si="17"/>
        <v>0</v>
      </c>
      <c r="P72" s="260">
        <f t="shared" si="18"/>
        <v>0</v>
      </c>
      <c r="Q72" s="260"/>
      <c r="R72" s="260"/>
      <c r="S72" s="1164"/>
    </row>
    <row r="73" spans="1:19" ht="26.4" outlineLevel="1">
      <c r="A73" s="293" t="s">
        <v>404</v>
      </c>
      <c r="B73" s="318" t="s">
        <v>919</v>
      </c>
      <c r="C73" s="294" t="s">
        <v>920</v>
      </c>
      <c r="D73" s="292" t="s">
        <v>821</v>
      </c>
      <c r="E73" s="295">
        <v>14.63</v>
      </c>
      <c r="F73" s="296">
        <v>109.8</v>
      </c>
      <c r="G73" s="276">
        <f>ROUND(F73*E73,2)</f>
        <v>1606.37</v>
      </c>
      <c r="H73" s="297">
        <v>109.8</v>
      </c>
      <c r="I73" s="276">
        <f>ROUND((E73*H73),2)</f>
        <v>1606.37</v>
      </c>
      <c r="J73" s="297">
        <f>VLOOKUP(A73,'12 - CORPO'!$A$1:$R$5122,18,FALSE)</f>
        <v>0</v>
      </c>
      <c r="K73" s="298">
        <f>M73-I73</f>
        <v>0</v>
      </c>
      <c r="L73" s="297">
        <f>(H73+J73)</f>
        <v>109.8</v>
      </c>
      <c r="M73" s="276">
        <f>ROUND((E73*L73),2)</f>
        <v>1606.37</v>
      </c>
      <c r="N73" s="808"/>
      <c r="O73" s="260">
        <f t="shared" si="17"/>
        <v>0</v>
      </c>
      <c r="P73" s="260">
        <f t="shared" si="18"/>
        <v>0</v>
      </c>
      <c r="Q73" s="260"/>
      <c r="R73" s="260"/>
      <c r="S73" s="1164"/>
    </row>
    <row r="74" spans="1:19" ht="39.6" outlineLevel="1">
      <c r="A74" s="293" t="s">
        <v>405</v>
      </c>
      <c r="B74" s="318" t="s">
        <v>921</v>
      </c>
      <c r="C74" s="294" t="s">
        <v>922</v>
      </c>
      <c r="D74" s="292" t="s">
        <v>816</v>
      </c>
      <c r="E74" s="295">
        <v>671.06</v>
      </c>
      <c r="F74" s="296">
        <v>1</v>
      </c>
      <c r="G74" s="276">
        <f>ROUND(F74*E74,2)</f>
        <v>671.06</v>
      </c>
      <c r="H74" s="297">
        <v>1</v>
      </c>
      <c r="I74" s="276">
        <f>ROUND((E74*H74),2)</f>
        <v>671.06</v>
      </c>
      <c r="J74" s="297">
        <f>VLOOKUP(A74,'12 - CORPO'!$A$1:$R$5122,18,FALSE)</f>
        <v>0</v>
      </c>
      <c r="K74" s="298">
        <f>M74-I74</f>
        <v>0</v>
      </c>
      <c r="L74" s="297">
        <f>(H74+J74)</f>
        <v>1</v>
      </c>
      <c r="M74" s="276">
        <f>ROUND((E74*L74),2)</f>
        <v>671.06</v>
      </c>
      <c r="N74" s="808"/>
      <c r="O74" s="260">
        <f t="shared" si="17"/>
        <v>0</v>
      </c>
      <c r="P74" s="260">
        <f t="shared" si="18"/>
        <v>0</v>
      </c>
      <c r="Q74" s="260"/>
      <c r="R74" s="260"/>
      <c r="S74" s="1164"/>
    </row>
    <row r="75" spans="1:19" ht="26.4" outlineLevel="1">
      <c r="A75" s="293" t="s">
        <v>406</v>
      </c>
      <c r="B75" s="318" t="s">
        <v>923</v>
      </c>
      <c r="C75" s="294" t="s">
        <v>924</v>
      </c>
      <c r="D75" s="292" t="s">
        <v>816</v>
      </c>
      <c r="E75" s="295">
        <v>40.090000000000003</v>
      </c>
      <c r="F75" s="296">
        <v>1</v>
      </c>
      <c r="G75" s="276">
        <f>ROUND(F75*E75,2)</f>
        <v>40.090000000000003</v>
      </c>
      <c r="H75" s="297">
        <v>1</v>
      </c>
      <c r="I75" s="276">
        <f>ROUND((E75*H75),2)</f>
        <v>40.090000000000003</v>
      </c>
      <c r="J75" s="297">
        <f>VLOOKUP(A75,'12 - CORPO'!$A$1:$R$5122,18,FALSE)</f>
        <v>0</v>
      </c>
      <c r="K75" s="298">
        <f>M75-I75</f>
        <v>0</v>
      </c>
      <c r="L75" s="297">
        <f>(H75+J75)</f>
        <v>1</v>
      </c>
      <c r="M75" s="276">
        <f>ROUND((E75*L75),2)</f>
        <v>40.090000000000003</v>
      </c>
      <c r="N75" s="808"/>
      <c r="O75" s="260">
        <f t="shared" si="17"/>
        <v>0</v>
      </c>
      <c r="P75" s="260">
        <f t="shared" si="18"/>
        <v>0</v>
      </c>
      <c r="Q75" s="260"/>
      <c r="R75" s="260"/>
      <c r="S75" s="1164"/>
    </row>
    <row r="76" spans="1:19" ht="19.95" customHeight="1">
      <c r="A76" s="1320" t="s">
        <v>407</v>
      </c>
      <c r="B76" s="1321" t="s">
        <v>925</v>
      </c>
      <c r="C76" s="1322" t="s">
        <v>150</v>
      </c>
      <c r="D76" s="1322"/>
      <c r="E76" s="1322"/>
      <c r="F76" s="1322"/>
      <c r="G76" s="1323">
        <f>SUBTOTAL(9,G77:G92)</f>
        <v>6018.19</v>
      </c>
      <c r="H76" s="1322"/>
      <c r="I76" s="1323">
        <f>SUBTOTAL(9,I77:I92)</f>
        <v>6018.19</v>
      </c>
      <c r="J76" s="1322"/>
      <c r="K76" s="1322">
        <f>SUBTOTAL(9,K77:K92)</f>
        <v>0</v>
      </c>
      <c r="L76" s="1322"/>
      <c r="M76" s="1324">
        <f>SUBTOTAL(9,M77:M92)</f>
        <v>6018.19</v>
      </c>
      <c r="N76" s="811"/>
      <c r="O76" s="260">
        <f t="shared" si="17"/>
        <v>0</v>
      </c>
      <c r="P76" s="260">
        <f t="shared" si="18"/>
        <v>0</v>
      </c>
      <c r="Q76" s="262"/>
      <c r="R76" s="262"/>
      <c r="S76" s="1164"/>
    </row>
    <row r="77" spans="1:19" ht="57.75" customHeight="1" outlineLevel="1">
      <c r="A77" s="293" t="s">
        <v>408</v>
      </c>
      <c r="B77" s="318" t="s">
        <v>926</v>
      </c>
      <c r="C77" s="294" t="s">
        <v>927</v>
      </c>
      <c r="D77" s="292" t="s">
        <v>821</v>
      </c>
      <c r="E77" s="295">
        <v>59.04</v>
      </c>
      <c r="F77" s="296">
        <v>18.39</v>
      </c>
      <c r="G77" s="276">
        <f t="shared" ref="G77:G90" si="24">ROUND(F77*E77,2)</f>
        <v>1085.75</v>
      </c>
      <c r="H77" s="297">
        <v>18.39</v>
      </c>
      <c r="I77" s="276">
        <f t="shared" ref="I77:I90" si="25">ROUND((E77*H77),2)</f>
        <v>1085.75</v>
      </c>
      <c r="J77" s="297">
        <f>VLOOKUP(A77,'12 - CORPO'!$A$1:$R$5122,18,FALSE)</f>
        <v>0</v>
      </c>
      <c r="K77" s="298">
        <f t="shared" ref="K77:K92" si="26">M77-I77</f>
        <v>0</v>
      </c>
      <c r="L77" s="297">
        <f t="shared" ref="L77:L92" si="27">(H77+J77)</f>
        <v>18.39</v>
      </c>
      <c r="M77" s="276">
        <f t="shared" ref="M77:M90" si="28">ROUND((E77*L77),2)</f>
        <v>1085.75</v>
      </c>
      <c r="N77" s="808"/>
      <c r="O77" s="260">
        <f t="shared" si="17"/>
        <v>0</v>
      </c>
      <c r="P77" s="260">
        <f t="shared" si="18"/>
        <v>0</v>
      </c>
      <c r="Q77" s="260"/>
      <c r="R77" s="260"/>
      <c r="S77" s="1164"/>
    </row>
    <row r="78" spans="1:19" ht="26.4" outlineLevel="1">
      <c r="A78" s="293" t="s">
        <v>409</v>
      </c>
      <c r="B78" s="318" t="s">
        <v>919</v>
      </c>
      <c r="C78" s="294" t="s">
        <v>920</v>
      </c>
      <c r="D78" s="292" t="s">
        <v>821</v>
      </c>
      <c r="E78" s="295">
        <v>14.63</v>
      </c>
      <c r="F78" s="296">
        <v>8.2799999999999994</v>
      </c>
      <c r="G78" s="276">
        <f t="shared" si="24"/>
        <v>121.14</v>
      </c>
      <c r="H78" s="297">
        <v>8.2799999999999994</v>
      </c>
      <c r="I78" s="276">
        <f t="shared" si="25"/>
        <v>121.14</v>
      </c>
      <c r="J78" s="297">
        <f>VLOOKUP(A78,'12 - CORPO'!$A$1:$R$5122,18,FALSE)</f>
        <v>0</v>
      </c>
      <c r="K78" s="298">
        <f t="shared" si="26"/>
        <v>0</v>
      </c>
      <c r="L78" s="297">
        <f t="shared" si="27"/>
        <v>8.2799999999999994</v>
      </c>
      <c r="M78" s="276">
        <f t="shared" si="28"/>
        <v>121.14</v>
      </c>
      <c r="N78" s="808"/>
      <c r="O78" s="260">
        <f t="shared" si="17"/>
        <v>0</v>
      </c>
      <c r="P78" s="260">
        <f t="shared" si="18"/>
        <v>0</v>
      </c>
      <c r="Q78" s="260"/>
      <c r="R78" s="260"/>
      <c r="S78" s="1164"/>
    </row>
    <row r="79" spans="1:19" outlineLevel="1">
      <c r="A79" s="293" t="s">
        <v>410</v>
      </c>
      <c r="B79" s="318" t="s">
        <v>928</v>
      </c>
      <c r="C79" s="294" t="s">
        <v>929</v>
      </c>
      <c r="D79" s="292" t="s">
        <v>821</v>
      </c>
      <c r="E79" s="304">
        <v>16.670000000000002</v>
      </c>
      <c r="F79" s="305">
        <v>5.28</v>
      </c>
      <c r="G79" s="276">
        <f t="shared" si="24"/>
        <v>88.02</v>
      </c>
      <c r="H79" s="306">
        <v>5.28</v>
      </c>
      <c r="I79" s="281">
        <f t="shared" si="25"/>
        <v>88.02</v>
      </c>
      <c r="J79" s="297">
        <f>VLOOKUP(A79,'12 - CORPO'!$A$1:$R$5122,18,FALSE)</f>
        <v>0</v>
      </c>
      <c r="K79" s="307">
        <f t="shared" si="26"/>
        <v>0</v>
      </c>
      <c r="L79" s="306">
        <f t="shared" si="27"/>
        <v>5.28</v>
      </c>
      <c r="M79" s="281">
        <f t="shared" si="28"/>
        <v>88.02</v>
      </c>
      <c r="N79" s="808"/>
      <c r="O79" s="260">
        <f t="shared" si="17"/>
        <v>0</v>
      </c>
      <c r="P79" s="260">
        <f t="shared" si="18"/>
        <v>0</v>
      </c>
      <c r="Q79" s="260"/>
      <c r="R79" s="260"/>
      <c r="S79" s="1164"/>
    </row>
    <row r="80" spans="1:19" ht="26.4" outlineLevel="1">
      <c r="A80" s="293" t="s">
        <v>411</v>
      </c>
      <c r="B80" s="318" t="s">
        <v>930</v>
      </c>
      <c r="C80" s="294" t="s">
        <v>931</v>
      </c>
      <c r="D80" s="292" t="s">
        <v>821</v>
      </c>
      <c r="E80" s="304">
        <v>49.72</v>
      </c>
      <c r="F80" s="305">
        <v>6.86</v>
      </c>
      <c r="G80" s="276">
        <f t="shared" si="24"/>
        <v>341.08</v>
      </c>
      <c r="H80" s="306">
        <v>6.86</v>
      </c>
      <c r="I80" s="281">
        <f t="shared" si="25"/>
        <v>341.08</v>
      </c>
      <c r="J80" s="297">
        <f>VLOOKUP(A80,'12 - CORPO'!$A$1:$R$5122,18,FALSE)</f>
        <v>0</v>
      </c>
      <c r="K80" s="307">
        <f t="shared" si="26"/>
        <v>0</v>
      </c>
      <c r="L80" s="306">
        <f t="shared" si="27"/>
        <v>6.86</v>
      </c>
      <c r="M80" s="281">
        <f t="shared" si="28"/>
        <v>341.08</v>
      </c>
      <c r="N80" s="808"/>
      <c r="O80" s="260">
        <f t="shared" si="17"/>
        <v>0</v>
      </c>
      <c r="P80" s="260">
        <f t="shared" si="18"/>
        <v>0</v>
      </c>
      <c r="Q80" s="260"/>
      <c r="R80" s="260"/>
      <c r="S80" s="1164"/>
    </row>
    <row r="81" spans="1:19" ht="26.4" outlineLevel="1">
      <c r="A81" s="293" t="s">
        <v>412</v>
      </c>
      <c r="B81" s="596" t="s">
        <v>932</v>
      </c>
      <c r="C81" s="294" t="s">
        <v>933</v>
      </c>
      <c r="D81" s="315" t="s">
        <v>816</v>
      </c>
      <c r="E81" s="295">
        <v>344.69</v>
      </c>
      <c r="F81" s="296">
        <v>1</v>
      </c>
      <c r="G81" s="276">
        <f t="shared" si="24"/>
        <v>344.69</v>
      </c>
      <c r="H81" s="297">
        <v>1</v>
      </c>
      <c r="I81" s="276">
        <f t="shared" si="25"/>
        <v>344.69</v>
      </c>
      <c r="J81" s="297">
        <f>VLOOKUP(A81,'12 - CORPO'!$A$1:$R$5122,18,FALSE)</f>
        <v>0</v>
      </c>
      <c r="K81" s="298">
        <f t="shared" si="26"/>
        <v>0</v>
      </c>
      <c r="L81" s="297">
        <f t="shared" si="27"/>
        <v>1</v>
      </c>
      <c r="M81" s="276">
        <f t="shared" si="28"/>
        <v>344.69</v>
      </c>
      <c r="N81" s="808"/>
      <c r="O81" s="260">
        <f t="shared" si="17"/>
        <v>0</v>
      </c>
      <c r="P81" s="260">
        <f t="shared" si="18"/>
        <v>0</v>
      </c>
      <c r="Q81" s="260"/>
      <c r="R81" s="260"/>
      <c r="S81" s="1164"/>
    </row>
    <row r="82" spans="1:19" ht="26.4" outlineLevel="1">
      <c r="A82" s="316" t="s">
        <v>413</v>
      </c>
      <c r="B82" s="318" t="s">
        <v>934</v>
      </c>
      <c r="C82" s="294" t="s">
        <v>935</v>
      </c>
      <c r="D82" s="292" t="s">
        <v>816</v>
      </c>
      <c r="E82" s="304">
        <v>85.93</v>
      </c>
      <c r="F82" s="305">
        <v>1</v>
      </c>
      <c r="G82" s="276">
        <f t="shared" si="24"/>
        <v>85.93</v>
      </c>
      <c r="H82" s="306">
        <v>1</v>
      </c>
      <c r="I82" s="281">
        <f t="shared" si="25"/>
        <v>85.93</v>
      </c>
      <c r="J82" s="297">
        <f>VLOOKUP(A82,'12 - CORPO'!$A$1:$R$5122,18,FALSE)</f>
        <v>0</v>
      </c>
      <c r="K82" s="307">
        <f t="shared" si="26"/>
        <v>0</v>
      </c>
      <c r="L82" s="306">
        <f t="shared" si="27"/>
        <v>1</v>
      </c>
      <c r="M82" s="281">
        <f t="shared" si="28"/>
        <v>85.93</v>
      </c>
      <c r="N82" s="808"/>
      <c r="O82" s="260">
        <f t="shared" si="17"/>
        <v>0</v>
      </c>
      <c r="P82" s="260">
        <f t="shared" si="18"/>
        <v>0</v>
      </c>
      <c r="Q82" s="260"/>
      <c r="R82" s="260"/>
      <c r="S82" s="1164"/>
    </row>
    <row r="83" spans="1:19" ht="26.4" outlineLevel="1">
      <c r="A83" s="293" t="s">
        <v>414</v>
      </c>
      <c r="B83" s="318" t="s">
        <v>936</v>
      </c>
      <c r="C83" s="294" t="s">
        <v>937</v>
      </c>
      <c r="D83" s="292" t="s">
        <v>816</v>
      </c>
      <c r="E83" s="304">
        <v>137.88999999999999</v>
      </c>
      <c r="F83" s="305">
        <v>1</v>
      </c>
      <c r="G83" s="281">
        <f t="shared" si="24"/>
        <v>137.88999999999999</v>
      </c>
      <c r="H83" s="306">
        <v>1</v>
      </c>
      <c r="I83" s="281">
        <f t="shared" si="25"/>
        <v>137.88999999999999</v>
      </c>
      <c r="J83" s="297">
        <f>VLOOKUP(A83,'12 - CORPO'!$A$1:$R$5122,18,FALSE)</f>
        <v>0</v>
      </c>
      <c r="K83" s="307">
        <f t="shared" si="26"/>
        <v>0</v>
      </c>
      <c r="L83" s="306">
        <f t="shared" si="27"/>
        <v>1</v>
      </c>
      <c r="M83" s="281">
        <f t="shared" si="28"/>
        <v>137.88999999999999</v>
      </c>
      <c r="N83" s="808"/>
      <c r="O83" s="260">
        <f t="shared" si="17"/>
        <v>0</v>
      </c>
      <c r="P83" s="260">
        <f t="shared" si="18"/>
        <v>0</v>
      </c>
      <c r="Q83" s="260"/>
      <c r="R83" s="260"/>
      <c r="S83" s="1164"/>
    </row>
    <row r="84" spans="1:19" ht="26.4" outlineLevel="1">
      <c r="A84" s="293" t="s">
        <v>415</v>
      </c>
      <c r="B84" s="318" t="s">
        <v>938</v>
      </c>
      <c r="C84" s="294" t="s">
        <v>939</v>
      </c>
      <c r="D84" s="292" t="s">
        <v>816</v>
      </c>
      <c r="E84" s="304">
        <v>393.13</v>
      </c>
      <c r="F84" s="305">
        <v>1</v>
      </c>
      <c r="G84" s="281">
        <f t="shared" si="24"/>
        <v>393.13</v>
      </c>
      <c r="H84" s="306">
        <v>1</v>
      </c>
      <c r="I84" s="281">
        <f t="shared" si="25"/>
        <v>393.13</v>
      </c>
      <c r="J84" s="297">
        <f>VLOOKUP(A84,'12 - CORPO'!$A$1:$R$5122,18,FALSE)</f>
        <v>0</v>
      </c>
      <c r="K84" s="307">
        <f t="shared" si="26"/>
        <v>0</v>
      </c>
      <c r="L84" s="306">
        <f t="shared" si="27"/>
        <v>1</v>
      </c>
      <c r="M84" s="281">
        <f t="shared" si="28"/>
        <v>393.13</v>
      </c>
      <c r="N84" s="808"/>
      <c r="O84" s="260">
        <f t="shared" si="17"/>
        <v>0</v>
      </c>
      <c r="P84" s="260">
        <f t="shared" si="18"/>
        <v>0</v>
      </c>
      <c r="Q84" s="260"/>
      <c r="R84" s="260"/>
      <c r="S84" s="1164"/>
    </row>
    <row r="85" spans="1:19" outlineLevel="1">
      <c r="A85" s="317" t="s">
        <v>416</v>
      </c>
      <c r="B85" s="319" t="s">
        <v>940</v>
      </c>
      <c r="C85" s="273" t="s">
        <v>941</v>
      </c>
      <c r="D85" s="292" t="s">
        <v>816</v>
      </c>
      <c r="E85" s="279">
        <v>761.68</v>
      </c>
      <c r="F85" s="280">
        <v>1</v>
      </c>
      <c r="G85" s="281">
        <f t="shared" si="24"/>
        <v>761.68</v>
      </c>
      <c r="H85" s="282">
        <v>1</v>
      </c>
      <c r="I85" s="281">
        <f t="shared" si="25"/>
        <v>761.68</v>
      </c>
      <c r="J85" s="277">
        <f>VLOOKUP(A85,'12 - CORPO'!$A$1:$R$5122,18,FALSE)</f>
        <v>0</v>
      </c>
      <c r="K85" s="278">
        <f t="shared" si="26"/>
        <v>0</v>
      </c>
      <c r="L85" s="282">
        <f t="shared" si="27"/>
        <v>1</v>
      </c>
      <c r="M85" s="281">
        <f t="shared" si="28"/>
        <v>761.68</v>
      </c>
      <c r="N85" s="808"/>
      <c r="O85" s="260">
        <f t="shared" si="17"/>
        <v>0</v>
      </c>
      <c r="P85" s="260">
        <f t="shared" si="18"/>
        <v>0</v>
      </c>
      <c r="Q85" s="260"/>
      <c r="R85" s="260"/>
      <c r="S85" s="1164"/>
    </row>
    <row r="86" spans="1:19" ht="26.4" outlineLevel="1">
      <c r="A86" s="293" t="s">
        <v>417</v>
      </c>
      <c r="B86" s="318" t="s">
        <v>942</v>
      </c>
      <c r="C86" s="294" t="s">
        <v>943</v>
      </c>
      <c r="D86" s="292" t="s">
        <v>816</v>
      </c>
      <c r="E86" s="295">
        <v>205.54</v>
      </c>
      <c r="F86" s="296">
        <v>1</v>
      </c>
      <c r="G86" s="276">
        <f t="shared" si="24"/>
        <v>205.54</v>
      </c>
      <c r="H86" s="297">
        <v>1</v>
      </c>
      <c r="I86" s="276">
        <f t="shared" si="25"/>
        <v>205.54</v>
      </c>
      <c r="J86" s="297">
        <f>VLOOKUP(A86,'12 - CORPO'!$A$1:$R$5122,18,FALSE)</f>
        <v>0</v>
      </c>
      <c r="K86" s="298">
        <f t="shared" si="26"/>
        <v>0</v>
      </c>
      <c r="L86" s="297">
        <f t="shared" si="27"/>
        <v>1</v>
      </c>
      <c r="M86" s="276">
        <f t="shared" si="28"/>
        <v>205.54</v>
      </c>
      <c r="N86" s="808"/>
      <c r="O86" s="260">
        <f t="shared" si="17"/>
        <v>0</v>
      </c>
      <c r="P86" s="260">
        <f t="shared" si="18"/>
        <v>0</v>
      </c>
      <c r="Q86" s="260"/>
      <c r="R86" s="260"/>
      <c r="S86" s="1164"/>
    </row>
    <row r="87" spans="1:19" ht="26.4" outlineLevel="1">
      <c r="A87" s="661" t="s">
        <v>418</v>
      </c>
      <c r="B87" s="662" t="s">
        <v>944</v>
      </c>
      <c r="C87" s="663" t="s">
        <v>945</v>
      </c>
      <c r="D87" s="664" t="s">
        <v>816</v>
      </c>
      <c r="E87" s="689">
        <v>222.09</v>
      </c>
      <c r="F87" s="690">
        <v>2</v>
      </c>
      <c r="G87" s="691">
        <f t="shared" si="24"/>
        <v>444.18</v>
      </c>
      <c r="H87" s="669">
        <v>2</v>
      </c>
      <c r="I87" s="691">
        <f t="shared" si="25"/>
        <v>444.18</v>
      </c>
      <c r="J87" s="669">
        <f>VLOOKUP(A87,'12 - CORPO'!$A$1:$R$5122,18,FALSE)</f>
        <v>0</v>
      </c>
      <c r="K87" s="692">
        <f t="shared" si="26"/>
        <v>0</v>
      </c>
      <c r="L87" s="669">
        <f t="shared" si="27"/>
        <v>2</v>
      </c>
      <c r="M87" s="691">
        <f t="shared" si="28"/>
        <v>444.18</v>
      </c>
      <c r="N87" s="808"/>
      <c r="O87" s="260">
        <f t="shared" si="17"/>
        <v>0</v>
      </c>
      <c r="P87" s="260">
        <f t="shared" si="18"/>
        <v>0</v>
      </c>
      <c r="Q87" s="260"/>
      <c r="R87" s="260"/>
      <c r="S87" s="1164"/>
    </row>
    <row r="88" spans="1:19" ht="26.4" outlineLevel="1">
      <c r="A88" s="598" t="s">
        <v>419</v>
      </c>
      <c r="B88" s="599" t="s">
        <v>946</v>
      </c>
      <c r="C88" s="600" t="s">
        <v>947</v>
      </c>
      <c r="D88" s="601" t="s">
        <v>816</v>
      </c>
      <c r="E88" s="671">
        <v>185.34</v>
      </c>
      <c r="F88" s="672">
        <v>2</v>
      </c>
      <c r="G88" s="268">
        <f t="shared" si="24"/>
        <v>370.68</v>
      </c>
      <c r="H88" s="674">
        <v>2</v>
      </c>
      <c r="I88" s="673">
        <f t="shared" si="25"/>
        <v>370.68</v>
      </c>
      <c r="J88" s="604">
        <f>VLOOKUP(A88,'12 - CORPO'!$A$1:$R$5122,18,FALSE)</f>
        <v>0</v>
      </c>
      <c r="K88" s="675">
        <f t="shared" si="26"/>
        <v>0</v>
      </c>
      <c r="L88" s="674">
        <f t="shared" si="27"/>
        <v>2</v>
      </c>
      <c r="M88" s="673">
        <f t="shared" si="28"/>
        <v>370.68</v>
      </c>
      <c r="N88" s="808"/>
      <c r="O88" s="260">
        <f t="shared" si="17"/>
        <v>0</v>
      </c>
      <c r="P88" s="260">
        <f t="shared" si="18"/>
        <v>0</v>
      </c>
      <c r="Q88" s="260"/>
      <c r="R88" s="260"/>
      <c r="S88" s="1164"/>
    </row>
    <row r="89" spans="1:19" ht="26.4" outlineLevel="1">
      <c r="A89" s="293" t="s">
        <v>420</v>
      </c>
      <c r="B89" s="318" t="s">
        <v>948</v>
      </c>
      <c r="C89" s="294" t="s">
        <v>949</v>
      </c>
      <c r="D89" s="292" t="s">
        <v>816</v>
      </c>
      <c r="E89" s="304">
        <v>614.95000000000005</v>
      </c>
      <c r="F89" s="305">
        <v>1</v>
      </c>
      <c r="G89" s="276">
        <f t="shared" si="24"/>
        <v>614.95000000000005</v>
      </c>
      <c r="H89" s="306">
        <v>1</v>
      </c>
      <c r="I89" s="281">
        <f t="shared" si="25"/>
        <v>614.95000000000005</v>
      </c>
      <c r="J89" s="297">
        <f>VLOOKUP(A89,'12 - CORPO'!$A$1:$R$5122,18,FALSE)</f>
        <v>0</v>
      </c>
      <c r="K89" s="307">
        <f t="shared" si="26"/>
        <v>0</v>
      </c>
      <c r="L89" s="306">
        <f t="shared" si="27"/>
        <v>1</v>
      </c>
      <c r="M89" s="281">
        <f t="shared" si="28"/>
        <v>614.95000000000005</v>
      </c>
      <c r="N89" s="808"/>
      <c r="O89" s="260">
        <f t="shared" si="17"/>
        <v>0</v>
      </c>
      <c r="P89" s="260">
        <f t="shared" si="18"/>
        <v>0</v>
      </c>
      <c r="Q89" s="260"/>
      <c r="R89" s="260"/>
      <c r="S89" s="1164"/>
    </row>
    <row r="90" spans="1:19" ht="39.6" outlineLevel="1">
      <c r="A90" s="293" t="s">
        <v>421</v>
      </c>
      <c r="B90" s="596" t="s">
        <v>950</v>
      </c>
      <c r="C90" s="294" t="s">
        <v>951</v>
      </c>
      <c r="D90" s="315" t="s">
        <v>821</v>
      </c>
      <c r="E90" s="295">
        <v>36.89</v>
      </c>
      <c r="F90" s="296">
        <v>6.86</v>
      </c>
      <c r="G90" s="276">
        <f t="shared" si="24"/>
        <v>253.07</v>
      </c>
      <c r="H90" s="297">
        <v>6.86</v>
      </c>
      <c r="I90" s="276">
        <f t="shared" si="25"/>
        <v>253.07</v>
      </c>
      <c r="J90" s="297">
        <f>VLOOKUP(A90,'12 - CORPO'!$A$1:$R$5122,18,FALSE)</f>
        <v>0</v>
      </c>
      <c r="K90" s="298">
        <f t="shared" si="26"/>
        <v>0</v>
      </c>
      <c r="L90" s="297">
        <f t="shared" si="27"/>
        <v>6.86</v>
      </c>
      <c r="M90" s="276">
        <f t="shared" si="28"/>
        <v>253.07</v>
      </c>
      <c r="N90" s="808"/>
      <c r="O90" s="260">
        <f t="shared" si="17"/>
        <v>0</v>
      </c>
      <c r="P90" s="260">
        <f t="shared" si="18"/>
        <v>0</v>
      </c>
      <c r="Q90" s="260"/>
      <c r="R90" s="260"/>
      <c r="S90" s="1164"/>
    </row>
    <row r="91" spans="1:19" ht="26.4" outlineLevel="1">
      <c r="A91" s="293" t="s">
        <v>422</v>
      </c>
      <c r="B91" s="318" t="s">
        <v>952</v>
      </c>
      <c r="C91" s="294" t="s">
        <v>953</v>
      </c>
      <c r="D91" s="292" t="s">
        <v>821</v>
      </c>
      <c r="E91" s="304">
        <v>19.98</v>
      </c>
      <c r="F91" s="305">
        <v>8.2799999999999994</v>
      </c>
      <c r="G91" s="276">
        <f>ROUND(F91*E91,2)</f>
        <v>165.43</v>
      </c>
      <c r="H91" s="306">
        <v>8.2799999999999994</v>
      </c>
      <c r="I91" s="281">
        <f>ROUND((E91*H91),2)</f>
        <v>165.43</v>
      </c>
      <c r="J91" s="297">
        <f>VLOOKUP(A91,'12 - CORPO'!$A$1:$R$5122,18,FALSE)</f>
        <v>0</v>
      </c>
      <c r="K91" s="307">
        <f>M91-I91</f>
        <v>0</v>
      </c>
      <c r="L91" s="306">
        <f>(H91+J91)</f>
        <v>8.2799999999999994</v>
      </c>
      <c r="M91" s="281">
        <f>ROUND((E91*L91),2)</f>
        <v>165.43</v>
      </c>
      <c r="N91" s="808"/>
      <c r="O91" s="260">
        <f t="shared" si="17"/>
        <v>0</v>
      </c>
      <c r="P91" s="260">
        <f t="shared" si="18"/>
        <v>0</v>
      </c>
      <c r="Q91" s="260"/>
      <c r="R91" s="260"/>
      <c r="S91" s="1164"/>
    </row>
    <row r="92" spans="1:19" ht="52.8" outlineLevel="1">
      <c r="A92" s="316" t="s">
        <v>423</v>
      </c>
      <c r="B92" s="318" t="s">
        <v>954</v>
      </c>
      <c r="C92" s="294" t="s">
        <v>955</v>
      </c>
      <c r="D92" s="292" t="s">
        <v>821</v>
      </c>
      <c r="E92" s="304">
        <v>32.9</v>
      </c>
      <c r="F92" s="305">
        <v>18.39</v>
      </c>
      <c r="G92" s="276">
        <f>ROUND(F92*E92,2)</f>
        <v>605.03</v>
      </c>
      <c r="H92" s="306">
        <v>18.39</v>
      </c>
      <c r="I92" s="281">
        <f>ROUND((E92*H92),2)</f>
        <v>605.03</v>
      </c>
      <c r="J92" s="297">
        <f>VLOOKUP(A92,'12 - CORPO'!$A$1:$R$5122,18,FALSE)</f>
        <v>0</v>
      </c>
      <c r="K92" s="307">
        <f t="shared" si="26"/>
        <v>0</v>
      </c>
      <c r="L92" s="306">
        <f t="shared" si="27"/>
        <v>18.39</v>
      </c>
      <c r="M92" s="281">
        <f>ROUND((E92*L92),2)</f>
        <v>605.03</v>
      </c>
      <c r="N92" s="808"/>
      <c r="O92" s="260">
        <f t="shared" si="17"/>
        <v>0</v>
      </c>
      <c r="P92" s="260">
        <f t="shared" si="18"/>
        <v>0</v>
      </c>
      <c r="Q92" s="260"/>
      <c r="R92" s="260"/>
      <c r="S92" s="1164"/>
    </row>
    <row r="93" spans="1:19" ht="19.95" customHeight="1">
      <c r="A93" s="1320" t="s">
        <v>424</v>
      </c>
      <c r="B93" s="1447" t="s">
        <v>956</v>
      </c>
      <c r="C93" s="1447"/>
      <c r="D93" s="1322"/>
      <c r="E93" s="1322"/>
      <c r="F93" s="1322"/>
      <c r="G93" s="1323">
        <f>SUBTOTAL(9,G94:G103)</f>
        <v>3328.74</v>
      </c>
      <c r="H93" s="1322"/>
      <c r="I93" s="1323">
        <f>SUBTOTAL(9,I94:I103)</f>
        <v>3328.74</v>
      </c>
      <c r="J93" s="1322"/>
      <c r="K93" s="1324">
        <f>SUBTOTAL(9,K94:K103)</f>
        <v>0</v>
      </c>
      <c r="L93" s="1322"/>
      <c r="M93" s="1324">
        <f>SUBTOTAL(9,M94:M103)</f>
        <v>3328.74</v>
      </c>
      <c r="N93" s="811"/>
      <c r="O93" s="260">
        <f t="shared" si="17"/>
        <v>0</v>
      </c>
      <c r="P93" s="260">
        <f t="shared" si="18"/>
        <v>0</v>
      </c>
      <c r="Q93" s="262"/>
      <c r="R93" s="262"/>
      <c r="S93" s="1164"/>
    </row>
    <row r="94" spans="1:19" ht="60.75" customHeight="1" outlineLevel="1">
      <c r="A94" s="316" t="s">
        <v>425</v>
      </c>
      <c r="B94" s="318" t="s">
        <v>926</v>
      </c>
      <c r="C94" s="294" t="s">
        <v>927</v>
      </c>
      <c r="D94" s="292" t="s">
        <v>821</v>
      </c>
      <c r="E94" s="304">
        <v>59.04</v>
      </c>
      <c r="F94" s="305">
        <v>17.510000000000002</v>
      </c>
      <c r="G94" s="276">
        <f t="shared" ref="G94:G103" si="29">ROUND(F94*E94,2)</f>
        <v>1033.79</v>
      </c>
      <c r="H94" s="306">
        <v>17.510000000000002</v>
      </c>
      <c r="I94" s="281">
        <f t="shared" ref="I94:I103" si="30">ROUND((E94*H94),2)</f>
        <v>1033.79</v>
      </c>
      <c r="J94" s="297">
        <f>VLOOKUP(A94,'12 - CORPO'!$A$1:$R$5122,18,FALSE)</f>
        <v>0</v>
      </c>
      <c r="K94" s="307">
        <f t="shared" ref="K94:K121" si="31">M94-I94</f>
        <v>0</v>
      </c>
      <c r="L94" s="306">
        <f t="shared" ref="L94:L121" si="32">(H94+J94)</f>
        <v>17.510000000000002</v>
      </c>
      <c r="M94" s="281">
        <f t="shared" ref="M94:M103" si="33">ROUND((E94*L94),2)</f>
        <v>1033.79</v>
      </c>
      <c r="N94" s="808"/>
      <c r="O94" s="260">
        <f t="shared" si="17"/>
        <v>0</v>
      </c>
      <c r="P94" s="260">
        <f t="shared" si="18"/>
        <v>0</v>
      </c>
      <c r="Q94" s="260"/>
      <c r="R94" s="260"/>
      <c r="S94" s="1164"/>
    </row>
    <row r="95" spans="1:19" ht="26.4" outlineLevel="1">
      <c r="A95" s="293" t="s">
        <v>426</v>
      </c>
      <c r="B95" s="318" t="s">
        <v>919</v>
      </c>
      <c r="C95" s="294" t="s">
        <v>920</v>
      </c>
      <c r="D95" s="292" t="s">
        <v>821</v>
      </c>
      <c r="E95" s="304">
        <v>14.63</v>
      </c>
      <c r="F95" s="305">
        <v>7.92</v>
      </c>
      <c r="G95" s="281">
        <f t="shared" si="29"/>
        <v>115.87</v>
      </c>
      <c r="H95" s="306">
        <v>7.92</v>
      </c>
      <c r="I95" s="281">
        <f t="shared" si="30"/>
        <v>115.87</v>
      </c>
      <c r="J95" s="297">
        <f>VLOOKUP(A95,'12 - CORPO'!$A$1:$R$5122,18,FALSE)</f>
        <v>0</v>
      </c>
      <c r="K95" s="307">
        <f t="shared" si="31"/>
        <v>0</v>
      </c>
      <c r="L95" s="306">
        <f t="shared" si="32"/>
        <v>7.92</v>
      </c>
      <c r="M95" s="281">
        <f t="shared" si="33"/>
        <v>115.87</v>
      </c>
      <c r="N95" s="808"/>
      <c r="O95" s="260">
        <f t="shared" si="17"/>
        <v>0</v>
      </c>
      <c r="P95" s="260">
        <f t="shared" si="18"/>
        <v>0</v>
      </c>
      <c r="Q95" s="260"/>
      <c r="R95" s="260"/>
      <c r="S95" s="1164"/>
    </row>
    <row r="96" spans="1:19" outlineLevel="1">
      <c r="A96" s="293" t="s">
        <v>427</v>
      </c>
      <c r="B96" s="318" t="s">
        <v>928</v>
      </c>
      <c r="C96" s="294" t="s">
        <v>929</v>
      </c>
      <c r="D96" s="292" t="s">
        <v>821</v>
      </c>
      <c r="E96" s="304">
        <v>16.670000000000002</v>
      </c>
      <c r="F96" s="305">
        <v>4.84</v>
      </c>
      <c r="G96" s="281">
        <f t="shared" si="29"/>
        <v>80.680000000000007</v>
      </c>
      <c r="H96" s="306">
        <v>4.84</v>
      </c>
      <c r="I96" s="281">
        <f t="shared" si="30"/>
        <v>80.680000000000007</v>
      </c>
      <c r="J96" s="297">
        <f>VLOOKUP(A96,'12 - CORPO'!$A$1:$R$5122,18,FALSE)</f>
        <v>0</v>
      </c>
      <c r="K96" s="307">
        <f t="shared" si="31"/>
        <v>0</v>
      </c>
      <c r="L96" s="306">
        <f t="shared" si="32"/>
        <v>4.84</v>
      </c>
      <c r="M96" s="281">
        <f t="shared" si="33"/>
        <v>80.680000000000007</v>
      </c>
      <c r="N96" s="808"/>
      <c r="O96" s="260">
        <f t="shared" si="17"/>
        <v>0</v>
      </c>
      <c r="P96" s="260">
        <f t="shared" si="18"/>
        <v>0</v>
      </c>
      <c r="Q96" s="260"/>
      <c r="R96" s="260"/>
      <c r="S96" s="1164"/>
    </row>
    <row r="97" spans="1:19" ht="26.4" outlineLevel="1">
      <c r="A97" s="317" t="s">
        <v>428</v>
      </c>
      <c r="B97" s="319" t="s">
        <v>930</v>
      </c>
      <c r="C97" s="273" t="s">
        <v>931</v>
      </c>
      <c r="D97" s="292" t="s">
        <v>821</v>
      </c>
      <c r="E97" s="279">
        <v>49.72</v>
      </c>
      <c r="F97" s="280">
        <v>6.29</v>
      </c>
      <c r="G97" s="281">
        <f t="shared" si="29"/>
        <v>312.74</v>
      </c>
      <c r="H97" s="282">
        <v>6.29</v>
      </c>
      <c r="I97" s="281">
        <f t="shared" si="30"/>
        <v>312.74</v>
      </c>
      <c r="J97" s="277">
        <f>VLOOKUP(A97,'12 - CORPO'!$A$1:$R$5122,18,FALSE)</f>
        <v>0</v>
      </c>
      <c r="K97" s="278">
        <f t="shared" si="31"/>
        <v>0</v>
      </c>
      <c r="L97" s="282">
        <f t="shared" si="32"/>
        <v>6.29</v>
      </c>
      <c r="M97" s="281">
        <f t="shared" si="33"/>
        <v>312.74</v>
      </c>
      <c r="N97" s="808"/>
      <c r="O97" s="260">
        <f t="shared" si="17"/>
        <v>0</v>
      </c>
      <c r="P97" s="260">
        <f t="shared" si="18"/>
        <v>0</v>
      </c>
      <c r="Q97" s="260"/>
      <c r="R97" s="260"/>
      <c r="S97" s="1164"/>
    </row>
    <row r="98" spans="1:19" ht="26.4" outlineLevel="1">
      <c r="A98" s="316" t="s">
        <v>429</v>
      </c>
      <c r="B98" s="318" t="s">
        <v>957</v>
      </c>
      <c r="C98" s="294" t="s">
        <v>958</v>
      </c>
      <c r="D98" s="292" t="s">
        <v>816</v>
      </c>
      <c r="E98" s="304">
        <v>333.95</v>
      </c>
      <c r="F98" s="305">
        <v>1</v>
      </c>
      <c r="G98" s="276">
        <f t="shared" si="29"/>
        <v>333.95</v>
      </c>
      <c r="H98" s="306">
        <v>1</v>
      </c>
      <c r="I98" s="281">
        <f t="shared" si="30"/>
        <v>333.95</v>
      </c>
      <c r="J98" s="297">
        <f>VLOOKUP(A98,'12 - CORPO'!$A$1:$R$5122,18,FALSE)</f>
        <v>0</v>
      </c>
      <c r="K98" s="307">
        <f t="shared" si="31"/>
        <v>0</v>
      </c>
      <c r="L98" s="306">
        <f t="shared" si="32"/>
        <v>1</v>
      </c>
      <c r="M98" s="281">
        <f t="shared" si="33"/>
        <v>333.95</v>
      </c>
      <c r="N98" s="808"/>
      <c r="O98" s="260">
        <f t="shared" si="17"/>
        <v>0</v>
      </c>
      <c r="P98" s="260">
        <f t="shared" si="18"/>
        <v>0</v>
      </c>
      <c r="Q98" s="260"/>
      <c r="R98" s="260"/>
      <c r="S98" s="1164"/>
    </row>
    <row r="99" spans="1:19" ht="26.4" outlineLevel="1">
      <c r="A99" s="293" t="s">
        <v>430</v>
      </c>
      <c r="B99" s="318" t="s">
        <v>959</v>
      </c>
      <c r="C99" s="294" t="s">
        <v>960</v>
      </c>
      <c r="D99" s="292" t="s">
        <v>816</v>
      </c>
      <c r="E99" s="304">
        <v>382.95</v>
      </c>
      <c r="F99" s="305">
        <v>1</v>
      </c>
      <c r="G99" s="281">
        <f t="shared" si="29"/>
        <v>382.95</v>
      </c>
      <c r="H99" s="306">
        <v>1</v>
      </c>
      <c r="I99" s="281">
        <f t="shared" si="30"/>
        <v>382.95</v>
      </c>
      <c r="J99" s="297">
        <f>VLOOKUP(A99,'12 - CORPO'!$A$1:$R$5122,18,FALSE)</f>
        <v>0</v>
      </c>
      <c r="K99" s="307">
        <f t="shared" si="31"/>
        <v>0</v>
      </c>
      <c r="L99" s="306">
        <f t="shared" si="32"/>
        <v>1</v>
      </c>
      <c r="M99" s="281">
        <f t="shared" si="33"/>
        <v>382.95</v>
      </c>
      <c r="N99" s="808"/>
      <c r="O99" s="260">
        <f t="shared" si="17"/>
        <v>0</v>
      </c>
      <c r="P99" s="260">
        <f t="shared" si="18"/>
        <v>0</v>
      </c>
      <c r="Q99" s="260"/>
      <c r="R99" s="260"/>
      <c r="S99" s="1164"/>
    </row>
    <row r="100" spans="1:19" ht="26.4" outlineLevel="1">
      <c r="A100" s="293" t="s">
        <v>431</v>
      </c>
      <c r="B100" s="318" t="s">
        <v>961</v>
      </c>
      <c r="C100" s="294" t="s">
        <v>962</v>
      </c>
      <c r="D100" s="292" t="s">
        <v>816</v>
      </c>
      <c r="E100" s="304">
        <v>102.4</v>
      </c>
      <c r="F100" s="305">
        <v>1</v>
      </c>
      <c r="G100" s="281">
        <f t="shared" si="29"/>
        <v>102.4</v>
      </c>
      <c r="H100" s="306">
        <v>1</v>
      </c>
      <c r="I100" s="281">
        <f t="shared" si="30"/>
        <v>102.4</v>
      </c>
      <c r="J100" s="297">
        <f>VLOOKUP(A100,'12 - CORPO'!$A$1:$R$5122,18,FALSE)</f>
        <v>0</v>
      </c>
      <c r="K100" s="307">
        <f t="shared" si="31"/>
        <v>0</v>
      </c>
      <c r="L100" s="306">
        <f t="shared" si="32"/>
        <v>1</v>
      </c>
      <c r="M100" s="281">
        <f t="shared" si="33"/>
        <v>102.4</v>
      </c>
      <c r="N100" s="808"/>
      <c r="O100" s="260">
        <f t="shared" si="17"/>
        <v>0</v>
      </c>
      <c r="P100" s="260">
        <f t="shared" si="18"/>
        <v>0</v>
      </c>
      <c r="Q100" s="260"/>
      <c r="R100" s="260"/>
      <c r="S100" s="1164"/>
    </row>
    <row r="101" spans="1:19" ht="26.4" outlineLevel="1">
      <c r="A101" s="317" t="s">
        <v>432</v>
      </c>
      <c r="B101" s="319" t="s">
        <v>952</v>
      </c>
      <c r="C101" s="273" t="s">
        <v>953</v>
      </c>
      <c r="D101" s="292" t="s">
        <v>821</v>
      </c>
      <c r="E101" s="279">
        <v>19.98</v>
      </c>
      <c r="F101" s="280">
        <v>7.92</v>
      </c>
      <c r="G101" s="281">
        <f t="shared" si="29"/>
        <v>158.24</v>
      </c>
      <c r="H101" s="282">
        <v>7.92</v>
      </c>
      <c r="I101" s="281">
        <f t="shared" si="30"/>
        <v>158.24</v>
      </c>
      <c r="J101" s="277">
        <f>VLOOKUP(A101,'12 - CORPO'!$A$1:$R$5122,18,FALSE)</f>
        <v>0</v>
      </c>
      <c r="K101" s="278">
        <f t="shared" si="31"/>
        <v>0</v>
      </c>
      <c r="L101" s="282">
        <f t="shared" si="32"/>
        <v>7.92</v>
      </c>
      <c r="M101" s="281">
        <f t="shared" si="33"/>
        <v>158.24</v>
      </c>
      <c r="N101" s="808"/>
      <c r="O101" s="260">
        <f t="shared" si="17"/>
        <v>0</v>
      </c>
      <c r="P101" s="260">
        <f t="shared" si="18"/>
        <v>0</v>
      </c>
      <c r="Q101" s="260"/>
      <c r="R101" s="260"/>
      <c r="S101" s="1164"/>
    </row>
    <row r="102" spans="1:19" ht="39.6" outlineLevel="1">
      <c r="A102" s="316" t="s">
        <v>433</v>
      </c>
      <c r="B102" s="318" t="s">
        <v>950</v>
      </c>
      <c r="C102" s="294" t="s">
        <v>951</v>
      </c>
      <c r="D102" s="292" t="s">
        <v>821</v>
      </c>
      <c r="E102" s="304">
        <v>36.89</v>
      </c>
      <c r="F102" s="305">
        <v>6.29</v>
      </c>
      <c r="G102" s="276">
        <f t="shared" si="29"/>
        <v>232.04</v>
      </c>
      <c r="H102" s="306">
        <v>6.29</v>
      </c>
      <c r="I102" s="281">
        <f t="shared" si="30"/>
        <v>232.04</v>
      </c>
      <c r="J102" s="297">
        <f>VLOOKUP(A102,'12 - CORPO'!$A$1:$R$5122,18,FALSE)</f>
        <v>0</v>
      </c>
      <c r="K102" s="307">
        <f t="shared" si="31"/>
        <v>0</v>
      </c>
      <c r="L102" s="306">
        <f t="shared" si="32"/>
        <v>6.29</v>
      </c>
      <c r="M102" s="281">
        <f t="shared" si="33"/>
        <v>232.04</v>
      </c>
      <c r="N102" s="808"/>
      <c r="O102" s="260">
        <f t="shared" si="17"/>
        <v>0</v>
      </c>
      <c r="P102" s="260">
        <f t="shared" si="18"/>
        <v>0</v>
      </c>
      <c r="Q102" s="260"/>
      <c r="R102" s="260"/>
      <c r="S102" s="1164"/>
    </row>
    <row r="103" spans="1:19" ht="52.8" outlineLevel="1">
      <c r="A103" s="661" t="s">
        <v>434</v>
      </c>
      <c r="B103" s="662" t="s">
        <v>954</v>
      </c>
      <c r="C103" s="663" t="s">
        <v>955</v>
      </c>
      <c r="D103" s="664" t="s">
        <v>821</v>
      </c>
      <c r="E103" s="665">
        <v>32.9</v>
      </c>
      <c r="F103" s="666">
        <v>17.510000000000002</v>
      </c>
      <c r="G103" s="667">
        <f t="shared" si="29"/>
        <v>576.08000000000004</v>
      </c>
      <c r="H103" s="668">
        <v>17.510000000000002</v>
      </c>
      <c r="I103" s="667">
        <f t="shared" si="30"/>
        <v>576.08000000000004</v>
      </c>
      <c r="J103" s="669">
        <f>VLOOKUP(A103,'12 - CORPO'!$A$1:$R$5122,18,FALSE)</f>
        <v>0</v>
      </c>
      <c r="K103" s="670">
        <f t="shared" si="31"/>
        <v>0</v>
      </c>
      <c r="L103" s="668">
        <f t="shared" si="32"/>
        <v>17.510000000000002</v>
      </c>
      <c r="M103" s="667">
        <f t="shared" si="33"/>
        <v>576.08000000000004</v>
      </c>
      <c r="N103" s="808"/>
      <c r="O103" s="260">
        <f t="shared" si="17"/>
        <v>0</v>
      </c>
      <c r="P103" s="260">
        <f t="shared" si="18"/>
        <v>0</v>
      </c>
      <c r="Q103" s="260"/>
      <c r="R103" s="260"/>
      <c r="S103" s="1164"/>
    </row>
    <row r="104" spans="1:19" ht="19.95" customHeight="1">
      <c r="A104" s="1320" t="s">
        <v>435</v>
      </c>
      <c r="B104" s="1447" t="s">
        <v>963</v>
      </c>
      <c r="C104" s="1447"/>
      <c r="D104" s="1322"/>
      <c r="E104" s="1322"/>
      <c r="F104" s="1322"/>
      <c r="G104" s="1323">
        <f>SUBTOTAL(9,G105:G111)</f>
        <v>2585.83</v>
      </c>
      <c r="H104" s="1322"/>
      <c r="I104" s="1323">
        <f>SUBTOTAL(9,I105:I111)</f>
        <v>2585.83</v>
      </c>
      <c r="J104" s="1322"/>
      <c r="K104" s="1323">
        <f>SUBTOTAL(9,K105:K111)</f>
        <v>0</v>
      </c>
      <c r="L104" s="1322"/>
      <c r="M104" s="1324">
        <f>SUBTOTAL(9,M105:M111)</f>
        <v>2585.83</v>
      </c>
      <c r="N104" s="811"/>
      <c r="O104" s="260">
        <f t="shared" si="17"/>
        <v>0</v>
      </c>
      <c r="P104" s="260">
        <f t="shared" si="18"/>
        <v>0</v>
      </c>
      <c r="Q104" s="262"/>
      <c r="R104" s="262"/>
      <c r="S104" s="1164"/>
    </row>
    <row r="105" spans="1:19" ht="59.25" customHeight="1" outlineLevel="1">
      <c r="A105" s="317" t="s">
        <v>436</v>
      </c>
      <c r="B105" s="319" t="s">
        <v>926</v>
      </c>
      <c r="C105" s="273" t="s">
        <v>927</v>
      </c>
      <c r="D105" s="292" t="s">
        <v>821</v>
      </c>
      <c r="E105" s="279">
        <v>59.04</v>
      </c>
      <c r="F105" s="280">
        <v>17.96</v>
      </c>
      <c r="G105" s="281">
        <f t="shared" ref="G105:G111" si="34">ROUND(F105*E105,2)</f>
        <v>1060.3599999999999</v>
      </c>
      <c r="H105" s="282">
        <v>17.96</v>
      </c>
      <c r="I105" s="281">
        <f t="shared" ref="I105:I111" si="35">ROUND((E105*H105),2)</f>
        <v>1060.3599999999999</v>
      </c>
      <c r="J105" s="277">
        <f>VLOOKUP(A105,'12 - CORPO'!$A$1:$R$5122,18,FALSE)</f>
        <v>0</v>
      </c>
      <c r="K105" s="278">
        <f t="shared" si="31"/>
        <v>0</v>
      </c>
      <c r="L105" s="282">
        <f t="shared" si="32"/>
        <v>17.96</v>
      </c>
      <c r="M105" s="281">
        <f t="shared" ref="M105:M111" si="36">ROUND((E105*L105),2)</f>
        <v>1060.3599999999999</v>
      </c>
      <c r="N105" s="808"/>
      <c r="O105" s="260">
        <f t="shared" si="17"/>
        <v>0</v>
      </c>
      <c r="P105" s="260">
        <f t="shared" si="18"/>
        <v>0</v>
      </c>
      <c r="Q105" s="260"/>
      <c r="R105" s="260"/>
      <c r="S105" s="1164"/>
    </row>
    <row r="106" spans="1:19" ht="26.4" outlineLevel="1">
      <c r="A106" s="316" t="s">
        <v>437</v>
      </c>
      <c r="B106" s="318" t="s">
        <v>919</v>
      </c>
      <c r="C106" s="294" t="s">
        <v>920</v>
      </c>
      <c r="D106" s="292" t="s">
        <v>821</v>
      </c>
      <c r="E106" s="304">
        <v>14.63</v>
      </c>
      <c r="F106" s="305">
        <v>8.1</v>
      </c>
      <c r="G106" s="276">
        <f t="shared" si="34"/>
        <v>118.5</v>
      </c>
      <c r="H106" s="306">
        <v>8.1</v>
      </c>
      <c r="I106" s="281">
        <f t="shared" si="35"/>
        <v>118.5</v>
      </c>
      <c r="J106" s="297">
        <f>VLOOKUP(A106,'12 - CORPO'!$A$1:$R$5122,18,FALSE)</f>
        <v>0</v>
      </c>
      <c r="K106" s="307">
        <f t="shared" si="31"/>
        <v>0</v>
      </c>
      <c r="L106" s="306">
        <f t="shared" si="32"/>
        <v>8.1</v>
      </c>
      <c r="M106" s="281">
        <f t="shared" si="36"/>
        <v>118.5</v>
      </c>
      <c r="N106" s="808"/>
      <c r="O106" s="260">
        <f t="shared" si="17"/>
        <v>0</v>
      </c>
      <c r="P106" s="260">
        <f t="shared" si="18"/>
        <v>0</v>
      </c>
      <c r="Q106" s="260"/>
      <c r="R106" s="260"/>
      <c r="S106" s="1164"/>
    </row>
    <row r="107" spans="1:19" outlineLevel="1">
      <c r="A107" s="293" t="s">
        <v>438</v>
      </c>
      <c r="B107" s="318" t="s">
        <v>928</v>
      </c>
      <c r="C107" s="294" t="s">
        <v>929</v>
      </c>
      <c r="D107" s="292" t="s">
        <v>821</v>
      </c>
      <c r="E107" s="304">
        <v>16.670000000000002</v>
      </c>
      <c r="F107" s="305">
        <v>5.0599999999999996</v>
      </c>
      <c r="G107" s="281">
        <f t="shared" si="34"/>
        <v>84.35</v>
      </c>
      <c r="H107" s="306">
        <v>5.0599999999999996</v>
      </c>
      <c r="I107" s="281">
        <f t="shared" si="35"/>
        <v>84.35</v>
      </c>
      <c r="J107" s="297">
        <f>VLOOKUP(A107,'12 - CORPO'!$A$1:$R$5122,18,FALSE)</f>
        <v>0</v>
      </c>
      <c r="K107" s="307">
        <f t="shared" si="31"/>
        <v>0</v>
      </c>
      <c r="L107" s="306">
        <f t="shared" si="32"/>
        <v>5.0599999999999996</v>
      </c>
      <c r="M107" s="281">
        <f t="shared" si="36"/>
        <v>84.35</v>
      </c>
      <c r="N107" s="808"/>
      <c r="O107" s="260">
        <f t="shared" si="17"/>
        <v>0</v>
      </c>
      <c r="P107" s="260">
        <f t="shared" si="18"/>
        <v>0</v>
      </c>
      <c r="Q107" s="260"/>
      <c r="R107" s="260"/>
      <c r="S107" s="1164"/>
    </row>
    <row r="108" spans="1:19" ht="26.4" outlineLevel="1">
      <c r="A108" s="293" t="s">
        <v>439</v>
      </c>
      <c r="B108" s="318" t="s">
        <v>930</v>
      </c>
      <c r="C108" s="294" t="s">
        <v>931</v>
      </c>
      <c r="D108" s="292" t="s">
        <v>821</v>
      </c>
      <c r="E108" s="304">
        <v>49.72</v>
      </c>
      <c r="F108" s="305">
        <v>6.58</v>
      </c>
      <c r="G108" s="281">
        <f t="shared" si="34"/>
        <v>327.16000000000003</v>
      </c>
      <c r="H108" s="306">
        <v>6.58</v>
      </c>
      <c r="I108" s="281">
        <f t="shared" si="35"/>
        <v>327.16000000000003</v>
      </c>
      <c r="J108" s="297">
        <f>VLOOKUP(A108,'12 - CORPO'!$A$1:$R$5122,18,FALSE)</f>
        <v>0</v>
      </c>
      <c r="K108" s="307">
        <f t="shared" si="31"/>
        <v>0</v>
      </c>
      <c r="L108" s="306">
        <f t="shared" si="32"/>
        <v>6.58</v>
      </c>
      <c r="M108" s="281">
        <f t="shared" si="36"/>
        <v>327.16000000000003</v>
      </c>
      <c r="N108" s="808"/>
      <c r="O108" s="260">
        <f t="shared" si="17"/>
        <v>0</v>
      </c>
      <c r="P108" s="260">
        <f t="shared" si="18"/>
        <v>0</v>
      </c>
      <c r="Q108" s="260"/>
      <c r="R108" s="260"/>
      <c r="S108" s="1164"/>
    </row>
    <row r="109" spans="1:19" ht="39.6" outlineLevel="1">
      <c r="A109" s="317" t="s">
        <v>440</v>
      </c>
      <c r="B109" s="319" t="s">
        <v>950</v>
      </c>
      <c r="C109" s="273" t="s">
        <v>951</v>
      </c>
      <c r="D109" s="292" t="s">
        <v>821</v>
      </c>
      <c r="E109" s="279">
        <v>36.89</v>
      </c>
      <c r="F109" s="280">
        <v>6.58</v>
      </c>
      <c r="G109" s="281">
        <f t="shared" si="34"/>
        <v>242.74</v>
      </c>
      <c r="H109" s="282">
        <v>6.58</v>
      </c>
      <c r="I109" s="281">
        <f t="shared" si="35"/>
        <v>242.74</v>
      </c>
      <c r="J109" s="277">
        <f>VLOOKUP(A109,'12 - CORPO'!$A$1:$R$5122,18,FALSE)</f>
        <v>0</v>
      </c>
      <c r="K109" s="278">
        <f t="shared" si="31"/>
        <v>0</v>
      </c>
      <c r="L109" s="282">
        <f t="shared" si="32"/>
        <v>6.58</v>
      </c>
      <c r="M109" s="281">
        <f t="shared" si="36"/>
        <v>242.74</v>
      </c>
      <c r="N109" s="808"/>
      <c r="O109" s="260">
        <f t="shared" si="17"/>
        <v>0</v>
      </c>
      <c r="P109" s="260">
        <f t="shared" si="18"/>
        <v>0</v>
      </c>
      <c r="Q109" s="260"/>
      <c r="R109" s="260"/>
      <c r="S109" s="1164"/>
    </row>
    <row r="110" spans="1:19" ht="26.4" outlineLevel="1">
      <c r="A110" s="316" t="s">
        <v>441</v>
      </c>
      <c r="B110" s="318" t="s">
        <v>952</v>
      </c>
      <c r="C110" s="294" t="s">
        <v>953</v>
      </c>
      <c r="D110" s="292" t="s">
        <v>821</v>
      </c>
      <c r="E110" s="304">
        <v>19.98</v>
      </c>
      <c r="F110" s="305">
        <v>8.1</v>
      </c>
      <c r="G110" s="276">
        <f t="shared" si="34"/>
        <v>161.84</v>
      </c>
      <c r="H110" s="306">
        <v>8.1</v>
      </c>
      <c r="I110" s="281">
        <f t="shared" si="35"/>
        <v>161.84</v>
      </c>
      <c r="J110" s="297">
        <f>VLOOKUP(A110,'12 - CORPO'!$A$1:$R$5122,18,FALSE)</f>
        <v>0</v>
      </c>
      <c r="K110" s="307">
        <f t="shared" si="31"/>
        <v>0</v>
      </c>
      <c r="L110" s="306">
        <f t="shared" si="32"/>
        <v>8.1</v>
      </c>
      <c r="M110" s="281">
        <f t="shared" si="36"/>
        <v>161.84</v>
      </c>
      <c r="N110" s="808"/>
      <c r="O110" s="260">
        <f t="shared" si="17"/>
        <v>0</v>
      </c>
      <c r="P110" s="260">
        <f t="shared" si="18"/>
        <v>0</v>
      </c>
      <c r="Q110" s="260"/>
      <c r="R110" s="260"/>
      <c r="S110" s="1164"/>
    </row>
    <row r="111" spans="1:19" ht="52.8" outlineLevel="1">
      <c r="A111" s="293" t="s">
        <v>442</v>
      </c>
      <c r="B111" s="318" t="s">
        <v>954</v>
      </c>
      <c r="C111" s="294" t="s">
        <v>955</v>
      </c>
      <c r="D111" s="292" t="s">
        <v>821</v>
      </c>
      <c r="E111" s="304">
        <v>32.9</v>
      </c>
      <c r="F111" s="305">
        <v>17.96</v>
      </c>
      <c r="G111" s="281">
        <f t="shared" si="34"/>
        <v>590.88</v>
      </c>
      <c r="H111" s="306">
        <v>17.96</v>
      </c>
      <c r="I111" s="281">
        <f t="shared" si="35"/>
        <v>590.88</v>
      </c>
      <c r="J111" s="297">
        <f>VLOOKUP(A111,'12 - CORPO'!$A$1:$R$5122,18,FALSE)</f>
        <v>0</v>
      </c>
      <c r="K111" s="307">
        <f t="shared" si="31"/>
        <v>0</v>
      </c>
      <c r="L111" s="306">
        <f t="shared" si="32"/>
        <v>17.96</v>
      </c>
      <c r="M111" s="281">
        <f t="shared" si="36"/>
        <v>590.88</v>
      </c>
      <c r="N111" s="808"/>
      <c r="O111" s="260">
        <f t="shared" si="17"/>
        <v>0</v>
      </c>
      <c r="P111" s="260">
        <f t="shared" si="18"/>
        <v>0</v>
      </c>
      <c r="Q111" s="260"/>
      <c r="R111" s="260"/>
      <c r="S111" s="1164"/>
    </row>
    <row r="112" spans="1:19" ht="19.95" customHeight="1">
      <c r="A112" s="1320" t="s">
        <v>443</v>
      </c>
      <c r="B112" s="1321" t="s">
        <v>964</v>
      </c>
      <c r="C112" s="1322" t="s">
        <v>150</v>
      </c>
      <c r="D112" s="1322"/>
      <c r="E112" s="1322"/>
      <c r="F112" s="1322"/>
      <c r="G112" s="1323">
        <f>SUBTOTAL(9,G113:G114)</f>
        <v>13824.17</v>
      </c>
      <c r="H112" s="1322"/>
      <c r="I112" s="1323">
        <f>SUBTOTAL(9,I113:I114)</f>
        <v>13824.17</v>
      </c>
      <c r="J112" s="1322"/>
      <c r="K112" s="1323">
        <f>SUBTOTAL(9,K113:K114)</f>
        <v>0</v>
      </c>
      <c r="L112" s="1322"/>
      <c r="M112" s="1324">
        <f>SUBTOTAL(9,M113:M114)</f>
        <v>13824.17</v>
      </c>
      <c r="N112" s="811"/>
      <c r="O112" s="260">
        <f t="shared" si="17"/>
        <v>0</v>
      </c>
      <c r="P112" s="260">
        <f t="shared" si="18"/>
        <v>0</v>
      </c>
      <c r="Q112" s="262"/>
      <c r="R112" s="262"/>
      <c r="S112" s="1164"/>
    </row>
    <row r="113" spans="1:19" ht="39.6" outlineLevel="1">
      <c r="A113" s="316" t="s">
        <v>444</v>
      </c>
      <c r="B113" s="318" t="s">
        <v>965</v>
      </c>
      <c r="C113" s="294" t="s">
        <v>966</v>
      </c>
      <c r="D113" s="292" t="s">
        <v>821</v>
      </c>
      <c r="E113" s="304">
        <v>172.72</v>
      </c>
      <c r="F113" s="305">
        <v>43.74</v>
      </c>
      <c r="G113" s="276">
        <f t="shared" ref="G113:G122" si="37">ROUND(F113*E113,2)</f>
        <v>7554.77</v>
      </c>
      <c r="H113" s="306">
        <v>43.74</v>
      </c>
      <c r="I113" s="281">
        <f t="shared" ref="I113:I122" si="38">ROUND((E113*H113),2)</f>
        <v>7554.77</v>
      </c>
      <c r="J113" s="297">
        <f>VLOOKUP(A113,'12 - CORPO'!$A$1:$R$5122,18,FALSE)</f>
        <v>0</v>
      </c>
      <c r="K113" s="307">
        <f t="shared" si="31"/>
        <v>0</v>
      </c>
      <c r="L113" s="306">
        <f t="shared" si="32"/>
        <v>43.74</v>
      </c>
      <c r="M113" s="281">
        <f t="shared" ref="M113:M122" si="39">ROUND((E113*L113),2)</f>
        <v>7554.77</v>
      </c>
      <c r="N113" s="808"/>
      <c r="O113" s="260">
        <f t="shared" si="17"/>
        <v>0</v>
      </c>
      <c r="P113" s="260">
        <f t="shared" si="18"/>
        <v>0</v>
      </c>
      <c r="Q113" s="260"/>
      <c r="R113" s="260"/>
      <c r="S113" s="1164"/>
    </row>
    <row r="114" spans="1:19" outlineLevel="1">
      <c r="A114" s="293" t="s">
        <v>445</v>
      </c>
      <c r="B114" s="318" t="s">
        <v>967</v>
      </c>
      <c r="C114" s="294" t="s">
        <v>968</v>
      </c>
      <c r="D114" s="292" t="s">
        <v>821</v>
      </c>
      <c r="E114" s="304">
        <v>580.5</v>
      </c>
      <c r="F114" s="305">
        <v>10.8</v>
      </c>
      <c r="G114" s="281">
        <f t="shared" si="37"/>
        <v>6269.4</v>
      </c>
      <c r="H114" s="306">
        <v>10.8</v>
      </c>
      <c r="I114" s="281">
        <f t="shared" si="38"/>
        <v>6269.4</v>
      </c>
      <c r="J114" s="297">
        <f>VLOOKUP(A114,'12 - CORPO'!$A$1:$R$5122,18,FALSE)</f>
        <v>0</v>
      </c>
      <c r="K114" s="307">
        <f t="shared" si="31"/>
        <v>0</v>
      </c>
      <c r="L114" s="306">
        <f t="shared" si="32"/>
        <v>10.8</v>
      </c>
      <c r="M114" s="281">
        <f t="shared" si="39"/>
        <v>6269.4</v>
      </c>
      <c r="N114" s="808"/>
      <c r="O114" s="260">
        <f t="shared" si="17"/>
        <v>0</v>
      </c>
      <c r="P114" s="260">
        <f t="shared" si="18"/>
        <v>0</v>
      </c>
      <c r="Q114" s="260"/>
      <c r="R114" s="260"/>
      <c r="S114" s="1164"/>
    </row>
    <row r="115" spans="1:19" ht="19.95" customHeight="1">
      <c r="A115" s="1320" t="s">
        <v>446</v>
      </c>
      <c r="B115" s="1321" t="s">
        <v>969</v>
      </c>
      <c r="C115" s="1322" t="s">
        <v>150</v>
      </c>
      <c r="D115" s="1322"/>
      <c r="E115" s="1322"/>
      <c r="F115" s="1322"/>
      <c r="G115" s="1323">
        <f>SUBTOTAL(9,G116:G124)</f>
        <v>16968.98</v>
      </c>
      <c r="H115" s="1322"/>
      <c r="I115" s="1323">
        <f>SUBTOTAL(9,I116:I124)</f>
        <v>16968.98</v>
      </c>
      <c r="J115" s="1322"/>
      <c r="K115" s="1323">
        <f>SUBTOTAL(9,K116:K124)</f>
        <v>0</v>
      </c>
      <c r="L115" s="1322"/>
      <c r="M115" s="1324">
        <f>SUBTOTAL(9,M116:M124)</f>
        <v>16968.98</v>
      </c>
      <c r="N115" s="811"/>
      <c r="O115" s="260">
        <f t="shared" si="17"/>
        <v>0</v>
      </c>
      <c r="P115" s="260">
        <f t="shared" si="18"/>
        <v>0</v>
      </c>
      <c r="Q115" s="262"/>
      <c r="R115" s="262"/>
      <c r="S115" s="1164"/>
    </row>
    <row r="116" spans="1:19" ht="39.6" outlineLevel="1">
      <c r="A116" s="293" t="s">
        <v>447</v>
      </c>
      <c r="B116" s="318" t="s">
        <v>970</v>
      </c>
      <c r="C116" s="294" t="s">
        <v>971</v>
      </c>
      <c r="D116" s="292" t="s">
        <v>821</v>
      </c>
      <c r="E116" s="304">
        <v>67.61</v>
      </c>
      <c r="F116" s="305">
        <v>9</v>
      </c>
      <c r="G116" s="281">
        <f t="shared" si="37"/>
        <v>608.49</v>
      </c>
      <c r="H116" s="306">
        <v>9</v>
      </c>
      <c r="I116" s="281">
        <f t="shared" si="38"/>
        <v>608.49</v>
      </c>
      <c r="J116" s="297">
        <f>VLOOKUP(A116,'12 - CORPO'!$A$1:$R$5122,18,FALSE)</f>
        <v>0</v>
      </c>
      <c r="K116" s="307">
        <f t="shared" si="31"/>
        <v>0</v>
      </c>
      <c r="L116" s="306">
        <f t="shared" si="32"/>
        <v>9</v>
      </c>
      <c r="M116" s="281">
        <f t="shared" si="39"/>
        <v>608.49</v>
      </c>
      <c r="N116" s="808"/>
      <c r="O116" s="260">
        <f t="shared" si="17"/>
        <v>0</v>
      </c>
      <c r="P116" s="260">
        <f t="shared" si="18"/>
        <v>0</v>
      </c>
      <c r="Q116" s="260"/>
      <c r="R116" s="260"/>
      <c r="S116" s="1164"/>
    </row>
    <row r="117" spans="1:19" ht="63.75" customHeight="1" outlineLevel="1">
      <c r="A117" s="317" t="s">
        <v>448</v>
      </c>
      <c r="B117" s="319" t="s">
        <v>926</v>
      </c>
      <c r="C117" s="273" t="s">
        <v>927</v>
      </c>
      <c r="D117" s="292" t="s">
        <v>821</v>
      </c>
      <c r="E117" s="279">
        <v>59.04</v>
      </c>
      <c r="F117" s="280">
        <v>19.8</v>
      </c>
      <c r="G117" s="281">
        <f t="shared" si="37"/>
        <v>1168.99</v>
      </c>
      <c r="H117" s="282">
        <v>19.8</v>
      </c>
      <c r="I117" s="281">
        <f t="shared" si="38"/>
        <v>1168.99</v>
      </c>
      <c r="J117" s="277">
        <f>VLOOKUP(A117,'12 - CORPO'!$A$1:$R$5122,18,FALSE)</f>
        <v>0</v>
      </c>
      <c r="K117" s="278">
        <f t="shared" si="31"/>
        <v>0</v>
      </c>
      <c r="L117" s="282">
        <f t="shared" si="32"/>
        <v>19.8</v>
      </c>
      <c r="M117" s="281">
        <f t="shared" si="39"/>
        <v>1168.99</v>
      </c>
      <c r="N117" s="808"/>
      <c r="O117" s="260">
        <f t="shared" si="17"/>
        <v>0</v>
      </c>
      <c r="P117" s="260">
        <f t="shared" si="18"/>
        <v>0</v>
      </c>
      <c r="Q117" s="260"/>
      <c r="R117" s="260"/>
      <c r="S117" s="1164"/>
    </row>
    <row r="118" spans="1:19" ht="26.4" outlineLevel="1">
      <c r="A118" s="316" t="s">
        <v>449</v>
      </c>
      <c r="B118" s="318" t="s">
        <v>930</v>
      </c>
      <c r="C118" s="294" t="s">
        <v>931</v>
      </c>
      <c r="D118" s="292" t="s">
        <v>821</v>
      </c>
      <c r="E118" s="304">
        <v>49.72</v>
      </c>
      <c r="F118" s="305">
        <v>15.14</v>
      </c>
      <c r="G118" s="276">
        <f t="shared" si="37"/>
        <v>752.76</v>
      </c>
      <c r="H118" s="306">
        <v>15.14</v>
      </c>
      <c r="I118" s="281">
        <f t="shared" si="38"/>
        <v>752.76</v>
      </c>
      <c r="J118" s="297">
        <f>VLOOKUP(A118,'12 - CORPO'!$A$1:$R$5122,18,FALSE)</f>
        <v>0</v>
      </c>
      <c r="K118" s="307">
        <f t="shared" si="31"/>
        <v>0</v>
      </c>
      <c r="L118" s="306">
        <f t="shared" si="32"/>
        <v>15.14</v>
      </c>
      <c r="M118" s="281">
        <f t="shared" si="39"/>
        <v>752.76</v>
      </c>
      <c r="N118" s="808"/>
      <c r="O118" s="260">
        <f t="shared" si="17"/>
        <v>0</v>
      </c>
      <c r="P118" s="260">
        <f t="shared" si="17"/>
        <v>0</v>
      </c>
      <c r="Q118" s="260"/>
      <c r="R118" s="260"/>
      <c r="S118" s="1164"/>
    </row>
    <row r="119" spans="1:19" ht="26.4" outlineLevel="1">
      <c r="A119" s="293" t="s">
        <v>450</v>
      </c>
      <c r="B119" s="318" t="s">
        <v>972</v>
      </c>
      <c r="C119" s="294" t="s">
        <v>973</v>
      </c>
      <c r="D119" s="292" t="s">
        <v>821</v>
      </c>
      <c r="E119" s="304">
        <v>95.57</v>
      </c>
      <c r="F119" s="305">
        <v>22.76</v>
      </c>
      <c r="G119" s="281">
        <f t="shared" si="37"/>
        <v>2175.17</v>
      </c>
      <c r="H119" s="306">
        <v>22.76</v>
      </c>
      <c r="I119" s="281">
        <f t="shared" si="38"/>
        <v>2175.17</v>
      </c>
      <c r="J119" s="297">
        <f>VLOOKUP(A119,'12 - CORPO'!$A$1:$R$5122,18,FALSE)</f>
        <v>0</v>
      </c>
      <c r="K119" s="307">
        <f t="shared" si="31"/>
        <v>0</v>
      </c>
      <c r="L119" s="306">
        <f t="shared" si="32"/>
        <v>22.76</v>
      </c>
      <c r="M119" s="281">
        <f t="shared" si="39"/>
        <v>2175.17</v>
      </c>
      <c r="N119" s="808"/>
      <c r="O119" s="260">
        <f t="shared" si="17"/>
        <v>0</v>
      </c>
      <c r="P119" s="260">
        <f t="shared" si="17"/>
        <v>0</v>
      </c>
      <c r="Q119" s="260"/>
      <c r="R119" s="260"/>
      <c r="S119" s="1164"/>
    </row>
    <row r="120" spans="1:19" ht="39.6" outlineLevel="1">
      <c r="A120" s="293" t="s">
        <v>451</v>
      </c>
      <c r="B120" s="318" t="s">
        <v>974</v>
      </c>
      <c r="C120" s="294" t="s">
        <v>975</v>
      </c>
      <c r="D120" s="292" t="s">
        <v>821</v>
      </c>
      <c r="E120" s="304">
        <v>42.39</v>
      </c>
      <c r="F120" s="305">
        <v>22.76</v>
      </c>
      <c r="G120" s="281">
        <f t="shared" si="37"/>
        <v>964.8</v>
      </c>
      <c r="H120" s="306">
        <v>22.76</v>
      </c>
      <c r="I120" s="281">
        <f t="shared" si="38"/>
        <v>964.8</v>
      </c>
      <c r="J120" s="297">
        <f>VLOOKUP(A120,'12 - CORPO'!$A$1:$R$5122,18,FALSE)</f>
        <v>0</v>
      </c>
      <c r="K120" s="307">
        <f t="shared" si="31"/>
        <v>0</v>
      </c>
      <c r="L120" s="306">
        <f t="shared" si="32"/>
        <v>22.76</v>
      </c>
      <c r="M120" s="281">
        <f t="shared" si="39"/>
        <v>964.8</v>
      </c>
      <c r="N120" s="808"/>
      <c r="O120" s="260">
        <f t="shared" ref="O120:P183" si="40">F120-L120</f>
        <v>0</v>
      </c>
      <c r="P120" s="260">
        <f t="shared" si="40"/>
        <v>0</v>
      </c>
      <c r="Q120" s="260"/>
      <c r="R120" s="260"/>
      <c r="S120" s="1164"/>
    </row>
    <row r="121" spans="1:19" ht="39.6" outlineLevel="1">
      <c r="A121" s="617" t="s">
        <v>452</v>
      </c>
      <c r="B121" s="594" t="s">
        <v>976</v>
      </c>
      <c r="C121" s="284" t="s">
        <v>977</v>
      </c>
      <c r="D121" s="285" t="s">
        <v>821</v>
      </c>
      <c r="E121" s="618">
        <v>312.54000000000002</v>
      </c>
      <c r="F121" s="619">
        <v>22.26</v>
      </c>
      <c r="G121" s="620">
        <f t="shared" si="37"/>
        <v>6957.14</v>
      </c>
      <c r="H121" s="621">
        <v>22.26</v>
      </c>
      <c r="I121" s="620">
        <f t="shared" si="38"/>
        <v>6957.14</v>
      </c>
      <c r="J121" s="289">
        <f>VLOOKUP(A121,'12 - CORPO'!$A$1:$R$5122,18,FALSE)</f>
        <v>0</v>
      </c>
      <c r="K121" s="290">
        <f t="shared" si="31"/>
        <v>0</v>
      </c>
      <c r="L121" s="621">
        <f t="shared" si="32"/>
        <v>22.26</v>
      </c>
      <c r="M121" s="620">
        <f t="shared" si="39"/>
        <v>6957.14</v>
      </c>
      <c r="N121" s="808"/>
      <c r="O121" s="260">
        <f t="shared" si="40"/>
        <v>0</v>
      </c>
      <c r="P121" s="260">
        <f t="shared" si="40"/>
        <v>0</v>
      </c>
      <c r="Q121" s="260"/>
      <c r="R121" s="260"/>
      <c r="S121" s="1164"/>
    </row>
    <row r="122" spans="1:19" ht="26.4" outlineLevel="1">
      <c r="A122" s="316" t="s">
        <v>453</v>
      </c>
      <c r="B122" s="318" t="s">
        <v>978</v>
      </c>
      <c r="C122" s="294" t="s">
        <v>979</v>
      </c>
      <c r="D122" s="292" t="s">
        <v>821</v>
      </c>
      <c r="E122" s="304">
        <v>140.24</v>
      </c>
      <c r="F122" s="305">
        <v>22.26</v>
      </c>
      <c r="G122" s="276">
        <f t="shared" si="37"/>
        <v>3121.74</v>
      </c>
      <c r="H122" s="306">
        <v>22.26</v>
      </c>
      <c r="I122" s="281">
        <f t="shared" si="38"/>
        <v>3121.74</v>
      </c>
      <c r="J122" s="297">
        <f>VLOOKUP(A122,'12 - CORPO'!$A$1:$R$5122,18,FALSE)</f>
        <v>0</v>
      </c>
      <c r="K122" s="307">
        <f>M122-I122</f>
        <v>0</v>
      </c>
      <c r="L122" s="306">
        <f>(H122+J122)</f>
        <v>22.26</v>
      </c>
      <c r="M122" s="281">
        <f t="shared" si="39"/>
        <v>3121.74</v>
      </c>
      <c r="N122" s="808"/>
      <c r="O122" s="260">
        <f t="shared" si="40"/>
        <v>0</v>
      </c>
      <c r="P122" s="260">
        <f t="shared" si="40"/>
        <v>0</v>
      </c>
      <c r="Q122" s="260"/>
      <c r="R122" s="260"/>
      <c r="S122" s="1164"/>
    </row>
    <row r="123" spans="1:19" ht="39.6" outlineLevel="1">
      <c r="A123" s="293" t="s">
        <v>454</v>
      </c>
      <c r="B123" s="318" t="s">
        <v>950</v>
      </c>
      <c r="C123" s="294" t="s">
        <v>951</v>
      </c>
      <c r="D123" s="292" t="s">
        <v>821</v>
      </c>
      <c r="E123" s="304">
        <v>36.89</v>
      </c>
      <c r="F123" s="305">
        <v>15.41</v>
      </c>
      <c r="G123" s="281">
        <f>ROUND(F123*E123,2)</f>
        <v>568.47</v>
      </c>
      <c r="H123" s="306">
        <v>15.41</v>
      </c>
      <c r="I123" s="281">
        <f>ROUND((E123*H123),2)</f>
        <v>568.47</v>
      </c>
      <c r="J123" s="297">
        <f>VLOOKUP(A123,'12 - CORPO'!$A$1:$R$5122,18,FALSE)</f>
        <v>0</v>
      </c>
      <c r="K123" s="307">
        <f>M123-I123</f>
        <v>0</v>
      </c>
      <c r="L123" s="306">
        <f>(H123+J123)</f>
        <v>15.41</v>
      </c>
      <c r="M123" s="281">
        <f>ROUND((E123*L123),2)</f>
        <v>568.47</v>
      </c>
      <c r="N123" s="808"/>
      <c r="O123" s="260">
        <f t="shared" si="40"/>
        <v>0</v>
      </c>
      <c r="P123" s="260">
        <f t="shared" si="40"/>
        <v>0</v>
      </c>
      <c r="Q123" s="260"/>
      <c r="R123" s="260"/>
      <c r="S123" s="1164"/>
    </row>
    <row r="124" spans="1:19" ht="52.8" outlineLevel="1">
      <c r="A124" s="681" t="s">
        <v>455</v>
      </c>
      <c r="B124" s="682" t="s">
        <v>954</v>
      </c>
      <c r="C124" s="683" t="s">
        <v>955</v>
      </c>
      <c r="D124" s="664" t="s">
        <v>821</v>
      </c>
      <c r="E124" s="684">
        <v>32.9</v>
      </c>
      <c r="F124" s="685">
        <v>19.8</v>
      </c>
      <c r="G124" s="667">
        <f>ROUND(F124*E124,2)</f>
        <v>651.41999999999996</v>
      </c>
      <c r="H124" s="686">
        <v>19.8</v>
      </c>
      <c r="I124" s="667">
        <f>ROUND((E124*H124),2)</f>
        <v>651.41999999999996</v>
      </c>
      <c r="J124" s="687">
        <f>VLOOKUP(A124,'12 - CORPO'!$A$1:$R$5122,18,FALSE)</f>
        <v>0</v>
      </c>
      <c r="K124" s="688">
        <f>M124-I124</f>
        <v>0</v>
      </c>
      <c r="L124" s="686">
        <f>(H124+J124)</f>
        <v>19.8</v>
      </c>
      <c r="M124" s="667">
        <f>ROUND((E124*L124),2)</f>
        <v>651.41999999999996</v>
      </c>
      <c r="N124" s="808"/>
      <c r="O124" s="260">
        <f t="shared" si="40"/>
        <v>0</v>
      </c>
      <c r="P124" s="260">
        <f t="shared" si="40"/>
        <v>0</v>
      </c>
      <c r="Q124" s="260"/>
      <c r="R124" s="260"/>
      <c r="S124" s="1164"/>
    </row>
    <row r="125" spans="1:19" ht="19.95" customHeight="1">
      <c r="A125" s="1320" t="s">
        <v>456</v>
      </c>
      <c r="B125" s="1321" t="s">
        <v>980</v>
      </c>
      <c r="C125" s="1322" t="s">
        <v>150</v>
      </c>
      <c r="D125" s="1322"/>
      <c r="E125" s="1322"/>
      <c r="F125" s="1322"/>
      <c r="G125" s="1323">
        <f>SUBTOTAL(9,G126:G136)</f>
        <v>9580.17</v>
      </c>
      <c r="H125" s="1322"/>
      <c r="I125" s="1323">
        <f>SUBTOTAL(9,I126:I136)</f>
        <v>9580.17</v>
      </c>
      <c r="J125" s="1322"/>
      <c r="K125" s="1323">
        <f>SUBTOTAL(9,K126:K136)</f>
        <v>0</v>
      </c>
      <c r="L125" s="1322"/>
      <c r="M125" s="1324">
        <f>SUBTOTAL(9,M126:M136)</f>
        <v>9580.17</v>
      </c>
      <c r="N125" s="811"/>
      <c r="O125" s="260">
        <f t="shared" si="40"/>
        <v>0</v>
      </c>
      <c r="P125" s="260">
        <f t="shared" si="40"/>
        <v>0</v>
      </c>
      <c r="Q125" s="262"/>
      <c r="R125" s="262"/>
      <c r="S125" s="1164"/>
    </row>
    <row r="126" spans="1:19" ht="39.6" outlineLevel="1">
      <c r="A126" s="293" t="s">
        <v>457</v>
      </c>
      <c r="B126" s="318" t="s">
        <v>970</v>
      </c>
      <c r="C126" s="294" t="s">
        <v>971</v>
      </c>
      <c r="D126" s="292" t="s">
        <v>821</v>
      </c>
      <c r="E126" s="304">
        <v>67.61</v>
      </c>
      <c r="F126" s="305">
        <v>29.86</v>
      </c>
      <c r="G126" s="281">
        <f t="shared" ref="G126:G136" si="41">ROUND(F126*E126,2)</f>
        <v>2018.83</v>
      </c>
      <c r="H126" s="306">
        <v>29.86</v>
      </c>
      <c r="I126" s="281">
        <f t="shared" ref="I126:I136" si="42">ROUND((E126*H126),2)</f>
        <v>2018.83</v>
      </c>
      <c r="J126" s="297">
        <f>VLOOKUP(A126,'12 - CORPO'!$A$1:$R$5122,18,FALSE)</f>
        <v>0</v>
      </c>
      <c r="K126" s="307">
        <f t="shared" ref="K126:K173" si="43">M126-I126</f>
        <v>0</v>
      </c>
      <c r="L126" s="306">
        <f t="shared" ref="L126:L173" si="44">(H126+J126)</f>
        <v>29.86</v>
      </c>
      <c r="M126" s="281">
        <f t="shared" ref="M126:M136" si="45">ROUND((E126*L126),2)</f>
        <v>2018.83</v>
      </c>
      <c r="N126" s="808"/>
      <c r="O126" s="260">
        <f t="shared" si="40"/>
        <v>0</v>
      </c>
      <c r="P126" s="260">
        <f t="shared" si="40"/>
        <v>0</v>
      </c>
      <c r="Q126" s="260"/>
      <c r="R126" s="260"/>
      <c r="S126" s="1164"/>
    </row>
    <row r="127" spans="1:19" ht="26.4" outlineLevel="1">
      <c r="A127" s="293" t="s">
        <v>458</v>
      </c>
      <c r="B127" s="318" t="s">
        <v>898</v>
      </c>
      <c r="C127" s="294" t="s">
        <v>899</v>
      </c>
      <c r="D127" s="292" t="s">
        <v>821</v>
      </c>
      <c r="E127" s="304">
        <v>485</v>
      </c>
      <c r="F127" s="305">
        <v>3.15</v>
      </c>
      <c r="G127" s="281">
        <f t="shared" si="41"/>
        <v>1527.75</v>
      </c>
      <c r="H127" s="306">
        <v>3.15</v>
      </c>
      <c r="I127" s="281">
        <f t="shared" si="42"/>
        <v>1527.75</v>
      </c>
      <c r="J127" s="297">
        <f>VLOOKUP(A127,'12 - CORPO'!$A$1:$R$5122,18,FALSE)</f>
        <v>0</v>
      </c>
      <c r="K127" s="307">
        <f t="shared" si="43"/>
        <v>0</v>
      </c>
      <c r="L127" s="306">
        <f t="shared" si="44"/>
        <v>3.15</v>
      </c>
      <c r="M127" s="281">
        <f t="shared" si="45"/>
        <v>1527.75</v>
      </c>
      <c r="N127" s="808"/>
      <c r="O127" s="260">
        <f t="shared" si="40"/>
        <v>0</v>
      </c>
      <c r="P127" s="260">
        <f t="shared" si="40"/>
        <v>0</v>
      </c>
      <c r="Q127" s="260"/>
      <c r="R127" s="260"/>
      <c r="S127" s="1164"/>
    </row>
    <row r="128" spans="1:19" ht="19.95" customHeight="1" outlineLevel="1">
      <c r="A128" s="317" t="s">
        <v>459</v>
      </c>
      <c r="B128" s="319" t="s">
        <v>900</v>
      </c>
      <c r="C128" s="273" t="s">
        <v>901</v>
      </c>
      <c r="D128" s="292" t="s">
        <v>809</v>
      </c>
      <c r="E128" s="279">
        <v>54.68</v>
      </c>
      <c r="F128" s="280">
        <v>1.5</v>
      </c>
      <c r="G128" s="281">
        <f t="shared" si="41"/>
        <v>82.02</v>
      </c>
      <c r="H128" s="282">
        <v>1.5</v>
      </c>
      <c r="I128" s="281">
        <f t="shared" si="42"/>
        <v>82.02</v>
      </c>
      <c r="J128" s="277">
        <f>VLOOKUP(A128,'12 - CORPO'!$A$1:$R$5122,18,FALSE)</f>
        <v>0</v>
      </c>
      <c r="K128" s="278">
        <f t="shared" si="43"/>
        <v>0</v>
      </c>
      <c r="L128" s="282">
        <f t="shared" si="44"/>
        <v>1.5</v>
      </c>
      <c r="M128" s="281">
        <f t="shared" si="45"/>
        <v>82.02</v>
      </c>
      <c r="N128" s="808"/>
      <c r="O128" s="260">
        <f t="shared" si="40"/>
        <v>0</v>
      </c>
      <c r="P128" s="260">
        <f t="shared" si="40"/>
        <v>0</v>
      </c>
      <c r="Q128" s="260"/>
      <c r="R128" s="260"/>
      <c r="S128" s="1164"/>
    </row>
    <row r="129" spans="1:19" outlineLevel="1">
      <c r="A129" s="293" t="s">
        <v>460</v>
      </c>
      <c r="B129" s="318" t="s">
        <v>903</v>
      </c>
      <c r="C129" s="294" t="s">
        <v>904</v>
      </c>
      <c r="D129" s="292" t="s">
        <v>821</v>
      </c>
      <c r="E129" s="304">
        <v>450.81</v>
      </c>
      <c r="F129" s="305">
        <v>4.26</v>
      </c>
      <c r="G129" s="281">
        <f t="shared" si="41"/>
        <v>1920.45</v>
      </c>
      <c r="H129" s="306">
        <v>4.26</v>
      </c>
      <c r="I129" s="281">
        <f t="shared" si="42"/>
        <v>1920.45</v>
      </c>
      <c r="J129" s="297">
        <f>VLOOKUP(A129,'12 - CORPO'!$A$1:$R$5122,18,FALSE)</f>
        <v>0</v>
      </c>
      <c r="K129" s="307">
        <f t="shared" si="43"/>
        <v>0</v>
      </c>
      <c r="L129" s="306">
        <f t="shared" si="44"/>
        <v>4.26</v>
      </c>
      <c r="M129" s="281">
        <f t="shared" si="45"/>
        <v>1920.45</v>
      </c>
      <c r="N129" s="808"/>
      <c r="O129" s="260">
        <f t="shared" si="40"/>
        <v>0</v>
      </c>
      <c r="P129" s="260">
        <f t="shared" si="40"/>
        <v>0</v>
      </c>
      <c r="Q129" s="260"/>
      <c r="R129" s="260"/>
      <c r="S129" s="1164"/>
    </row>
    <row r="130" spans="1:19" ht="26.4" outlineLevel="1">
      <c r="A130" s="293" t="s">
        <v>461</v>
      </c>
      <c r="B130" s="318" t="s">
        <v>905</v>
      </c>
      <c r="C130" s="294" t="s">
        <v>906</v>
      </c>
      <c r="D130" s="292" t="s">
        <v>902</v>
      </c>
      <c r="E130" s="304">
        <v>117.81</v>
      </c>
      <c r="F130" s="305">
        <v>4.5</v>
      </c>
      <c r="G130" s="281">
        <f t="shared" si="41"/>
        <v>530.15</v>
      </c>
      <c r="H130" s="306">
        <v>4.5</v>
      </c>
      <c r="I130" s="281">
        <f t="shared" si="42"/>
        <v>530.15</v>
      </c>
      <c r="J130" s="297">
        <f>VLOOKUP(A130,'12 - CORPO'!$A$1:$R$5122,18,FALSE)</f>
        <v>0</v>
      </c>
      <c r="K130" s="307">
        <f t="shared" si="43"/>
        <v>0</v>
      </c>
      <c r="L130" s="306">
        <f t="shared" si="44"/>
        <v>4.5</v>
      </c>
      <c r="M130" s="281">
        <f t="shared" si="45"/>
        <v>530.15</v>
      </c>
      <c r="N130" s="808"/>
      <c r="O130" s="260">
        <f t="shared" si="40"/>
        <v>0</v>
      </c>
      <c r="P130" s="260">
        <f t="shared" si="40"/>
        <v>0</v>
      </c>
      <c r="Q130" s="260"/>
      <c r="R130" s="260"/>
      <c r="S130" s="1164"/>
    </row>
    <row r="131" spans="1:19" ht="39.6" outlineLevel="1">
      <c r="A131" s="317" t="s">
        <v>462</v>
      </c>
      <c r="B131" s="319" t="s">
        <v>911</v>
      </c>
      <c r="C131" s="273" t="s">
        <v>912</v>
      </c>
      <c r="D131" s="292" t="s">
        <v>821</v>
      </c>
      <c r="E131" s="279">
        <v>33.299999999999997</v>
      </c>
      <c r="F131" s="280">
        <v>14</v>
      </c>
      <c r="G131" s="281">
        <f t="shared" si="41"/>
        <v>466.2</v>
      </c>
      <c r="H131" s="282">
        <v>14</v>
      </c>
      <c r="I131" s="281">
        <f t="shared" si="42"/>
        <v>466.2</v>
      </c>
      <c r="J131" s="277">
        <f>VLOOKUP(A131,'12 - CORPO'!$A$1:$R$5122,18,FALSE)</f>
        <v>0</v>
      </c>
      <c r="K131" s="278">
        <f t="shared" si="43"/>
        <v>0</v>
      </c>
      <c r="L131" s="282">
        <f t="shared" si="44"/>
        <v>14</v>
      </c>
      <c r="M131" s="281">
        <f t="shared" si="45"/>
        <v>466.2</v>
      </c>
      <c r="N131" s="808"/>
      <c r="O131" s="260">
        <f t="shared" si="40"/>
        <v>0</v>
      </c>
      <c r="P131" s="260">
        <f t="shared" si="40"/>
        <v>0</v>
      </c>
      <c r="Q131" s="260"/>
      <c r="R131" s="260"/>
      <c r="S131" s="1164"/>
    </row>
    <row r="132" spans="1:19" ht="26.4" outlineLevel="1">
      <c r="A132" s="293" t="s">
        <v>463</v>
      </c>
      <c r="B132" s="318" t="s">
        <v>909</v>
      </c>
      <c r="C132" s="294" t="s">
        <v>910</v>
      </c>
      <c r="D132" s="292" t="s">
        <v>821</v>
      </c>
      <c r="E132" s="304">
        <v>40.200000000000003</v>
      </c>
      <c r="F132" s="305">
        <v>14</v>
      </c>
      <c r="G132" s="281">
        <f t="shared" si="41"/>
        <v>562.79999999999995</v>
      </c>
      <c r="H132" s="306">
        <v>14</v>
      </c>
      <c r="I132" s="281">
        <f t="shared" si="42"/>
        <v>562.79999999999995</v>
      </c>
      <c r="J132" s="297">
        <f>VLOOKUP(A132,'12 - CORPO'!$A$1:$R$5122,18,FALSE)</f>
        <v>0</v>
      </c>
      <c r="K132" s="307">
        <f t="shared" si="43"/>
        <v>0</v>
      </c>
      <c r="L132" s="306">
        <f t="shared" si="44"/>
        <v>14</v>
      </c>
      <c r="M132" s="281">
        <f t="shared" si="45"/>
        <v>562.79999999999995</v>
      </c>
      <c r="N132" s="808"/>
      <c r="O132" s="260">
        <f t="shared" si="40"/>
        <v>0</v>
      </c>
      <c r="P132" s="260">
        <f t="shared" si="40"/>
        <v>0</v>
      </c>
      <c r="Q132" s="260"/>
      <c r="R132" s="260"/>
      <c r="S132" s="1164"/>
    </row>
    <row r="133" spans="1:19" ht="26.4" outlineLevel="1">
      <c r="A133" s="293" t="s">
        <v>464</v>
      </c>
      <c r="B133" s="318" t="s">
        <v>919</v>
      </c>
      <c r="C133" s="294" t="s">
        <v>920</v>
      </c>
      <c r="D133" s="292" t="s">
        <v>821</v>
      </c>
      <c r="E133" s="304">
        <v>14.63</v>
      </c>
      <c r="F133" s="305">
        <v>60.35</v>
      </c>
      <c r="G133" s="281">
        <f t="shared" si="41"/>
        <v>882.92</v>
      </c>
      <c r="H133" s="306">
        <v>60.35</v>
      </c>
      <c r="I133" s="281">
        <f t="shared" si="42"/>
        <v>882.92</v>
      </c>
      <c r="J133" s="297">
        <f>VLOOKUP(A133,'12 - CORPO'!$A$1:$R$5122,18,FALSE)</f>
        <v>0</v>
      </c>
      <c r="K133" s="307">
        <f t="shared" si="43"/>
        <v>0</v>
      </c>
      <c r="L133" s="306">
        <f t="shared" si="44"/>
        <v>60.35</v>
      </c>
      <c r="M133" s="281">
        <f t="shared" si="45"/>
        <v>882.92</v>
      </c>
      <c r="N133" s="808"/>
      <c r="O133" s="260">
        <f t="shared" si="40"/>
        <v>0</v>
      </c>
      <c r="P133" s="260">
        <f t="shared" si="40"/>
        <v>0</v>
      </c>
      <c r="Q133" s="260"/>
      <c r="R133" s="260"/>
      <c r="S133" s="1164"/>
    </row>
    <row r="134" spans="1:19" ht="26.4" outlineLevel="1">
      <c r="A134" s="317" t="s">
        <v>465</v>
      </c>
      <c r="B134" s="319" t="s">
        <v>981</v>
      </c>
      <c r="C134" s="273" t="s">
        <v>982</v>
      </c>
      <c r="D134" s="292" t="s">
        <v>821</v>
      </c>
      <c r="E134" s="279">
        <v>61.89</v>
      </c>
      <c r="F134" s="280">
        <v>3.88</v>
      </c>
      <c r="G134" s="281">
        <f t="shared" si="41"/>
        <v>240.13</v>
      </c>
      <c r="H134" s="282">
        <v>3.88</v>
      </c>
      <c r="I134" s="281">
        <f t="shared" si="42"/>
        <v>240.13</v>
      </c>
      <c r="J134" s="277">
        <f>VLOOKUP(A134,'12 - CORPO'!$A$1:$R$5122,18,FALSE)</f>
        <v>0</v>
      </c>
      <c r="K134" s="278">
        <f t="shared" si="43"/>
        <v>0</v>
      </c>
      <c r="L134" s="282">
        <f t="shared" si="44"/>
        <v>3.88</v>
      </c>
      <c r="M134" s="281">
        <f t="shared" si="45"/>
        <v>240.13</v>
      </c>
      <c r="N134" s="808"/>
      <c r="O134" s="260">
        <f t="shared" si="40"/>
        <v>0</v>
      </c>
      <c r="P134" s="260">
        <f t="shared" si="40"/>
        <v>0</v>
      </c>
      <c r="Q134" s="260"/>
      <c r="R134" s="260"/>
      <c r="S134" s="1164"/>
    </row>
    <row r="135" spans="1:19" ht="26.4" outlineLevel="1">
      <c r="A135" s="293" t="s">
        <v>466</v>
      </c>
      <c r="B135" s="318" t="s">
        <v>952</v>
      </c>
      <c r="C135" s="294" t="s">
        <v>953</v>
      </c>
      <c r="D135" s="292" t="s">
        <v>821</v>
      </c>
      <c r="E135" s="304">
        <v>19.98</v>
      </c>
      <c r="F135" s="305">
        <v>60.35</v>
      </c>
      <c r="G135" s="281">
        <f t="shared" si="41"/>
        <v>1205.79</v>
      </c>
      <c r="H135" s="306">
        <v>60.35</v>
      </c>
      <c r="I135" s="281">
        <f t="shared" si="42"/>
        <v>1205.79</v>
      </c>
      <c r="J135" s="297">
        <f>VLOOKUP(A135,'12 - CORPO'!$A$1:$R$5122,18,FALSE)</f>
        <v>0</v>
      </c>
      <c r="K135" s="307">
        <f t="shared" si="43"/>
        <v>0</v>
      </c>
      <c r="L135" s="306">
        <f t="shared" si="44"/>
        <v>60.35</v>
      </c>
      <c r="M135" s="281">
        <f t="shared" si="45"/>
        <v>1205.79</v>
      </c>
      <c r="N135" s="808"/>
      <c r="O135" s="260">
        <f t="shared" si="40"/>
        <v>0</v>
      </c>
      <c r="P135" s="260">
        <f t="shared" si="40"/>
        <v>0</v>
      </c>
      <c r="Q135" s="260"/>
      <c r="R135" s="260"/>
      <c r="S135" s="1164"/>
    </row>
    <row r="136" spans="1:19" ht="39.6" outlineLevel="1">
      <c r="A136" s="661" t="s">
        <v>467</v>
      </c>
      <c r="B136" s="662" t="s">
        <v>950</v>
      </c>
      <c r="C136" s="663" t="s">
        <v>951</v>
      </c>
      <c r="D136" s="664" t="s">
        <v>821</v>
      </c>
      <c r="E136" s="665">
        <v>36.89</v>
      </c>
      <c r="F136" s="666">
        <v>3.88</v>
      </c>
      <c r="G136" s="667">
        <f t="shared" si="41"/>
        <v>143.13</v>
      </c>
      <c r="H136" s="668">
        <v>3.88</v>
      </c>
      <c r="I136" s="667">
        <f t="shared" si="42"/>
        <v>143.13</v>
      </c>
      <c r="J136" s="669">
        <f>VLOOKUP(A136,'12 - CORPO'!$A$1:$R$5122,18,FALSE)</f>
        <v>0</v>
      </c>
      <c r="K136" s="670">
        <f t="shared" si="43"/>
        <v>0</v>
      </c>
      <c r="L136" s="668">
        <f t="shared" si="44"/>
        <v>3.88</v>
      </c>
      <c r="M136" s="667">
        <f t="shared" si="45"/>
        <v>143.13</v>
      </c>
      <c r="N136" s="808"/>
      <c r="O136" s="260">
        <f t="shared" si="40"/>
        <v>0</v>
      </c>
      <c r="P136" s="260">
        <f t="shared" si="40"/>
        <v>0</v>
      </c>
      <c r="Q136" s="260"/>
      <c r="R136" s="260"/>
      <c r="S136" s="1164"/>
    </row>
    <row r="137" spans="1:19" ht="19.95" customHeight="1">
      <c r="A137" s="1320" t="s">
        <v>468</v>
      </c>
      <c r="B137" s="1321" t="s">
        <v>983</v>
      </c>
      <c r="C137" s="1322" t="s">
        <v>150</v>
      </c>
      <c r="D137" s="1322"/>
      <c r="E137" s="1322"/>
      <c r="F137" s="1322"/>
      <c r="G137" s="1323">
        <f>SUBTOTAL(9,G138:G148)</f>
        <v>2342.4</v>
      </c>
      <c r="H137" s="1322"/>
      <c r="I137" s="1323">
        <f>SUBTOTAL(9,I138:I148)</f>
        <v>2342.4</v>
      </c>
      <c r="J137" s="1322"/>
      <c r="K137" s="1323">
        <f>SUBTOTAL(9,K138:K148)</f>
        <v>0</v>
      </c>
      <c r="L137" s="1322"/>
      <c r="M137" s="1324">
        <f>SUBTOTAL(9,M138:M148)</f>
        <v>2342.4</v>
      </c>
      <c r="N137" s="811"/>
      <c r="O137" s="260">
        <f t="shared" si="40"/>
        <v>0</v>
      </c>
      <c r="P137" s="260">
        <f t="shared" si="40"/>
        <v>0</v>
      </c>
      <c r="Q137" s="262"/>
      <c r="R137" s="262"/>
      <c r="S137" s="1164"/>
    </row>
    <row r="138" spans="1:19" ht="39.6" outlineLevel="1">
      <c r="A138" s="293" t="s">
        <v>469</v>
      </c>
      <c r="B138" s="318" t="s">
        <v>984</v>
      </c>
      <c r="C138" s="294" t="s">
        <v>985</v>
      </c>
      <c r="D138" s="292" t="s">
        <v>821</v>
      </c>
      <c r="E138" s="304">
        <v>59.83</v>
      </c>
      <c r="F138" s="305">
        <v>10.26</v>
      </c>
      <c r="G138" s="281">
        <f t="shared" ref="G138:G148" si="46">ROUND(F138*E138,2)</f>
        <v>613.86</v>
      </c>
      <c r="H138" s="306">
        <v>10.26</v>
      </c>
      <c r="I138" s="281">
        <f t="shared" ref="I138:I148" si="47">ROUND((E138*H138),2)</f>
        <v>613.86</v>
      </c>
      <c r="J138" s="297">
        <f>VLOOKUP(A138,'12 - CORPO'!$A$1:$R$5122,18,FALSE)</f>
        <v>0</v>
      </c>
      <c r="K138" s="307">
        <f t="shared" si="43"/>
        <v>0</v>
      </c>
      <c r="L138" s="306">
        <f t="shared" si="44"/>
        <v>10.26</v>
      </c>
      <c r="M138" s="281">
        <f t="shared" ref="M138:M148" si="48">ROUND((E138*L138),2)</f>
        <v>613.86</v>
      </c>
      <c r="N138" s="808"/>
      <c r="O138" s="260">
        <f t="shared" si="40"/>
        <v>0</v>
      </c>
      <c r="P138" s="260">
        <f t="shared" si="40"/>
        <v>0</v>
      </c>
      <c r="Q138" s="260"/>
      <c r="R138" s="260"/>
      <c r="S138" s="1164"/>
    </row>
    <row r="139" spans="1:19" ht="26.4" outlineLevel="1">
      <c r="A139" s="317" t="s">
        <v>470</v>
      </c>
      <c r="B139" s="319" t="s">
        <v>919</v>
      </c>
      <c r="C139" s="273" t="s">
        <v>920</v>
      </c>
      <c r="D139" s="292" t="s">
        <v>821</v>
      </c>
      <c r="E139" s="279">
        <v>14.63</v>
      </c>
      <c r="F139" s="280">
        <v>4.8600000000000003</v>
      </c>
      <c r="G139" s="281">
        <f t="shared" si="46"/>
        <v>71.099999999999994</v>
      </c>
      <c r="H139" s="282">
        <v>4.8600000000000003</v>
      </c>
      <c r="I139" s="281">
        <f t="shared" si="47"/>
        <v>71.099999999999994</v>
      </c>
      <c r="J139" s="277">
        <f>VLOOKUP(A139,'12 - CORPO'!$A$1:$R$5122,18,FALSE)</f>
        <v>0</v>
      </c>
      <c r="K139" s="278">
        <f t="shared" si="43"/>
        <v>0</v>
      </c>
      <c r="L139" s="282">
        <f t="shared" si="44"/>
        <v>4.8600000000000003</v>
      </c>
      <c r="M139" s="281">
        <f t="shared" si="48"/>
        <v>71.099999999999994</v>
      </c>
      <c r="N139" s="808"/>
      <c r="O139" s="260">
        <f t="shared" si="40"/>
        <v>0</v>
      </c>
      <c r="P139" s="260">
        <f t="shared" si="40"/>
        <v>0</v>
      </c>
      <c r="Q139" s="260"/>
      <c r="R139" s="260"/>
      <c r="S139" s="1164"/>
    </row>
    <row r="140" spans="1:19" outlineLevel="1">
      <c r="A140" s="293" t="s">
        <v>471</v>
      </c>
      <c r="B140" s="318" t="s">
        <v>928</v>
      </c>
      <c r="C140" s="294" t="s">
        <v>929</v>
      </c>
      <c r="D140" s="292" t="s">
        <v>821</v>
      </c>
      <c r="E140" s="304">
        <v>16.670000000000002</v>
      </c>
      <c r="F140" s="305">
        <v>1.8</v>
      </c>
      <c r="G140" s="281">
        <f t="shared" si="46"/>
        <v>30.01</v>
      </c>
      <c r="H140" s="306">
        <v>1.8</v>
      </c>
      <c r="I140" s="281">
        <f t="shared" si="47"/>
        <v>30.01</v>
      </c>
      <c r="J140" s="297">
        <f>VLOOKUP(A140,'12 - CORPO'!$A$1:$R$5122,18,FALSE)</f>
        <v>0</v>
      </c>
      <c r="K140" s="307">
        <f t="shared" si="43"/>
        <v>0</v>
      </c>
      <c r="L140" s="306">
        <f t="shared" si="44"/>
        <v>1.8</v>
      </c>
      <c r="M140" s="281">
        <f t="shared" si="48"/>
        <v>30.01</v>
      </c>
      <c r="N140" s="808"/>
      <c r="O140" s="260">
        <f t="shared" si="40"/>
        <v>0</v>
      </c>
      <c r="P140" s="260">
        <f t="shared" si="40"/>
        <v>0</v>
      </c>
      <c r="Q140" s="260"/>
      <c r="R140" s="260"/>
      <c r="S140" s="1164"/>
    </row>
    <row r="141" spans="1:19" ht="26.4" outlineLevel="1">
      <c r="A141" s="293" t="s">
        <v>472</v>
      </c>
      <c r="B141" s="318" t="s">
        <v>981</v>
      </c>
      <c r="C141" s="294" t="s">
        <v>982</v>
      </c>
      <c r="D141" s="292" t="s">
        <v>821</v>
      </c>
      <c r="E141" s="304">
        <v>61.89</v>
      </c>
      <c r="F141" s="305">
        <v>2.34</v>
      </c>
      <c r="G141" s="281">
        <f t="shared" si="46"/>
        <v>144.82</v>
      </c>
      <c r="H141" s="306">
        <v>2.34</v>
      </c>
      <c r="I141" s="281">
        <f t="shared" si="47"/>
        <v>144.82</v>
      </c>
      <c r="J141" s="297">
        <f>VLOOKUP(A141,'12 - CORPO'!$A$1:$R$5122,18,FALSE)</f>
        <v>0</v>
      </c>
      <c r="K141" s="307">
        <f t="shared" si="43"/>
        <v>0</v>
      </c>
      <c r="L141" s="306">
        <f t="shared" si="44"/>
        <v>2.34</v>
      </c>
      <c r="M141" s="281">
        <f t="shared" si="48"/>
        <v>144.82</v>
      </c>
      <c r="N141" s="808"/>
      <c r="O141" s="260">
        <f t="shared" si="40"/>
        <v>0</v>
      </c>
      <c r="P141" s="260">
        <f t="shared" si="40"/>
        <v>0</v>
      </c>
      <c r="Q141" s="260"/>
      <c r="R141" s="260"/>
      <c r="S141" s="1164"/>
    </row>
    <row r="142" spans="1:19" ht="26.4" outlineLevel="1">
      <c r="A142" s="317" t="s">
        <v>473</v>
      </c>
      <c r="B142" s="319" t="s">
        <v>932</v>
      </c>
      <c r="C142" s="273" t="s">
        <v>933</v>
      </c>
      <c r="D142" s="292" t="s">
        <v>816</v>
      </c>
      <c r="E142" s="279">
        <v>344.69</v>
      </c>
      <c r="F142" s="280">
        <v>1</v>
      </c>
      <c r="G142" s="281">
        <f t="shared" si="46"/>
        <v>344.69</v>
      </c>
      <c r="H142" s="282">
        <v>1</v>
      </c>
      <c r="I142" s="281">
        <f t="shared" si="47"/>
        <v>344.69</v>
      </c>
      <c r="J142" s="277">
        <f>VLOOKUP(A142,'12 - CORPO'!$A$1:$R$5122,18,FALSE)</f>
        <v>0</v>
      </c>
      <c r="K142" s="278">
        <f t="shared" si="43"/>
        <v>0</v>
      </c>
      <c r="L142" s="282">
        <f t="shared" si="44"/>
        <v>1</v>
      </c>
      <c r="M142" s="281">
        <f t="shared" si="48"/>
        <v>344.69</v>
      </c>
      <c r="N142" s="808"/>
      <c r="O142" s="260">
        <f t="shared" si="40"/>
        <v>0</v>
      </c>
      <c r="P142" s="260">
        <f t="shared" si="40"/>
        <v>0</v>
      </c>
      <c r="Q142" s="260"/>
      <c r="R142" s="260"/>
      <c r="S142" s="1164"/>
    </row>
    <row r="143" spans="1:19" ht="26.4" outlineLevel="1">
      <c r="A143" s="293" t="s">
        <v>474</v>
      </c>
      <c r="B143" s="318" t="s">
        <v>934</v>
      </c>
      <c r="C143" s="294" t="s">
        <v>935</v>
      </c>
      <c r="D143" s="292" t="s">
        <v>816</v>
      </c>
      <c r="E143" s="304">
        <v>85.93</v>
      </c>
      <c r="F143" s="305">
        <v>1</v>
      </c>
      <c r="G143" s="281">
        <f t="shared" si="46"/>
        <v>85.93</v>
      </c>
      <c r="H143" s="306">
        <v>1</v>
      </c>
      <c r="I143" s="281">
        <f t="shared" si="47"/>
        <v>85.93</v>
      </c>
      <c r="J143" s="297">
        <f>VLOOKUP(A143,'12 - CORPO'!$A$1:$R$5122,18,FALSE)</f>
        <v>0</v>
      </c>
      <c r="K143" s="307">
        <f t="shared" si="43"/>
        <v>0</v>
      </c>
      <c r="L143" s="306">
        <f t="shared" si="44"/>
        <v>1</v>
      </c>
      <c r="M143" s="281">
        <f t="shared" si="48"/>
        <v>85.93</v>
      </c>
      <c r="N143" s="808"/>
      <c r="O143" s="260">
        <f t="shared" si="40"/>
        <v>0</v>
      </c>
      <c r="P143" s="260">
        <f t="shared" si="40"/>
        <v>0</v>
      </c>
      <c r="Q143" s="260"/>
      <c r="R143" s="260"/>
      <c r="S143" s="1164"/>
    </row>
    <row r="144" spans="1:19" ht="26.4" outlineLevel="1">
      <c r="A144" s="293" t="s">
        <v>475</v>
      </c>
      <c r="B144" s="318" t="s">
        <v>936</v>
      </c>
      <c r="C144" s="294" t="s">
        <v>937</v>
      </c>
      <c r="D144" s="292" t="s">
        <v>816</v>
      </c>
      <c r="E144" s="304">
        <v>137.88999999999999</v>
      </c>
      <c r="F144" s="305">
        <v>1</v>
      </c>
      <c r="G144" s="281">
        <f t="shared" si="46"/>
        <v>137.88999999999999</v>
      </c>
      <c r="H144" s="306">
        <v>1</v>
      </c>
      <c r="I144" s="281">
        <f t="shared" si="47"/>
        <v>137.88999999999999</v>
      </c>
      <c r="J144" s="297">
        <f>VLOOKUP(A144,'12 - CORPO'!$A$1:$R$5122,18,FALSE)</f>
        <v>0</v>
      </c>
      <c r="K144" s="307">
        <f>M144-I144</f>
        <v>0</v>
      </c>
      <c r="L144" s="306">
        <f>(H144+J144)</f>
        <v>1</v>
      </c>
      <c r="M144" s="281">
        <f>ROUND((E144*L144),2)</f>
        <v>137.88999999999999</v>
      </c>
      <c r="N144" s="808"/>
      <c r="O144" s="260">
        <f t="shared" si="40"/>
        <v>0</v>
      </c>
      <c r="P144" s="260">
        <f t="shared" si="40"/>
        <v>0</v>
      </c>
      <c r="Q144" s="260"/>
      <c r="R144" s="260"/>
      <c r="S144" s="1164"/>
    </row>
    <row r="145" spans="1:19" ht="26.4" outlineLevel="1">
      <c r="A145" s="317" t="s">
        <v>476</v>
      </c>
      <c r="B145" s="319" t="s">
        <v>938</v>
      </c>
      <c r="C145" s="273" t="s">
        <v>939</v>
      </c>
      <c r="D145" s="292" t="s">
        <v>816</v>
      </c>
      <c r="E145" s="279">
        <v>393.13</v>
      </c>
      <c r="F145" s="280">
        <v>1</v>
      </c>
      <c r="G145" s="281">
        <f t="shared" si="46"/>
        <v>393.13</v>
      </c>
      <c r="H145" s="282">
        <v>1</v>
      </c>
      <c r="I145" s="281">
        <f t="shared" si="47"/>
        <v>393.13</v>
      </c>
      <c r="J145" s="277">
        <f>VLOOKUP(A145,'12 - CORPO'!$A$1:$R$5122,18,FALSE)</f>
        <v>0</v>
      </c>
      <c r="K145" s="278">
        <f>M145-I145</f>
        <v>0</v>
      </c>
      <c r="L145" s="282">
        <f>(H145+J145)</f>
        <v>1</v>
      </c>
      <c r="M145" s="281">
        <f>ROUND((E145*L145),2)</f>
        <v>393.13</v>
      </c>
      <c r="N145" s="808"/>
      <c r="O145" s="260">
        <f t="shared" si="40"/>
        <v>0</v>
      </c>
      <c r="P145" s="260">
        <f t="shared" si="40"/>
        <v>0</v>
      </c>
      <c r="Q145" s="260"/>
      <c r="R145" s="260"/>
      <c r="S145" s="1164"/>
    </row>
    <row r="146" spans="1:19" ht="39.6" outlineLevel="1">
      <c r="A146" s="293" t="s">
        <v>477</v>
      </c>
      <c r="B146" s="318" t="s">
        <v>950</v>
      </c>
      <c r="C146" s="294" t="s">
        <v>951</v>
      </c>
      <c r="D146" s="292" t="s">
        <v>821</v>
      </c>
      <c r="E146" s="304">
        <v>36.89</v>
      </c>
      <c r="F146" s="305">
        <v>2.34</v>
      </c>
      <c r="G146" s="281">
        <f t="shared" si="46"/>
        <v>86.32</v>
      </c>
      <c r="H146" s="306">
        <v>2.34</v>
      </c>
      <c r="I146" s="281">
        <f t="shared" si="47"/>
        <v>86.32</v>
      </c>
      <c r="J146" s="297">
        <f>VLOOKUP(A146,'12 - CORPO'!$A$1:$R$5122,18,FALSE)</f>
        <v>0</v>
      </c>
      <c r="K146" s="307">
        <f t="shared" si="43"/>
        <v>0</v>
      </c>
      <c r="L146" s="306">
        <f t="shared" si="44"/>
        <v>2.34</v>
      </c>
      <c r="M146" s="281">
        <f t="shared" si="48"/>
        <v>86.32</v>
      </c>
      <c r="N146" s="808"/>
      <c r="O146" s="260">
        <f t="shared" si="40"/>
        <v>0</v>
      </c>
      <c r="P146" s="260">
        <f t="shared" si="40"/>
        <v>0</v>
      </c>
      <c r="Q146" s="260"/>
      <c r="R146" s="260"/>
      <c r="S146" s="1164"/>
    </row>
    <row r="147" spans="1:19" ht="26.4" outlineLevel="1">
      <c r="A147" s="293" t="s">
        <v>478</v>
      </c>
      <c r="B147" s="318" t="s">
        <v>952</v>
      </c>
      <c r="C147" s="294" t="s">
        <v>953</v>
      </c>
      <c r="D147" s="292" t="s">
        <v>821</v>
      </c>
      <c r="E147" s="304">
        <v>19.98</v>
      </c>
      <c r="F147" s="305">
        <v>4.8600000000000003</v>
      </c>
      <c r="G147" s="281">
        <f t="shared" si="46"/>
        <v>97.1</v>
      </c>
      <c r="H147" s="306">
        <v>4.8600000000000003</v>
      </c>
      <c r="I147" s="281">
        <f t="shared" si="47"/>
        <v>97.1</v>
      </c>
      <c r="J147" s="297">
        <f>VLOOKUP(A147,'12 - CORPO'!$A$1:$R$5122,18,FALSE)</f>
        <v>0</v>
      </c>
      <c r="K147" s="307">
        <f t="shared" si="43"/>
        <v>0</v>
      </c>
      <c r="L147" s="306">
        <f t="shared" si="44"/>
        <v>4.8600000000000003</v>
      </c>
      <c r="M147" s="281">
        <f t="shared" si="48"/>
        <v>97.1</v>
      </c>
      <c r="N147" s="808"/>
      <c r="O147" s="260">
        <f t="shared" si="40"/>
        <v>0</v>
      </c>
      <c r="P147" s="260">
        <f t="shared" si="40"/>
        <v>0</v>
      </c>
      <c r="Q147" s="260"/>
      <c r="R147" s="260"/>
      <c r="S147" s="1164"/>
    </row>
    <row r="148" spans="1:19" ht="52.8" outlineLevel="1">
      <c r="A148" s="681" t="s">
        <v>479</v>
      </c>
      <c r="B148" s="682" t="s">
        <v>954</v>
      </c>
      <c r="C148" s="683" t="s">
        <v>955</v>
      </c>
      <c r="D148" s="664" t="s">
        <v>821</v>
      </c>
      <c r="E148" s="684">
        <v>32.9</v>
      </c>
      <c r="F148" s="685">
        <v>10.26</v>
      </c>
      <c r="G148" s="667">
        <f t="shared" si="46"/>
        <v>337.55</v>
      </c>
      <c r="H148" s="686">
        <v>10.26</v>
      </c>
      <c r="I148" s="667">
        <f t="shared" si="47"/>
        <v>337.55</v>
      </c>
      <c r="J148" s="687">
        <f>VLOOKUP(A148,'12 - CORPO'!$A$1:$R$5122,18,FALSE)</f>
        <v>0</v>
      </c>
      <c r="K148" s="688">
        <f t="shared" si="43"/>
        <v>0</v>
      </c>
      <c r="L148" s="686">
        <f t="shared" si="44"/>
        <v>10.26</v>
      </c>
      <c r="M148" s="667">
        <f t="shared" si="48"/>
        <v>337.55</v>
      </c>
      <c r="N148" s="808"/>
      <c r="O148" s="260">
        <f t="shared" si="40"/>
        <v>0</v>
      </c>
      <c r="P148" s="260">
        <f t="shared" si="40"/>
        <v>0</v>
      </c>
      <c r="Q148" s="260"/>
      <c r="R148" s="260"/>
      <c r="S148" s="1164"/>
    </row>
    <row r="149" spans="1:19" ht="19.95" customHeight="1">
      <c r="A149" s="1320" t="s">
        <v>480</v>
      </c>
      <c r="B149" s="1447" t="s">
        <v>986</v>
      </c>
      <c r="C149" s="1447"/>
      <c r="D149" s="1322"/>
      <c r="E149" s="1322"/>
      <c r="F149" s="1322"/>
      <c r="G149" s="1323">
        <f>SUBTOTAL(9,G150:G178)</f>
        <v>16443.430000000004</v>
      </c>
      <c r="H149" s="1322"/>
      <c r="I149" s="1325">
        <f>SUBTOTAL(9,I150:I178)</f>
        <v>16443.430000000004</v>
      </c>
      <c r="J149" s="1322"/>
      <c r="K149" s="1323">
        <f>SUBTOTAL(9,K150:K178)</f>
        <v>0</v>
      </c>
      <c r="L149" s="1322"/>
      <c r="M149" s="1324">
        <f>SUBTOTAL(9,M150:M178)</f>
        <v>16443.430000000004</v>
      </c>
      <c r="N149" s="811"/>
      <c r="O149" s="260">
        <f t="shared" si="40"/>
        <v>0</v>
      </c>
      <c r="P149" s="260">
        <f t="shared" si="40"/>
        <v>0</v>
      </c>
      <c r="Q149" s="262"/>
      <c r="R149" s="262"/>
      <c r="S149" s="1164"/>
    </row>
    <row r="150" spans="1:19" outlineLevel="1">
      <c r="A150" s="293" t="s">
        <v>481</v>
      </c>
      <c r="B150" s="318" t="s">
        <v>987</v>
      </c>
      <c r="C150" s="294" t="s">
        <v>988</v>
      </c>
      <c r="D150" s="292" t="s">
        <v>809</v>
      </c>
      <c r="E150" s="304">
        <v>21.08</v>
      </c>
      <c r="F150" s="305">
        <v>130</v>
      </c>
      <c r="G150" s="281">
        <f t="shared" ref="G150:G177" si="49">ROUND(F150*E150,2)</f>
        <v>2740.4</v>
      </c>
      <c r="H150" s="306">
        <v>130</v>
      </c>
      <c r="I150" s="281">
        <f t="shared" ref="I150:I177" si="50">ROUND((E150*H150),2)</f>
        <v>2740.4</v>
      </c>
      <c r="J150" s="297">
        <f>VLOOKUP(A150,'12 - CORPO'!$A$1:$R$5122,18,FALSE)</f>
        <v>0</v>
      </c>
      <c r="K150" s="307">
        <f t="shared" si="43"/>
        <v>0</v>
      </c>
      <c r="L150" s="306">
        <f t="shared" si="44"/>
        <v>130</v>
      </c>
      <c r="M150" s="281">
        <f t="shared" ref="M150:M177" si="51">ROUND((E150*L150),2)</f>
        <v>2740.4</v>
      </c>
      <c r="N150" s="808"/>
      <c r="O150" s="260">
        <f t="shared" si="40"/>
        <v>0</v>
      </c>
      <c r="P150" s="260">
        <f t="shared" si="40"/>
        <v>0</v>
      </c>
      <c r="Q150" s="260"/>
      <c r="R150" s="260"/>
      <c r="S150" s="1164"/>
    </row>
    <row r="151" spans="1:19" outlineLevel="1">
      <c r="A151" s="293" t="s">
        <v>482</v>
      </c>
      <c r="B151" s="318" t="s">
        <v>989</v>
      </c>
      <c r="C151" s="294" t="s">
        <v>990</v>
      </c>
      <c r="D151" s="292" t="s">
        <v>809</v>
      </c>
      <c r="E151" s="304">
        <v>29.5</v>
      </c>
      <c r="F151" s="305">
        <v>30</v>
      </c>
      <c r="G151" s="281">
        <f t="shared" si="49"/>
        <v>885</v>
      </c>
      <c r="H151" s="306">
        <v>30</v>
      </c>
      <c r="I151" s="281">
        <f t="shared" si="50"/>
        <v>885</v>
      </c>
      <c r="J151" s="297">
        <f>VLOOKUP(A151,'12 - CORPO'!$A$1:$R$5122,18,FALSE)</f>
        <v>0</v>
      </c>
      <c r="K151" s="307">
        <f t="shared" si="43"/>
        <v>0</v>
      </c>
      <c r="L151" s="306">
        <f t="shared" si="44"/>
        <v>30</v>
      </c>
      <c r="M151" s="281">
        <f t="shared" si="51"/>
        <v>885</v>
      </c>
      <c r="N151" s="808"/>
      <c r="O151" s="260">
        <f t="shared" si="40"/>
        <v>0</v>
      </c>
      <c r="P151" s="260">
        <f t="shared" si="40"/>
        <v>0</v>
      </c>
      <c r="Q151" s="260"/>
      <c r="R151" s="260"/>
      <c r="S151" s="1164"/>
    </row>
    <row r="152" spans="1:19" outlineLevel="1">
      <c r="A152" s="317" t="s">
        <v>483</v>
      </c>
      <c r="B152" s="319" t="s">
        <v>991</v>
      </c>
      <c r="C152" s="273" t="s">
        <v>992</v>
      </c>
      <c r="D152" s="292" t="s">
        <v>816</v>
      </c>
      <c r="E152" s="279">
        <v>163.28</v>
      </c>
      <c r="F152" s="280">
        <v>1</v>
      </c>
      <c r="G152" s="281">
        <f t="shared" si="49"/>
        <v>163.28</v>
      </c>
      <c r="H152" s="282">
        <v>1</v>
      </c>
      <c r="I152" s="281">
        <f t="shared" si="50"/>
        <v>163.28</v>
      </c>
      <c r="J152" s="277">
        <f>VLOOKUP(A152,'12 - CORPO'!$A$1:$R$5122,18,FALSE)</f>
        <v>0</v>
      </c>
      <c r="K152" s="278">
        <f t="shared" si="43"/>
        <v>0</v>
      </c>
      <c r="L152" s="282">
        <f t="shared" si="44"/>
        <v>1</v>
      </c>
      <c r="M152" s="281">
        <f t="shared" si="51"/>
        <v>163.28</v>
      </c>
      <c r="N152" s="808"/>
      <c r="O152" s="260">
        <f t="shared" si="40"/>
        <v>0</v>
      </c>
      <c r="P152" s="260">
        <f t="shared" si="40"/>
        <v>0</v>
      </c>
      <c r="Q152" s="260"/>
      <c r="R152" s="260"/>
      <c r="S152" s="1164"/>
    </row>
    <row r="153" spans="1:19" outlineLevel="1">
      <c r="A153" s="293" t="s">
        <v>484</v>
      </c>
      <c r="B153" s="318" t="s">
        <v>993</v>
      </c>
      <c r="C153" s="294" t="s">
        <v>994</v>
      </c>
      <c r="D153" s="292" t="s">
        <v>816</v>
      </c>
      <c r="E153" s="304">
        <v>92.63</v>
      </c>
      <c r="F153" s="305">
        <v>1</v>
      </c>
      <c r="G153" s="281">
        <f t="shared" si="49"/>
        <v>92.63</v>
      </c>
      <c r="H153" s="306">
        <v>1</v>
      </c>
      <c r="I153" s="281">
        <f t="shared" si="50"/>
        <v>92.63</v>
      </c>
      <c r="J153" s="297">
        <f>VLOOKUP(A153,'12 - CORPO'!$A$1:$R$5122,18,FALSE)</f>
        <v>0</v>
      </c>
      <c r="K153" s="307">
        <f t="shared" si="43"/>
        <v>0</v>
      </c>
      <c r="L153" s="306">
        <f t="shared" si="44"/>
        <v>1</v>
      </c>
      <c r="M153" s="281">
        <f t="shared" si="51"/>
        <v>92.63</v>
      </c>
      <c r="N153" s="808"/>
      <c r="O153" s="260">
        <f t="shared" si="40"/>
        <v>0</v>
      </c>
      <c r="P153" s="260">
        <f t="shared" si="40"/>
        <v>0</v>
      </c>
      <c r="Q153" s="260"/>
      <c r="R153" s="260"/>
      <c r="S153" s="1164"/>
    </row>
    <row r="154" spans="1:19" ht="26.4" outlineLevel="1">
      <c r="A154" s="293" t="s">
        <v>485</v>
      </c>
      <c r="B154" s="318" t="s">
        <v>995</v>
      </c>
      <c r="C154" s="294" t="s">
        <v>996</v>
      </c>
      <c r="D154" s="292" t="s">
        <v>816</v>
      </c>
      <c r="E154" s="304">
        <v>3.64</v>
      </c>
      <c r="F154" s="305">
        <v>2</v>
      </c>
      <c r="G154" s="281">
        <f t="shared" si="49"/>
        <v>7.28</v>
      </c>
      <c r="H154" s="306">
        <v>2</v>
      </c>
      <c r="I154" s="281">
        <f t="shared" si="50"/>
        <v>7.28</v>
      </c>
      <c r="J154" s="297">
        <f>VLOOKUP(A154,'12 - CORPO'!$A$1:$R$5122,18,FALSE)</f>
        <v>0</v>
      </c>
      <c r="K154" s="307">
        <f t="shared" si="43"/>
        <v>0</v>
      </c>
      <c r="L154" s="306">
        <f t="shared" si="44"/>
        <v>2</v>
      </c>
      <c r="M154" s="281">
        <f t="shared" si="51"/>
        <v>7.28</v>
      </c>
      <c r="N154" s="808"/>
      <c r="O154" s="260">
        <f t="shared" si="40"/>
        <v>0</v>
      </c>
      <c r="P154" s="260">
        <f t="shared" si="40"/>
        <v>0</v>
      </c>
      <c r="Q154" s="260"/>
      <c r="R154" s="260"/>
      <c r="S154" s="1164"/>
    </row>
    <row r="155" spans="1:19" ht="39.6" outlineLevel="1">
      <c r="A155" s="317" t="s">
        <v>486</v>
      </c>
      <c r="B155" s="319" t="s">
        <v>997</v>
      </c>
      <c r="C155" s="273" t="s">
        <v>998</v>
      </c>
      <c r="D155" s="292" t="s">
        <v>816</v>
      </c>
      <c r="E155" s="279">
        <v>6.88</v>
      </c>
      <c r="F155" s="280">
        <v>4</v>
      </c>
      <c r="G155" s="281">
        <f t="shared" si="49"/>
        <v>27.52</v>
      </c>
      <c r="H155" s="282">
        <v>4</v>
      </c>
      <c r="I155" s="281">
        <f t="shared" si="50"/>
        <v>27.52</v>
      </c>
      <c r="J155" s="277">
        <f>VLOOKUP(A155,'12 - CORPO'!$A$1:$R$5122,18,FALSE)</f>
        <v>0</v>
      </c>
      <c r="K155" s="278">
        <f t="shared" si="43"/>
        <v>0</v>
      </c>
      <c r="L155" s="282">
        <f t="shared" si="44"/>
        <v>4</v>
      </c>
      <c r="M155" s="281">
        <f t="shared" si="51"/>
        <v>27.52</v>
      </c>
      <c r="N155" s="808"/>
      <c r="O155" s="260">
        <f t="shared" si="40"/>
        <v>0</v>
      </c>
      <c r="P155" s="260">
        <f t="shared" si="40"/>
        <v>0</v>
      </c>
      <c r="Q155" s="260"/>
      <c r="R155" s="260"/>
      <c r="S155" s="1164"/>
    </row>
    <row r="156" spans="1:19" ht="34.5" customHeight="1" outlineLevel="1">
      <c r="A156" s="293" t="s">
        <v>487</v>
      </c>
      <c r="B156" s="318" t="s">
        <v>999</v>
      </c>
      <c r="C156" s="294" t="s">
        <v>1000</v>
      </c>
      <c r="D156" s="292" t="s">
        <v>816</v>
      </c>
      <c r="E156" s="304">
        <v>21.72</v>
      </c>
      <c r="F156" s="305">
        <v>2</v>
      </c>
      <c r="G156" s="281">
        <f t="shared" si="49"/>
        <v>43.44</v>
      </c>
      <c r="H156" s="306">
        <v>2</v>
      </c>
      <c r="I156" s="281">
        <f t="shared" si="50"/>
        <v>43.44</v>
      </c>
      <c r="J156" s="297">
        <f>VLOOKUP(A156,'12 - CORPO'!$A$1:$R$5122,18,FALSE)</f>
        <v>0</v>
      </c>
      <c r="K156" s="307">
        <f t="shared" si="43"/>
        <v>0</v>
      </c>
      <c r="L156" s="306">
        <f t="shared" si="44"/>
        <v>2</v>
      </c>
      <c r="M156" s="281">
        <f t="shared" si="51"/>
        <v>43.44</v>
      </c>
      <c r="N156" s="808"/>
      <c r="O156" s="260">
        <f t="shared" si="40"/>
        <v>0</v>
      </c>
      <c r="P156" s="260">
        <f t="shared" si="40"/>
        <v>0</v>
      </c>
      <c r="Q156" s="260"/>
      <c r="R156" s="260"/>
      <c r="S156" s="1164"/>
    </row>
    <row r="157" spans="1:19" ht="26.4" outlineLevel="1">
      <c r="A157" s="293" t="s">
        <v>488</v>
      </c>
      <c r="B157" s="318" t="s">
        <v>1001</v>
      </c>
      <c r="C157" s="294" t="s">
        <v>1002</v>
      </c>
      <c r="D157" s="292" t="s">
        <v>816</v>
      </c>
      <c r="E157" s="304">
        <v>9.4600000000000009</v>
      </c>
      <c r="F157" s="305">
        <v>2</v>
      </c>
      <c r="G157" s="281">
        <f t="shared" si="49"/>
        <v>18.920000000000002</v>
      </c>
      <c r="H157" s="306">
        <v>2</v>
      </c>
      <c r="I157" s="281">
        <f t="shared" si="50"/>
        <v>18.920000000000002</v>
      </c>
      <c r="J157" s="297">
        <f>VLOOKUP(A157,'12 - CORPO'!$A$1:$R$5122,18,FALSE)</f>
        <v>0</v>
      </c>
      <c r="K157" s="307">
        <f t="shared" si="43"/>
        <v>0</v>
      </c>
      <c r="L157" s="306">
        <f t="shared" si="44"/>
        <v>2</v>
      </c>
      <c r="M157" s="281">
        <f t="shared" si="51"/>
        <v>18.920000000000002</v>
      </c>
      <c r="N157" s="808"/>
      <c r="O157" s="260">
        <f t="shared" si="40"/>
        <v>0</v>
      </c>
      <c r="P157" s="260">
        <f t="shared" si="40"/>
        <v>0</v>
      </c>
      <c r="Q157" s="260"/>
      <c r="R157" s="260"/>
      <c r="S157" s="1164"/>
    </row>
    <row r="158" spans="1:19" ht="32.25" customHeight="1" outlineLevel="1">
      <c r="A158" s="317" t="s">
        <v>489</v>
      </c>
      <c r="B158" s="319" t="s">
        <v>1003</v>
      </c>
      <c r="C158" s="273" t="s">
        <v>1004</v>
      </c>
      <c r="D158" s="292" t="s">
        <v>816</v>
      </c>
      <c r="E158" s="279">
        <v>7.36</v>
      </c>
      <c r="F158" s="280">
        <v>2</v>
      </c>
      <c r="G158" s="281">
        <f t="shared" si="49"/>
        <v>14.72</v>
      </c>
      <c r="H158" s="282">
        <v>2</v>
      </c>
      <c r="I158" s="281">
        <f t="shared" si="50"/>
        <v>14.72</v>
      </c>
      <c r="J158" s="277">
        <f>VLOOKUP(A158,'12 - CORPO'!$A$1:$R$5122,18,FALSE)</f>
        <v>0</v>
      </c>
      <c r="K158" s="278">
        <f t="shared" si="43"/>
        <v>0</v>
      </c>
      <c r="L158" s="282">
        <f t="shared" si="44"/>
        <v>2</v>
      </c>
      <c r="M158" s="281">
        <f t="shared" si="51"/>
        <v>14.72</v>
      </c>
      <c r="N158" s="808"/>
      <c r="O158" s="260">
        <f t="shared" si="40"/>
        <v>0</v>
      </c>
      <c r="P158" s="260">
        <f t="shared" si="40"/>
        <v>0</v>
      </c>
      <c r="Q158" s="260"/>
      <c r="R158" s="260"/>
      <c r="S158" s="1164"/>
    </row>
    <row r="159" spans="1:19" ht="26.4" outlineLevel="1">
      <c r="A159" s="293" t="s">
        <v>490</v>
      </c>
      <c r="B159" s="318" t="s">
        <v>1005</v>
      </c>
      <c r="C159" s="294" t="s">
        <v>1006</v>
      </c>
      <c r="D159" s="292" t="s">
        <v>816</v>
      </c>
      <c r="E159" s="304">
        <v>201.63</v>
      </c>
      <c r="F159" s="305">
        <v>1</v>
      </c>
      <c r="G159" s="281">
        <f t="shared" si="49"/>
        <v>201.63</v>
      </c>
      <c r="H159" s="306">
        <v>1</v>
      </c>
      <c r="I159" s="281">
        <f t="shared" si="50"/>
        <v>201.63</v>
      </c>
      <c r="J159" s="297">
        <f>VLOOKUP(A159,'12 - CORPO'!$A$1:$R$5122,18,FALSE)</f>
        <v>0</v>
      </c>
      <c r="K159" s="307">
        <f t="shared" si="43"/>
        <v>0</v>
      </c>
      <c r="L159" s="306">
        <f t="shared" si="44"/>
        <v>1</v>
      </c>
      <c r="M159" s="281">
        <f t="shared" si="51"/>
        <v>201.63</v>
      </c>
      <c r="N159" s="808"/>
      <c r="O159" s="260">
        <f t="shared" si="40"/>
        <v>0</v>
      </c>
      <c r="P159" s="260">
        <f t="shared" si="40"/>
        <v>0</v>
      </c>
      <c r="Q159" s="260"/>
      <c r="R159" s="260"/>
      <c r="S159" s="1164"/>
    </row>
    <row r="160" spans="1:19" ht="26.4" outlineLevel="1">
      <c r="A160" s="293" t="s">
        <v>491</v>
      </c>
      <c r="B160" s="318" t="s">
        <v>1007</v>
      </c>
      <c r="C160" s="294" t="s">
        <v>1008</v>
      </c>
      <c r="D160" s="292" t="s">
        <v>816</v>
      </c>
      <c r="E160" s="304">
        <v>4.43</v>
      </c>
      <c r="F160" s="305">
        <v>1</v>
      </c>
      <c r="G160" s="281">
        <f t="shared" si="49"/>
        <v>4.43</v>
      </c>
      <c r="H160" s="306">
        <v>1</v>
      </c>
      <c r="I160" s="281">
        <f t="shared" si="50"/>
        <v>4.43</v>
      </c>
      <c r="J160" s="297">
        <f>VLOOKUP(A160,'12 - CORPO'!$A$1:$R$5122,18,FALSE)</f>
        <v>0</v>
      </c>
      <c r="K160" s="307">
        <f t="shared" si="43"/>
        <v>0</v>
      </c>
      <c r="L160" s="306">
        <f t="shared" si="44"/>
        <v>1</v>
      </c>
      <c r="M160" s="281">
        <f t="shared" si="51"/>
        <v>4.43</v>
      </c>
      <c r="N160" s="808"/>
      <c r="O160" s="260">
        <f t="shared" si="40"/>
        <v>0</v>
      </c>
      <c r="P160" s="260">
        <f t="shared" si="40"/>
        <v>0</v>
      </c>
      <c r="Q160" s="260"/>
      <c r="R160" s="260"/>
      <c r="S160" s="1164"/>
    </row>
    <row r="161" spans="1:19" outlineLevel="1">
      <c r="A161" s="317" t="s">
        <v>492</v>
      </c>
      <c r="B161" s="319" t="s">
        <v>1009</v>
      </c>
      <c r="C161" s="273" t="s">
        <v>1010</v>
      </c>
      <c r="D161" s="292" t="s">
        <v>816</v>
      </c>
      <c r="E161" s="279">
        <v>58.93</v>
      </c>
      <c r="F161" s="280">
        <v>5</v>
      </c>
      <c r="G161" s="281">
        <f t="shared" si="49"/>
        <v>294.64999999999998</v>
      </c>
      <c r="H161" s="282">
        <v>5</v>
      </c>
      <c r="I161" s="281">
        <f t="shared" si="50"/>
        <v>294.64999999999998</v>
      </c>
      <c r="J161" s="277">
        <f>VLOOKUP(A161,'12 - CORPO'!$A$1:$R$5122,18,FALSE)</f>
        <v>0</v>
      </c>
      <c r="K161" s="278">
        <f t="shared" si="43"/>
        <v>0</v>
      </c>
      <c r="L161" s="282">
        <f t="shared" si="44"/>
        <v>5</v>
      </c>
      <c r="M161" s="281">
        <f t="shared" si="51"/>
        <v>294.64999999999998</v>
      </c>
      <c r="N161" s="808"/>
      <c r="O161" s="260">
        <f t="shared" si="40"/>
        <v>0</v>
      </c>
      <c r="P161" s="260">
        <f t="shared" si="40"/>
        <v>0</v>
      </c>
      <c r="Q161" s="260"/>
      <c r="R161" s="260"/>
      <c r="S161" s="1164"/>
    </row>
    <row r="162" spans="1:19" ht="39.6" outlineLevel="1">
      <c r="A162" s="293" t="s">
        <v>493</v>
      </c>
      <c r="B162" s="318" t="s">
        <v>1011</v>
      </c>
      <c r="C162" s="294" t="s">
        <v>1012</v>
      </c>
      <c r="D162" s="292" t="s">
        <v>816</v>
      </c>
      <c r="E162" s="304">
        <v>125.88</v>
      </c>
      <c r="F162" s="305">
        <v>1</v>
      </c>
      <c r="G162" s="281">
        <f t="shared" si="49"/>
        <v>125.88</v>
      </c>
      <c r="H162" s="306">
        <v>1</v>
      </c>
      <c r="I162" s="281">
        <f t="shared" si="50"/>
        <v>125.88</v>
      </c>
      <c r="J162" s="297">
        <f>VLOOKUP(A162,'12 - CORPO'!$A$1:$R$5122,18,FALSE)</f>
        <v>0</v>
      </c>
      <c r="K162" s="307">
        <f t="shared" si="43"/>
        <v>0</v>
      </c>
      <c r="L162" s="306">
        <f t="shared" si="44"/>
        <v>1</v>
      </c>
      <c r="M162" s="281">
        <f t="shared" si="51"/>
        <v>125.88</v>
      </c>
      <c r="N162" s="808"/>
      <c r="O162" s="260">
        <f t="shared" si="40"/>
        <v>0</v>
      </c>
      <c r="P162" s="260">
        <f t="shared" si="40"/>
        <v>0</v>
      </c>
      <c r="Q162" s="260"/>
      <c r="R162" s="260"/>
      <c r="S162" s="1164"/>
    </row>
    <row r="163" spans="1:19" ht="26.4" outlineLevel="1">
      <c r="A163" s="293" t="s">
        <v>494</v>
      </c>
      <c r="B163" s="318" t="s">
        <v>1013</v>
      </c>
      <c r="C163" s="294" t="s">
        <v>1014</v>
      </c>
      <c r="D163" s="292" t="s">
        <v>816</v>
      </c>
      <c r="E163" s="304">
        <v>33.65</v>
      </c>
      <c r="F163" s="305">
        <v>2</v>
      </c>
      <c r="G163" s="281">
        <f t="shared" si="49"/>
        <v>67.3</v>
      </c>
      <c r="H163" s="306">
        <v>2</v>
      </c>
      <c r="I163" s="281">
        <f t="shared" si="50"/>
        <v>67.3</v>
      </c>
      <c r="J163" s="297">
        <f>VLOOKUP(A163,'12 - CORPO'!$A$1:$R$5122,18,FALSE)</f>
        <v>0</v>
      </c>
      <c r="K163" s="307">
        <f t="shared" si="43"/>
        <v>0</v>
      </c>
      <c r="L163" s="306">
        <f t="shared" si="44"/>
        <v>2</v>
      </c>
      <c r="M163" s="281">
        <f t="shared" si="51"/>
        <v>67.3</v>
      </c>
      <c r="N163" s="808"/>
      <c r="O163" s="260">
        <f t="shared" si="40"/>
        <v>0</v>
      </c>
      <c r="P163" s="260">
        <f t="shared" si="40"/>
        <v>0</v>
      </c>
      <c r="Q163" s="260"/>
      <c r="R163" s="260"/>
      <c r="S163" s="1164"/>
    </row>
    <row r="164" spans="1:19" ht="26.4" outlineLevel="1">
      <c r="A164" s="317" t="s">
        <v>495</v>
      </c>
      <c r="B164" s="319" t="s">
        <v>1015</v>
      </c>
      <c r="C164" s="273" t="s">
        <v>1016</v>
      </c>
      <c r="D164" s="292" t="s">
        <v>816</v>
      </c>
      <c r="E164" s="279">
        <v>28.39</v>
      </c>
      <c r="F164" s="280">
        <v>2</v>
      </c>
      <c r="G164" s="281">
        <f t="shared" si="49"/>
        <v>56.78</v>
      </c>
      <c r="H164" s="282">
        <v>2</v>
      </c>
      <c r="I164" s="281">
        <f t="shared" si="50"/>
        <v>56.78</v>
      </c>
      <c r="J164" s="277">
        <f>VLOOKUP(A164,'12 - CORPO'!$A$1:$R$5122,18,FALSE)</f>
        <v>0</v>
      </c>
      <c r="K164" s="278">
        <f t="shared" si="43"/>
        <v>0</v>
      </c>
      <c r="L164" s="282">
        <f t="shared" si="44"/>
        <v>2</v>
      </c>
      <c r="M164" s="281">
        <f t="shared" si="51"/>
        <v>56.78</v>
      </c>
      <c r="N164" s="808"/>
      <c r="O164" s="260">
        <f t="shared" si="40"/>
        <v>0</v>
      </c>
      <c r="P164" s="260">
        <f t="shared" si="40"/>
        <v>0</v>
      </c>
      <c r="Q164" s="260"/>
      <c r="R164" s="260"/>
      <c r="S164" s="1164"/>
    </row>
    <row r="165" spans="1:19" ht="26.4" outlineLevel="1">
      <c r="A165" s="293" t="s">
        <v>496</v>
      </c>
      <c r="B165" s="318" t="s">
        <v>1017</v>
      </c>
      <c r="C165" s="294" t="s">
        <v>1018</v>
      </c>
      <c r="D165" s="292" t="s">
        <v>809</v>
      </c>
      <c r="E165" s="304">
        <v>31</v>
      </c>
      <c r="F165" s="305">
        <v>12</v>
      </c>
      <c r="G165" s="281">
        <f t="shared" si="49"/>
        <v>372</v>
      </c>
      <c r="H165" s="306">
        <v>12</v>
      </c>
      <c r="I165" s="281">
        <f t="shared" si="50"/>
        <v>372</v>
      </c>
      <c r="J165" s="297">
        <f>VLOOKUP(A165,'12 - CORPO'!$A$1:$R$5122,18,FALSE)</f>
        <v>0</v>
      </c>
      <c r="K165" s="307">
        <f t="shared" si="43"/>
        <v>0</v>
      </c>
      <c r="L165" s="306">
        <f t="shared" si="44"/>
        <v>12</v>
      </c>
      <c r="M165" s="281">
        <f t="shared" si="51"/>
        <v>372</v>
      </c>
      <c r="N165" s="808"/>
      <c r="O165" s="260">
        <f t="shared" si="40"/>
        <v>0</v>
      </c>
      <c r="P165" s="260">
        <f t="shared" si="40"/>
        <v>0</v>
      </c>
      <c r="Q165" s="260"/>
      <c r="R165" s="260"/>
      <c r="S165" s="1164"/>
    </row>
    <row r="166" spans="1:19" ht="26.4" outlineLevel="1">
      <c r="A166" s="293" t="s">
        <v>497</v>
      </c>
      <c r="B166" s="318" t="s">
        <v>1019</v>
      </c>
      <c r="C166" s="294" t="s">
        <v>1020</v>
      </c>
      <c r="D166" s="292" t="s">
        <v>809</v>
      </c>
      <c r="E166" s="304">
        <v>39.83</v>
      </c>
      <c r="F166" s="305">
        <v>18</v>
      </c>
      <c r="G166" s="281">
        <f t="shared" si="49"/>
        <v>716.94</v>
      </c>
      <c r="H166" s="306">
        <v>18</v>
      </c>
      <c r="I166" s="281">
        <f t="shared" si="50"/>
        <v>716.94</v>
      </c>
      <c r="J166" s="297">
        <f>VLOOKUP(A166,'12 - CORPO'!$A$1:$R$5122,18,FALSE)</f>
        <v>0</v>
      </c>
      <c r="K166" s="307">
        <f t="shared" si="43"/>
        <v>0</v>
      </c>
      <c r="L166" s="306">
        <f t="shared" si="44"/>
        <v>18</v>
      </c>
      <c r="M166" s="281">
        <f t="shared" si="51"/>
        <v>716.94</v>
      </c>
      <c r="N166" s="808"/>
      <c r="O166" s="260">
        <f t="shared" si="40"/>
        <v>0</v>
      </c>
      <c r="P166" s="260">
        <f t="shared" si="40"/>
        <v>0</v>
      </c>
      <c r="Q166" s="260"/>
      <c r="R166" s="260"/>
      <c r="S166" s="1164"/>
    </row>
    <row r="167" spans="1:19" ht="26.4" outlineLevel="1">
      <c r="A167" s="317" t="s">
        <v>498</v>
      </c>
      <c r="B167" s="319" t="s">
        <v>1021</v>
      </c>
      <c r="C167" s="273" t="s">
        <v>1022</v>
      </c>
      <c r="D167" s="292" t="s">
        <v>809</v>
      </c>
      <c r="E167" s="279">
        <v>63.98</v>
      </c>
      <c r="F167" s="280">
        <v>42</v>
      </c>
      <c r="G167" s="281">
        <f t="shared" si="49"/>
        <v>2687.16</v>
      </c>
      <c r="H167" s="282">
        <v>42</v>
      </c>
      <c r="I167" s="281">
        <f t="shared" si="50"/>
        <v>2687.16</v>
      </c>
      <c r="J167" s="277">
        <f>VLOOKUP(A167,'12 - CORPO'!$A$1:$R$5122,18,FALSE)</f>
        <v>0</v>
      </c>
      <c r="K167" s="278">
        <f t="shared" si="43"/>
        <v>0</v>
      </c>
      <c r="L167" s="282">
        <f t="shared" si="44"/>
        <v>42</v>
      </c>
      <c r="M167" s="281">
        <f t="shared" si="51"/>
        <v>2687.16</v>
      </c>
      <c r="N167" s="808"/>
      <c r="O167" s="260">
        <f t="shared" si="40"/>
        <v>0</v>
      </c>
      <c r="P167" s="260">
        <f t="shared" si="40"/>
        <v>0</v>
      </c>
      <c r="Q167" s="260"/>
      <c r="R167" s="260"/>
      <c r="S167" s="1164"/>
    </row>
    <row r="168" spans="1:19" outlineLevel="1">
      <c r="A168" s="293" t="s">
        <v>499</v>
      </c>
      <c r="B168" s="318" t="s">
        <v>1023</v>
      </c>
      <c r="C168" s="294" t="s">
        <v>1024</v>
      </c>
      <c r="D168" s="292" t="s">
        <v>816</v>
      </c>
      <c r="E168" s="304">
        <v>49.12</v>
      </c>
      <c r="F168" s="305">
        <v>1</v>
      </c>
      <c r="G168" s="281">
        <f t="shared" si="49"/>
        <v>49.12</v>
      </c>
      <c r="H168" s="306">
        <v>1</v>
      </c>
      <c r="I168" s="281">
        <f t="shared" si="50"/>
        <v>49.12</v>
      </c>
      <c r="J168" s="297">
        <f>VLOOKUP(A168,'12 - CORPO'!$A$1:$R$5122,18,FALSE)</f>
        <v>0</v>
      </c>
      <c r="K168" s="307">
        <f t="shared" si="43"/>
        <v>0</v>
      </c>
      <c r="L168" s="306">
        <f t="shared" si="44"/>
        <v>1</v>
      </c>
      <c r="M168" s="281">
        <f t="shared" si="51"/>
        <v>49.12</v>
      </c>
      <c r="N168" s="808"/>
      <c r="O168" s="260">
        <f t="shared" si="40"/>
        <v>0</v>
      </c>
      <c r="P168" s="260">
        <f t="shared" si="40"/>
        <v>0</v>
      </c>
      <c r="Q168" s="260"/>
      <c r="R168" s="260"/>
      <c r="S168" s="1164"/>
    </row>
    <row r="169" spans="1:19" outlineLevel="1">
      <c r="A169" s="293" t="s">
        <v>500</v>
      </c>
      <c r="B169" s="318" t="s">
        <v>1025</v>
      </c>
      <c r="C169" s="294" t="s">
        <v>1026</v>
      </c>
      <c r="D169" s="292" t="s">
        <v>816</v>
      </c>
      <c r="E169" s="304">
        <v>104.93</v>
      </c>
      <c r="F169" s="305">
        <v>2</v>
      </c>
      <c r="G169" s="281">
        <f t="shared" si="49"/>
        <v>209.86</v>
      </c>
      <c r="H169" s="306">
        <v>2</v>
      </c>
      <c r="I169" s="281">
        <f t="shared" si="50"/>
        <v>209.86</v>
      </c>
      <c r="J169" s="297">
        <f>VLOOKUP(A169,'12 - CORPO'!$A$1:$R$5122,18,FALSE)</f>
        <v>0</v>
      </c>
      <c r="K169" s="307">
        <f t="shared" si="43"/>
        <v>0</v>
      </c>
      <c r="L169" s="306">
        <f t="shared" si="44"/>
        <v>2</v>
      </c>
      <c r="M169" s="281">
        <f t="shared" si="51"/>
        <v>209.86</v>
      </c>
      <c r="N169" s="808"/>
      <c r="O169" s="260">
        <f t="shared" si="40"/>
        <v>0</v>
      </c>
      <c r="P169" s="260">
        <f t="shared" si="40"/>
        <v>0</v>
      </c>
      <c r="Q169" s="260"/>
      <c r="R169" s="260"/>
      <c r="S169" s="1164"/>
    </row>
    <row r="170" spans="1:19" outlineLevel="1">
      <c r="A170" s="317" t="s">
        <v>501</v>
      </c>
      <c r="B170" s="319" t="s">
        <v>1027</v>
      </c>
      <c r="C170" s="273" t="s">
        <v>1028</v>
      </c>
      <c r="D170" s="292" t="s">
        <v>816</v>
      </c>
      <c r="E170" s="279">
        <v>490.01</v>
      </c>
      <c r="F170" s="280">
        <v>1</v>
      </c>
      <c r="G170" s="281">
        <f t="shared" si="49"/>
        <v>490.01</v>
      </c>
      <c r="H170" s="282">
        <v>1</v>
      </c>
      <c r="I170" s="281">
        <f t="shared" si="50"/>
        <v>490.01</v>
      </c>
      <c r="J170" s="277">
        <f>VLOOKUP(A170,'12 - CORPO'!$A$1:$R$5122,18,FALSE)</f>
        <v>0</v>
      </c>
      <c r="K170" s="278">
        <f t="shared" si="43"/>
        <v>0</v>
      </c>
      <c r="L170" s="282">
        <f t="shared" si="44"/>
        <v>1</v>
      </c>
      <c r="M170" s="281">
        <f t="shared" si="51"/>
        <v>490.01</v>
      </c>
      <c r="N170" s="808"/>
      <c r="O170" s="260">
        <f t="shared" si="40"/>
        <v>0</v>
      </c>
      <c r="P170" s="260">
        <f t="shared" si="40"/>
        <v>0</v>
      </c>
      <c r="Q170" s="260"/>
      <c r="R170" s="260"/>
      <c r="S170" s="1164"/>
    </row>
    <row r="171" spans="1:19" ht="39.6" outlineLevel="1">
      <c r="A171" s="293" t="s">
        <v>502</v>
      </c>
      <c r="B171" s="318" t="s">
        <v>1029</v>
      </c>
      <c r="C171" s="294" t="s">
        <v>1030</v>
      </c>
      <c r="D171" s="292" t="s">
        <v>816</v>
      </c>
      <c r="E171" s="304">
        <v>542.85</v>
      </c>
      <c r="F171" s="305">
        <v>3</v>
      </c>
      <c r="G171" s="281">
        <f t="shared" si="49"/>
        <v>1628.55</v>
      </c>
      <c r="H171" s="306">
        <v>3</v>
      </c>
      <c r="I171" s="281">
        <f t="shared" si="50"/>
        <v>1628.55</v>
      </c>
      <c r="J171" s="297">
        <f>VLOOKUP(A171,'12 - CORPO'!$A$1:$R$5122,18,FALSE)</f>
        <v>0</v>
      </c>
      <c r="K171" s="307">
        <f t="shared" si="43"/>
        <v>0</v>
      </c>
      <c r="L171" s="306">
        <f t="shared" si="44"/>
        <v>3</v>
      </c>
      <c r="M171" s="281">
        <f t="shared" si="51"/>
        <v>1628.55</v>
      </c>
      <c r="N171" s="808"/>
      <c r="O171" s="260">
        <f t="shared" si="40"/>
        <v>0</v>
      </c>
      <c r="P171" s="260">
        <f t="shared" si="40"/>
        <v>0</v>
      </c>
      <c r="Q171" s="260"/>
      <c r="R171" s="260"/>
      <c r="S171" s="1164"/>
    </row>
    <row r="172" spans="1:19" ht="39.6" outlineLevel="1">
      <c r="A172" s="293" t="s">
        <v>503</v>
      </c>
      <c r="B172" s="318" t="s">
        <v>1031</v>
      </c>
      <c r="C172" s="294" t="s">
        <v>1032</v>
      </c>
      <c r="D172" s="292" t="s">
        <v>816</v>
      </c>
      <c r="E172" s="304">
        <v>823.99</v>
      </c>
      <c r="F172" s="305">
        <v>1</v>
      </c>
      <c r="G172" s="281">
        <f t="shared" si="49"/>
        <v>823.99</v>
      </c>
      <c r="H172" s="306">
        <v>1</v>
      </c>
      <c r="I172" s="281">
        <f t="shared" si="50"/>
        <v>823.99</v>
      </c>
      <c r="J172" s="297">
        <f>VLOOKUP(A172,'12 - CORPO'!$A$1:$R$5122,18,FALSE)</f>
        <v>0</v>
      </c>
      <c r="K172" s="307">
        <f t="shared" si="43"/>
        <v>0</v>
      </c>
      <c r="L172" s="306">
        <f t="shared" si="44"/>
        <v>1</v>
      </c>
      <c r="M172" s="281">
        <f t="shared" si="51"/>
        <v>823.99</v>
      </c>
      <c r="N172" s="808"/>
      <c r="O172" s="260">
        <f t="shared" si="40"/>
        <v>0</v>
      </c>
      <c r="P172" s="260">
        <f t="shared" si="40"/>
        <v>0</v>
      </c>
      <c r="Q172" s="260"/>
      <c r="R172" s="260"/>
      <c r="S172" s="1164"/>
    </row>
    <row r="173" spans="1:19" outlineLevel="1">
      <c r="A173" s="317" t="s">
        <v>504</v>
      </c>
      <c r="B173" s="319" t="s">
        <v>1033</v>
      </c>
      <c r="C173" s="273" t="s">
        <v>1034</v>
      </c>
      <c r="D173" s="292" t="s">
        <v>816</v>
      </c>
      <c r="E173" s="279">
        <v>6.78</v>
      </c>
      <c r="F173" s="280">
        <v>1</v>
      </c>
      <c r="G173" s="281">
        <f t="shared" si="49"/>
        <v>6.78</v>
      </c>
      <c r="H173" s="282">
        <v>1</v>
      </c>
      <c r="I173" s="281">
        <f t="shared" si="50"/>
        <v>6.78</v>
      </c>
      <c r="J173" s="277">
        <f>VLOOKUP(A173,'12 - CORPO'!$A$1:$R$5122,18,FALSE)</f>
        <v>0</v>
      </c>
      <c r="K173" s="278">
        <f t="shared" si="43"/>
        <v>0</v>
      </c>
      <c r="L173" s="282">
        <f t="shared" si="44"/>
        <v>1</v>
      </c>
      <c r="M173" s="281">
        <f t="shared" si="51"/>
        <v>6.78</v>
      </c>
      <c r="N173" s="808"/>
      <c r="O173" s="260">
        <f t="shared" si="40"/>
        <v>0</v>
      </c>
      <c r="P173" s="260">
        <f t="shared" si="40"/>
        <v>0</v>
      </c>
      <c r="Q173" s="260"/>
      <c r="R173" s="260"/>
      <c r="S173" s="1164"/>
    </row>
    <row r="174" spans="1:19" ht="26.4" outlineLevel="1">
      <c r="A174" s="293" t="s">
        <v>505</v>
      </c>
      <c r="B174" s="318" t="s">
        <v>1035</v>
      </c>
      <c r="C174" s="294" t="s">
        <v>1036</v>
      </c>
      <c r="D174" s="292" t="s">
        <v>816</v>
      </c>
      <c r="E174" s="304">
        <v>38.25</v>
      </c>
      <c r="F174" s="305">
        <v>2</v>
      </c>
      <c r="G174" s="281">
        <f t="shared" si="49"/>
        <v>76.5</v>
      </c>
      <c r="H174" s="306">
        <v>2</v>
      </c>
      <c r="I174" s="281">
        <f t="shared" si="50"/>
        <v>76.5</v>
      </c>
      <c r="J174" s="297">
        <f>VLOOKUP(A174,'12 - CORPO'!$A$1:$R$5122,18,FALSE)</f>
        <v>0</v>
      </c>
      <c r="K174" s="307">
        <f>M174-I174</f>
        <v>0</v>
      </c>
      <c r="L174" s="306">
        <f>(H174+J174)</f>
        <v>2</v>
      </c>
      <c r="M174" s="281">
        <f t="shared" si="51"/>
        <v>76.5</v>
      </c>
      <c r="N174" s="808"/>
      <c r="O174" s="260">
        <f t="shared" si="40"/>
        <v>0</v>
      </c>
      <c r="P174" s="260">
        <f t="shared" si="40"/>
        <v>0</v>
      </c>
      <c r="Q174" s="260"/>
      <c r="R174" s="260"/>
      <c r="S174" s="1164"/>
    </row>
    <row r="175" spans="1:19" ht="26.4" outlineLevel="1">
      <c r="A175" s="293" t="s">
        <v>506</v>
      </c>
      <c r="B175" s="318" t="s">
        <v>1037</v>
      </c>
      <c r="C175" s="294" t="s">
        <v>1038</v>
      </c>
      <c r="D175" s="292" t="s">
        <v>816</v>
      </c>
      <c r="E175" s="304">
        <v>12.63</v>
      </c>
      <c r="F175" s="305">
        <v>2</v>
      </c>
      <c r="G175" s="281">
        <f t="shared" si="49"/>
        <v>25.26</v>
      </c>
      <c r="H175" s="306">
        <v>2</v>
      </c>
      <c r="I175" s="281">
        <f t="shared" si="50"/>
        <v>25.26</v>
      </c>
      <c r="J175" s="297">
        <f>VLOOKUP(A175,'12 - CORPO'!$A$1:$R$5122,18,FALSE)</f>
        <v>0</v>
      </c>
      <c r="K175" s="307">
        <f>M175-I175</f>
        <v>0</v>
      </c>
      <c r="L175" s="306">
        <f>(H175+J175)</f>
        <v>2</v>
      </c>
      <c r="M175" s="281">
        <f t="shared" si="51"/>
        <v>25.26</v>
      </c>
      <c r="N175" s="808"/>
      <c r="O175" s="260">
        <f t="shared" si="40"/>
        <v>0</v>
      </c>
      <c r="P175" s="260">
        <f t="shared" si="40"/>
        <v>0</v>
      </c>
      <c r="Q175" s="260"/>
      <c r="R175" s="260"/>
      <c r="S175" s="1164"/>
    </row>
    <row r="176" spans="1:19" ht="26.4" outlineLevel="1">
      <c r="A176" s="317" t="s">
        <v>507</v>
      </c>
      <c r="B176" s="319" t="s">
        <v>1039</v>
      </c>
      <c r="C176" s="273" t="s">
        <v>1040</v>
      </c>
      <c r="D176" s="292" t="s">
        <v>809</v>
      </c>
      <c r="E176" s="279">
        <v>118.78</v>
      </c>
      <c r="F176" s="280">
        <v>3</v>
      </c>
      <c r="G176" s="281">
        <f t="shared" si="49"/>
        <v>356.34</v>
      </c>
      <c r="H176" s="282">
        <v>3</v>
      </c>
      <c r="I176" s="281">
        <f t="shared" si="50"/>
        <v>356.34</v>
      </c>
      <c r="J176" s="277">
        <f>VLOOKUP(A176,'12 - CORPO'!$A$1:$R$5122,18,FALSE)</f>
        <v>0</v>
      </c>
      <c r="K176" s="278">
        <f>M176-I176</f>
        <v>0</v>
      </c>
      <c r="L176" s="282">
        <f>(H176+J176)</f>
        <v>3</v>
      </c>
      <c r="M176" s="281">
        <f t="shared" si="51"/>
        <v>356.34</v>
      </c>
      <c r="N176" s="808"/>
      <c r="O176" s="260">
        <f t="shared" si="40"/>
        <v>0</v>
      </c>
      <c r="P176" s="260">
        <f t="shared" si="40"/>
        <v>0</v>
      </c>
      <c r="Q176" s="260"/>
      <c r="R176" s="260"/>
      <c r="S176" s="1164"/>
    </row>
    <row r="177" spans="1:19" ht="39.6" outlineLevel="1">
      <c r="A177" s="661" t="s">
        <v>508</v>
      </c>
      <c r="B177" s="662" t="s">
        <v>1041</v>
      </c>
      <c r="C177" s="663" t="s">
        <v>1042</v>
      </c>
      <c r="D177" s="664" t="s">
        <v>816</v>
      </c>
      <c r="E177" s="665">
        <v>1831.04</v>
      </c>
      <c r="F177" s="666">
        <v>1</v>
      </c>
      <c r="G177" s="667">
        <f t="shared" si="49"/>
        <v>1831.04</v>
      </c>
      <c r="H177" s="668">
        <v>1</v>
      </c>
      <c r="I177" s="667">
        <f t="shared" si="50"/>
        <v>1831.04</v>
      </c>
      <c r="J177" s="669">
        <f>VLOOKUP(A177,'12 - CORPO'!$A$1:$R$5122,18,FALSE)</f>
        <v>0</v>
      </c>
      <c r="K177" s="670">
        <f>M177-I177</f>
        <v>0</v>
      </c>
      <c r="L177" s="668">
        <f>(H177+J177)</f>
        <v>1</v>
      </c>
      <c r="M177" s="667">
        <f t="shared" si="51"/>
        <v>1831.04</v>
      </c>
      <c r="N177" s="808"/>
      <c r="O177" s="260">
        <f t="shared" si="40"/>
        <v>0</v>
      </c>
      <c r="P177" s="260">
        <f t="shared" si="40"/>
        <v>0</v>
      </c>
      <c r="Q177" s="260"/>
      <c r="R177" s="260"/>
      <c r="S177" s="1164"/>
    </row>
    <row r="178" spans="1:19" ht="39.6" outlineLevel="1">
      <c r="A178" s="815" t="s">
        <v>509</v>
      </c>
      <c r="B178" s="816" t="s">
        <v>1043</v>
      </c>
      <c r="C178" s="817" t="s">
        <v>1044</v>
      </c>
      <c r="D178" s="818" t="s">
        <v>816</v>
      </c>
      <c r="E178" s="819">
        <v>2426.02</v>
      </c>
      <c r="F178" s="820">
        <v>1</v>
      </c>
      <c r="G178" s="821">
        <f>ROUND(F178*E178,2)</f>
        <v>2426.02</v>
      </c>
      <c r="H178" s="822">
        <v>1</v>
      </c>
      <c r="I178" s="821">
        <f>ROUND((E178*H178),2)</f>
        <v>2426.02</v>
      </c>
      <c r="J178" s="823">
        <f>VLOOKUP(A178,'12 - CORPO'!$A$1:$R$5122,18,FALSE)</f>
        <v>0</v>
      </c>
      <c r="K178" s="824">
        <f>M178-I178</f>
        <v>0</v>
      </c>
      <c r="L178" s="822">
        <f>(H178+J178)</f>
        <v>1</v>
      </c>
      <c r="M178" s="821">
        <f>ROUND((E178*L178),2)</f>
        <v>2426.02</v>
      </c>
      <c r="N178" s="808"/>
      <c r="O178" s="260">
        <f t="shared" si="40"/>
        <v>0</v>
      </c>
      <c r="P178" s="260">
        <f t="shared" si="40"/>
        <v>0</v>
      </c>
      <c r="Q178" s="260"/>
      <c r="R178" s="260"/>
      <c r="S178" s="1164"/>
    </row>
    <row r="179" spans="1:19" ht="19.95" customHeight="1">
      <c r="A179" s="1320" t="s">
        <v>510</v>
      </c>
      <c r="B179" s="1447" t="s">
        <v>1045</v>
      </c>
      <c r="C179" s="1447"/>
      <c r="D179" s="1322"/>
      <c r="E179" s="1322"/>
      <c r="F179" s="1322"/>
      <c r="G179" s="1323">
        <f>SUBTOTAL(9,G180:G194)</f>
        <v>623512.26</v>
      </c>
      <c r="H179" s="1322"/>
      <c r="I179" s="1323">
        <f>SUBTOTAL(9,I180:I194)</f>
        <v>325350.56999999995</v>
      </c>
      <c r="J179" s="1322"/>
      <c r="K179" s="1323">
        <f>SUBTOTAL(9,K180:K194)</f>
        <v>3397.5</v>
      </c>
      <c r="L179" s="1322"/>
      <c r="M179" s="1324">
        <f>SUBTOTAL(9,M180:M194)</f>
        <v>328748.06999999995</v>
      </c>
      <c r="N179" s="811"/>
      <c r="O179" s="260">
        <f t="shared" si="40"/>
        <v>0</v>
      </c>
      <c r="P179" s="260"/>
      <c r="Q179" s="262"/>
      <c r="R179" s="262"/>
      <c r="S179" s="1164"/>
    </row>
    <row r="180" spans="1:19" outlineLevel="1">
      <c r="A180" s="293" t="s">
        <v>511</v>
      </c>
      <c r="B180" s="318" t="s">
        <v>967</v>
      </c>
      <c r="C180" s="294" t="s">
        <v>968</v>
      </c>
      <c r="D180" s="292" t="s">
        <v>821</v>
      </c>
      <c r="E180" s="304">
        <v>580.5</v>
      </c>
      <c r="F180" s="305">
        <v>22</v>
      </c>
      <c r="G180" s="281">
        <f t="shared" ref="G180:G192" si="52">ROUND(F180*E180,2)</f>
        <v>12771</v>
      </c>
      <c r="H180" s="306">
        <v>22</v>
      </c>
      <c r="I180" s="281">
        <f t="shared" ref="I180:I192" si="53">ROUND((E180*H180),2)</f>
        <v>12771</v>
      </c>
      <c r="J180" s="297">
        <f>VLOOKUP(A180,'12 - CORPO'!$A$1:$R$5122,18,FALSE)</f>
        <v>0</v>
      </c>
      <c r="K180" s="307">
        <f t="shared" ref="K180:K194" si="54">M180-I180</f>
        <v>0</v>
      </c>
      <c r="L180" s="306">
        <f t="shared" ref="L180:L194" si="55">(H180+J180)</f>
        <v>22</v>
      </c>
      <c r="M180" s="281">
        <f t="shared" ref="M180:M192" si="56">ROUND((E180*L180),2)</f>
        <v>12771</v>
      </c>
      <c r="N180" s="808"/>
      <c r="O180" s="260">
        <f t="shared" si="40"/>
        <v>0</v>
      </c>
      <c r="P180" s="260">
        <f t="shared" si="40"/>
        <v>0</v>
      </c>
      <c r="Q180" s="260"/>
      <c r="R180" s="260"/>
      <c r="S180" s="1164"/>
    </row>
    <row r="181" spans="1:19" ht="39.6" outlineLevel="1">
      <c r="A181" s="317" t="s">
        <v>512</v>
      </c>
      <c r="B181" s="319" t="s">
        <v>970</v>
      </c>
      <c r="C181" s="273" t="s">
        <v>971</v>
      </c>
      <c r="D181" s="292" t="s">
        <v>821</v>
      </c>
      <c r="E181" s="279">
        <v>67.61</v>
      </c>
      <c r="F181" s="280">
        <v>348</v>
      </c>
      <c r="G181" s="281">
        <f t="shared" si="52"/>
        <v>23528.28</v>
      </c>
      <c r="H181" s="282">
        <v>0</v>
      </c>
      <c r="I181" s="281">
        <f t="shared" si="53"/>
        <v>0</v>
      </c>
      <c r="J181" s="277">
        <f>VLOOKUP(A181,'12 - CORPO'!$A$1:$R$5122,18,FALSE)</f>
        <v>0</v>
      </c>
      <c r="K181" s="278">
        <f t="shared" si="54"/>
        <v>0</v>
      </c>
      <c r="L181" s="282">
        <f t="shared" si="55"/>
        <v>0</v>
      </c>
      <c r="M181" s="281">
        <f t="shared" si="56"/>
        <v>0</v>
      </c>
      <c r="N181" s="808"/>
      <c r="O181" s="260">
        <f t="shared" si="40"/>
        <v>348</v>
      </c>
      <c r="P181" s="260">
        <f t="shared" si="40"/>
        <v>23528.28</v>
      </c>
      <c r="Q181" s="260"/>
      <c r="R181" s="260"/>
      <c r="S181" s="1164"/>
    </row>
    <row r="182" spans="1:19" ht="26.4" outlineLevel="1">
      <c r="A182" s="293" t="s">
        <v>513</v>
      </c>
      <c r="B182" s="318" t="s">
        <v>1046</v>
      </c>
      <c r="C182" s="294" t="s">
        <v>1047</v>
      </c>
      <c r="D182" s="292" t="s">
        <v>809</v>
      </c>
      <c r="E182" s="304">
        <v>16.48</v>
      </c>
      <c r="F182" s="305">
        <v>229</v>
      </c>
      <c r="G182" s="281">
        <f t="shared" si="52"/>
        <v>3773.92</v>
      </c>
      <c r="H182" s="306">
        <v>229</v>
      </c>
      <c r="I182" s="281">
        <f t="shared" si="53"/>
        <v>3773.92</v>
      </c>
      <c r="J182" s="297">
        <f>VLOOKUP(A182,'12 - CORPO'!$A$1:$R$5122,18,FALSE)</f>
        <v>0</v>
      </c>
      <c r="K182" s="307">
        <f t="shared" si="54"/>
        <v>0</v>
      </c>
      <c r="L182" s="306">
        <f t="shared" si="55"/>
        <v>229</v>
      </c>
      <c r="M182" s="281">
        <f t="shared" si="56"/>
        <v>3773.92</v>
      </c>
      <c r="N182" s="808"/>
      <c r="O182" s="260">
        <f t="shared" si="40"/>
        <v>0</v>
      </c>
      <c r="P182" s="260">
        <f t="shared" si="40"/>
        <v>0</v>
      </c>
      <c r="Q182" s="260"/>
      <c r="R182" s="260"/>
      <c r="S182" s="1164"/>
    </row>
    <row r="183" spans="1:19" ht="26.4" outlineLevel="1">
      <c r="A183" s="293" t="s">
        <v>514</v>
      </c>
      <c r="B183" s="318" t="s">
        <v>965</v>
      </c>
      <c r="C183" s="294" t="s">
        <v>172</v>
      </c>
      <c r="D183" s="292" t="s">
        <v>821</v>
      </c>
      <c r="E183" s="304">
        <v>172.72</v>
      </c>
      <c r="F183" s="305">
        <v>182</v>
      </c>
      <c r="G183" s="281">
        <f t="shared" si="52"/>
        <v>31435.040000000001</v>
      </c>
      <c r="H183" s="306">
        <v>182</v>
      </c>
      <c r="I183" s="281">
        <f t="shared" si="53"/>
        <v>31435.040000000001</v>
      </c>
      <c r="J183" s="297">
        <f>VLOOKUP(A183,'12 - CORPO'!$A$1:$R$5122,18,FALSE)</f>
        <v>0</v>
      </c>
      <c r="K183" s="307">
        <f t="shared" si="54"/>
        <v>0</v>
      </c>
      <c r="L183" s="306">
        <f t="shared" si="55"/>
        <v>182</v>
      </c>
      <c r="M183" s="281">
        <f t="shared" si="56"/>
        <v>31435.040000000001</v>
      </c>
      <c r="N183" s="808"/>
      <c r="O183" s="260">
        <f t="shared" si="40"/>
        <v>0</v>
      </c>
      <c r="P183" s="260">
        <f t="shared" si="40"/>
        <v>0</v>
      </c>
      <c r="Q183" s="260"/>
      <c r="R183" s="260"/>
      <c r="S183" s="1164"/>
    </row>
    <row r="184" spans="1:19" outlineLevel="1">
      <c r="A184" s="317" t="s">
        <v>515</v>
      </c>
      <c r="B184" s="319" t="s">
        <v>1048</v>
      </c>
      <c r="C184" s="273" t="s">
        <v>1049</v>
      </c>
      <c r="D184" s="292" t="s">
        <v>809</v>
      </c>
      <c r="E184" s="279">
        <v>99.34</v>
      </c>
      <c r="F184" s="280">
        <v>166.32</v>
      </c>
      <c r="G184" s="281">
        <f t="shared" si="52"/>
        <v>16522.23</v>
      </c>
      <c r="H184" s="282">
        <v>0</v>
      </c>
      <c r="I184" s="281">
        <f t="shared" si="53"/>
        <v>0</v>
      </c>
      <c r="J184" s="277">
        <f>VLOOKUP(A184,'12 - CORPO'!$A$1:$R$5122,18,FALSE)</f>
        <v>0</v>
      </c>
      <c r="K184" s="278">
        <f t="shared" si="54"/>
        <v>0</v>
      </c>
      <c r="L184" s="282">
        <f t="shared" si="55"/>
        <v>0</v>
      </c>
      <c r="M184" s="281">
        <f t="shared" si="56"/>
        <v>0</v>
      </c>
      <c r="N184" s="808"/>
      <c r="O184" s="260">
        <f t="shared" ref="O184:P247" si="57">F184-L184</f>
        <v>166.32</v>
      </c>
      <c r="P184" s="260">
        <f t="shared" si="57"/>
        <v>16522.23</v>
      </c>
      <c r="Q184" s="260"/>
      <c r="R184" s="260"/>
      <c r="S184" s="1164"/>
    </row>
    <row r="185" spans="1:19" ht="39.6" outlineLevel="1">
      <c r="A185" s="293" t="s">
        <v>516</v>
      </c>
      <c r="B185" s="318" t="s">
        <v>1050</v>
      </c>
      <c r="C185" s="294" t="s">
        <v>1051</v>
      </c>
      <c r="D185" s="292" t="s">
        <v>809</v>
      </c>
      <c r="E185" s="304">
        <v>436.67</v>
      </c>
      <c r="F185" s="305">
        <v>219.74</v>
      </c>
      <c r="G185" s="281">
        <f t="shared" si="52"/>
        <v>95953.87</v>
      </c>
      <c r="H185" s="306">
        <v>219.74</v>
      </c>
      <c r="I185" s="281">
        <f t="shared" si="53"/>
        <v>95953.87</v>
      </c>
      <c r="J185" s="297">
        <f>VLOOKUP(A185,'12 - CORPO'!$A$1:$R$5122,18,FALSE)</f>
        <v>0</v>
      </c>
      <c r="K185" s="307">
        <f t="shared" si="54"/>
        <v>0</v>
      </c>
      <c r="L185" s="306">
        <f t="shared" si="55"/>
        <v>219.74</v>
      </c>
      <c r="M185" s="281">
        <f t="shared" si="56"/>
        <v>95953.87</v>
      </c>
      <c r="N185" s="808"/>
      <c r="O185" s="260">
        <f t="shared" si="57"/>
        <v>0</v>
      </c>
      <c r="P185" s="260">
        <f t="shared" si="57"/>
        <v>0</v>
      </c>
      <c r="Q185" s="260"/>
      <c r="R185" s="260"/>
      <c r="S185" s="1164"/>
    </row>
    <row r="186" spans="1:19" ht="26.4" outlineLevel="1">
      <c r="A186" s="293" t="s">
        <v>517</v>
      </c>
      <c r="B186" s="318" t="s">
        <v>1052</v>
      </c>
      <c r="C186" s="294" t="s">
        <v>1053</v>
      </c>
      <c r="D186" s="292" t="s">
        <v>821</v>
      </c>
      <c r="E186" s="304">
        <v>17.05</v>
      </c>
      <c r="F186" s="305">
        <v>1819.93</v>
      </c>
      <c r="G186" s="281">
        <f t="shared" si="52"/>
        <v>31029.81</v>
      </c>
      <c r="H186" s="306">
        <v>1819.93</v>
      </c>
      <c r="I186" s="281">
        <f t="shared" si="53"/>
        <v>31029.81</v>
      </c>
      <c r="J186" s="297">
        <f>VLOOKUP(A186,'12 - CORPO'!$A$1:$R$5122,18,FALSE)</f>
        <v>0</v>
      </c>
      <c r="K186" s="307">
        <f t="shared" si="54"/>
        <v>0</v>
      </c>
      <c r="L186" s="306">
        <f t="shared" si="55"/>
        <v>1819.93</v>
      </c>
      <c r="M186" s="281">
        <f t="shared" si="56"/>
        <v>31029.81</v>
      </c>
      <c r="N186" s="808"/>
      <c r="O186" s="260">
        <f t="shared" si="57"/>
        <v>0</v>
      </c>
      <c r="P186" s="260">
        <f t="shared" si="57"/>
        <v>0</v>
      </c>
      <c r="Q186" s="260"/>
      <c r="R186" s="260"/>
      <c r="S186" s="1164"/>
    </row>
    <row r="187" spans="1:19" ht="26.4" outlineLevel="1">
      <c r="A187" s="317" t="s">
        <v>518</v>
      </c>
      <c r="B187" s="319" t="s">
        <v>1054</v>
      </c>
      <c r="C187" s="273" t="s">
        <v>1055</v>
      </c>
      <c r="D187" s="292" t="s">
        <v>809</v>
      </c>
      <c r="E187" s="279">
        <v>44.56</v>
      </c>
      <c r="F187" s="280">
        <v>359.84</v>
      </c>
      <c r="G187" s="281">
        <f t="shared" si="52"/>
        <v>16034.47</v>
      </c>
      <c r="H187" s="282">
        <v>359.84</v>
      </c>
      <c r="I187" s="281">
        <f t="shared" si="53"/>
        <v>16034.47</v>
      </c>
      <c r="J187" s="277">
        <f>VLOOKUP(A187,'12 - CORPO'!$A$1:$R$5122,18,FALSE)</f>
        <v>0</v>
      </c>
      <c r="K187" s="278">
        <f t="shared" si="54"/>
        <v>0</v>
      </c>
      <c r="L187" s="282">
        <f t="shared" si="55"/>
        <v>359.84</v>
      </c>
      <c r="M187" s="281">
        <f t="shared" si="56"/>
        <v>16034.47</v>
      </c>
      <c r="N187" s="808"/>
      <c r="O187" s="260">
        <f t="shared" si="57"/>
        <v>0</v>
      </c>
      <c r="P187" s="260">
        <f t="shared" si="57"/>
        <v>0</v>
      </c>
      <c r="Q187" s="260"/>
      <c r="R187" s="260"/>
      <c r="S187" s="1164"/>
    </row>
    <row r="188" spans="1:19" outlineLevel="1">
      <c r="A188" s="293" t="s">
        <v>519</v>
      </c>
      <c r="B188" s="318" t="s">
        <v>1056</v>
      </c>
      <c r="C188" s="294" t="s">
        <v>1057</v>
      </c>
      <c r="D188" s="292" t="s">
        <v>816</v>
      </c>
      <c r="E188" s="304">
        <v>299.49</v>
      </c>
      <c r="F188" s="305">
        <v>10</v>
      </c>
      <c r="G188" s="281">
        <f t="shared" si="52"/>
        <v>2994.9</v>
      </c>
      <c r="H188" s="306">
        <v>3</v>
      </c>
      <c r="I188" s="281">
        <f t="shared" si="53"/>
        <v>898.47</v>
      </c>
      <c r="J188" s="297">
        <f>VLOOKUP(A188,'12 - CORPO'!$A$1:$R$5122,18,FALSE)</f>
        <v>0</v>
      </c>
      <c r="K188" s="307">
        <f t="shared" si="54"/>
        <v>0</v>
      </c>
      <c r="L188" s="306">
        <f t="shared" si="55"/>
        <v>3</v>
      </c>
      <c r="M188" s="281">
        <f t="shared" si="56"/>
        <v>898.47</v>
      </c>
      <c r="N188" s="808"/>
      <c r="O188" s="260">
        <f t="shared" si="57"/>
        <v>7</v>
      </c>
      <c r="P188" s="260">
        <f t="shared" si="57"/>
        <v>2096.4300000000003</v>
      </c>
      <c r="Q188" s="260"/>
      <c r="R188" s="260"/>
      <c r="S188" s="1164"/>
    </row>
    <row r="189" spans="1:19" ht="39.6" outlineLevel="1">
      <c r="A189" s="293" t="s">
        <v>520</v>
      </c>
      <c r="B189" s="318" t="s">
        <v>1058</v>
      </c>
      <c r="C189" s="294" t="s">
        <v>1059</v>
      </c>
      <c r="D189" s="292" t="s">
        <v>821</v>
      </c>
      <c r="E189" s="304">
        <v>61.44</v>
      </c>
      <c r="F189" s="305">
        <v>30.11</v>
      </c>
      <c r="G189" s="281">
        <f t="shared" si="52"/>
        <v>1849.96</v>
      </c>
      <c r="H189" s="306">
        <v>0</v>
      </c>
      <c r="I189" s="281">
        <f t="shared" si="53"/>
        <v>0</v>
      </c>
      <c r="J189" s="297">
        <f>VLOOKUP(A189,'12 - CORPO'!$A$1:$R$5122,18,FALSE)</f>
        <v>0</v>
      </c>
      <c r="K189" s="307">
        <f t="shared" si="54"/>
        <v>0</v>
      </c>
      <c r="L189" s="306">
        <f t="shared" si="55"/>
        <v>0</v>
      </c>
      <c r="M189" s="281">
        <f t="shared" si="56"/>
        <v>0</v>
      </c>
      <c r="N189" s="808"/>
      <c r="O189" s="260">
        <f t="shared" si="57"/>
        <v>30.11</v>
      </c>
      <c r="P189" s="260">
        <f t="shared" si="57"/>
        <v>1849.96</v>
      </c>
      <c r="Q189" s="260"/>
      <c r="R189" s="260"/>
      <c r="S189" s="1164"/>
    </row>
    <row r="190" spans="1:19" ht="39.6" outlineLevel="1">
      <c r="A190" s="317" t="s">
        <v>521</v>
      </c>
      <c r="B190" s="319" t="s">
        <v>1060</v>
      </c>
      <c r="C190" s="273" t="s">
        <v>1061</v>
      </c>
      <c r="D190" s="292" t="s">
        <v>821</v>
      </c>
      <c r="E190" s="279">
        <v>61.44</v>
      </c>
      <c r="F190" s="280">
        <v>0.56000000000000005</v>
      </c>
      <c r="G190" s="281">
        <f t="shared" si="52"/>
        <v>34.409999999999997</v>
      </c>
      <c r="H190" s="282">
        <v>0</v>
      </c>
      <c r="I190" s="281">
        <f t="shared" si="53"/>
        <v>0</v>
      </c>
      <c r="J190" s="277">
        <f>VLOOKUP(A190,'12 - CORPO'!$A$1:$R$5122,18,FALSE)</f>
        <v>0</v>
      </c>
      <c r="K190" s="278">
        <f t="shared" si="54"/>
        <v>0</v>
      </c>
      <c r="L190" s="282">
        <f t="shared" si="55"/>
        <v>0</v>
      </c>
      <c r="M190" s="281">
        <f t="shared" si="56"/>
        <v>0</v>
      </c>
      <c r="N190" s="808"/>
      <c r="O190" s="260">
        <f t="shared" si="57"/>
        <v>0.56000000000000005</v>
      </c>
      <c r="P190" s="260">
        <f t="shared" si="57"/>
        <v>34.409999999999997</v>
      </c>
      <c r="Q190" s="260"/>
      <c r="R190" s="260"/>
      <c r="S190" s="1164"/>
    </row>
    <row r="191" spans="1:19" ht="33.75" customHeight="1" outlineLevel="1">
      <c r="A191" s="293" t="s">
        <v>522</v>
      </c>
      <c r="B191" s="318" t="s">
        <v>1062</v>
      </c>
      <c r="C191" s="294" t="s">
        <v>1063</v>
      </c>
      <c r="D191" s="292" t="s">
        <v>821</v>
      </c>
      <c r="E191" s="1165">
        <v>63.8</v>
      </c>
      <c r="F191" s="305">
        <v>1429.67</v>
      </c>
      <c r="G191" s="281">
        <f t="shared" si="52"/>
        <v>91212.95</v>
      </c>
      <c r="H191" s="306">
        <v>1429.67</v>
      </c>
      <c r="I191" s="281">
        <f t="shared" si="53"/>
        <v>91212.95</v>
      </c>
      <c r="J191" s="297">
        <f>VLOOKUP(A191,'12 - CORPO'!$A$1:$R$5122,18,FALSE)</f>
        <v>0</v>
      </c>
      <c r="K191" s="307">
        <f t="shared" si="54"/>
        <v>0</v>
      </c>
      <c r="L191" s="306">
        <f t="shared" si="55"/>
        <v>1429.67</v>
      </c>
      <c r="M191" s="281">
        <f t="shared" si="56"/>
        <v>91212.95</v>
      </c>
      <c r="N191" s="808"/>
      <c r="O191" s="260">
        <f t="shared" si="57"/>
        <v>0</v>
      </c>
      <c r="P191" s="260">
        <f t="shared" si="57"/>
        <v>0</v>
      </c>
      <c r="Q191" s="260"/>
      <c r="R191" s="260"/>
      <c r="S191" s="1164"/>
    </row>
    <row r="192" spans="1:19" outlineLevel="1">
      <c r="A192" s="293" t="s">
        <v>523</v>
      </c>
      <c r="B192" s="318" t="s">
        <v>880</v>
      </c>
      <c r="C192" s="294" t="s">
        <v>1064</v>
      </c>
      <c r="D192" s="292" t="s">
        <v>853</v>
      </c>
      <c r="E192" s="304">
        <v>67.95</v>
      </c>
      <c r="F192" s="305">
        <v>2617.9299999999998</v>
      </c>
      <c r="G192" s="281">
        <f t="shared" si="52"/>
        <v>177888.34</v>
      </c>
      <c r="H192" s="306">
        <v>0</v>
      </c>
      <c r="I192" s="281">
        <f t="shared" si="53"/>
        <v>0</v>
      </c>
      <c r="J192" s="297">
        <f>VLOOKUP(A192,'12 - CORPO'!$A$1:$R$5122,18,FALSE)</f>
        <v>50</v>
      </c>
      <c r="K192" s="307">
        <f t="shared" si="54"/>
        <v>3397.5</v>
      </c>
      <c r="L192" s="306">
        <f t="shared" si="55"/>
        <v>50</v>
      </c>
      <c r="M192" s="281">
        <f t="shared" si="56"/>
        <v>3397.5</v>
      </c>
      <c r="N192" s="808"/>
      <c r="O192" s="260">
        <f t="shared" si="57"/>
        <v>2567.9299999999998</v>
      </c>
      <c r="P192" s="260">
        <f t="shared" si="57"/>
        <v>174490.84</v>
      </c>
      <c r="Q192" s="260"/>
      <c r="R192" s="260"/>
      <c r="S192" s="1164"/>
    </row>
    <row r="193" spans="1:19" outlineLevel="1">
      <c r="A193" s="293" t="s">
        <v>524</v>
      </c>
      <c r="B193" s="318" t="s">
        <v>1065</v>
      </c>
      <c r="C193" s="294" t="s">
        <v>1066</v>
      </c>
      <c r="D193" s="292" t="s">
        <v>821</v>
      </c>
      <c r="E193" s="304">
        <v>98</v>
      </c>
      <c r="F193" s="305">
        <v>777.98</v>
      </c>
      <c r="G193" s="281">
        <f>ROUND(F193*E193,2)</f>
        <v>76242.039999999994</v>
      </c>
      <c r="H193" s="306">
        <v>0</v>
      </c>
      <c r="I193" s="281">
        <f>ROUND((E193*H193),2)</f>
        <v>0</v>
      </c>
      <c r="J193" s="297">
        <f>VLOOKUP(A193,'12 - CORPO'!$A$1:$R$5122,18,FALSE)</f>
        <v>0</v>
      </c>
      <c r="K193" s="307">
        <f t="shared" si="54"/>
        <v>0</v>
      </c>
      <c r="L193" s="306">
        <f t="shared" si="55"/>
        <v>0</v>
      </c>
      <c r="M193" s="281">
        <f>ROUND((E193*L193),2)</f>
        <v>0</v>
      </c>
      <c r="N193" s="808"/>
      <c r="O193" s="260">
        <f t="shared" si="57"/>
        <v>777.98</v>
      </c>
      <c r="P193" s="260">
        <f t="shared" si="57"/>
        <v>76242.039999999994</v>
      </c>
      <c r="Q193" s="260"/>
      <c r="R193" s="260"/>
      <c r="S193" s="1164"/>
    </row>
    <row r="194" spans="1:19" outlineLevel="1">
      <c r="A194" s="661" t="s">
        <v>525</v>
      </c>
      <c r="B194" s="662" t="s">
        <v>1067</v>
      </c>
      <c r="C194" s="663" t="s">
        <v>1068</v>
      </c>
      <c r="D194" s="664" t="s">
        <v>821</v>
      </c>
      <c r="E194" s="665">
        <v>142.13</v>
      </c>
      <c r="F194" s="666">
        <v>297.2</v>
      </c>
      <c r="G194" s="667">
        <f>ROUND(F194*E194,2)</f>
        <v>42241.04</v>
      </c>
      <c r="H194" s="668">
        <v>297.2</v>
      </c>
      <c r="I194" s="667">
        <f>ROUND((E194*H194),2)</f>
        <v>42241.04</v>
      </c>
      <c r="J194" s="669">
        <f>VLOOKUP(A194,'12 - CORPO'!$A$1:$R$5122,18,FALSE)</f>
        <v>0</v>
      </c>
      <c r="K194" s="670">
        <f t="shared" si="54"/>
        <v>0</v>
      </c>
      <c r="L194" s="668">
        <f t="shared" si="55"/>
        <v>297.2</v>
      </c>
      <c r="M194" s="667">
        <f>ROUND((E194*L194),2)</f>
        <v>42241.04</v>
      </c>
      <c r="N194" s="808"/>
      <c r="O194" s="260">
        <f t="shared" si="57"/>
        <v>0</v>
      </c>
      <c r="P194" s="260">
        <f t="shared" si="57"/>
        <v>0</v>
      </c>
      <c r="Q194" s="260"/>
      <c r="R194" s="260"/>
      <c r="S194" s="1164"/>
    </row>
    <row r="195" spans="1:19" ht="19.95" customHeight="1">
      <c r="A195" s="1320" t="s">
        <v>526</v>
      </c>
      <c r="B195" s="1321" t="s">
        <v>1069</v>
      </c>
      <c r="C195" s="1322" t="s">
        <v>150</v>
      </c>
      <c r="D195" s="1322"/>
      <c r="E195" s="1322"/>
      <c r="F195" s="1322"/>
      <c r="G195" s="1323">
        <f>SUBTOTAL(9,G196:G202)</f>
        <v>6316.05</v>
      </c>
      <c r="H195" s="1322"/>
      <c r="I195" s="1323">
        <f>SUBTOTAL(9,I196:I202)</f>
        <v>6316.05</v>
      </c>
      <c r="J195" s="1322"/>
      <c r="K195" s="1323">
        <f>SUBTOTAL(9,K196:K202)</f>
        <v>0</v>
      </c>
      <c r="L195" s="1322"/>
      <c r="M195" s="1324">
        <f>SUBTOTAL(9,M196:M202)</f>
        <v>6316.05</v>
      </c>
      <c r="N195" s="811"/>
      <c r="O195" s="260">
        <f t="shared" si="57"/>
        <v>0</v>
      </c>
      <c r="P195" s="260">
        <f t="shared" si="57"/>
        <v>0</v>
      </c>
      <c r="Q195" s="262"/>
      <c r="R195" s="262"/>
      <c r="S195" s="1164"/>
    </row>
    <row r="196" spans="1:19" ht="26.4" outlineLevel="1">
      <c r="A196" s="317" t="s">
        <v>527</v>
      </c>
      <c r="B196" s="319" t="s">
        <v>1070</v>
      </c>
      <c r="C196" s="273" t="s">
        <v>1071</v>
      </c>
      <c r="D196" s="292" t="s">
        <v>816</v>
      </c>
      <c r="E196" s="279">
        <v>43.7</v>
      </c>
      <c r="F196" s="280">
        <v>17</v>
      </c>
      <c r="G196" s="281">
        <f t="shared" ref="G196:G202" si="58">ROUND(F196*E196,2)</f>
        <v>742.9</v>
      </c>
      <c r="H196" s="282">
        <v>17</v>
      </c>
      <c r="I196" s="281">
        <f t="shared" ref="I196:I202" si="59">ROUND((E196*H196),2)</f>
        <v>742.9</v>
      </c>
      <c r="J196" s="277">
        <f>VLOOKUP(A196,'12 - CORPO'!$A$1:$R$5122,18,FALSE)</f>
        <v>0</v>
      </c>
      <c r="K196" s="278">
        <f t="shared" ref="K196:K202" si="60">M196-I196</f>
        <v>0</v>
      </c>
      <c r="L196" s="282">
        <f t="shared" ref="L196:L202" si="61">(H196+J196)</f>
        <v>17</v>
      </c>
      <c r="M196" s="281">
        <f t="shared" ref="M196:M202" si="62">ROUND((E196*L196),2)</f>
        <v>742.9</v>
      </c>
      <c r="N196" s="808"/>
      <c r="O196" s="260">
        <f t="shared" si="57"/>
        <v>0</v>
      </c>
      <c r="P196" s="260">
        <f t="shared" si="57"/>
        <v>0</v>
      </c>
      <c r="Q196" s="260"/>
      <c r="R196" s="260"/>
      <c r="S196" s="1164"/>
    </row>
    <row r="197" spans="1:19" ht="19.95" customHeight="1" outlineLevel="1">
      <c r="A197" s="293" t="s">
        <v>528</v>
      </c>
      <c r="B197" s="318" t="s">
        <v>1072</v>
      </c>
      <c r="C197" s="294" t="s">
        <v>1073</v>
      </c>
      <c r="D197" s="292" t="s">
        <v>816</v>
      </c>
      <c r="E197" s="304">
        <v>570.67999999999995</v>
      </c>
      <c r="F197" s="305">
        <v>1</v>
      </c>
      <c r="G197" s="281">
        <f t="shared" si="58"/>
        <v>570.67999999999995</v>
      </c>
      <c r="H197" s="306">
        <v>1</v>
      </c>
      <c r="I197" s="281">
        <f t="shared" si="59"/>
        <v>570.67999999999995</v>
      </c>
      <c r="J197" s="297">
        <f>VLOOKUP(A197,'12 - CORPO'!$A$1:$R$5122,18,FALSE)</f>
        <v>0</v>
      </c>
      <c r="K197" s="307">
        <f t="shared" si="60"/>
        <v>0</v>
      </c>
      <c r="L197" s="306">
        <f t="shared" si="61"/>
        <v>1</v>
      </c>
      <c r="M197" s="281">
        <f t="shared" si="62"/>
        <v>570.67999999999995</v>
      </c>
      <c r="N197" s="808"/>
      <c r="O197" s="260">
        <f t="shared" si="57"/>
        <v>0</v>
      </c>
      <c r="P197" s="260">
        <f t="shared" si="57"/>
        <v>0</v>
      </c>
      <c r="Q197" s="260"/>
      <c r="R197" s="260"/>
      <c r="S197" s="1164"/>
    </row>
    <row r="198" spans="1:19" ht="19.95" customHeight="1" outlineLevel="1">
      <c r="A198" s="293" t="s">
        <v>529</v>
      </c>
      <c r="B198" s="318" t="s">
        <v>1074</v>
      </c>
      <c r="C198" s="294" t="s">
        <v>1075</v>
      </c>
      <c r="D198" s="292" t="s">
        <v>816</v>
      </c>
      <c r="E198" s="304">
        <v>209.14</v>
      </c>
      <c r="F198" s="305">
        <v>2</v>
      </c>
      <c r="G198" s="281">
        <f t="shared" si="58"/>
        <v>418.28</v>
      </c>
      <c r="H198" s="306">
        <v>2</v>
      </c>
      <c r="I198" s="281">
        <f t="shared" si="59"/>
        <v>418.28</v>
      </c>
      <c r="J198" s="297">
        <f>VLOOKUP(A198,'12 - CORPO'!$A$1:$R$5122,18,FALSE)</f>
        <v>0</v>
      </c>
      <c r="K198" s="307">
        <f t="shared" si="60"/>
        <v>0</v>
      </c>
      <c r="L198" s="306">
        <f t="shared" si="61"/>
        <v>2</v>
      </c>
      <c r="M198" s="281">
        <f t="shared" si="62"/>
        <v>418.28</v>
      </c>
      <c r="N198" s="808"/>
      <c r="O198" s="260">
        <f t="shared" si="57"/>
        <v>0</v>
      </c>
      <c r="P198" s="260">
        <f t="shared" si="57"/>
        <v>0</v>
      </c>
      <c r="Q198" s="260"/>
      <c r="R198" s="260"/>
      <c r="S198" s="1164"/>
    </row>
    <row r="199" spans="1:19" outlineLevel="1">
      <c r="A199" s="317" t="s">
        <v>530</v>
      </c>
      <c r="B199" s="319" t="s">
        <v>1076</v>
      </c>
      <c r="C199" s="273" t="s">
        <v>1077</v>
      </c>
      <c r="D199" s="292" t="s">
        <v>816</v>
      </c>
      <c r="E199" s="279">
        <v>244.81</v>
      </c>
      <c r="F199" s="280">
        <v>2</v>
      </c>
      <c r="G199" s="281">
        <f t="shared" si="58"/>
        <v>489.62</v>
      </c>
      <c r="H199" s="282">
        <v>2</v>
      </c>
      <c r="I199" s="281">
        <f t="shared" si="59"/>
        <v>489.62</v>
      </c>
      <c r="J199" s="277">
        <f>VLOOKUP(A199,'12 - CORPO'!$A$1:$R$5122,18,FALSE)</f>
        <v>0</v>
      </c>
      <c r="K199" s="278">
        <f t="shared" si="60"/>
        <v>0</v>
      </c>
      <c r="L199" s="282">
        <f t="shared" si="61"/>
        <v>2</v>
      </c>
      <c r="M199" s="281">
        <f t="shared" si="62"/>
        <v>489.62</v>
      </c>
      <c r="N199" s="808"/>
      <c r="O199" s="260">
        <f t="shared" si="57"/>
        <v>0</v>
      </c>
      <c r="P199" s="260">
        <f t="shared" si="57"/>
        <v>0</v>
      </c>
      <c r="Q199" s="260"/>
      <c r="R199" s="260"/>
      <c r="S199" s="1164"/>
    </row>
    <row r="200" spans="1:19" outlineLevel="1">
      <c r="A200" s="313" t="s">
        <v>531</v>
      </c>
      <c r="B200" s="314" t="s">
        <v>1078</v>
      </c>
      <c r="C200" s="308" t="s">
        <v>1079</v>
      </c>
      <c r="D200" s="285" t="s">
        <v>816</v>
      </c>
      <c r="E200" s="693">
        <v>599.73</v>
      </c>
      <c r="F200" s="694">
        <v>1</v>
      </c>
      <c r="G200" s="620">
        <f t="shared" si="58"/>
        <v>599.73</v>
      </c>
      <c r="H200" s="695">
        <v>1</v>
      </c>
      <c r="I200" s="620">
        <f t="shared" si="59"/>
        <v>599.73</v>
      </c>
      <c r="J200" s="311">
        <f>VLOOKUP(A200,'12 - CORPO'!$A$1:$R$5122,18,FALSE)</f>
        <v>0</v>
      </c>
      <c r="K200" s="696">
        <f t="shared" si="60"/>
        <v>0</v>
      </c>
      <c r="L200" s="695">
        <f t="shared" si="61"/>
        <v>1</v>
      </c>
      <c r="M200" s="620">
        <f t="shared" si="62"/>
        <v>599.73</v>
      </c>
      <c r="N200" s="808"/>
      <c r="O200" s="260">
        <f t="shared" si="57"/>
        <v>0</v>
      </c>
      <c r="P200" s="260">
        <f t="shared" si="57"/>
        <v>0</v>
      </c>
      <c r="Q200" s="260"/>
      <c r="R200" s="260"/>
      <c r="S200" s="1164"/>
    </row>
    <row r="201" spans="1:19" ht="26.4" outlineLevel="1">
      <c r="A201" s="317" t="s">
        <v>532</v>
      </c>
      <c r="B201" s="319" t="s">
        <v>1080</v>
      </c>
      <c r="C201" s="273" t="s">
        <v>1081</v>
      </c>
      <c r="D201" s="292" t="s">
        <v>816</v>
      </c>
      <c r="E201" s="279">
        <v>219.77</v>
      </c>
      <c r="F201" s="280">
        <v>7</v>
      </c>
      <c r="G201" s="281">
        <f t="shared" si="58"/>
        <v>1538.39</v>
      </c>
      <c r="H201" s="282">
        <v>7</v>
      </c>
      <c r="I201" s="281">
        <f t="shared" si="59"/>
        <v>1538.39</v>
      </c>
      <c r="J201" s="277">
        <f>VLOOKUP(A201,'12 - CORPO'!$A$1:$R$5122,18,FALSE)</f>
        <v>0</v>
      </c>
      <c r="K201" s="278">
        <f t="shared" si="60"/>
        <v>0</v>
      </c>
      <c r="L201" s="282">
        <f t="shared" si="61"/>
        <v>7</v>
      </c>
      <c r="M201" s="281">
        <f t="shared" si="62"/>
        <v>1538.39</v>
      </c>
      <c r="N201" s="808"/>
      <c r="O201" s="260">
        <f t="shared" si="57"/>
        <v>0</v>
      </c>
      <c r="P201" s="260">
        <f t="shared" si="57"/>
        <v>0</v>
      </c>
      <c r="Q201" s="260"/>
      <c r="R201" s="260"/>
      <c r="S201" s="1164"/>
    </row>
    <row r="202" spans="1:19" ht="39.6" outlineLevel="1">
      <c r="A202" s="661" t="s">
        <v>533</v>
      </c>
      <c r="B202" s="662" t="s">
        <v>1082</v>
      </c>
      <c r="C202" s="663" t="s">
        <v>1083</v>
      </c>
      <c r="D202" s="664" t="s">
        <v>816</v>
      </c>
      <c r="E202" s="665">
        <v>652.15</v>
      </c>
      <c r="F202" s="666">
        <v>3</v>
      </c>
      <c r="G202" s="667">
        <f t="shared" si="58"/>
        <v>1956.45</v>
      </c>
      <c r="H202" s="668">
        <v>3</v>
      </c>
      <c r="I202" s="667">
        <f t="shared" si="59"/>
        <v>1956.45</v>
      </c>
      <c r="J202" s="669">
        <f>VLOOKUP(A202,'12 - CORPO'!$A$1:$R$5122,18,FALSE)</f>
        <v>0</v>
      </c>
      <c r="K202" s="670">
        <f t="shared" si="60"/>
        <v>0</v>
      </c>
      <c r="L202" s="668">
        <f t="shared" si="61"/>
        <v>3</v>
      </c>
      <c r="M202" s="667">
        <f t="shared" si="62"/>
        <v>1956.45</v>
      </c>
      <c r="N202" s="808"/>
      <c r="O202" s="260">
        <f t="shared" si="57"/>
        <v>0</v>
      </c>
      <c r="P202" s="260">
        <f t="shared" si="57"/>
        <v>0</v>
      </c>
      <c r="Q202" s="260"/>
      <c r="R202" s="260"/>
      <c r="S202" s="1164"/>
    </row>
    <row r="203" spans="1:19" ht="19.95" customHeight="1">
      <c r="A203" s="1312" t="s">
        <v>279</v>
      </c>
      <c r="B203" s="1448" t="s">
        <v>280</v>
      </c>
      <c r="C203" s="1448"/>
      <c r="D203" s="1309"/>
      <c r="E203" s="1309"/>
      <c r="F203" s="1309"/>
      <c r="G203" s="1310">
        <f>$G$204</f>
        <v>298789.26</v>
      </c>
      <c r="H203" s="1309"/>
      <c r="I203" s="1310">
        <f>$I$204</f>
        <v>14164.66</v>
      </c>
      <c r="J203" s="1309"/>
      <c r="K203" s="1326">
        <f>$K$204</f>
        <v>0</v>
      </c>
      <c r="L203" s="1309"/>
      <c r="M203" s="1311">
        <f>$M$204</f>
        <v>14164.66</v>
      </c>
      <c r="N203" s="811"/>
      <c r="O203" s="260">
        <f t="shared" si="57"/>
        <v>0</v>
      </c>
      <c r="P203" s="260"/>
      <c r="Q203" s="262"/>
      <c r="R203" s="262"/>
    </row>
    <row r="204" spans="1:19" ht="26.4" outlineLevel="1">
      <c r="A204" s="293" t="s">
        <v>534</v>
      </c>
      <c r="B204" s="606" t="s">
        <v>1084</v>
      </c>
      <c r="C204" s="607" t="s">
        <v>1085</v>
      </c>
      <c r="D204" s="292" t="s">
        <v>853</v>
      </c>
      <c r="E204" s="304">
        <v>107.64</v>
      </c>
      <c r="F204" s="305">
        <v>2775.82</v>
      </c>
      <c r="G204" s="281">
        <f>ROUND(F204*E204,2)</f>
        <v>298789.26</v>
      </c>
      <c r="H204" s="306">
        <v>131.59285714285716</v>
      </c>
      <c r="I204" s="281">
        <f>ROUND((E204*H204),2)</f>
        <v>14164.66</v>
      </c>
      <c r="J204" s="297">
        <f>VLOOKUP(A204,'12 - CORPO'!$A$1:$R$5122,18,FALSE)</f>
        <v>0</v>
      </c>
      <c r="K204" s="307">
        <f>M204-I204</f>
        <v>0</v>
      </c>
      <c r="L204" s="306">
        <f>(H204+J204)</f>
        <v>131.59285714285716</v>
      </c>
      <c r="M204" s="281">
        <f>ROUND((E204*L204),2)</f>
        <v>14164.66</v>
      </c>
      <c r="N204" s="808"/>
      <c r="O204" s="260">
        <f t="shared" si="57"/>
        <v>2644.227142857143</v>
      </c>
      <c r="P204" s="260">
        <f t="shared" si="57"/>
        <v>284624.60000000003</v>
      </c>
      <c r="Q204" s="260"/>
      <c r="R204" s="260"/>
    </row>
    <row r="205" spans="1:19" ht="19.95" customHeight="1">
      <c r="A205" s="1312" t="s">
        <v>281</v>
      </c>
      <c r="B205" s="1309" t="s">
        <v>282</v>
      </c>
      <c r="C205" s="1309" t="s">
        <v>150</v>
      </c>
      <c r="D205" s="1309"/>
      <c r="E205" s="1309"/>
      <c r="F205" s="1309"/>
      <c r="G205" s="1310">
        <f>SUBTOTAL(9,G206:G399)</f>
        <v>7573363.1000000024</v>
      </c>
      <c r="H205" s="1309"/>
      <c r="I205" s="1310">
        <f>SUBTOTAL(9,I206:I399)</f>
        <v>6630075.2100000018</v>
      </c>
      <c r="J205" s="1309"/>
      <c r="K205" s="1310">
        <f>SUBTOTAL(9,K206:K399)</f>
        <v>0</v>
      </c>
      <c r="L205" s="1309"/>
      <c r="M205" s="1311">
        <f>SUBTOTAL(9,M206:M399)</f>
        <v>6630075.2100000018</v>
      </c>
      <c r="N205" s="811"/>
      <c r="O205" s="260">
        <f t="shared" si="57"/>
        <v>0</v>
      </c>
      <c r="P205" s="260"/>
      <c r="Q205" s="262"/>
      <c r="R205" s="262"/>
    </row>
    <row r="206" spans="1:19" ht="19.95" customHeight="1">
      <c r="A206" s="1320" t="s">
        <v>535</v>
      </c>
      <c r="B206" s="1321" t="s">
        <v>1086</v>
      </c>
      <c r="C206" s="1322" t="s">
        <v>150</v>
      </c>
      <c r="D206" s="1322"/>
      <c r="E206" s="1322"/>
      <c r="F206" s="1322"/>
      <c r="G206" s="1323">
        <f>SUBTOTAL(9,G207:G223)</f>
        <v>111992.78</v>
      </c>
      <c r="H206" s="1322"/>
      <c r="I206" s="1323">
        <f>SUBTOTAL(9,I207:I223)</f>
        <v>111992.78</v>
      </c>
      <c r="J206" s="1322"/>
      <c r="K206" s="1323">
        <f>SUBTOTAL(9,K207:K223)</f>
        <v>0</v>
      </c>
      <c r="L206" s="1322"/>
      <c r="M206" s="1324">
        <f>SUBTOTAL(9,M207:M223)</f>
        <v>111992.78</v>
      </c>
      <c r="N206" s="811"/>
      <c r="O206" s="260">
        <f t="shared" si="57"/>
        <v>0</v>
      </c>
      <c r="P206" s="260">
        <f t="shared" si="57"/>
        <v>0</v>
      </c>
      <c r="Q206" s="262"/>
      <c r="R206" s="262"/>
    </row>
    <row r="207" spans="1:19" ht="26.4" outlineLevel="1">
      <c r="A207" s="317" t="s">
        <v>536</v>
      </c>
      <c r="B207" s="319" t="s">
        <v>1087</v>
      </c>
      <c r="C207" s="273" t="s">
        <v>156</v>
      </c>
      <c r="D207" s="292" t="s">
        <v>1088</v>
      </c>
      <c r="E207" s="279">
        <v>6500.46</v>
      </c>
      <c r="F207" s="280">
        <v>12</v>
      </c>
      <c r="G207" s="281">
        <f>ROUND(F207*E207,2)</f>
        <v>78005.52</v>
      </c>
      <c r="H207" s="282">
        <v>12</v>
      </c>
      <c r="I207" s="281">
        <f>ROUND((E207*H207),2)</f>
        <v>78005.52</v>
      </c>
      <c r="J207" s="277">
        <f>VLOOKUP(A207,'12 - CORPO'!$A$1:$R$5122,18,FALSE)</f>
        <v>0</v>
      </c>
      <c r="K207" s="278">
        <f>M207-I207</f>
        <v>0</v>
      </c>
      <c r="L207" s="282">
        <f>(H207+J207)</f>
        <v>12</v>
      </c>
      <c r="M207" s="281">
        <f>ROUND((E207*L207),2)</f>
        <v>78005.52</v>
      </c>
      <c r="N207" s="808"/>
      <c r="O207" s="260">
        <f t="shared" si="57"/>
        <v>0</v>
      </c>
      <c r="P207" s="260">
        <f t="shared" si="57"/>
        <v>0</v>
      </c>
      <c r="Q207" s="260"/>
      <c r="R207" s="260"/>
    </row>
    <row r="208" spans="1:19" ht="26.4" outlineLevel="1">
      <c r="A208" s="293" t="s">
        <v>537</v>
      </c>
      <c r="B208" s="318" t="s">
        <v>1089</v>
      </c>
      <c r="C208" s="294" t="s">
        <v>1090</v>
      </c>
      <c r="D208" s="292" t="s">
        <v>809</v>
      </c>
      <c r="E208" s="304">
        <v>11.92</v>
      </c>
      <c r="F208" s="305">
        <v>756</v>
      </c>
      <c r="G208" s="281">
        <f>ROUND(F208*E208,2)</f>
        <v>9011.52</v>
      </c>
      <c r="H208" s="306">
        <v>756</v>
      </c>
      <c r="I208" s="281">
        <f>ROUND((E208*H208),2)</f>
        <v>9011.52</v>
      </c>
      <c r="J208" s="297">
        <f>VLOOKUP(A208,'12 - CORPO'!$A$1:$R$5122,18,FALSE)</f>
        <v>0</v>
      </c>
      <c r="K208" s="307">
        <f>M208-I208</f>
        <v>0</v>
      </c>
      <c r="L208" s="306">
        <f>(H208+J208)</f>
        <v>756</v>
      </c>
      <c r="M208" s="281">
        <f>ROUND((E208*L208),2)</f>
        <v>9011.52</v>
      </c>
      <c r="N208" s="808"/>
      <c r="O208" s="260">
        <f t="shared" si="57"/>
        <v>0</v>
      </c>
      <c r="P208" s="260">
        <f t="shared" si="57"/>
        <v>0</v>
      </c>
      <c r="Q208" s="260"/>
      <c r="R208" s="260"/>
    </row>
    <row r="209" spans="1:18" outlineLevel="1">
      <c r="A209" s="293" t="s">
        <v>538</v>
      </c>
      <c r="B209" s="318" t="s">
        <v>1091</v>
      </c>
      <c r="C209" s="294" t="s">
        <v>1092</v>
      </c>
      <c r="D209" s="292" t="s">
        <v>809</v>
      </c>
      <c r="E209" s="304">
        <v>8.5</v>
      </c>
      <c r="F209" s="305">
        <v>959</v>
      </c>
      <c r="G209" s="281">
        <f>ROUND(F209*E209,2)</f>
        <v>8151.5</v>
      </c>
      <c r="H209" s="306">
        <v>959</v>
      </c>
      <c r="I209" s="281">
        <f>ROUND((E209*H209),2)</f>
        <v>8151.5</v>
      </c>
      <c r="J209" s="297">
        <f>VLOOKUP(A209,'12 - CORPO'!$A$1:$R$5122,18,FALSE)</f>
        <v>0</v>
      </c>
      <c r="K209" s="307">
        <f>M209-I209</f>
        <v>0</v>
      </c>
      <c r="L209" s="306">
        <f>(H209+J209)</f>
        <v>959</v>
      </c>
      <c r="M209" s="281">
        <f>ROUND((E209*L209),2)</f>
        <v>8151.5</v>
      </c>
      <c r="N209" s="808"/>
      <c r="O209" s="260">
        <f t="shared" si="57"/>
        <v>0</v>
      </c>
      <c r="P209" s="260">
        <f t="shared" si="57"/>
        <v>0</v>
      </c>
      <c r="Q209" s="260"/>
      <c r="R209" s="260"/>
    </row>
    <row r="210" spans="1:18" ht="26.4" outlineLevel="1">
      <c r="A210" s="608" t="s">
        <v>539</v>
      </c>
      <c r="B210" s="609" t="s">
        <v>1093</v>
      </c>
      <c r="C210" s="610" t="s">
        <v>1094</v>
      </c>
      <c r="D210" s="586" t="s">
        <v>809</v>
      </c>
      <c r="E210" s="611">
        <v>5.48</v>
      </c>
      <c r="F210" s="612">
        <v>35</v>
      </c>
      <c r="G210" s="613">
        <f>ROUND(F210*E210,2)</f>
        <v>191.8</v>
      </c>
      <c r="H210" s="614">
        <v>35</v>
      </c>
      <c r="I210" s="613">
        <f>ROUND((E210*H210),2)</f>
        <v>191.8</v>
      </c>
      <c r="J210" s="615">
        <f>VLOOKUP(A210,'12 - CORPO'!$A$1:$R$5122,18,FALSE)</f>
        <v>0</v>
      </c>
      <c r="K210" s="616">
        <f>M210-I210</f>
        <v>0</v>
      </c>
      <c r="L210" s="614">
        <f>(H210+J210)</f>
        <v>35</v>
      </c>
      <c r="M210" s="613">
        <f>ROUND((E210*L210),2)</f>
        <v>191.8</v>
      </c>
      <c r="N210" s="808"/>
      <c r="O210" s="260">
        <f t="shared" si="57"/>
        <v>0</v>
      </c>
      <c r="P210" s="260">
        <f t="shared" si="57"/>
        <v>0</v>
      </c>
      <c r="Q210" s="260"/>
      <c r="R210" s="260"/>
    </row>
    <row r="211" spans="1:18" ht="19.95" customHeight="1">
      <c r="A211" s="1320" t="s">
        <v>540</v>
      </c>
      <c r="B211" s="1447" t="s">
        <v>1095</v>
      </c>
      <c r="C211" s="1447"/>
      <c r="D211" s="1322"/>
      <c r="E211" s="1322"/>
      <c r="F211" s="1322"/>
      <c r="G211" s="1323">
        <f>SUBTOTAL(9,G212:G220)</f>
        <v>16019.460000000001</v>
      </c>
      <c r="H211" s="1322"/>
      <c r="I211" s="1323">
        <f>SUBTOTAL(9,I212:I220)</f>
        <v>16019.460000000001</v>
      </c>
      <c r="J211" s="1322"/>
      <c r="K211" s="1323">
        <f>SUBTOTAL(9,K212:K220)</f>
        <v>0</v>
      </c>
      <c r="L211" s="1322"/>
      <c r="M211" s="1324">
        <f>SUBTOTAL(9,M212:M220)</f>
        <v>16019.460000000001</v>
      </c>
      <c r="N211" s="811"/>
      <c r="O211" s="260">
        <f t="shared" si="57"/>
        <v>0</v>
      </c>
      <c r="P211" s="260">
        <f t="shared" si="57"/>
        <v>0</v>
      </c>
      <c r="Q211" s="262"/>
      <c r="R211" s="262"/>
    </row>
    <row r="212" spans="1:18" ht="26.4" outlineLevel="1">
      <c r="A212" s="617" t="s">
        <v>541</v>
      </c>
      <c r="B212" s="594" t="s">
        <v>1096</v>
      </c>
      <c r="C212" s="284" t="s">
        <v>1097</v>
      </c>
      <c r="D212" s="285" t="s">
        <v>809</v>
      </c>
      <c r="E212" s="618">
        <v>90.34</v>
      </c>
      <c r="F212" s="619">
        <v>64</v>
      </c>
      <c r="G212" s="620">
        <f>ROUND(F212*E212,2)</f>
        <v>5781.76</v>
      </c>
      <c r="H212" s="621">
        <v>64</v>
      </c>
      <c r="I212" s="620">
        <f t="shared" ref="I212:I217" si="63">ROUND((E212*H212),2)</f>
        <v>5781.76</v>
      </c>
      <c r="J212" s="289">
        <f>VLOOKUP(A212,'12 - CORPO'!$A$1:$R$5122,18,FALSE)</f>
        <v>0</v>
      </c>
      <c r="K212" s="290">
        <f t="shared" ref="K212:K220" si="64">M212-I212</f>
        <v>0</v>
      </c>
      <c r="L212" s="621">
        <f t="shared" ref="L212:L217" si="65">(H212+J212)</f>
        <v>64</v>
      </c>
      <c r="M212" s="620">
        <f t="shared" ref="M212:M217" si="66">ROUND((E212*L212),2)</f>
        <v>5781.76</v>
      </c>
      <c r="N212" s="808"/>
      <c r="O212" s="260">
        <f t="shared" si="57"/>
        <v>0</v>
      </c>
      <c r="P212" s="260">
        <f t="shared" si="57"/>
        <v>0</v>
      </c>
      <c r="Q212" s="260"/>
      <c r="R212" s="260"/>
    </row>
    <row r="213" spans="1:18" outlineLevel="1">
      <c r="A213" s="293" t="s">
        <v>542</v>
      </c>
      <c r="B213" s="318" t="s">
        <v>1098</v>
      </c>
      <c r="C213" s="294" t="s">
        <v>1099</v>
      </c>
      <c r="D213" s="292" t="s">
        <v>816</v>
      </c>
      <c r="E213" s="304">
        <v>8.7100000000000009</v>
      </c>
      <c r="F213" s="305">
        <v>20</v>
      </c>
      <c r="G213" s="281">
        <f>ROUND(F213*E213,2)</f>
        <v>174.2</v>
      </c>
      <c r="H213" s="306">
        <v>20</v>
      </c>
      <c r="I213" s="281">
        <f t="shared" si="63"/>
        <v>174.2</v>
      </c>
      <c r="J213" s="297">
        <f>VLOOKUP(A213,'12 - CORPO'!$A$1:$R$5122,18,FALSE)</f>
        <v>0</v>
      </c>
      <c r="K213" s="307">
        <f t="shared" si="64"/>
        <v>0</v>
      </c>
      <c r="L213" s="306">
        <f t="shared" si="65"/>
        <v>20</v>
      </c>
      <c r="M213" s="281">
        <f t="shared" si="66"/>
        <v>174.2</v>
      </c>
      <c r="N213" s="808"/>
      <c r="O213" s="260">
        <f t="shared" si="57"/>
        <v>0</v>
      </c>
      <c r="P213" s="260">
        <f t="shared" si="57"/>
        <v>0</v>
      </c>
      <c r="Q213" s="260"/>
      <c r="R213" s="260"/>
    </row>
    <row r="214" spans="1:18" ht="26.4" outlineLevel="1">
      <c r="A214" s="293" t="s">
        <v>543</v>
      </c>
      <c r="B214" s="318" t="s">
        <v>1100</v>
      </c>
      <c r="C214" s="294" t="s">
        <v>157</v>
      </c>
      <c r="D214" s="292" t="s">
        <v>809</v>
      </c>
      <c r="E214" s="304">
        <v>10.3</v>
      </c>
      <c r="F214" s="305">
        <v>40</v>
      </c>
      <c r="G214" s="281">
        <f>ROUND(F214*E214,2)</f>
        <v>412</v>
      </c>
      <c r="H214" s="306">
        <v>40</v>
      </c>
      <c r="I214" s="281">
        <f t="shared" si="63"/>
        <v>412</v>
      </c>
      <c r="J214" s="297">
        <f>VLOOKUP(A214,'12 - CORPO'!$A$1:$R$5122,18,FALSE)</f>
        <v>0</v>
      </c>
      <c r="K214" s="307">
        <f t="shared" si="64"/>
        <v>0</v>
      </c>
      <c r="L214" s="306">
        <f t="shared" si="65"/>
        <v>40</v>
      </c>
      <c r="M214" s="281">
        <f t="shared" si="66"/>
        <v>412</v>
      </c>
      <c r="N214" s="808"/>
      <c r="O214" s="260">
        <f t="shared" si="57"/>
        <v>0</v>
      </c>
      <c r="P214" s="260">
        <f t="shared" si="57"/>
        <v>0</v>
      </c>
      <c r="Q214" s="260"/>
      <c r="R214" s="260"/>
    </row>
    <row r="215" spans="1:18" outlineLevel="1">
      <c r="A215" s="317" t="s">
        <v>544</v>
      </c>
      <c r="B215" s="319" t="s">
        <v>1101</v>
      </c>
      <c r="C215" s="273" t="s">
        <v>1102</v>
      </c>
      <c r="D215" s="292" t="s">
        <v>809</v>
      </c>
      <c r="E215" s="279">
        <v>22.35</v>
      </c>
      <c r="F215" s="280">
        <v>50</v>
      </c>
      <c r="G215" s="281">
        <f t="shared" ref="G215:G278" si="67">ROUND(F215*E215,2)</f>
        <v>1117.5</v>
      </c>
      <c r="H215" s="282">
        <v>50</v>
      </c>
      <c r="I215" s="281">
        <f t="shared" si="63"/>
        <v>1117.5</v>
      </c>
      <c r="J215" s="277">
        <f>VLOOKUP(A215,'12 - CORPO'!$A$1:$R$5122,18,FALSE)</f>
        <v>0</v>
      </c>
      <c r="K215" s="278">
        <f t="shared" si="64"/>
        <v>0</v>
      </c>
      <c r="L215" s="282">
        <f t="shared" si="65"/>
        <v>50</v>
      </c>
      <c r="M215" s="281">
        <f t="shared" si="66"/>
        <v>1117.5</v>
      </c>
      <c r="N215" s="808"/>
      <c r="O215" s="260">
        <f t="shared" si="57"/>
        <v>0</v>
      </c>
      <c r="P215" s="260">
        <f t="shared" si="57"/>
        <v>0</v>
      </c>
      <c r="Q215" s="260"/>
      <c r="R215" s="260"/>
    </row>
    <row r="216" spans="1:18" outlineLevel="1">
      <c r="A216" s="293" t="s">
        <v>545</v>
      </c>
      <c r="B216" s="318" t="s">
        <v>1103</v>
      </c>
      <c r="C216" s="294" t="s">
        <v>1104</v>
      </c>
      <c r="D216" s="292" t="s">
        <v>809</v>
      </c>
      <c r="E216" s="304">
        <v>26.56</v>
      </c>
      <c r="F216" s="305">
        <v>96</v>
      </c>
      <c r="G216" s="281">
        <f t="shared" si="67"/>
        <v>2549.7600000000002</v>
      </c>
      <c r="H216" s="306">
        <v>96</v>
      </c>
      <c r="I216" s="281">
        <f t="shared" si="63"/>
        <v>2549.7600000000002</v>
      </c>
      <c r="J216" s="297">
        <f>VLOOKUP(A216,'12 - CORPO'!$A$1:$R$5122,18,FALSE)</f>
        <v>0</v>
      </c>
      <c r="K216" s="307">
        <f t="shared" si="64"/>
        <v>0</v>
      </c>
      <c r="L216" s="306">
        <f t="shared" si="65"/>
        <v>96</v>
      </c>
      <c r="M216" s="281">
        <f t="shared" si="66"/>
        <v>2549.7600000000002</v>
      </c>
      <c r="N216" s="808"/>
      <c r="O216" s="260">
        <f t="shared" si="57"/>
        <v>0</v>
      </c>
      <c r="P216" s="260">
        <f t="shared" si="57"/>
        <v>0</v>
      </c>
      <c r="Q216" s="260"/>
      <c r="R216" s="260"/>
    </row>
    <row r="217" spans="1:18" outlineLevel="1">
      <c r="A217" s="293" t="s">
        <v>546</v>
      </c>
      <c r="B217" s="318" t="s">
        <v>1105</v>
      </c>
      <c r="C217" s="294" t="s">
        <v>1106</v>
      </c>
      <c r="D217" s="292" t="s">
        <v>809</v>
      </c>
      <c r="E217" s="304">
        <v>42.18</v>
      </c>
      <c r="F217" s="305">
        <v>50</v>
      </c>
      <c r="G217" s="281">
        <f t="shared" si="67"/>
        <v>2109</v>
      </c>
      <c r="H217" s="306">
        <v>50</v>
      </c>
      <c r="I217" s="281">
        <f t="shared" si="63"/>
        <v>2109</v>
      </c>
      <c r="J217" s="297">
        <f>VLOOKUP(A217,'12 - CORPO'!$A$1:$R$5122,18,FALSE)</f>
        <v>0</v>
      </c>
      <c r="K217" s="307">
        <f t="shared" si="64"/>
        <v>0</v>
      </c>
      <c r="L217" s="306">
        <f t="shared" si="65"/>
        <v>50</v>
      </c>
      <c r="M217" s="281">
        <f t="shared" si="66"/>
        <v>2109</v>
      </c>
      <c r="N217" s="808"/>
      <c r="O217" s="260">
        <f t="shared" si="57"/>
        <v>0</v>
      </c>
      <c r="P217" s="260">
        <f t="shared" si="57"/>
        <v>0</v>
      </c>
      <c r="Q217" s="260"/>
      <c r="R217" s="260"/>
    </row>
    <row r="218" spans="1:18" ht="39.6" outlineLevel="1">
      <c r="A218" s="317" t="s">
        <v>547</v>
      </c>
      <c r="B218" s="319" t="s">
        <v>1107</v>
      </c>
      <c r="C218" s="273" t="s">
        <v>1108</v>
      </c>
      <c r="D218" s="292" t="s">
        <v>809</v>
      </c>
      <c r="E218" s="279">
        <v>51.99</v>
      </c>
      <c r="F218" s="280">
        <v>44</v>
      </c>
      <c r="G218" s="281">
        <f t="shared" si="67"/>
        <v>2287.56</v>
      </c>
      <c r="H218" s="282">
        <v>44</v>
      </c>
      <c r="I218" s="281">
        <f t="shared" ref="I218:I252" si="68">ROUND((E218*H218),2)</f>
        <v>2287.56</v>
      </c>
      <c r="J218" s="277">
        <f>VLOOKUP(A218,'12 - CORPO'!$A$1:$R$5122,18,FALSE)</f>
        <v>0</v>
      </c>
      <c r="K218" s="278">
        <f t="shared" si="64"/>
        <v>0</v>
      </c>
      <c r="L218" s="282">
        <f t="shared" ref="L218:L251" si="69">(H218+J218)</f>
        <v>44</v>
      </c>
      <c r="M218" s="281">
        <f t="shared" ref="M218:M251" si="70">ROUND((E218*L218),2)</f>
        <v>2287.56</v>
      </c>
      <c r="N218" s="808"/>
      <c r="O218" s="260">
        <f t="shared" si="57"/>
        <v>0</v>
      </c>
      <c r="P218" s="260">
        <f t="shared" si="57"/>
        <v>0</v>
      </c>
      <c r="Q218" s="260"/>
      <c r="R218" s="260"/>
    </row>
    <row r="219" spans="1:18" outlineLevel="1">
      <c r="A219" s="293" t="s">
        <v>548</v>
      </c>
      <c r="B219" s="318" t="s">
        <v>1109</v>
      </c>
      <c r="C219" s="294" t="s">
        <v>1110</v>
      </c>
      <c r="D219" s="292" t="s">
        <v>809</v>
      </c>
      <c r="E219" s="304">
        <v>20.32</v>
      </c>
      <c r="F219" s="305">
        <v>60</v>
      </c>
      <c r="G219" s="281">
        <f t="shared" si="67"/>
        <v>1219.2</v>
      </c>
      <c r="H219" s="306">
        <v>60</v>
      </c>
      <c r="I219" s="281">
        <f t="shared" si="68"/>
        <v>1219.2</v>
      </c>
      <c r="J219" s="297">
        <f>VLOOKUP(A219,'12 - CORPO'!$A$1:$R$5122,18,FALSE)</f>
        <v>0</v>
      </c>
      <c r="K219" s="307">
        <f t="shared" si="64"/>
        <v>0</v>
      </c>
      <c r="L219" s="306">
        <f t="shared" si="69"/>
        <v>60</v>
      </c>
      <c r="M219" s="281">
        <f t="shared" si="70"/>
        <v>1219.2</v>
      </c>
      <c r="N219" s="808"/>
      <c r="O219" s="260">
        <f t="shared" si="57"/>
        <v>0</v>
      </c>
      <c r="P219" s="260">
        <f t="shared" si="57"/>
        <v>0</v>
      </c>
      <c r="Q219" s="260"/>
      <c r="R219" s="260"/>
    </row>
    <row r="220" spans="1:18" ht="26.4" outlineLevel="1">
      <c r="A220" s="661" t="s">
        <v>549</v>
      </c>
      <c r="B220" s="662" t="s">
        <v>1111</v>
      </c>
      <c r="C220" s="663" t="s">
        <v>1112</v>
      </c>
      <c r="D220" s="664" t="s">
        <v>816</v>
      </c>
      <c r="E220" s="665">
        <v>23.03</v>
      </c>
      <c r="F220" s="666">
        <v>16</v>
      </c>
      <c r="G220" s="667">
        <f t="shared" si="67"/>
        <v>368.48</v>
      </c>
      <c r="H220" s="668">
        <v>16</v>
      </c>
      <c r="I220" s="667">
        <f t="shared" si="68"/>
        <v>368.48</v>
      </c>
      <c r="J220" s="669">
        <f>VLOOKUP(A220,'12 - CORPO'!$A$1:$R$5122,18,FALSE)</f>
        <v>0</v>
      </c>
      <c r="K220" s="670">
        <f t="shared" si="64"/>
        <v>0</v>
      </c>
      <c r="L220" s="668">
        <f t="shared" si="69"/>
        <v>16</v>
      </c>
      <c r="M220" s="667">
        <f t="shared" si="70"/>
        <v>368.48</v>
      </c>
      <c r="N220" s="808"/>
      <c r="O220" s="260">
        <f t="shared" si="57"/>
        <v>0</v>
      </c>
      <c r="P220" s="260">
        <f t="shared" si="57"/>
        <v>0</v>
      </c>
      <c r="Q220" s="260"/>
      <c r="R220" s="260"/>
    </row>
    <row r="221" spans="1:18" ht="19.95" customHeight="1">
      <c r="A221" s="1320" t="s">
        <v>550</v>
      </c>
      <c r="B221" s="1447" t="s">
        <v>1113</v>
      </c>
      <c r="C221" s="1447"/>
      <c r="D221" s="1322"/>
      <c r="E221" s="1322"/>
      <c r="F221" s="1322"/>
      <c r="G221" s="1323">
        <f>SUBTOTAL(9,G222:G223)</f>
        <v>612.98</v>
      </c>
      <c r="H221" s="1322"/>
      <c r="I221" s="1323">
        <f>SUBTOTAL(9,I222:I223)</f>
        <v>612.98</v>
      </c>
      <c r="J221" s="1322"/>
      <c r="K221" s="1323">
        <f>SUBTOTAL(9,K222:K223)</f>
        <v>0</v>
      </c>
      <c r="L221" s="1322"/>
      <c r="M221" s="1324">
        <f>SUBTOTAL(9,M222:M223)</f>
        <v>612.98</v>
      </c>
      <c r="N221" s="811"/>
      <c r="O221" s="260">
        <f t="shared" si="57"/>
        <v>0</v>
      </c>
      <c r="P221" s="260">
        <f t="shared" si="57"/>
        <v>0</v>
      </c>
      <c r="Q221" s="262"/>
      <c r="R221" s="262"/>
    </row>
    <row r="222" spans="1:18" ht="39.6" outlineLevel="1">
      <c r="A222" s="617" t="s">
        <v>551</v>
      </c>
      <c r="B222" s="594" t="s">
        <v>1114</v>
      </c>
      <c r="C222" s="284" t="s">
        <v>1115</v>
      </c>
      <c r="D222" s="285" t="s">
        <v>816</v>
      </c>
      <c r="E222" s="618">
        <v>228.37</v>
      </c>
      <c r="F222" s="619">
        <v>2</v>
      </c>
      <c r="G222" s="620">
        <f t="shared" si="67"/>
        <v>456.74</v>
      </c>
      <c r="H222" s="621">
        <v>2</v>
      </c>
      <c r="I222" s="620">
        <f t="shared" si="68"/>
        <v>456.74</v>
      </c>
      <c r="J222" s="289">
        <f>VLOOKUP(A222,'12 - CORPO'!$A$1:$R$5122,18,FALSE)</f>
        <v>0</v>
      </c>
      <c r="K222" s="290">
        <f>M222-I222</f>
        <v>0</v>
      </c>
      <c r="L222" s="621">
        <f t="shared" si="69"/>
        <v>2</v>
      </c>
      <c r="M222" s="620">
        <f t="shared" si="70"/>
        <v>456.74</v>
      </c>
      <c r="N222" s="808"/>
      <c r="O222" s="260">
        <f t="shared" si="57"/>
        <v>0</v>
      </c>
      <c r="P222" s="260">
        <f t="shared" si="57"/>
        <v>0</v>
      </c>
      <c r="Q222" s="260"/>
      <c r="R222" s="260"/>
    </row>
    <row r="223" spans="1:18" ht="26.4" outlineLevel="1">
      <c r="A223" s="661" t="s">
        <v>552</v>
      </c>
      <c r="B223" s="662" t="s">
        <v>1116</v>
      </c>
      <c r="C223" s="663" t="s">
        <v>158</v>
      </c>
      <c r="D223" s="664" t="s">
        <v>816</v>
      </c>
      <c r="E223" s="665">
        <v>19.53</v>
      </c>
      <c r="F223" s="666">
        <v>8</v>
      </c>
      <c r="G223" s="667">
        <f t="shared" si="67"/>
        <v>156.24</v>
      </c>
      <c r="H223" s="668">
        <v>8</v>
      </c>
      <c r="I223" s="667">
        <f t="shared" si="68"/>
        <v>156.24</v>
      </c>
      <c r="J223" s="669">
        <f>VLOOKUP(A223,'12 - CORPO'!$A$1:$R$5122,18,FALSE)</f>
        <v>0</v>
      </c>
      <c r="K223" s="670">
        <f>M223-I223</f>
        <v>0</v>
      </c>
      <c r="L223" s="668">
        <f t="shared" si="69"/>
        <v>8</v>
      </c>
      <c r="M223" s="667">
        <f t="shared" si="70"/>
        <v>156.24</v>
      </c>
      <c r="N223" s="808"/>
      <c r="O223" s="260">
        <f t="shared" si="57"/>
        <v>0</v>
      </c>
      <c r="P223" s="260">
        <f t="shared" si="57"/>
        <v>0</v>
      </c>
      <c r="Q223" s="260"/>
      <c r="R223" s="260"/>
    </row>
    <row r="224" spans="1:18" ht="19.95" customHeight="1">
      <c r="A224" s="1320" t="s">
        <v>553</v>
      </c>
      <c r="B224" s="1321" t="s">
        <v>1117</v>
      </c>
      <c r="C224" s="1322" t="s">
        <v>150</v>
      </c>
      <c r="D224" s="1322"/>
      <c r="E224" s="1322"/>
      <c r="F224" s="1322"/>
      <c r="G224" s="1323">
        <f>SUBTOTAL(9,G225:G399)</f>
        <v>7461370.3200000022</v>
      </c>
      <c r="H224" s="1322"/>
      <c r="I224" s="1323">
        <f>SUBTOTAL(9,I225:I325)</f>
        <v>6343211.6100000022</v>
      </c>
      <c r="J224" s="1322"/>
      <c r="K224" s="1323">
        <f>SUBTOTAL(9,K225:K325)</f>
        <v>0</v>
      </c>
      <c r="L224" s="1322"/>
      <c r="M224" s="1324">
        <f>SUBTOTAL(9,M225:M325)</f>
        <v>6343211.6100000022</v>
      </c>
      <c r="N224" s="811"/>
      <c r="O224" s="260">
        <f t="shared" si="57"/>
        <v>0</v>
      </c>
      <c r="P224" s="260"/>
      <c r="Q224" s="262"/>
      <c r="R224" s="262"/>
    </row>
    <row r="225" spans="1:18" ht="19.95" customHeight="1">
      <c r="A225" s="1320" t="s">
        <v>554</v>
      </c>
      <c r="B225" s="1447" t="s">
        <v>1118</v>
      </c>
      <c r="C225" s="1447"/>
      <c r="D225" s="1322"/>
      <c r="E225" s="1322"/>
      <c r="F225" s="1322"/>
      <c r="G225" s="1323">
        <f>SUBTOTAL(9,G226:G228)</f>
        <v>5844095.2700000005</v>
      </c>
      <c r="H225" s="1322"/>
      <c r="I225" s="1323">
        <f>SUBTOTAL(9,I226:I228)</f>
        <v>4902635.96</v>
      </c>
      <c r="J225" s="1322"/>
      <c r="K225" s="1323">
        <f>SUBTOTAL(9,K226:K228)</f>
        <v>0</v>
      </c>
      <c r="L225" s="1322"/>
      <c r="M225" s="1324">
        <f>SUBTOTAL(9,M226:M228)</f>
        <v>4902635.96</v>
      </c>
      <c r="N225" s="811"/>
      <c r="O225" s="260">
        <f t="shared" si="57"/>
        <v>0</v>
      </c>
      <c r="P225" s="260">
        <f t="shared" si="57"/>
        <v>941459.31000000052</v>
      </c>
      <c r="Q225" s="262"/>
      <c r="R225" s="262"/>
    </row>
    <row r="226" spans="1:18" ht="39.6" outlineLevel="1">
      <c r="A226" s="313" t="s">
        <v>555</v>
      </c>
      <c r="B226" s="314" t="s">
        <v>1119</v>
      </c>
      <c r="C226" s="308" t="s">
        <v>1120</v>
      </c>
      <c r="D226" s="285" t="s">
        <v>816</v>
      </c>
      <c r="E226" s="693">
        <v>4707296.57</v>
      </c>
      <c r="F226" s="694">
        <v>1</v>
      </c>
      <c r="G226" s="620">
        <f t="shared" si="67"/>
        <v>4707296.57</v>
      </c>
      <c r="H226" s="695">
        <v>0.8</v>
      </c>
      <c r="I226" s="620">
        <f t="shared" si="68"/>
        <v>3765837.26</v>
      </c>
      <c r="J226" s="311">
        <f>VLOOKUP(A226,'12 - CORPO'!$A$1:$R$5122,18,FALSE)</f>
        <v>0</v>
      </c>
      <c r="K226" s="696">
        <f>M226-I226</f>
        <v>0</v>
      </c>
      <c r="L226" s="695">
        <f t="shared" si="69"/>
        <v>0.8</v>
      </c>
      <c r="M226" s="620">
        <f t="shared" si="70"/>
        <v>3765837.26</v>
      </c>
      <c r="N226" s="808"/>
      <c r="O226" s="260">
        <f t="shared" si="57"/>
        <v>0.19999999999999996</v>
      </c>
      <c r="P226" s="260">
        <f t="shared" si="57"/>
        <v>941459.31000000052</v>
      </c>
      <c r="Q226" s="260"/>
      <c r="R226" s="260"/>
    </row>
    <row r="227" spans="1:18" ht="42.75" customHeight="1" outlineLevel="1">
      <c r="A227" s="317" t="s">
        <v>556</v>
      </c>
      <c r="B227" s="319" t="s">
        <v>1121</v>
      </c>
      <c r="C227" s="273" t="s">
        <v>1122</v>
      </c>
      <c r="D227" s="292" t="s">
        <v>816</v>
      </c>
      <c r="E227" s="279">
        <v>565605.86</v>
      </c>
      <c r="F227" s="280">
        <v>2</v>
      </c>
      <c r="G227" s="281">
        <f t="shared" si="67"/>
        <v>1131211.72</v>
      </c>
      <c r="H227" s="282">
        <v>2</v>
      </c>
      <c r="I227" s="281">
        <f t="shared" si="68"/>
        <v>1131211.72</v>
      </c>
      <c r="J227" s="277">
        <f>VLOOKUP(A227,'12 - CORPO'!$A$1:$R$5122,18,FALSE)</f>
        <v>0</v>
      </c>
      <c r="K227" s="278">
        <f>M227-I227</f>
        <v>0</v>
      </c>
      <c r="L227" s="282">
        <f>(H227+J227)</f>
        <v>2</v>
      </c>
      <c r="M227" s="281">
        <f>ROUND((E227*L227),2)</f>
        <v>1131211.72</v>
      </c>
      <c r="N227" s="808"/>
      <c r="O227" s="260">
        <f>F227-L227</f>
        <v>0</v>
      </c>
      <c r="P227" s="260">
        <f t="shared" si="57"/>
        <v>0</v>
      </c>
      <c r="Q227" s="260"/>
      <c r="R227" s="260"/>
    </row>
    <row r="228" spans="1:18" ht="26.4" outlineLevel="1">
      <c r="A228" s="608" t="s">
        <v>557</v>
      </c>
      <c r="B228" s="609" t="s">
        <v>1123</v>
      </c>
      <c r="C228" s="610" t="s">
        <v>1124</v>
      </c>
      <c r="D228" s="586" t="s">
        <v>816</v>
      </c>
      <c r="E228" s="611">
        <v>5586.98</v>
      </c>
      <c r="F228" s="612">
        <v>1</v>
      </c>
      <c r="G228" s="613">
        <f t="shared" si="67"/>
        <v>5586.98</v>
      </c>
      <c r="H228" s="614">
        <v>1</v>
      </c>
      <c r="I228" s="613">
        <f t="shared" si="68"/>
        <v>5586.98</v>
      </c>
      <c r="J228" s="615">
        <f>VLOOKUP(A228,'12 - CORPO'!$A$1:$R$5122,18,FALSE)</f>
        <v>0</v>
      </c>
      <c r="K228" s="616">
        <f>M228-I228</f>
        <v>0</v>
      </c>
      <c r="L228" s="614">
        <f t="shared" si="69"/>
        <v>1</v>
      </c>
      <c r="M228" s="613">
        <f t="shared" si="70"/>
        <v>5586.98</v>
      </c>
      <c r="N228" s="808"/>
      <c r="O228" s="260">
        <f t="shared" si="57"/>
        <v>0</v>
      </c>
      <c r="P228" s="260">
        <f t="shared" si="57"/>
        <v>0</v>
      </c>
      <c r="Q228" s="260"/>
      <c r="R228" s="260"/>
    </row>
    <row r="229" spans="1:18" ht="19.95" customHeight="1">
      <c r="A229" s="1320" t="s">
        <v>558</v>
      </c>
      <c r="B229" s="1447" t="s">
        <v>1125</v>
      </c>
      <c r="C229" s="1447"/>
      <c r="D229" s="1322"/>
      <c r="E229" s="1322"/>
      <c r="F229" s="1322"/>
      <c r="G229" s="1323">
        <f>SUBTOTAL(9,G230:G232)</f>
        <v>61588.45</v>
      </c>
      <c r="H229" s="1322"/>
      <c r="I229" s="1323">
        <f>SUBTOTAL(9,I230:I232)</f>
        <v>61588.45</v>
      </c>
      <c r="J229" s="1322"/>
      <c r="K229" s="1323">
        <f>SUBTOTAL(9,K230:K232)</f>
        <v>0</v>
      </c>
      <c r="L229" s="1322"/>
      <c r="M229" s="1324">
        <f>SUBTOTAL(9,M230:M232)</f>
        <v>61588.45</v>
      </c>
      <c r="N229" s="811"/>
      <c r="O229" s="260">
        <f t="shared" si="57"/>
        <v>0</v>
      </c>
      <c r="P229" s="260">
        <f t="shared" si="57"/>
        <v>0</v>
      </c>
      <c r="Q229" s="262"/>
      <c r="R229" s="262"/>
    </row>
    <row r="230" spans="1:18" ht="39.6" outlineLevel="1">
      <c r="A230" s="313" t="s">
        <v>559</v>
      </c>
      <c r="B230" s="314" t="s">
        <v>1126</v>
      </c>
      <c r="C230" s="308" t="s">
        <v>1127</v>
      </c>
      <c r="D230" s="285" t="s">
        <v>816</v>
      </c>
      <c r="E230" s="693">
        <v>51993.74</v>
      </c>
      <c r="F230" s="694">
        <v>1</v>
      </c>
      <c r="G230" s="620">
        <f t="shared" si="67"/>
        <v>51993.74</v>
      </c>
      <c r="H230" s="695">
        <v>1</v>
      </c>
      <c r="I230" s="620">
        <f t="shared" si="68"/>
        <v>51993.74</v>
      </c>
      <c r="J230" s="311">
        <f>VLOOKUP(A230,'12 - CORPO'!$A$1:$R$5122,18,FALSE)</f>
        <v>0</v>
      </c>
      <c r="K230" s="696">
        <f>M230-I230</f>
        <v>0</v>
      </c>
      <c r="L230" s="695">
        <f t="shared" si="69"/>
        <v>1</v>
      </c>
      <c r="M230" s="620">
        <f t="shared" si="70"/>
        <v>51993.74</v>
      </c>
      <c r="N230" s="808"/>
      <c r="O230" s="260">
        <f t="shared" si="57"/>
        <v>0</v>
      </c>
      <c r="P230" s="260">
        <f t="shared" si="57"/>
        <v>0</v>
      </c>
      <c r="Q230" s="260"/>
      <c r="R230" s="260"/>
    </row>
    <row r="231" spans="1:18" ht="39.6" outlineLevel="1">
      <c r="A231" s="293" t="s">
        <v>560</v>
      </c>
      <c r="B231" s="318" t="s">
        <v>1128</v>
      </c>
      <c r="C231" s="294" t="s">
        <v>1129</v>
      </c>
      <c r="D231" s="292" t="s">
        <v>816</v>
      </c>
      <c r="E231" s="304">
        <v>8299.43</v>
      </c>
      <c r="F231" s="305">
        <v>1</v>
      </c>
      <c r="G231" s="281">
        <f t="shared" si="67"/>
        <v>8299.43</v>
      </c>
      <c r="H231" s="306">
        <v>1</v>
      </c>
      <c r="I231" s="281">
        <f t="shared" si="68"/>
        <v>8299.43</v>
      </c>
      <c r="J231" s="297">
        <f>VLOOKUP(A231,'12 - CORPO'!$A$1:$R$5122,18,FALSE)</f>
        <v>0</v>
      </c>
      <c r="K231" s="307">
        <f>M231-I231</f>
        <v>0</v>
      </c>
      <c r="L231" s="306">
        <f t="shared" si="69"/>
        <v>1</v>
      </c>
      <c r="M231" s="281">
        <f t="shared" si="70"/>
        <v>8299.43</v>
      </c>
      <c r="N231" s="808"/>
      <c r="O231" s="260">
        <f t="shared" si="57"/>
        <v>0</v>
      </c>
      <c r="P231" s="260">
        <f t="shared" si="57"/>
        <v>0</v>
      </c>
      <c r="Q231" s="260"/>
      <c r="R231" s="260"/>
    </row>
    <row r="232" spans="1:18" ht="26.4" outlineLevel="1">
      <c r="A232" s="608" t="s">
        <v>561</v>
      </c>
      <c r="B232" s="609" t="s">
        <v>1130</v>
      </c>
      <c r="C232" s="610" t="s">
        <v>155</v>
      </c>
      <c r="D232" s="586" t="s">
        <v>809</v>
      </c>
      <c r="E232" s="611">
        <v>46.26</v>
      </c>
      <c r="F232" s="612">
        <v>28</v>
      </c>
      <c r="G232" s="613">
        <f t="shared" si="67"/>
        <v>1295.28</v>
      </c>
      <c r="H232" s="614">
        <v>28</v>
      </c>
      <c r="I232" s="613">
        <f t="shared" si="68"/>
        <v>1295.28</v>
      </c>
      <c r="J232" s="615">
        <f>VLOOKUP(A232,'12 - CORPO'!$A$1:$R$5122,18,FALSE)</f>
        <v>0</v>
      </c>
      <c r="K232" s="616">
        <f>M232-I232</f>
        <v>0</v>
      </c>
      <c r="L232" s="614">
        <f t="shared" si="69"/>
        <v>28</v>
      </c>
      <c r="M232" s="613">
        <f t="shared" si="70"/>
        <v>1295.28</v>
      </c>
      <c r="N232" s="808"/>
      <c r="O232" s="260">
        <f t="shared" si="57"/>
        <v>0</v>
      </c>
      <c r="P232" s="260">
        <f t="shared" si="57"/>
        <v>0</v>
      </c>
      <c r="Q232" s="260"/>
      <c r="R232" s="260"/>
    </row>
    <row r="233" spans="1:18" ht="19.95" customHeight="1">
      <c r="A233" s="1320" t="s">
        <v>562</v>
      </c>
      <c r="B233" s="1447" t="s">
        <v>1131</v>
      </c>
      <c r="C233" s="1447"/>
      <c r="D233" s="1322"/>
      <c r="E233" s="1322"/>
      <c r="F233" s="1322"/>
      <c r="G233" s="1323">
        <f>SUBTOTAL(9,G234:G266)</f>
        <v>1137113.3599999999</v>
      </c>
      <c r="H233" s="1322"/>
      <c r="I233" s="1323">
        <f>SUBTOTAL(9,I234:I266)</f>
        <v>1137113.3599999999</v>
      </c>
      <c r="J233" s="1322"/>
      <c r="K233" s="1323">
        <f>SUBTOTAL(9,K234:K266)</f>
        <v>0</v>
      </c>
      <c r="L233" s="1322"/>
      <c r="M233" s="1324">
        <f>SUBTOTAL(9,M234:M266)</f>
        <v>1137113.3599999999</v>
      </c>
      <c r="N233" s="811"/>
      <c r="O233" s="260">
        <f t="shared" si="57"/>
        <v>0</v>
      </c>
      <c r="P233" s="260">
        <f t="shared" si="57"/>
        <v>0</v>
      </c>
      <c r="Q233" s="262"/>
      <c r="R233" s="262"/>
    </row>
    <row r="234" spans="1:18" ht="26.4" outlineLevel="1">
      <c r="A234" s="313" t="s">
        <v>563</v>
      </c>
      <c r="B234" s="314" t="s">
        <v>1132</v>
      </c>
      <c r="C234" s="308" t="s">
        <v>1133</v>
      </c>
      <c r="D234" s="285" t="s">
        <v>809</v>
      </c>
      <c r="E234" s="693">
        <v>5.5</v>
      </c>
      <c r="F234" s="694">
        <v>540</v>
      </c>
      <c r="G234" s="620">
        <f t="shared" si="67"/>
        <v>2970</v>
      </c>
      <c r="H234" s="695">
        <v>540</v>
      </c>
      <c r="I234" s="620">
        <f t="shared" si="68"/>
        <v>2970</v>
      </c>
      <c r="J234" s="311">
        <f>VLOOKUP(A234,'12 - CORPO'!$A$1:$R$5122,18,FALSE)</f>
        <v>0</v>
      </c>
      <c r="K234" s="696">
        <f t="shared" ref="K234:K266" si="71">M234-I234</f>
        <v>0</v>
      </c>
      <c r="L234" s="695">
        <f t="shared" si="69"/>
        <v>540</v>
      </c>
      <c r="M234" s="620">
        <f t="shared" si="70"/>
        <v>2970</v>
      </c>
      <c r="N234" s="808"/>
      <c r="O234" s="260">
        <f t="shared" si="57"/>
        <v>0</v>
      </c>
      <c r="P234" s="260">
        <f t="shared" si="57"/>
        <v>0</v>
      </c>
      <c r="Q234" s="260"/>
      <c r="R234" s="260"/>
    </row>
    <row r="235" spans="1:18" ht="26.4" outlineLevel="1">
      <c r="A235" s="317" t="s">
        <v>564</v>
      </c>
      <c r="B235" s="319" t="s">
        <v>1132</v>
      </c>
      <c r="C235" s="273" t="s">
        <v>1134</v>
      </c>
      <c r="D235" s="292" t="s">
        <v>809</v>
      </c>
      <c r="E235" s="279">
        <v>5.5</v>
      </c>
      <c r="F235" s="280">
        <v>540</v>
      </c>
      <c r="G235" s="281">
        <f t="shared" si="67"/>
        <v>2970</v>
      </c>
      <c r="H235" s="282">
        <v>540</v>
      </c>
      <c r="I235" s="281">
        <f t="shared" si="68"/>
        <v>2970</v>
      </c>
      <c r="J235" s="277">
        <f>VLOOKUP(A235,'12 - CORPO'!$A$1:$R$5122,18,FALSE)</f>
        <v>0</v>
      </c>
      <c r="K235" s="278">
        <f t="shared" si="71"/>
        <v>0</v>
      </c>
      <c r="L235" s="282">
        <f t="shared" si="69"/>
        <v>540</v>
      </c>
      <c r="M235" s="281">
        <f t="shared" si="70"/>
        <v>2970</v>
      </c>
      <c r="N235" s="808"/>
      <c r="O235" s="260">
        <f t="shared" si="57"/>
        <v>0</v>
      </c>
      <c r="P235" s="260">
        <f t="shared" si="57"/>
        <v>0</v>
      </c>
      <c r="Q235" s="260"/>
      <c r="R235" s="260"/>
    </row>
    <row r="236" spans="1:18" ht="26.4" outlineLevel="1">
      <c r="A236" s="317" t="s">
        <v>565</v>
      </c>
      <c r="B236" s="319" t="s">
        <v>1132</v>
      </c>
      <c r="C236" s="273" t="s">
        <v>1135</v>
      </c>
      <c r="D236" s="292" t="s">
        <v>809</v>
      </c>
      <c r="E236" s="279">
        <v>5.5</v>
      </c>
      <c r="F236" s="280">
        <v>540</v>
      </c>
      <c r="G236" s="281">
        <f t="shared" si="67"/>
        <v>2970</v>
      </c>
      <c r="H236" s="282">
        <v>540</v>
      </c>
      <c r="I236" s="281">
        <f t="shared" si="68"/>
        <v>2970</v>
      </c>
      <c r="J236" s="277">
        <f>VLOOKUP(A236,'12 - CORPO'!$A$1:$R$5122,18,FALSE)</f>
        <v>0</v>
      </c>
      <c r="K236" s="278">
        <f t="shared" si="71"/>
        <v>0</v>
      </c>
      <c r="L236" s="282">
        <f t="shared" si="69"/>
        <v>540</v>
      </c>
      <c r="M236" s="281">
        <f t="shared" si="70"/>
        <v>2970</v>
      </c>
      <c r="N236" s="808"/>
      <c r="O236" s="260">
        <f t="shared" si="57"/>
        <v>0</v>
      </c>
      <c r="P236" s="260">
        <f t="shared" si="57"/>
        <v>0</v>
      </c>
      <c r="Q236" s="260"/>
      <c r="R236" s="260"/>
    </row>
    <row r="237" spans="1:18" ht="25.5" customHeight="1" outlineLevel="1">
      <c r="A237" s="293" t="s">
        <v>566</v>
      </c>
      <c r="B237" s="318" t="s">
        <v>1136</v>
      </c>
      <c r="C237" s="294" t="s">
        <v>1137</v>
      </c>
      <c r="D237" s="292" t="s">
        <v>809</v>
      </c>
      <c r="E237" s="304">
        <v>6.82</v>
      </c>
      <c r="F237" s="305">
        <v>270</v>
      </c>
      <c r="G237" s="281">
        <f t="shared" si="67"/>
        <v>1841.4</v>
      </c>
      <c r="H237" s="306">
        <v>270</v>
      </c>
      <c r="I237" s="281">
        <f t="shared" si="68"/>
        <v>1841.4</v>
      </c>
      <c r="J237" s="297">
        <f>VLOOKUP(A237,'12 - CORPO'!$A$1:$R$5122,18,FALSE)</f>
        <v>0</v>
      </c>
      <c r="K237" s="307">
        <f t="shared" si="71"/>
        <v>0</v>
      </c>
      <c r="L237" s="306">
        <f t="shared" si="69"/>
        <v>270</v>
      </c>
      <c r="M237" s="281">
        <f t="shared" si="70"/>
        <v>1841.4</v>
      </c>
      <c r="N237" s="808"/>
      <c r="O237" s="260">
        <f t="shared" si="57"/>
        <v>0</v>
      </c>
      <c r="P237" s="260">
        <f t="shared" si="57"/>
        <v>0</v>
      </c>
      <c r="Q237" s="260"/>
      <c r="R237" s="260"/>
    </row>
    <row r="238" spans="1:18" ht="26.4" outlineLevel="1">
      <c r="A238" s="293" t="s">
        <v>567</v>
      </c>
      <c r="B238" s="318" t="s">
        <v>1136</v>
      </c>
      <c r="C238" s="294" t="s">
        <v>1138</v>
      </c>
      <c r="D238" s="292" t="s">
        <v>809</v>
      </c>
      <c r="E238" s="304">
        <v>6.82</v>
      </c>
      <c r="F238" s="305">
        <v>90</v>
      </c>
      <c r="G238" s="281">
        <f t="shared" si="67"/>
        <v>613.79999999999995</v>
      </c>
      <c r="H238" s="306">
        <v>90</v>
      </c>
      <c r="I238" s="281">
        <f t="shared" si="68"/>
        <v>613.79999999999995</v>
      </c>
      <c r="J238" s="297">
        <f>VLOOKUP(A238,'12 - CORPO'!$A$1:$R$5122,18,FALSE)</f>
        <v>0</v>
      </c>
      <c r="K238" s="307">
        <f t="shared" si="71"/>
        <v>0</v>
      </c>
      <c r="L238" s="306">
        <f t="shared" si="69"/>
        <v>90</v>
      </c>
      <c r="M238" s="281">
        <f t="shared" si="70"/>
        <v>613.79999999999995</v>
      </c>
      <c r="N238" s="808"/>
      <c r="O238" s="260">
        <f t="shared" si="57"/>
        <v>0</v>
      </c>
      <c r="P238" s="260">
        <f t="shared" si="57"/>
        <v>0</v>
      </c>
      <c r="Q238" s="260"/>
      <c r="R238" s="260"/>
    </row>
    <row r="239" spans="1:18" ht="26.4" outlineLevel="1">
      <c r="A239" s="317" t="s">
        <v>568</v>
      </c>
      <c r="B239" s="319" t="s">
        <v>1136</v>
      </c>
      <c r="C239" s="273" t="s">
        <v>1139</v>
      </c>
      <c r="D239" s="292" t="s">
        <v>809</v>
      </c>
      <c r="E239" s="279">
        <v>6.82</v>
      </c>
      <c r="F239" s="280">
        <v>90</v>
      </c>
      <c r="G239" s="281">
        <f t="shared" si="67"/>
        <v>613.79999999999995</v>
      </c>
      <c r="H239" s="282">
        <v>90</v>
      </c>
      <c r="I239" s="281">
        <f t="shared" si="68"/>
        <v>613.79999999999995</v>
      </c>
      <c r="J239" s="277">
        <f>VLOOKUP(A239,'12 - CORPO'!$A$1:$R$5122,18,FALSE)</f>
        <v>0</v>
      </c>
      <c r="K239" s="278">
        <f t="shared" si="71"/>
        <v>0</v>
      </c>
      <c r="L239" s="282">
        <f t="shared" si="69"/>
        <v>90</v>
      </c>
      <c r="M239" s="281">
        <f t="shared" si="70"/>
        <v>613.79999999999995</v>
      </c>
      <c r="N239" s="808"/>
      <c r="O239" s="260">
        <f t="shared" si="57"/>
        <v>0</v>
      </c>
      <c r="P239" s="260">
        <f t="shared" si="57"/>
        <v>0</v>
      </c>
      <c r="Q239" s="260"/>
      <c r="R239" s="260"/>
    </row>
    <row r="240" spans="1:18" ht="26.4" outlineLevel="1">
      <c r="A240" s="293" t="s">
        <v>569</v>
      </c>
      <c r="B240" s="318" t="s">
        <v>1140</v>
      </c>
      <c r="C240" s="294" t="s">
        <v>1141</v>
      </c>
      <c r="D240" s="292" t="s">
        <v>809</v>
      </c>
      <c r="E240" s="304">
        <v>10.38</v>
      </c>
      <c r="F240" s="305">
        <v>1450</v>
      </c>
      <c r="G240" s="281">
        <f t="shared" si="67"/>
        <v>15051</v>
      </c>
      <c r="H240" s="306">
        <v>1450</v>
      </c>
      <c r="I240" s="281">
        <f t="shared" si="68"/>
        <v>15051</v>
      </c>
      <c r="J240" s="297">
        <f>VLOOKUP(A240,'12 - CORPO'!$A$1:$R$5122,18,FALSE)</f>
        <v>0</v>
      </c>
      <c r="K240" s="307">
        <f t="shared" si="71"/>
        <v>0</v>
      </c>
      <c r="L240" s="306">
        <f t="shared" si="69"/>
        <v>1450</v>
      </c>
      <c r="M240" s="281">
        <f t="shared" si="70"/>
        <v>15051</v>
      </c>
      <c r="N240" s="808"/>
      <c r="O240" s="260">
        <f t="shared" si="57"/>
        <v>0</v>
      </c>
      <c r="P240" s="260">
        <f t="shared" si="57"/>
        <v>0</v>
      </c>
      <c r="Q240" s="260"/>
      <c r="R240" s="260"/>
    </row>
    <row r="241" spans="1:18" ht="26.4" outlineLevel="1">
      <c r="A241" s="293" t="s">
        <v>570</v>
      </c>
      <c r="B241" s="318" t="s">
        <v>1140</v>
      </c>
      <c r="C241" s="294" t="s">
        <v>1142</v>
      </c>
      <c r="D241" s="292" t="s">
        <v>809</v>
      </c>
      <c r="E241" s="304">
        <v>10.38</v>
      </c>
      <c r="F241" s="305">
        <v>490</v>
      </c>
      <c r="G241" s="281">
        <f t="shared" si="67"/>
        <v>5086.2</v>
      </c>
      <c r="H241" s="306">
        <v>490</v>
      </c>
      <c r="I241" s="281">
        <f t="shared" si="68"/>
        <v>5086.2</v>
      </c>
      <c r="J241" s="297">
        <f>VLOOKUP(A241,'12 - CORPO'!$A$1:$R$5122,18,FALSE)</f>
        <v>0</v>
      </c>
      <c r="K241" s="307">
        <f t="shared" si="71"/>
        <v>0</v>
      </c>
      <c r="L241" s="306">
        <f t="shared" si="69"/>
        <v>490</v>
      </c>
      <c r="M241" s="281">
        <f t="shared" si="70"/>
        <v>5086.2</v>
      </c>
      <c r="N241" s="808"/>
      <c r="O241" s="260">
        <f t="shared" si="57"/>
        <v>0</v>
      </c>
      <c r="P241" s="260">
        <f t="shared" si="57"/>
        <v>0</v>
      </c>
      <c r="Q241" s="260"/>
      <c r="R241" s="260"/>
    </row>
    <row r="242" spans="1:18" ht="26.4" outlineLevel="1">
      <c r="A242" s="317" t="s">
        <v>571</v>
      </c>
      <c r="B242" s="319" t="s">
        <v>1143</v>
      </c>
      <c r="C242" s="273" t="s">
        <v>1144</v>
      </c>
      <c r="D242" s="292" t="s">
        <v>809</v>
      </c>
      <c r="E242" s="279">
        <v>474.8</v>
      </c>
      <c r="F242" s="280">
        <v>1500</v>
      </c>
      <c r="G242" s="281">
        <f t="shared" si="67"/>
        <v>712200</v>
      </c>
      <c r="H242" s="282">
        <v>1500</v>
      </c>
      <c r="I242" s="281">
        <f t="shared" si="68"/>
        <v>712200</v>
      </c>
      <c r="J242" s="277">
        <f>VLOOKUP(A242,'12 - CORPO'!$A$1:$R$5122,18,FALSE)</f>
        <v>0</v>
      </c>
      <c r="K242" s="278">
        <f t="shared" si="71"/>
        <v>0</v>
      </c>
      <c r="L242" s="282">
        <f t="shared" si="69"/>
        <v>1500</v>
      </c>
      <c r="M242" s="281">
        <f t="shared" si="70"/>
        <v>712200</v>
      </c>
      <c r="N242" s="808"/>
      <c r="O242" s="260">
        <f t="shared" si="57"/>
        <v>0</v>
      </c>
      <c r="P242" s="260">
        <f t="shared" si="57"/>
        <v>0</v>
      </c>
      <c r="Q242" s="260"/>
      <c r="R242" s="260"/>
    </row>
    <row r="243" spans="1:18" ht="26.4" outlineLevel="1">
      <c r="A243" s="317" t="s">
        <v>572</v>
      </c>
      <c r="B243" s="319" t="s">
        <v>1145</v>
      </c>
      <c r="C243" s="273" t="s">
        <v>1146</v>
      </c>
      <c r="D243" s="292" t="s">
        <v>809</v>
      </c>
      <c r="E243" s="279">
        <v>76.5</v>
      </c>
      <c r="F243" s="280">
        <v>540</v>
      </c>
      <c r="G243" s="281">
        <f t="shared" si="67"/>
        <v>41310</v>
      </c>
      <c r="H243" s="282">
        <v>540</v>
      </c>
      <c r="I243" s="281">
        <f t="shared" si="68"/>
        <v>41310</v>
      </c>
      <c r="J243" s="277">
        <f>VLOOKUP(A243,'12 - CORPO'!$A$1:$R$5122,18,FALSE)</f>
        <v>0</v>
      </c>
      <c r="K243" s="278">
        <f t="shared" si="71"/>
        <v>0</v>
      </c>
      <c r="L243" s="282">
        <f t="shared" si="69"/>
        <v>540</v>
      </c>
      <c r="M243" s="281">
        <f t="shared" si="70"/>
        <v>41310</v>
      </c>
      <c r="N243" s="808"/>
      <c r="O243" s="260">
        <f t="shared" si="57"/>
        <v>0</v>
      </c>
      <c r="P243" s="260">
        <f t="shared" si="57"/>
        <v>0</v>
      </c>
      <c r="Q243" s="260"/>
      <c r="R243" s="260"/>
    </row>
    <row r="244" spans="1:18" ht="26.4" outlineLevel="1">
      <c r="A244" s="293" t="s">
        <v>573</v>
      </c>
      <c r="B244" s="318" t="s">
        <v>1147</v>
      </c>
      <c r="C244" s="294" t="s">
        <v>1148</v>
      </c>
      <c r="D244" s="292" t="s">
        <v>809</v>
      </c>
      <c r="E244" s="304">
        <v>150.77000000000001</v>
      </c>
      <c r="F244" s="305">
        <v>1440</v>
      </c>
      <c r="G244" s="281">
        <f t="shared" si="67"/>
        <v>217108.8</v>
      </c>
      <c r="H244" s="306">
        <v>1440</v>
      </c>
      <c r="I244" s="281">
        <f t="shared" si="68"/>
        <v>217108.8</v>
      </c>
      <c r="J244" s="297">
        <f>VLOOKUP(A244,'12 - CORPO'!$A$1:$R$5122,18,FALSE)</f>
        <v>0</v>
      </c>
      <c r="K244" s="307">
        <f t="shared" si="71"/>
        <v>0</v>
      </c>
      <c r="L244" s="306">
        <f t="shared" si="69"/>
        <v>1440</v>
      </c>
      <c r="M244" s="281">
        <f t="shared" si="70"/>
        <v>217108.8</v>
      </c>
      <c r="N244" s="808"/>
      <c r="O244" s="260">
        <f t="shared" si="57"/>
        <v>0</v>
      </c>
      <c r="P244" s="260">
        <f t="shared" si="57"/>
        <v>0</v>
      </c>
      <c r="Q244" s="260"/>
      <c r="R244" s="260"/>
    </row>
    <row r="245" spans="1:18" ht="26.4" outlineLevel="1">
      <c r="A245" s="293" t="s">
        <v>574</v>
      </c>
      <c r="B245" s="318" t="s">
        <v>1147</v>
      </c>
      <c r="C245" s="294" t="s">
        <v>1149</v>
      </c>
      <c r="D245" s="292" t="s">
        <v>809</v>
      </c>
      <c r="E245" s="304">
        <v>150.77000000000001</v>
      </c>
      <c r="F245" s="305">
        <v>540</v>
      </c>
      <c r="G245" s="281">
        <f t="shared" si="67"/>
        <v>81415.8</v>
      </c>
      <c r="H245" s="306">
        <v>540</v>
      </c>
      <c r="I245" s="281">
        <f t="shared" si="68"/>
        <v>81415.8</v>
      </c>
      <c r="J245" s="297">
        <f>VLOOKUP(A245,'12 - CORPO'!$A$1:$R$5122,18,FALSE)</f>
        <v>0</v>
      </c>
      <c r="K245" s="307">
        <f t="shared" si="71"/>
        <v>0</v>
      </c>
      <c r="L245" s="306">
        <f t="shared" si="69"/>
        <v>540</v>
      </c>
      <c r="M245" s="281">
        <f t="shared" si="70"/>
        <v>81415.8</v>
      </c>
      <c r="N245" s="808"/>
      <c r="O245" s="260">
        <f t="shared" si="57"/>
        <v>0</v>
      </c>
      <c r="P245" s="260">
        <f t="shared" si="57"/>
        <v>0</v>
      </c>
      <c r="Q245" s="260"/>
      <c r="R245" s="260"/>
    </row>
    <row r="246" spans="1:18" ht="26.4" outlineLevel="1">
      <c r="A246" s="317" t="s">
        <v>575</v>
      </c>
      <c r="B246" s="319" t="s">
        <v>1150</v>
      </c>
      <c r="C246" s="273" t="s">
        <v>1151</v>
      </c>
      <c r="D246" s="292" t="s">
        <v>809</v>
      </c>
      <c r="E246" s="279">
        <v>3.2</v>
      </c>
      <c r="F246" s="280">
        <v>250</v>
      </c>
      <c r="G246" s="281">
        <f t="shared" si="67"/>
        <v>800</v>
      </c>
      <c r="H246" s="282">
        <v>250</v>
      </c>
      <c r="I246" s="281">
        <f t="shared" si="68"/>
        <v>800</v>
      </c>
      <c r="J246" s="277">
        <f>VLOOKUP(A246,'12 - CORPO'!$A$1:$R$5122,18,FALSE)</f>
        <v>0</v>
      </c>
      <c r="K246" s="278">
        <f t="shared" si="71"/>
        <v>0</v>
      </c>
      <c r="L246" s="282">
        <f t="shared" si="69"/>
        <v>250</v>
      </c>
      <c r="M246" s="281">
        <f t="shared" si="70"/>
        <v>800</v>
      </c>
      <c r="N246" s="808"/>
      <c r="O246" s="260">
        <f t="shared" si="57"/>
        <v>0</v>
      </c>
      <c r="P246" s="260">
        <f t="shared" si="57"/>
        <v>0</v>
      </c>
      <c r="Q246" s="260"/>
      <c r="R246" s="260"/>
    </row>
    <row r="247" spans="1:18" ht="26.4" outlineLevel="1">
      <c r="A247" s="293" t="s">
        <v>576</v>
      </c>
      <c r="B247" s="318" t="s">
        <v>1150</v>
      </c>
      <c r="C247" s="294" t="s">
        <v>1152</v>
      </c>
      <c r="D247" s="292" t="s">
        <v>809</v>
      </c>
      <c r="E247" s="304">
        <v>3.2</v>
      </c>
      <c r="F247" s="305">
        <v>250</v>
      </c>
      <c r="G247" s="281">
        <f t="shared" si="67"/>
        <v>800</v>
      </c>
      <c r="H247" s="306">
        <v>250</v>
      </c>
      <c r="I247" s="281">
        <f t="shared" si="68"/>
        <v>800</v>
      </c>
      <c r="J247" s="297">
        <f>VLOOKUP(A247,'12 - CORPO'!$A$1:$R$5122,18,FALSE)</f>
        <v>0</v>
      </c>
      <c r="K247" s="307">
        <f t="shared" si="71"/>
        <v>0</v>
      </c>
      <c r="L247" s="306">
        <f t="shared" si="69"/>
        <v>250</v>
      </c>
      <c r="M247" s="281">
        <f t="shared" si="70"/>
        <v>800</v>
      </c>
      <c r="N247" s="808"/>
      <c r="O247" s="260">
        <f t="shared" si="57"/>
        <v>0</v>
      </c>
      <c r="P247" s="260">
        <f t="shared" si="57"/>
        <v>0</v>
      </c>
      <c r="Q247" s="260"/>
      <c r="R247" s="260"/>
    </row>
    <row r="248" spans="1:18" ht="26.4" outlineLevel="1">
      <c r="A248" s="293" t="s">
        <v>577</v>
      </c>
      <c r="B248" s="318" t="s">
        <v>1150</v>
      </c>
      <c r="C248" s="294" t="s">
        <v>1153</v>
      </c>
      <c r="D248" s="292" t="s">
        <v>809</v>
      </c>
      <c r="E248" s="304">
        <v>3.2</v>
      </c>
      <c r="F248" s="305">
        <v>250</v>
      </c>
      <c r="G248" s="281">
        <f t="shared" si="67"/>
        <v>800</v>
      </c>
      <c r="H248" s="306">
        <v>250</v>
      </c>
      <c r="I248" s="281">
        <f t="shared" si="68"/>
        <v>800</v>
      </c>
      <c r="J248" s="297">
        <f>VLOOKUP(A248,'12 - CORPO'!$A$1:$R$5122,18,FALSE)</f>
        <v>0</v>
      </c>
      <c r="K248" s="307">
        <f t="shared" si="71"/>
        <v>0</v>
      </c>
      <c r="L248" s="306">
        <f t="shared" si="69"/>
        <v>250</v>
      </c>
      <c r="M248" s="281">
        <f t="shared" si="70"/>
        <v>800</v>
      </c>
      <c r="N248" s="808"/>
      <c r="O248" s="260">
        <f t="shared" ref="O248:P311" si="72">F248-L248</f>
        <v>0</v>
      </c>
      <c r="P248" s="260">
        <f t="shared" si="72"/>
        <v>0</v>
      </c>
      <c r="Q248" s="260"/>
      <c r="R248" s="260"/>
    </row>
    <row r="249" spans="1:18" ht="33.75" customHeight="1" outlineLevel="1">
      <c r="A249" s="681" t="s">
        <v>578</v>
      </c>
      <c r="B249" s="682" t="s">
        <v>1150</v>
      </c>
      <c r="C249" s="683" t="s">
        <v>1154</v>
      </c>
      <c r="D249" s="664" t="s">
        <v>809</v>
      </c>
      <c r="E249" s="684">
        <v>3.2</v>
      </c>
      <c r="F249" s="685">
        <v>60</v>
      </c>
      <c r="G249" s="667">
        <f t="shared" si="67"/>
        <v>192</v>
      </c>
      <c r="H249" s="686">
        <v>60</v>
      </c>
      <c r="I249" s="667">
        <f t="shared" si="68"/>
        <v>192</v>
      </c>
      <c r="J249" s="687">
        <f>VLOOKUP(A249,'12 - CORPO'!$A$1:$R$5122,18,FALSE)</f>
        <v>0</v>
      </c>
      <c r="K249" s="688">
        <f t="shared" si="71"/>
        <v>0</v>
      </c>
      <c r="L249" s="686">
        <f t="shared" si="69"/>
        <v>60</v>
      </c>
      <c r="M249" s="667">
        <f t="shared" si="70"/>
        <v>192</v>
      </c>
      <c r="N249" s="808"/>
      <c r="O249" s="260">
        <f t="shared" si="72"/>
        <v>0</v>
      </c>
      <c r="P249" s="260">
        <f t="shared" si="72"/>
        <v>0</v>
      </c>
      <c r="Q249" s="260"/>
      <c r="R249" s="260"/>
    </row>
    <row r="250" spans="1:18" ht="26.4" outlineLevel="1">
      <c r="A250" s="598" t="s">
        <v>579</v>
      </c>
      <c r="B250" s="599" t="s">
        <v>1155</v>
      </c>
      <c r="C250" s="600" t="s">
        <v>1156</v>
      </c>
      <c r="D250" s="601" t="s">
        <v>809</v>
      </c>
      <c r="E250" s="671">
        <v>6.7</v>
      </c>
      <c r="F250" s="672">
        <v>8</v>
      </c>
      <c r="G250" s="673">
        <f t="shared" si="67"/>
        <v>53.6</v>
      </c>
      <c r="H250" s="674">
        <v>8</v>
      </c>
      <c r="I250" s="673">
        <f t="shared" si="68"/>
        <v>53.6</v>
      </c>
      <c r="J250" s="604">
        <f>VLOOKUP(A250,'12 - CORPO'!$A$1:$R$5122,18,FALSE)</f>
        <v>0</v>
      </c>
      <c r="K250" s="675">
        <f t="shared" si="71"/>
        <v>0</v>
      </c>
      <c r="L250" s="674">
        <f t="shared" si="69"/>
        <v>8</v>
      </c>
      <c r="M250" s="673">
        <f t="shared" si="70"/>
        <v>53.6</v>
      </c>
      <c r="N250" s="808"/>
      <c r="O250" s="260">
        <f t="shared" si="72"/>
        <v>0</v>
      </c>
      <c r="P250" s="260">
        <f t="shared" si="72"/>
        <v>0</v>
      </c>
      <c r="Q250" s="260"/>
      <c r="R250" s="260"/>
    </row>
    <row r="251" spans="1:18" ht="26.4" outlineLevel="1">
      <c r="A251" s="293" t="s">
        <v>580</v>
      </c>
      <c r="B251" s="318" t="s">
        <v>1155</v>
      </c>
      <c r="C251" s="294" t="s">
        <v>1157</v>
      </c>
      <c r="D251" s="292" t="s">
        <v>809</v>
      </c>
      <c r="E251" s="304">
        <v>6.7</v>
      </c>
      <c r="F251" s="305">
        <v>8</v>
      </c>
      <c r="G251" s="281">
        <f t="shared" si="67"/>
        <v>53.6</v>
      </c>
      <c r="H251" s="306">
        <v>8</v>
      </c>
      <c r="I251" s="281">
        <f t="shared" si="68"/>
        <v>53.6</v>
      </c>
      <c r="J251" s="297">
        <f>VLOOKUP(A251,'12 - CORPO'!$A$1:$R$5122,18,FALSE)</f>
        <v>0</v>
      </c>
      <c r="K251" s="307">
        <f t="shared" si="71"/>
        <v>0</v>
      </c>
      <c r="L251" s="306">
        <f t="shared" si="69"/>
        <v>8</v>
      </c>
      <c r="M251" s="281">
        <f t="shared" si="70"/>
        <v>53.6</v>
      </c>
      <c r="N251" s="808"/>
      <c r="O251" s="260">
        <f t="shared" si="72"/>
        <v>0</v>
      </c>
      <c r="P251" s="260">
        <f t="shared" si="72"/>
        <v>0</v>
      </c>
      <c r="Q251" s="260"/>
      <c r="R251" s="260"/>
    </row>
    <row r="252" spans="1:18" ht="26.4" outlineLevel="1">
      <c r="A252" s="317" t="s">
        <v>581</v>
      </c>
      <c r="B252" s="319" t="s">
        <v>1155</v>
      </c>
      <c r="C252" s="273" t="s">
        <v>1158</v>
      </c>
      <c r="D252" s="292" t="s">
        <v>809</v>
      </c>
      <c r="E252" s="279">
        <v>6.7</v>
      </c>
      <c r="F252" s="280">
        <v>8</v>
      </c>
      <c r="G252" s="281">
        <f t="shared" si="67"/>
        <v>53.6</v>
      </c>
      <c r="H252" s="282">
        <v>8</v>
      </c>
      <c r="I252" s="281">
        <f t="shared" si="68"/>
        <v>53.6</v>
      </c>
      <c r="J252" s="297">
        <f>VLOOKUP(A252,'12 - CORPO'!$A$1:$R$5122,18,FALSE)</f>
        <v>0</v>
      </c>
      <c r="K252" s="278">
        <f t="shared" si="71"/>
        <v>0</v>
      </c>
      <c r="L252" s="306">
        <f t="shared" ref="L252" si="73">(H252+J252)</f>
        <v>8</v>
      </c>
      <c r="M252" s="281">
        <f t="shared" ref="M252" si="74">ROUND((E252*L252),2)</f>
        <v>53.6</v>
      </c>
      <c r="N252" s="808"/>
      <c r="O252" s="260">
        <f t="shared" si="72"/>
        <v>0</v>
      </c>
      <c r="P252" s="260">
        <f t="shared" si="72"/>
        <v>0</v>
      </c>
      <c r="Q252" s="260"/>
      <c r="R252" s="260"/>
    </row>
    <row r="253" spans="1:18" ht="79.2" outlineLevel="1">
      <c r="A253" s="317" t="s">
        <v>582</v>
      </c>
      <c r="B253" s="319" t="s">
        <v>1159</v>
      </c>
      <c r="C253" s="273" t="s">
        <v>1160</v>
      </c>
      <c r="D253" s="292" t="s">
        <v>809</v>
      </c>
      <c r="E253" s="279">
        <v>142.41999999999999</v>
      </c>
      <c r="F253" s="280">
        <v>200</v>
      </c>
      <c r="G253" s="281">
        <f t="shared" si="67"/>
        <v>28484</v>
      </c>
      <c r="H253" s="282">
        <v>200</v>
      </c>
      <c r="I253" s="281">
        <f t="shared" ref="I253:I266" si="75">ROUND((E253*H253),2)</f>
        <v>28484</v>
      </c>
      <c r="J253" s="277">
        <f>VLOOKUP(A253,'12 - CORPO'!$A$1:$R$5122,18,FALSE)</f>
        <v>0</v>
      </c>
      <c r="K253" s="278">
        <f t="shared" si="71"/>
        <v>0</v>
      </c>
      <c r="L253" s="282">
        <f t="shared" ref="L253:L266" si="76">(H253+J253)</f>
        <v>200</v>
      </c>
      <c r="M253" s="281">
        <f t="shared" ref="M253:M266" si="77">ROUND((E253*L253),2)</f>
        <v>28484</v>
      </c>
      <c r="N253" s="808"/>
      <c r="O253" s="260">
        <f t="shared" si="72"/>
        <v>0</v>
      </c>
      <c r="P253" s="260">
        <f t="shared" si="72"/>
        <v>0</v>
      </c>
      <c r="Q253" s="260"/>
      <c r="R253" s="260"/>
    </row>
    <row r="254" spans="1:18" ht="26.4" outlineLevel="1">
      <c r="A254" s="293" t="s">
        <v>583</v>
      </c>
      <c r="B254" s="318" t="s">
        <v>1161</v>
      </c>
      <c r="C254" s="294" t="s">
        <v>1162</v>
      </c>
      <c r="D254" s="292" t="s">
        <v>809</v>
      </c>
      <c r="E254" s="304">
        <v>59.39</v>
      </c>
      <c r="F254" s="305">
        <v>50</v>
      </c>
      <c r="G254" s="281">
        <f t="shared" si="67"/>
        <v>2969.5</v>
      </c>
      <c r="H254" s="306">
        <v>50</v>
      </c>
      <c r="I254" s="281">
        <f t="shared" si="75"/>
        <v>2969.5</v>
      </c>
      <c r="J254" s="297">
        <f>VLOOKUP(A254,'12 - CORPO'!$A$1:$R$5122,18,FALSE)</f>
        <v>0</v>
      </c>
      <c r="K254" s="307">
        <f t="shared" si="71"/>
        <v>0</v>
      </c>
      <c r="L254" s="306">
        <f t="shared" si="76"/>
        <v>50</v>
      </c>
      <c r="M254" s="281">
        <f t="shared" si="77"/>
        <v>2969.5</v>
      </c>
      <c r="N254" s="808"/>
      <c r="O254" s="260">
        <f t="shared" si="72"/>
        <v>0</v>
      </c>
      <c r="P254" s="260">
        <f t="shared" si="72"/>
        <v>0</v>
      </c>
      <c r="Q254" s="260"/>
      <c r="R254" s="260"/>
    </row>
    <row r="255" spans="1:18" ht="26.4" outlineLevel="1">
      <c r="A255" s="293" t="s">
        <v>584</v>
      </c>
      <c r="B255" s="318" t="s">
        <v>1163</v>
      </c>
      <c r="C255" s="294" t="s">
        <v>1164</v>
      </c>
      <c r="D255" s="292" t="s">
        <v>809</v>
      </c>
      <c r="E255" s="304">
        <v>7.36</v>
      </c>
      <c r="F255" s="305">
        <v>306</v>
      </c>
      <c r="G255" s="281">
        <f t="shared" si="67"/>
        <v>2252.16</v>
      </c>
      <c r="H255" s="306">
        <v>306</v>
      </c>
      <c r="I255" s="281">
        <f t="shared" si="75"/>
        <v>2252.16</v>
      </c>
      <c r="J255" s="297">
        <f>VLOOKUP(A255,'12 - CORPO'!$A$1:$R$5122,18,FALSE)</f>
        <v>0</v>
      </c>
      <c r="K255" s="307">
        <f t="shared" si="71"/>
        <v>0</v>
      </c>
      <c r="L255" s="306">
        <f t="shared" si="76"/>
        <v>306</v>
      </c>
      <c r="M255" s="281">
        <f t="shared" si="77"/>
        <v>2252.16</v>
      </c>
      <c r="N255" s="808"/>
      <c r="O255" s="260">
        <f t="shared" si="72"/>
        <v>0</v>
      </c>
      <c r="P255" s="260">
        <f t="shared" si="72"/>
        <v>0</v>
      </c>
      <c r="Q255" s="260"/>
      <c r="R255" s="260"/>
    </row>
    <row r="256" spans="1:18" ht="26.4" outlineLevel="1">
      <c r="A256" s="317" t="s">
        <v>585</v>
      </c>
      <c r="B256" s="319" t="s">
        <v>1163</v>
      </c>
      <c r="C256" s="273" t="s">
        <v>1165</v>
      </c>
      <c r="D256" s="292" t="s">
        <v>809</v>
      </c>
      <c r="E256" s="279">
        <v>7.36</v>
      </c>
      <c r="F256" s="280">
        <v>306</v>
      </c>
      <c r="G256" s="281">
        <f t="shared" si="67"/>
        <v>2252.16</v>
      </c>
      <c r="H256" s="282">
        <v>306</v>
      </c>
      <c r="I256" s="281">
        <f t="shared" si="75"/>
        <v>2252.16</v>
      </c>
      <c r="J256" s="277">
        <f>VLOOKUP(A256,'12 - CORPO'!$A$1:$R$5122,18,FALSE)</f>
        <v>0</v>
      </c>
      <c r="K256" s="278">
        <f t="shared" si="71"/>
        <v>0</v>
      </c>
      <c r="L256" s="282">
        <f t="shared" si="76"/>
        <v>306</v>
      </c>
      <c r="M256" s="281">
        <f t="shared" si="77"/>
        <v>2252.16</v>
      </c>
      <c r="N256" s="808"/>
      <c r="O256" s="260">
        <f t="shared" si="72"/>
        <v>0</v>
      </c>
      <c r="P256" s="260">
        <f t="shared" si="72"/>
        <v>0</v>
      </c>
      <c r="Q256" s="260"/>
      <c r="R256" s="260"/>
    </row>
    <row r="257" spans="1:18" ht="26.4" outlineLevel="1">
      <c r="A257" s="317" t="s">
        <v>586</v>
      </c>
      <c r="B257" s="319" t="s">
        <v>1163</v>
      </c>
      <c r="C257" s="273" t="s">
        <v>1166</v>
      </c>
      <c r="D257" s="292" t="s">
        <v>809</v>
      </c>
      <c r="E257" s="279">
        <v>7.36</v>
      </c>
      <c r="F257" s="280">
        <v>306</v>
      </c>
      <c r="G257" s="281">
        <f t="shared" si="67"/>
        <v>2252.16</v>
      </c>
      <c r="H257" s="282">
        <v>306</v>
      </c>
      <c r="I257" s="281">
        <f t="shared" si="75"/>
        <v>2252.16</v>
      </c>
      <c r="J257" s="277">
        <f>VLOOKUP(A257,'12 - CORPO'!$A$1:$R$5122,18,FALSE)</f>
        <v>0</v>
      </c>
      <c r="K257" s="278">
        <f t="shared" si="71"/>
        <v>0</v>
      </c>
      <c r="L257" s="282">
        <f t="shared" si="76"/>
        <v>306</v>
      </c>
      <c r="M257" s="281">
        <f t="shared" si="77"/>
        <v>2252.16</v>
      </c>
      <c r="N257" s="808"/>
      <c r="O257" s="260">
        <f t="shared" si="72"/>
        <v>0</v>
      </c>
      <c r="P257" s="260">
        <f t="shared" si="72"/>
        <v>0</v>
      </c>
      <c r="Q257" s="260"/>
      <c r="R257" s="260"/>
    </row>
    <row r="258" spans="1:18" outlineLevel="1">
      <c r="A258" s="293" t="s">
        <v>587</v>
      </c>
      <c r="B258" s="318" t="s">
        <v>1167</v>
      </c>
      <c r="C258" s="294" t="s">
        <v>1168</v>
      </c>
      <c r="D258" s="292" t="s">
        <v>809</v>
      </c>
      <c r="E258" s="304">
        <v>21.33</v>
      </c>
      <c r="F258" s="305">
        <v>50</v>
      </c>
      <c r="G258" s="281">
        <f t="shared" si="67"/>
        <v>1066.5</v>
      </c>
      <c r="H258" s="306">
        <v>50</v>
      </c>
      <c r="I258" s="281">
        <f t="shared" si="75"/>
        <v>1066.5</v>
      </c>
      <c r="J258" s="297">
        <f>VLOOKUP(A258,'12 - CORPO'!$A$1:$R$5122,18,FALSE)</f>
        <v>0</v>
      </c>
      <c r="K258" s="307">
        <f t="shared" si="71"/>
        <v>0</v>
      </c>
      <c r="L258" s="306">
        <f t="shared" si="76"/>
        <v>50</v>
      </c>
      <c r="M258" s="281">
        <f t="shared" si="77"/>
        <v>1066.5</v>
      </c>
      <c r="N258" s="808"/>
      <c r="O258" s="260">
        <f t="shared" si="72"/>
        <v>0</v>
      </c>
      <c r="P258" s="260">
        <f t="shared" si="72"/>
        <v>0</v>
      </c>
      <c r="Q258" s="260"/>
      <c r="R258" s="260"/>
    </row>
    <row r="259" spans="1:18" outlineLevel="1">
      <c r="A259" s="293" t="s">
        <v>588</v>
      </c>
      <c r="B259" s="318" t="s">
        <v>1167</v>
      </c>
      <c r="C259" s="294" t="s">
        <v>1169</v>
      </c>
      <c r="D259" s="292" t="s">
        <v>809</v>
      </c>
      <c r="E259" s="304">
        <v>21.33</v>
      </c>
      <c r="F259" s="305">
        <v>150</v>
      </c>
      <c r="G259" s="281">
        <f t="shared" si="67"/>
        <v>3199.5</v>
      </c>
      <c r="H259" s="306">
        <v>150</v>
      </c>
      <c r="I259" s="281">
        <f t="shared" si="75"/>
        <v>3199.5</v>
      </c>
      <c r="J259" s="297">
        <f>VLOOKUP(A259,'12 - CORPO'!$A$1:$R$5122,18,FALSE)</f>
        <v>0</v>
      </c>
      <c r="K259" s="307">
        <f t="shared" si="71"/>
        <v>0</v>
      </c>
      <c r="L259" s="306">
        <f t="shared" si="76"/>
        <v>150</v>
      </c>
      <c r="M259" s="281">
        <f t="shared" si="77"/>
        <v>3199.5</v>
      </c>
      <c r="N259" s="808"/>
      <c r="O259" s="260">
        <f t="shared" si="72"/>
        <v>0</v>
      </c>
      <c r="P259" s="260">
        <f t="shared" si="72"/>
        <v>0</v>
      </c>
      <c r="Q259" s="260"/>
      <c r="R259" s="260"/>
    </row>
    <row r="260" spans="1:18" ht="19.95" customHeight="1" outlineLevel="1">
      <c r="A260" s="317" t="s">
        <v>589</v>
      </c>
      <c r="B260" s="319" t="s">
        <v>1167</v>
      </c>
      <c r="C260" s="273" t="s">
        <v>1170</v>
      </c>
      <c r="D260" s="292" t="s">
        <v>809</v>
      </c>
      <c r="E260" s="279">
        <v>21.33</v>
      </c>
      <c r="F260" s="280">
        <v>50</v>
      </c>
      <c r="G260" s="281">
        <f t="shared" si="67"/>
        <v>1066.5</v>
      </c>
      <c r="H260" s="282">
        <v>50</v>
      </c>
      <c r="I260" s="281">
        <f t="shared" si="75"/>
        <v>1066.5</v>
      </c>
      <c r="J260" s="277">
        <f>VLOOKUP(A260,'12 - CORPO'!$A$1:$R$5122,18,FALSE)</f>
        <v>0</v>
      </c>
      <c r="K260" s="278">
        <f t="shared" si="71"/>
        <v>0</v>
      </c>
      <c r="L260" s="282">
        <f t="shared" si="76"/>
        <v>50</v>
      </c>
      <c r="M260" s="281">
        <f t="shared" si="77"/>
        <v>1066.5</v>
      </c>
      <c r="N260" s="808"/>
      <c r="O260" s="260">
        <f t="shared" si="72"/>
        <v>0</v>
      </c>
      <c r="P260" s="260">
        <f t="shared" si="72"/>
        <v>0</v>
      </c>
      <c r="Q260" s="260"/>
      <c r="R260" s="260"/>
    </row>
    <row r="261" spans="1:18" ht="26.4" outlineLevel="1">
      <c r="A261" s="293" t="s">
        <v>590</v>
      </c>
      <c r="B261" s="318" t="s">
        <v>1171</v>
      </c>
      <c r="C261" s="294" t="s">
        <v>1172</v>
      </c>
      <c r="D261" s="292" t="s">
        <v>816</v>
      </c>
      <c r="E261" s="304">
        <v>1.24</v>
      </c>
      <c r="F261" s="305">
        <v>88</v>
      </c>
      <c r="G261" s="281">
        <f t="shared" si="67"/>
        <v>109.12</v>
      </c>
      <c r="H261" s="306">
        <v>88</v>
      </c>
      <c r="I261" s="281">
        <f t="shared" si="75"/>
        <v>109.12</v>
      </c>
      <c r="J261" s="297">
        <f>VLOOKUP(A261,'12 - CORPO'!$A$1:$R$5122,18,FALSE)</f>
        <v>0</v>
      </c>
      <c r="K261" s="307">
        <f t="shared" si="71"/>
        <v>0</v>
      </c>
      <c r="L261" s="306">
        <f t="shared" si="76"/>
        <v>88</v>
      </c>
      <c r="M261" s="281">
        <f t="shared" si="77"/>
        <v>109.12</v>
      </c>
      <c r="N261" s="808"/>
      <c r="O261" s="260">
        <f t="shared" si="72"/>
        <v>0</v>
      </c>
      <c r="P261" s="260">
        <f t="shared" si="72"/>
        <v>0</v>
      </c>
      <c r="Q261" s="260"/>
      <c r="R261" s="260"/>
    </row>
    <row r="262" spans="1:18" outlineLevel="1">
      <c r="A262" s="293" t="s">
        <v>591</v>
      </c>
      <c r="B262" s="318" t="s">
        <v>1173</v>
      </c>
      <c r="C262" s="294" t="s">
        <v>1174</v>
      </c>
      <c r="D262" s="292" t="s">
        <v>816</v>
      </c>
      <c r="E262" s="304">
        <v>4.24</v>
      </c>
      <c r="F262" s="305">
        <v>10</v>
      </c>
      <c r="G262" s="281">
        <f t="shared" si="67"/>
        <v>42.4</v>
      </c>
      <c r="H262" s="306">
        <v>10</v>
      </c>
      <c r="I262" s="281">
        <f t="shared" si="75"/>
        <v>42.4</v>
      </c>
      <c r="J262" s="297">
        <f>VLOOKUP(A262,'12 - CORPO'!$A$1:$R$5122,18,FALSE)</f>
        <v>0</v>
      </c>
      <c r="K262" s="307">
        <f t="shared" si="71"/>
        <v>0</v>
      </c>
      <c r="L262" s="306">
        <f t="shared" si="76"/>
        <v>10</v>
      </c>
      <c r="M262" s="281">
        <f t="shared" si="77"/>
        <v>42.4</v>
      </c>
      <c r="N262" s="808"/>
      <c r="O262" s="260">
        <f t="shared" si="72"/>
        <v>0</v>
      </c>
      <c r="P262" s="260">
        <f t="shared" si="72"/>
        <v>0</v>
      </c>
      <c r="Q262" s="260"/>
      <c r="R262" s="260"/>
    </row>
    <row r="263" spans="1:18" ht="26.4" outlineLevel="1">
      <c r="A263" s="317" t="s">
        <v>592</v>
      </c>
      <c r="B263" s="319" t="s">
        <v>1175</v>
      </c>
      <c r="C263" s="273" t="s">
        <v>1176</v>
      </c>
      <c r="D263" s="292" t="s">
        <v>816</v>
      </c>
      <c r="E263" s="279">
        <v>5.15</v>
      </c>
      <c r="F263" s="280">
        <v>48</v>
      </c>
      <c r="G263" s="281">
        <f t="shared" si="67"/>
        <v>247.2</v>
      </c>
      <c r="H263" s="282">
        <v>48</v>
      </c>
      <c r="I263" s="281">
        <f t="shared" si="75"/>
        <v>247.2</v>
      </c>
      <c r="J263" s="277">
        <f>VLOOKUP(A263,'12 - CORPO'!$A$1:$R$5122,18,FALSE)</f>
        <v>0</v>
      </c>
      <c r="K263" s="278">
        <f t="shared" si="71"/>
        <v>0</v>
      </c>
      <c r="L263" s="282">
        <f t="shared" si="76"/>
        <v>48</v>
      </c>
      <c r="M263" s="281">
        <f t="shared" si="77"/>
        <v>247.2</v>
      </c>
      <c r="N263" s="808"/>
      <c r="O263" s="260">
        <f t="shared" si="72"/>
        <v>0</v>
      </c>
      <c r="P263" s="260">
        <f t="shared" si="72"/>
        <v>0</v>
      </c>
      <c r="Q263" s="260"/>
      <c r="R263" s="260"/>
    </row>
    <row r="264" spans="1:18" outlineLevel="1">
      <c r="A264" s="317" t="s">
        <v>593</v>
      </c>
      <c r="B264" s="319" t="s">
        <v>1177</v>
      </c>
      <c r="C264" s="273" t="s">
        <v>1178</v>
      </c>
      <c r="D264" s="292" t="s">
        <v>816</v>
      </c>
      <c r="E264" s="279">
        <v>69.31</v>
      </c>
      <c r="F264" s="280">
        <v>24</v>
      </c>
      <c r="G264" s="281">
        <f t="shared" si="67"/>
        <v>1663.44</v>
      </c>
      <c r="H264" s="282">
        <v>24</v>
      </c>
      <c r="I264" s="281">
        <f t="shared" si="75"/>
        <v>1663.44</v>
      </c>
      <c r="J264" s="277">
        <f>VLOOKUP(A264,'12 - CORPO'!$A$1:$R$5122,18,FALSE)</f>
        <v>0</v>
      </c>
      <c r="K264" s="278">
        <f t="shared" si="71"/>
        <v>0</v>
      </c>
      <c r="L264" s="282">
        <f t="shared" si="76"/>
        <v>24</v>
      </c>
      <c r="M264" s="281">
        <f t="shared" si="77"/>
        <v>1663.44</v>
      </c>
      <c r="N264" s="808"/>
      <c r="O264" s="260">
        <f t="shared" si="72"/>
        <v>0</v>
      </c>
      <c r="P264" s="260">
        <f t="shared" si="72"/>
        <v>0</v>
      </c>
      <c r="Q264" s="260"/>
      <c r="R264" s="260"/>
    </row>
    <row r="265" spans="1:18" outlineLevel="1">
      <c r="A265" s="293" t="s">
        <v>594</v>
      </c>
      <c r="B265" s="318" t="s">
        <v>1179</v>
      </c>
      <c r="C265" s="294" t="s">
        <v>1180</v>
      </c>
      <c r="D265" s="292" t="s">
        <v>816</v>
      </c>
      <c r="E265" s="304">
        <v>16.3</v>
      </c>
      <c r="F265" s="305">
        <v>144</v>
      </c>
      <c r="G265" s="281">
        <f t="shared" si="67"/>
        <v>2347.1999999999998</v>
      </c>
      <c r="H265" s="306">
        <v>144</v>
      </c>
      <c r="I265" s="281">
        <f t="shared" si="75"/>
        <v>2347.1999999999998</v>
      </c>
      <c r="J265" s="297">
        <f>VLOOKUP(A265,'12 - CORPO'!$A$1:$R$5122,18,FALSE)</f>
        <v>0</v>
      </c>
      <c r="K265" s="307">
        <f t="shared" si="71"/>
        <v>0</v>
      </c>
      <c r="L265" s="306">
        <f t="shared" si="76"/>
        <v>144</v>
      </c>
      <c r="M265" s="281">
        <f t="shared" si="77"/>
        <v>2347.1999999999998</v>
      </c>
      <c r="N265" s="808"/>
      <c r="O265" s="260">
        <f t="shared" si="72"/>
        <v>0</v>
      </c>
      <c r="P265" s="260">
        <f t="shared" si="72"/>
        <v>0</v>
      </c>
      <c r="Q265" s="260"/>
      <c r="R265" s="260"/>
    </row>
    <row r="266" spans="1:18" outlineLevel="1">
      <c r="A266" s="584" t="s">
        <v>595</v>
      </c>
      <c r="B266" s="595" t="s">
        <v>1181</v>
      </c>
      <c r="C266" s="585" t="s">
        <v>1182</v>
      </c>
      <c r="D266" s="586" t="s">
        <v>816</v>
      </c>
      <c r="E266" s="622">
        <v>23.52</v>
      </c>
      <c r="F266" s="623">
        <v>96</v>
      </c>
      <c r="G266" s="613">
        <f t="shared" si="67"/>
        <v>2257.92</v>
      </c>
      <c r="H266" s="624">
        <v>96</v>
      </c>
      <c r="I266" s="613">
        <f t="shared" si="75"/>
        <v>2257.92</v>
      </c>
      <c r="J266" s="590">
        <f>VLOOKUP(A266,'12 - CORPO'!$A$1:$R$5122,18,FALSE)</f>
        <v>0</v>
      </c>
      <c r="K266" s="625">
        <f t="shared" si="71"/>
        <v>0</v>
      </c>
      <c r="L266" s="624">
        <f t="shared" si="76"/>
        <v>96</v>
      </c>
      <c r="M266" s="613">
        <f t="shared" si="77"/>
        <v>2257.92</v>
      </c>
      <c r="N266" s="808"/>
      <c r="O266" s="260">
        <f t="shared" si="72"/>
        <v>0</v>
      </c>
      <c r="P266" s="260">
        <f t="shared" si="72"/>
        <v>0</v>
      </c>
      <c r="Q266" s="260"/>
      <c r="R266" s="260"/>
    </row>
    <row r="267" spans="1:18" ht="19.95" customHeight="1">
      <c r="A267" s="1320" t="s">
        <v>596</v>
      </c>
      <c r="B267" s="1447" t="s">
        <v>1095</v>
      </c>
      <c r="C267" s="1447"/>
      <c r="D267" s="1322"/>
      <c r="E267" s="1322"/>
      <c r="F267" s="1322"/>
      <c r="G267" s="1323">
        <f>SUBTOTAL(9,G268:G284)</f>
        <v>151855.98000000001</v>
      </c>
      <c r="H267" s="1322"/>
      <c r="I267" s="1323">
        <f>SUBTOTAL(9,I268:I284)</f>
        <v>151855.98000000001</v>
      </c>
      <c r="J267" s="1322"/>
      <c r="K267" s="1323">
        <f>SUBTOTAL(9,K268:K284)</f>
        <v>0</v>
      </c>
      <c r="L267" s="1322"/>
      <c r="M267" s="1324">
        <f>SUBTOTAL(9,M268:M284)</f>
        <v>151855.98000000001</v>
      </c>
      <c r="N267" s="811"/>
      <c r="O267" s="260">
        <f t="shared" si="72"/>
        <v>0</v>
      </c>
      <c r="P267" s="260">
        <f t="shared" si="72"/>
        <v>0</v>
      </c>
      <c r="Q267" s="262"/>
      <c r="R267" s="262"/>
    </row>
    <row r="268" spans="1:18" outlineLevel="1">
      <c r="A268" s="617" t="s">
        <v>597</v>
      </c>
      <c r="B268" s="594" t="s">
        <v>1183</v>
      </c>
      <c r="C268" s="284" t="s">
        <v>1184</v>
      </c>
      <c r="D268" s="285" t="s">
        <v>809</v>
      </c>
      <c r="E268" s="618">
        <v>25.14</v>
      </c>
      <c r="F268" s="619">
        <v>75</v>
      </c>
      <c r="G268" s="620">
        <f t="shared" si="67"/>
        <v>1885.5</v>
      </c>
      <c r="H268" s="621">
        <v>75</v>
      </c>
      <c r="I268" s="281">
        <f t="shared" ref="I268:I275" si="78">ROUND((E268*H268),2)</f>
        <v>1885.5</v>
      </c>
      <c r="J268" s="289">
        <f>VLOOKUP(A268,'12 - CORPO'!$A$1:$R$5122,18,FALSE)</f>
        <v>0</v>
      </c>
      <c r="K268" s="290">
        <f t="shared" ref="K268:K284" si="79">M268-I268</f>
        <v>0</v>
      </c>
      <c r="L268" s="621">
        <f>(H268+J268)</f>
        <v>75</v>
      </c>
      <c r="M268" s="620">
        <f>ROUND((E268*L268),2)</f>
        <v>1885.5</v>
      </c>
      <c r="N268" s="808"/>
      <c r="O268" s="260">
        <f t="shared" si="72"/>
        <v>0</v>
      </c>
      <c r="P268" s="260">
        <f t="shared" si="72"/>
        <v>0</v>
      </c>
      <c r="Q268" s="260"/>
      <c r="R268" s="260"/>
    </row>
    <row r="269" spans="1:18" outlineLevel="1">
      <c r="A269" s="317" t="s">
        <v>598</v>
      </c>
      <c r="B269" s="319" t="s">
        <v>1103</v>
      </c>
      <c r="C269" s="273" t="s">
        <v>1104</v>
      </c>
      <c r="D269" s="292" t="s">
        <v>809</v>
      </c>
      <c r="E269" s="279">
        <v>26.56</v>
      </c>
      <c r="F269" s="280">
        <v>100</v>
      </c>
      <c r="G269" s="281">
        <f t="shared" si="67"/>
        <v>2656</v>
      </c>
      <c r="H269" s="282">
        <v>100</v>
      </c>
      <c r="I269" s="281">
        <f t="shared" si="78"/>
        <v>2656</v>
      </c>
      <c r="J269" s="277">
        <f>VLOOKUP(A269,'12 - CORPO'!$A$1:$R$5122,18,FALSE)</f>
        <v>0</v>
      </c>
      <c r="K269" s="278">
        <f t="shared" si="79"/>
        <v>0</v>
      </c>
      <c r="L269" s="282">
        <f t="shared" ref="L269:L275" si="80">(H269+J269)</f>
        <v>100</v>
      </c>
      <c r="M269" s="281">
        <f t="shared" ref="M269:M275" si="81">ROUND((E269*L269),2)</f>
        <v>2656</v>
      </c>
      <c r="N269" s="808"/>
      <c r="O269" s="260">
        <f t="shared" si="72"/>
        <v>0</v>
      </c>
      <c r="P269" s="260">
        <f t="shared" si="72"/>
        <v>0</v>
      </c>
      <c r="Q269" s="260"/>
      <c r="R269" s="260"/>
    </row>
    <row r="270" spans="1:18" ht="19.95" customHeight="1" outlineLevel="1">
      <c r="A270" s="293" t="s">
        <v>599</v>
      </c>
      <c r="B270" s="318" t="s">
        <v>1105</v>
      </c>
      <c r="C270" s="294" t="s">
        <v>1106</v>
      </c>
      <c r="D270" s="292" t="s">
        <v>809</v>
      </c>
      <c r="E270" s="304">
        <v>42.18</v>
      </c>
      <c r="F270" s="305">
        <v>45</v>
      </c>
      <c r="G270" s="281">
        <f t="shared" si="67"/>
        <v>1898.1</v>
      </c>
      <c r="H270" s="306">
        <v>45</v>
      </c>
      <c r="I270" s="281">
        <f t="shared" si="78"/>
        <v>1898.1</v>
      </c>
      <c r="J270" s="297">
        <f>VLOOKUP(A270,'12 - CORPO'!$A$1:$R$5122,18,FALSE)</f>
        <v>0</v>
      </c>
      <c r="K270" s="307">
        <f t="shared" si="79"/>
        <v>0</v>
      </c>
      <c r="L270" s="306">
        <f t="shared" si="80"/>
        <v>45</v>
      </c>
      <c r="M270" s="281">
        <f t="shared" si="81"/>
        <v>1898.1</v>
      </c>
      <c r="N270" s="808"/>
      <c r="O270" s="260">
        <f t="shared" si="72"/>
        <v>0</v>
      </c>
      <c r="P270" s="260">
        <f t="shared" si="72"/>
        <v>0</v>
      </c>
      <c r="Q270" s="260"/>
      <c r="R270" s="260"/>
    </row>
    <row r="271" spans="1:18" outlineLevel="1">
      <c r="A271" s="293" t="s">
        <v>600</v>
      </c>
      <c r="B271" s="318" t="s">
        <v>1185</v>
      </c>
      <c r="C271" s="294" t="s">
        <v>1186</v>
      </c>
      <c r="D271" s="292" t="s">
        <v>809</v>
      </c>
      <c r="E271" s="304">
        <v>57.16</v>
      </c>
      <c r="F271" s="305">
        <v>500</v>
      </c>
      <c r="G271" s="281">
        <f t="shared" si="67"/>
        <v>28580</v>
      </c>
      <c r="H271" s="306">
        <v>500</v>
      </c>
      <c r="I271" s="281">
        <f t="shared" si="78"/>
        <v>28580</v>
      </c>
      <c r="J271" s="297">
        <f>VLOOKUP(A271,'12 - CORPO'!$A$1:$R$5122,18,FALSE)</f>
        <v>0</v>
      </c>
      <c r="K271" s="307">
        <f t="shared" si="79"/>
        <v>0</v>
      </c>
      <c r="L271" s="306">
        <f t="shared" si="80"/>
        <v>500</v>
      </c>
      <c r="M271" s="281">
        <f t="shared" si="81"/>
        <v>28580</v>
      </c>
      <c r="N271" s="808"/>
      <c r="O271" s="260">
        <f t="shared" si="72"/>
        <v>0</v>
      </c>
      <c r="P271" s="260">
        <f t="shared" si="72"/>
        <v>0</v>
      </c>
      <c r="Q271" s="260"/>
      <c r="R271" s="260"/>
    </row>
    <row r="272" spans="1:18" outlineLevel="1">
      <c r="A272" s="317" t="s">
        <v>601</v>
      </c>
      <c r="B272" s="319" t="s">
        <v>1187</v>
      </c>
      <c r="C272" s="273" t="s">
        <v>1188</v>
      </c>
      <c r="D272" s="292" t="s">
        <v>809</v>
      </c>
      <c r="E272" s="279">
        <v>98.21</v>
      </c>
      <c r="F272" s="280">
        <v>240</v>
      </c>
      <c r="G272" s="281">
        <f t="shared" si="67"/>
        <v>23570.400000000001</v>
      </c>
      <c r="H272" s="282">
        <v>240</v>
      </c>
      <c r="I272" s="281">
        <f t="shared" si="78"/>
        <v>23570.400000000001</v>
      </c>
      <c r="J272" s="277">
        <f>VLOOKUP(A272,'12 - CORPO'!$A$1:$R$5122,18,FALSE)</f>
        <v>0</v>
      </c>
      <c r="K272" s="278">
        <f t="shared" si="79"/>
        <v>0</v>
      </c>
      <c r="L272" s="282">
        <f t="shared" si="80"/>
        <v>240</v>
      </c>
      <c r="M272" s="281">
        <f t="shared" si="81"/>
        <v>23570.400000000001</v>
      </c>
      <c r="N272" s="808"/>
      <c r="O272" s="260">
        <f t="shared" si="72"/>
        <v>0</v>
      </c>
      <c r="P272" s="260">
        <f t="shared" si="72"/>
        <v>0</v>
      </c>
      <c r="Q272" s="260"/>
      <c r="R272" s="260"/>
    </row>
    <row r="273" spans="1:18" ht="26.4" outlineLevel="1">
      <c r="A273" s="317" t="s">
        <v>602</v>
      </c>
      <c r="B273" s="319" t="s">
        <v>1100</v>
      </c>
      <c r="C273" s="273" t="s">
        <v>157</v>
      </c>
      <c r="D273" s="292" t="s">
        <v>902</v>
      </c>
      <c r="E273" s="279">
        <v>10.3</v>
      </c>
      <c r="F273" s="280">
        <v>36</v>
      </c>
      <c r="G273" s="281">
        <f t="shared" si="67"/>
        <v>370.8</v>
      </c>
      <c r="H273" s="282">
        <v>36</v>
      </c>
      <c r="I273" s="281">
        <f t="shared" si="78"/>
        <v>370.8</v>
      </c>
      <c r="J273" s="277">
        <f>VLOOKUP(A273,'12 - CORPO'!$A$1:$R$5122,18,FALSE)</f>
        <v>0</v>
      </c>
      <c r="K273" s="278">
        <f t="shared" si="79"/>
        <v>0</v>
      </c>
      <c r="L273" s="282">
        <f t="shared" si="80"/>
        <v>36</v>
      </c>
      <c r="M273" s="281">
        <f t="shared" si="81"/>
        <v>370.8</v>
      </c>
      <c r="N273" s="808"/>
      <c r="O273" s="260">
        <f t="shared" si="72"/>
        <v>0</v>
      </c>
      <c r="P273" s="260">
        <f t="shared" si="72"/>
        <v>0</v>
      </c>
      <c r="Q273" s="260"/>
      <c r="R273" s="260"/>
    </row>
    <row r="274" spans="1:18" outlineLevel="1">
      <c r="A274" s="293" t="s">
        <v>603</v>
      </c>
      <c r="B274" s="318" t="s">
        <v>1109</v>
      </c>
      <c r="C274" s="294" t="s">
        <v>1110</v>
      </c>
      <c r="D274" s="292" t="s">
        <v>902</v>
      </c>
      <c r="E274" s="304">
        <v>20.32</v>
      </c>
      <c r="F274" s="305">
        <v>18</v>
      </c>
      <c r="G274" s="281">
        <f t="shared" si="67"/>
        <v>365.76</v>
      </c>
      <c r="H274" s="306">
        <v>18</v>
      </c>
      <c r="I274" s="281">
        <f t="shared" si="78"/>
        <v>365.76</v>
      </c>
      <c r="J274" s="297">
        <f>VLOOKUP(A274,'12 - CORPO'!$A$1:$R$5122,18,FALSE)</f>
        <v>0</v>
      </c>
      <c r="K274" s="307">
        <f t="shared" si="79"/>
        <v>0</v>
      </c>
      <c r="L274" s="306">
        <f t="shared" si="80"/>
        <v>18</v>
      </c>
      <c r="M274" s="281">
        <f t="shared" si="81"/>
        <v>365.76</v>
      </c>
      <c r="N274" s="808"/>
      <c r="O274" s="260">
        <f t="shared" si="72"/>
        <v>0</v>
      </c>
      <c r="P274" s="260">
        <f t="shared" si="72"/>
        <v>0</v>
      </c>
      <c r="Q274" s="260"/>
      <c r="R274" s="260"/>
    </row>
    <row r="275" spans="1:18" ht="19.95" customHeight="1" outlineLevel="1">
      <c r="A275" s="293" t="s">
        <v>604</v>
      </c>
      <c r="B275" s="318" t="s">
        <v>1189</v>
      </c>
      <c r="C275" s="294" t="s">
        <v>1190</v>
      </c>
      <c r="D275" s="292" t="s">
        <v>809</v>
      </c>
      <c r="E275" s="304">
        <v>8.41</v>
      </c>
      <c r="F275" s="305">
        <v>150</v>
      </c>
      <c r="G275" s="281">
        <f t="shared" si="67"/>
        <v>1261.5</v>
      </c>
      <c r="H275" s="306">
        <v>150</v>
      </c>
      <c r="I275" s="281">
        <f t="shared" si="78"/>
        <v>1261.5</v>
      </c>
      <c r="J275" s="297">
        <f>VLOOKUP(A275,'12 - CORPO'!$A$1:$R$5122,18,FALSE)</f>
        <v>0</v>
      </c>
      <c r="K275" s="307">
        <f t="shared" si="79"/>
        <v>0</v>
      </c>
      <c r="L275" s="306">
        <f t="shared" si="80"/>
        <v>150</v>
      </c>
      <c r="M275" s="281">
        <f t="shared" si="81"/>
        <v>1261.5</v>
      </c>
      <c r="N275" s="808"/>
      <c r="O275" s="260">
        <f t="shared" si="72"/>
        <v>0</v>
      </c>
      <c r="P275" s="260">
        <f t="shared" si="72"/>
        <v>0</v>
      </c>
      <c r="Q275" s="260"/>
      <c r="R275" s="260"/>
    </row>
    <row r="276" spans="1:18" outlineLevel="1">
      <c r="A276" s="317" t="s">
        <v>605</v>
      </c>
      <c r="B276" s="319" t="s">
        <v>1191</v>
      </c>
      <c r="C276" s="273" t="s">
        <v>1192</v>
      </c>
      <c r="D276" s="292" t="s">
        <v>809</v>
      </c>
      <c r="E276" s="279">
        <v>9.85</v>
      </c>
      <c r="F276" s="280">
        <v>70</v>
      </c>
      <c r="G276" s="281">
        <f t="shared" si="67"/>
        <v>689.5</v>
      </c>
      <c r="H276" s="306">
        <v>70</v>
      </c>
      <c r="I276" s="281">
        <f t="shared" ref="I276" si="82">ROUND((E276*H276),2)</f>
        <v>689.5</v>
      </c>
      <c r="J276" s="297">
        <f>VLOOKUP(A276,'12 - CORPO'!$A$1:$R$5122,18,FALSE)</f>
        <v>0</v>
      </c>
      <c r="K276" s="307">
        <f t="shared" ref="K276" si="83">M276-I276</f>
        <v>0</v>
      </c>
      <c r="L276" s="306">
        <f t="shared" ref="L276" si="84">(H276+J276)</f>
        <v>70</v>
      </c>
      <c r="M276" s="281">
        <f t="shared" ref="M276" si="85">ROUND((E276*L276),2)</f>
        <v>689.5</v>
      </c>
      <c r="N276" s="808"/>
      <c r="O276" s="260">
        <f t="shared" si="72"/>
        <v>0</v>
      </c>
      <c r="P276" s="260">
        <f t="shared" si="72"/>
        <v>0</v>
      </c>
      <c r="Q276" s="260"/>
      <c r="R276" s="260"/>
    </row>
    <row r="277" spans="1:18" ht="26.4" outlineLevel="1">
      <c r="A277" s="317" t="s">
        <v>606</v>
      </c>
      <c r="B277" s="319" t="s">
        <v>1193</v>
      </c>
      <c r="C277" s="273" t="s">
        <v>1194</v>
      </c>
      <c r="D277" s="292" t="s">
        <v>809</v>
      </c>
      <c r="E277" s="279">
        <v>220.76</v>
      </c>
      <c r="F277" s="280">
        <v>68</v>
      </c>
      <c r="G277" s="281">
        <f t="shared" si="67"/>
        <v>15011.68</v>
      </c>
      <c r="H277" s="282">
        <v>68</v>
      </c>
      <c r="I277" s="281">
        <f t="shared" ref="I277:I284" si="86">ROUND((E277*H277),2)</f>
        <v>15011.68</v>
      </c>
      <c r="J277" s="277">
        <f>VLOOKUP(A277,'12 - CORPO'!$A$1:$R$5122,18,FALSE)</f>
        <v>0</v>
      </c>
      <c r="K277" s="278">
        <f t="shared" si="79"/>
        <v>0</v>
      </c>
      <c r="L277" s="282">
        <f t="shared" ref="L277:L284" si="87">(H277+J277)</f>
        <v>68</v>
      </c>
      <c r="M277" s="281">
        <f t="shared" ref="M277:M284" si="88">ROUND((E277*L277),2)</f>
        <v>15011.68</v>
      </c>
      <c r="N277" s="808"/>
      <c r="O277" s="260">
        <f t="shared" si="72"/>
        <v>0</v>
      </c>
      <c r="P277" s="260">
        <f t="shared" si="72"/>
        <v>0</v>
      </c>
      <c r="Q277" s="260"/>
      <c r="R277" s="260"/>
    </row>
    <row r="278" spans="1:18" outlineLevel="1">
      <c r="A278" s="317" t="s">
        <v>607</v>
      </c>
      <c r="B278" s="319" t="s">
        <v>1098</v>
      </c>
      <c r="C278" s="273" t="s">
        <v>1099</v>
      </c>
      <c r="D278" s="292" t="s">
        <v>816</v>
      </c>
      <c r="E278" s="279">
        <v>8.7100000000000009</v>
      </c>
      <c r="F278" s="280">
        <v>16</v>
      </c>
      <c r="G278" s="281">
        <f t="shared" si="67"/>
        <v>139.36000000000001</v>
      </c>
      <c r="H278" s="282">
        <v>16</v>
      </c>
      <c r="I278" s="281">
        <f t="shared" si="86"/>
        <v>139.36000000000001</v>
      </c>
      <c r="J278" s="277">
        <f>VLOOKUP(A278,'12 - CORPO'!$A$1:$R$5122,18,FALSE)</f>
        <v>0</v>
      </c>
      <c r="K278" s="278">
        <f t="shared" si="79"/>
        <v>0</v>
      </c>
      <c r="L278" s="282">
        <f t="shared" si="87"/>
        <v>16</v>
      </c>
      <c r="M278" s="281">
        <f t="shared" si="88"/>
        <v>139.36000000000001</v>
      </c>
      <c r="N278" s="808"/>
      <c r="O278" s="260">
        <f t="shared" si="72"/>
        <v>0</v>
      </c>
      <c r="P278" s="260">
        <f t="shared" si="72"/>
        <v>0</v>
      </c>
      <c r="Q278" s="260"/>
      <c r="R278" s="260"/>
    </row>
    <row r="279" spans="1:18" outlineLevel="1">
      <c r="A279" s="317" t="s">
        <v>608</v>
      </c>
      <c r="B279" s="319" t="s">
        <v>1195</v>
      </c>
      <c r="C279" s="273" t="s">
        <v>1196</v>
      </c>
      <c r="D279" s="292" t="s">
        <v>816</v>
      </c>
      <c r="E279" s="279">
        <v>10.32</v>
      </c>
      <c r="F279" s="280">
        <v>4</v>
      </c>
      <c r="G279" s="281">
        <f t="shared" ref="G279:G324" si="89">ROUND(F279*E279,2)</f>
        <v>41.28</v>
      </c>
      <c r="H279" s="282">
        <v>4</v>
      </c>
      <c r="I279" s="281">
        <f t="shared" si="86"/>
        <v>41.28</v>
      </c>
      <c r="J279" s="277">
        <f>VLOOKUP(A279,'12 - CORPO'!$A$1:$R$5122,18,FALSE)</f>
        <v>0</v>
      </c>
      <c r="K279" s="278">
        <f t="shared" si="79"/>
        <v>0</v>
      </c>
      <c r="L279" s="282">
        <f t="shared" si="87"/>
        <v>4</v>
      </c>
      <c r="M279" s="281">
        <f t="shared" si="88"/>
        <v>41.28</v>
      </c>
      <c r="N279" s="808"/>
      <c r="O279" s="260">
        <f t="shared" si="72"/>
        <v>0</v>
      </c>
      <c r="P279" s="260">
        <f t="shared" si="72"/>
        <v>0</v>
      </c>
      <c r="Q279" s="260"/>
      <c r="R279" s="260"/>
    </row>
    <row r="280" spans="1:18" ht="39.6" outlineLevel="1">
      <c r="A280" s="317" t="s">
        <v>609</v>
      </c>
      <c r="B280" s="319" t="s">
        <v>1197</v>
      </c>
      <c r="C280" s="273" t="s">
        <v>1198</v>
      </c>
      <c r="D280" s="292" t="s">
        <v>809</v>
      </c>
      <c r="E280" s="279">
        <v>147.05000000000001</v>
      </c>
      <c r="F280" s="280">
        <v>320</v>
      </c>
      <c r="G280" s="281">
        <f t="shared" si="89"/>
        <v>47056</v>
      </c>
      <c r="H280" s="282">
        <v>320</v>
      </c>
      <c r="I280" s="281">
        <f t="shared" si="86"/>
        <v>47056</v>
      </c>
      <c r="J280" s="277">
        <f>VLOOKUP(A280,'12 - CORPO'!$A$1:$R$5122,18,FALSE)</f>
        <v>0</v>
      </c>
      <c r="K280" s="278">
        <f t="shared" si="79"/>
        <v>0</v>
      </c>
      <c r="L280" s="282">
        <f t="shared" si="87"/>
        <v>320</v>
      </c>
      <c r="M280" s="281">
        <f t="shared" si="88"/>
        <v>47056</v>
      </c>
      <c r="N280" s="808"/>
      <c r="O280" s="260">
        <f t="shared" si="72"/>
        <v>0</v>
      </c>
      <c r="P280" s="260">
        <f t="shared" si="72"/>
        <v>0</v>
      </c>
      <c r="Q280" s="260"/>
      <c r="R280" s="260"/>
    </row>
    <row r="281" spans="1:18" ht="39.6" outlineLevel="1">
      <c r="A281" s="317" t="s">
        <v>610</v>
      </c>
      <c r="B281" s="319" t="s">
        <v>1107</v>
      </c>
      <c r="C281" s="273" t="s">
        <v>1108</v>
      </c>
      <c r="D281" s="292" t="s">
        <v>809</v>
      </c>
      <c r="E281" s="279">
        <v>51.99</v>
      </c>
      <c r="F281" s="280">
        <v>250</v>
      </c>
      <c r="G281" s="281">
        <f t="shared" si="89"/>
        <v>12997.5</v>
      </c>
      <c r="H281" s="282">
        <v>250</v>
      </c>
      <c r="I281" s="281">
        <f t="shared" si="86"/>
        <v>12997.5</v>
      </c>
      <c r="J281" s="277">
        <f>VLOOKUP(A281,'12 - CORPO'!$A$1:$R$5122,18,FALSE)</f>
        <v>0</v>
      </c>
      <c r="K281" s="278">
        <f t="shared" ref="K281" si="90">M281-I281</f>
        <v>0</v>
      </c>
      <c r="L281" s="282">
        <f t="shared" si="87"/>
        <v>250</v>
      </c>
      <c r="M281" s="281">
        <f t="shared" si="88"/>
        <v>12997.5</v>
      </c>
      <c r="N281" s="808"/>
      <c r="O281" s="260">
        <f t="shared" si="72"/>
        <v>0</v>
      </c>
      <c r="P281" s="260">
        <f t="shared" si="72"/>
        <v>0</v>
      </c>
      <c r="Q281" s="260"/>
      <c r="R281" s="260"/>
    </row>
    <row r="282" spans="1:18" outlineLevel="1">
      <c r="A282" s="317" t="s">
        <v>611</v>
      </c>
      <c r="B282" s="319" t="s">
        <v>1199</v>
      </c>
      <c r="C282" s="273" t="s">
        <v>1200</v>
      </c>
      <c r="D282" s="292" t="s">
        <v>809</v>
      </c>
      <c r="E282" s="279">
        <v>24.15</v>
      </c>
      <c r="F282" s="280">
        <v>200</v>
      </c>
      <c r="G282" s="281">
        <f t="shared" si="89"/>
        <v>4830</v>
      </c>
      <c r="H282" s="282">
        <v>200</v>
      </c>
      <c r="I282" s="281">
        <f t="shared" si="86"/>
        <v>4830</v>
      </c>
      <c r="J282" s="277">
        <f>VLOOKUP(A282,'12 - CORPO'!$A$1:$R$5122,18,FALSE)</f>
        <v>0</v>
      </c>
      <c r="K282" s="278">
        <f t="shared" si="79"/>
        <v>0</v>
      </c>
      <c r="L282" s="282">
        <f t="shared" si="87"/>
        <v>200</v>
      </c>
      <c r="M282" s="281">
        <f t="shared" si="88"/>
        <v>4830</v>
      </c>
      <c r="N282" s="808"/>
      <c r="O282" s="260">
        <f t="shared" si="72"/>
        <v>0</v>
      </c>
      <c r="P282" s="260">
        <f t="shared" si="72"/>
        <v>0</v>
      </c>
      <c r="Q282" s="260"/>
      <c r="R282" s="260"/>
    </row>
    <row r="283" spans="1:18" outlineLevel="1">
      <c r="A283" s="317" t="s">
        <v>612</v>
      </c>
      <c r="B283" s="319" t="s">
        <v>1201</v>
      </c>
      <c r="C283" s="273" t="s">
        <v>1202</v>
      </c>
      <c r="D283" s="292" t="s">
        <v>809</v>
      </c>
      <c r="E283" s="279">
        <v>33.71</v>
      </c>
      <c r="F283" s="280">
        <v>18</v>
      </c>
      <c r="G283" s="281">
        <f t="shared" si="89"/>
        <v>606.78</v>
      </c>
      <c r="H283" s="282">
        <v>18</v>
      </c>
      <c r="I283" s="281">
        <f t="shared" si="86"/>
        <v>606.78</v>
      </c>
      <c r="J283" s="277">
        <f>VLOOKUP(A283,'12 - CORPO'!$A$1:$R$5122,18,FALSE)</f>
        <v>0</v>
      </c>
      <c r="K283" s="278">
        <f t="shared" si="79"/>
        <v>0</v>
      </c>
      <c r="L283" s="282">
        <f t="shared" si="87"/>
        <v>18</v>
      </c>
      <c r="M283" s="281">
        <f t="shared" si="88"/>
        <v>606.78</v>
      </c>
      <c r="N283" s="808"/>
      <c r="O283" s="260">
        <f t="shared" si="72"/>
        <v>0</v>
      </c>
      <c r="P283" s="260">
        <f t="shared" si="72"/>
        <v>0</v>
      </c>
      <c r="Q283" s="260"/>
      <c r="R283" s="260"/>
    </row>
    <row r="284" spans="1:18" ht="26.4" outlineLevel="1">
      <c r="A284" s="681" t="s">
        <v>613</v>
      </c>
      <c r="B284" s="682" t="s">
        <v>1203</v>
      </c>
      <c r="C284" s="683" t="s">
        <v>1204</v>
      </c>
      <c r="D284" s="664" t="s">
        <v>809</v>
      </c>
      <c r="E284" s="684">
        <v>319.22000000000003</v>
      </c>
      <c r="F284" s="685">
        <v>31</v>
      </c>
      <c r="G284" s="667">
        <f t="shared" si="89"/>
        <v>9895.82</v>
      </c>
      <c r="H284" s="686">
        <v>31</v>
      </c>
      <c r="I284" s="667">
        <f t="shared" si="86"/>
        <v>9895.82</v>
      </c>
      <c r="J284" s="687">
        <f>VLOOKUP(A284,'12 - CORPO'!$A$1:$R$5122,18,FALSE)</f>
        <v>0</v>
      </c>
      <c r="K284" s="688">
        <f t="shared" si="79"/>
        <v>0</v>
      </c>
      <c r="L284" s="686">
        <f t="shared" si="87"/>
        <v>31</v>
      </c>
      <c r="M284" s="667">
        <f t="shared" si="88"/>
        <v>9895.82</v>
      </c>
      <c r="N284" s="808"/>
      <c r="O284" s="260">
        <f t="shared" si="72"/>
        <v>0</v>
      </c>
      <c r="P284" s="260">
        <f t="shared" si="72"/>
        <v>0</v>
      </c>
      <c r="Q284" s="260"/>
      <c r="R284" s="260"/>
    </row>
    <row r="285" spans="1:18" ht="19.95" customHeight="1">
      <c r="A285" s="1320" t="s">
        <v>614</v>
      </c>
      <c r="B285" s="1447" t="s">
        <v>1205</v>
      </c>
      <c r="C285" s="1447"/>
      <c r="D285" s="1322"/>
      <c r="E285" s="1322"/>
      <c r="F285" s="1322"/>
      <c r="G285" s="1323">
        <f>SUBTOTAL(9,G286:G297)</f>
        <v>59497.280000000006</v>
      </c>
      <c r="H285" s="1322"/>
      <c r="I285" s="1323">
        <f>SUBTOTAL(9,I286:I297)</f>
        <v>58296.780000000006</v>
      </c>
      <c r="J285" s="1322"/>
      <c r="K285" s="1323">
        <f>SUBTOTAL(9,K286:K297)</f>
        <v>0</v>
      </c>
      <c r="L285" s="1322"/>
      <c r="M285" s="1324">
        <f>SUBTOTAL(9,M286:M297)</f>
        <v>58296.780000000006</v>
      </c>
      <c r="N285" s="811"/>
      <c r="O285" s="260">
        <f t="shared" si="72"/>
        <v>0</v>
      </c>
      <c r="P285" s="260"/>
      <c r="Q285" s="262"/>
      <c r="R285" s="262"/>
    </row>
    <row r="286" spans="1:18" ht="39.6" outlineLevel="1">
      <c r="A286" s="313" t="s">
        <v>615</v>
      </c>
      <c r="B286" s="314" t="s">
        <v>1206</v>
      </c>
      <c r="C286" s="308" t="s">
        <v>160</v>
      </c>
      <c r="D286" s="285" t="s">
        <v>816</v>
      </c>
      <c r="E286" s="693">
        <v>1183.29</v>
      </c>
      <c r="F286" s="694">
        <v>11</v>
      </c>
      <c r="G286" s="620">
        <f t="shared" si="89"/>
        <v>13016.19</v>
      </c>
      <c r="H286" s="695">
        <v>11</v>
      </c>
      <c r="I286" s="620">
        <f t="shared" ref="I286:I291" si="91">ROUND((E286*H286),2)</f>
        <v>13016.19</v>
      </c>
      <c r="J286" s="311">
        <f>VLOOKUP(A286,'12 - CORPO'!$A$1:$R$5122,18,FALSE)</f>
        <v>0</v>
      </c>
      <c r="K286" s="696">
        <f t="shared" ref="K286:K349" si="92">M286-I286</f>
        <v>0</v>
      </c>
      <c r="L286" s="695">
        <f t="shared" ref="L286:L291" si="93">(H286+J286)</f>
        <v>11</v>
      </c>
      <c r="M286" s="620">
        <f t="shared" ref="M286:M291" si="94">ROUND((E286*L286),2)</f>
        <v>13016.19</v>
      </c>
      <c r="N286" s="808"/>
      <c r="O286" s="260">
        <f t="shared" si="72"/>
        <v>0</v>
      </c>
      <c r="P286" s="260">
        <f t="shared" si="72"/>
        <v>0</v>
      </c>
      <c r="Q286" s="260"/>
      <c r="R286" s="260"/>
    </row>
    <row r="287" spans="1:18" ht="26.4" outlineLevel="1">
      <c r="A287" s="317" t="s">
        <v>616</v>
      </c>
      <c r="B287" s="319" t="s">
        <v>1207</v>
      </c>
      <c r="C287" s="273" t="s">
        <v>159</v>
      </c>
      <c r="D287" s="292" t="s">
        <v>816</v>
      </c>
      <c r="E287" s="279">
        <v>460.45</v>
      </c>
      <c r="F287" s="280">
        <v>32</v>
      </c>
      <c r="G287" s="281">
        <f t="shared" si="89"/>
        <v>14734.4</v>
      </c>
      <c r="H287" s="282">
        <v>32</v>
      </c>
      <c r="I287" s="281">
        <f t="shared" si="91"/>
        <v>14734.4</v>
      </c>
      <c r="J287" s="277">
        <f>VLOOKUP(A287,'12 - CORPO'!$A$1:$R$5122,18,FALSE)</f>
        <v>0</v>
      </c>
      <c r="K287" s="278">
        <f t="shared" si="92"/>
        <v>0</v>
      </c>
      <c r="L287" s="282">
        <f t="shared" si="93"/>
        <v>32</v>
      </c>
      <c r="M287" s="281">
        <f t="shared" si="94"/>
        <v>14734.4</v>
      </c>
      <c r="N287" s="808"/>
      <c r="O287" s="260">
        <f t="shared" si="72"/>
        <v>0</v>
      </c>
      <c r="P287" s="260">
        <f t="shared" si="72"/>
        <v>0</v>
      </c>
      <c r="Q287" s="260"/>
      <c r="R287" s="260"/>
    </row>
    <row r="288" spans="1:18" ht="26.4" outlineLevel="1">
      <c r="A288" s="317" t="s">
        <v>617</v>
      </c>
      <c r="B288" s="319" t="s">
        <v>1208</v>
      </c>
      <c r="C288" s="273" t="s">
        <v>1209</v>
      </c>
      <c r="D288" s="292" t="s">
        <v>816</v>
      </c>
      <c r="E288" s="279">
        <v>314.77999999999997</v>
      </c>
      <c r="F288" s="280">
        <v>10</v>
      </c>
      <c r="G288" s="281">
        <f t="shared" si="89"/>
        <v>3147.8</v>
      </c>
      <c r="H288" s="282">
        <v>10</v>
      </c>
      <c r="I288" s="281">
        <f t="shared" si="91"/>
        <v>3147.8</v>
      </c>
      <c r="J288" s="277">
        <f>VLOOKUP(A288,'12 - CORPO'!$A$1:$R$5122,18,FALSE)</f>
        <v>0</v>
      </c>
      <c r="K288" s="278">
        <f t="shared" si="92"/>
        <v>0</v>
      </c>
      <c r="L288" s="282">
        <f t="shared" si="93"/>
        <v>10</v>
      </c>
      <c r="M288" s="281">
        <f t="shared" si="94"/>
        <v>3147.8</v>
      </c>
      <c r="N288" s="808"/>
      <c r="O288" s="260">
        <f t="shared" si="72"/>
        <v>0</v>
      </c>
      <c r="P288" s="260">
        <f t="shared" si="72"/>
        <v>0</v>
      </c>
      <c r="Q288" s="260"/>
      <c r="R288" s="260"/>
    </row>
    <row r="289" spans="1:18" ht="39.6" outlineLevel="1">
      <c r="A289" s="293" t="s">
        <v>618</v>
      </c>
      <c r="B289" s="318" t="s">
        <v>1210</v>
      </c>
      <c r="C289" s="294" t="s">
        <v>1211</v>
      </c>
      <c r="D289" s="292" t="s">
        <v>816</v>
      </c>
      <c r="E289" s="304">
        <v>1005.62</v>
      </c>
      <c r="F289" s="305">
        <v>1</v>
      </c>
      <c r="G289" s="281">
        <f t="shared" si="89"/>
        <v>1005.62</v>
      </c>
      <c r="H289" s="306">
        <v>1</v>
      </c>
      <c r="I289" s="281">
        <f t="shared" si="91"/>
        <v>1005.62</v>
      </c>
      <c r="J289" s="297">
        <f>VLOOKUP(A289,'12 - CORPO'!$A$1:$R$5122,18,FALSE)</f>
        <v>0</v>
      </c>
      <c r="K289" s="307">
        <f t="shared" si="92"/>
        <v>0</v>
      </c>
      <c r="L289" s="306">
        <f t="shared" si="93"/>
        <v>1</v>
      </c>
      <c r="M289" s="281">
        <f t="shared" si="94"/>
        <v>1005.62</v>
      </c>
      <c r="N289" s="808"/>
      <c r="O289" s="260">
        <f t="shared" si="72"/>
        <v>0</v>
      </c>
      <c r="P289" s="260">
        <f t="shared" si="72"/>
        <v>0</v>
      </c>
      <c r="Q289" s="260"/>
      <c r="R289" s="260"/>
    </row>
    <row r="290" spans="1:18" ht="39.6" outlineLevel="1">
      <c r="A290" s="293" t="s">
        <v>619</v>
      </c>
      <c r="B290" s="318" t="s">
        <v>1212</v>
      </c>
      <c r="C290" s="294" t="s">
        <v>1213</v>
      </c>
      <c r="D290" s="292" t="s">
        <v>816</v>
      </c>
      <c r="E290" s="304">
        <v>1340.33</v>
      </c>
      <c r="F290" s="305">
        <v>12</v>
      </c>
      <c r="G290" s="281">
        <f t="shared" si="89"/>
        <v>16083.96</v>
      </c>
      <c r="H290" s="306">
        <v>12</v>
      </c>
      <c r="I290" s="281">
        <f t="shared" si="91"/>
        <v>16083.96</v>
      </c>
      <c r="J290" s="297">
        <f>VLOOKUP(A290,'12 - CORPO'!$A$1:$R$5122,18,FALSE)</f>
        <v>0</v>
      </c>
      <c r="K290" s="307">
        <f t="shared" si="92"/>
        <v>0</v>
      </c>
      <c r="L290" s="306">
        <f t="shared" si="93"/>
        <v>12</v>
      </c>
      <c r="M290" s="281">
        <f t="shared" si="94"/>
        <v>16083.96</v>
      </c>
      <c r="N290" s="808"/>
      <c r="O290" s="260">
        <f t="shared" si="72"/>
        <v>0</v>
      </c>
      <c r="P290" s="260">
        <f t="shared" si="72"/>
        <v>0</v>
      </c>
      <c r="Q290" s="260"/>
      <c r="R290" s="260"/>
    </row>
    <row r="291" spans="1:18" ht="26.4" outlineLevel="1">
      <c r="A291" s="317" t="s">
        <v>620</v>
      </c>
      <c r="B291" s="319" t="s">
        <v>1214</v>
      </c>
      <c r="C291" s="273" t="s">
        <v>1215</v>
      </c>
      <c r="D291" s="292" t="s">
        <v>816</v>
      </c>
      <c r="E291" s="279">
        <v>85.75</v>
      </c>
      <c r="F291" s="280">
        <v>17</v>
      </c>
      <c r="G291" s="281">
        <f t="shared" si="89"/>
        <v>1457.75</v>
      </c>
      <c r="H291" s="282">
        <v>3</v>
      </c>
      <c r="I291" s="281">
        <f t="shared" si="91"/>
        <v>257.25</v>
      </c>
      <c r="J291" s="277">
        <f>VLOOKUP(A291,'12 - CORPO'!$A$1:$R$5122,18,FALSE)</f>
        <v>0</v>
      </c>
      <c r="K291" s="278">
        <f t="shared" si="92"/>
        <v>0</v>
      </c>
      <c r="L291" s="282">
        <f t="shared" si="93"/>
        <v>3</v>
      </c>
      <c r="M291" s="281">
        <f t="shared" si="94"/>
        <v>257.25</v>
      </c>
      <c r="N291" s="808"/>
      <c r="O291" s="260">
        <f t="shared" si="72"/>
        <v>14</v>
      </c>
      <c r="P291" s="260">
        <f t="shared" si="72"/>
        <v>1200.5</v>
      </c>
      <c r="Q291" s="260"/>
      <c r="R291" s="260"/>
    </row>
    <row r="292" spans="1:18" ht="26.4" outlineLevel="1">
      <c r="A292" s="293" t="s">
        <v>621</v>
      </c>
      <c r="B292" s="318" t="s">
        <v>1216</v>
      </c>
      <c r="C292" s="294" t="s">
        <v>1217</v>
      </c>
      <c r="D292" s="292" t="s">
        <v>816</v>
      </c>
      <c r="E292" s="304">
        <v>39.94</v>
      </c>
      <c r="F292" s="305">
        <v>17</v>
      </c>
      <c r="G292" s="281">
        <f t="shared" si="89"/>
        <v>678.98</v>
      </c>
      <c r="H292" s="306">
        <v>17</v>
      </c>
      <c r="I292" s="281">
        <f t="shared" ref="I292:I305" si="95">ROUND((E292*H292),2)</f>
        <v>678.98</v>
      </c>
      <c r="J292" s="297">
        <f>VLOOKUP(A292,'12 - CORPO'!$A$1:$R$5122,18,FALSE)</f>
        <v>0</v>
      </c>
      <c r="K292" s="307">
        <f t="shared" si="92"/>
        <v>0</v>
      </c>
      <c r="L292" s="306">
        <f t="shared" ref="L292:L305" si="96">(H292+J292)</f>
        <v>17</v>
      </c>
      <c r="M292" s="281">
        <f t="shared" ref="M292:M305" si="97">ROUND((E292*L292),2)</f>
        <v>678.98</v>
      </c>
      <c r="N292" s="808"/>
      <c r="O292" s="260">
        <f t="shared" si="72"/>
        <v>0</v>
      </c>
      <c r="P292" s="260">
        <f t="shared" si="72"/>
        <v>0</v>
      </c>
      <c r="Q292" s="260"/>
      <c r="R292" s="260"/>
    </row>
    <row r="293" spans="1:18" outlineLevel="1">
      <c r="A293" s="293" t="s">
        <v>622</v>
      </c>
      <c r="B293" s="318" t="s">
        <v>1218</v>
      </c>
      <c r="C293" s="294" t="s">
        <v>1219</v>
      </c>
      <c r="D293" s="292" t="s">
        <v>816</v>
      </c>
      <c r="E293" s="304">
        <v>22.01</v>
      </c>
      <c r="F293" s="305">
        <v>5</v>
      </c>
      <c r="G293" s="281">
        <f t="shared" si="89"/>
        <v>110.05</v>
      </c>
      <c r="H293" s="306">
        <v>5</v>
      </c>
      <c r="I293" s="281">
        <f t="shared" si="95"/>
        <v>110.05</v>
      </c>
      <c r="J293" s="297">
        <f>VLOOKUP(A293,'12 - CORPO'!$A$1:$R$5122,18,FALSE)</f>
        <v>0</v>
      </c>
      <c r="K293" s="307">
        <f t="shared" si="92"/>
        <v>0</v>
      </c>
      <c r="L293" s="306">
        <f t="shared" si="96"/>
        <v>5</v>
      </c>
      <c r="M293" s="281">
        <f t="shared" si="97"/>
        <v>110.05</v>
      </c>
      <c r="N293" s="808"/>
      <c r="O293" s="260">
        <f t="shared" si="72"/>
        <v>0</v>
      </c>
      <c r="P293" s="260">
        <f t="shared" si="72"/>
        <v>0</v>
      </c>
      <c r="Q293" s="260"/>
      <c r="R293" s="260"/>
    </row>
    <row r="294" spans="1:18" ht="26.4" outlineLevel="1">
      <c r="A294" s="317" t="s">
        <v>623</v>
      </c>
      <c r="B294" s="319" t="s">
        <v>1220</v>
      </c>
      <c r="C294" s="273" t="s">
        <v>1221</v>
      </c>
      <c r="D294" s="292" t="s">
        <v>816</v>
      </c>
      <c r="E294" s="279">
        <v>172.41</v>
      </c>
      <c r="F294" s="280">
        <v>5</v>
      </c>
      <c r="G294" s="281">
        <f t="shared" si="89"/>
        <v>862.05</v>
      </c>
      <c r="H294" s="282">
        <v>5</v>
      </c>
      <c r="I294" s="281">
        <f t="shared" si="95"/>
        <v>862.05</v>
      </c>
      <c r="J294" s="277">
        <f>VLOOKUP(A294,'12 - CORPO'!$A$1:$R$5122,18,FALSE)</f>
        <v>0</v>
      </c>
      <c r="K294" s="278">
        <f t="shared" si="92"/>
        <v>0</v>
      </c>
      <c r="L294" s="282">
        <f t="shared" si="96"/>
        <v>5</v>
      </c>
      <c r="M294" s="281">
        <f t="shared" si="97"/>
        <v>862.05</v>
      </c>
      <c r="N294" s="808"/>
      <c r="O294" s="260">
        <f t="shared" si="72"/>
        <v>0</v>
      </c>
      <c r="P294" s="260">
        <f t="shared" si="72"/>
        <v>0</v>
      </c>
      <c r="Q294" s="260"/>
      <c r="R294" s="260"/>
    </row>
    <row r="295" spans="1:18" ht="26.4" outlineLevel="1">
      <c r="A295" s="293" t="s">
        <v>624</v>
      </c>
      <c r="B295" s="318" t="s">
        <v>1222</v>
      </c>
      <c r="C295" s="294" t="s">
        <v>1223</v>
      </c>
      <c r="D295" s="292" t="s">
        <v>816</v>
      </c>
      <c r="E295" s="304">
        <v>33.659999999999997</v>
      </c>
      <c r="F295" s="305">
        <v>4</v>
      </c>
      <c r="G295" s="281">
        <f t="shared" si="89"/>
        <v>134.63999999999999</v>
      </c>
      <c r="H295" s="306">
        <v>4</v>
      </c>
      <c r="I295" s="281">
        <f t="shared" si="95"/>
        <v>134.63999999999999</v>
      </c>
      <c r="J295" s="297">
        <f>VLOOKUP(A295,'12 - CORPO'!$A$1:$R$5122,18,FALSE)</f>
        <v>0</v>
      </c>
      <c r="K295" s="307">
        <f t="shared" si="92"/>
        <v>0</v>
      </c>
      <c r="L295" s="306">
        <f t="shared" si="96"/>
        <v>4</v>
      </c>
      <c r="M295" s="281">
        <f t="shared" si="97"/>
        <v>134.63999999999999</v>
      </c>
      <c r="N295" s="808"/>
      <c r="O295" s="260">
        <f t="shared" si="72"/>
        <v>0</v>
      </c>
      <c r="P295" s="260">
        <f t="shared" si="72"/>
        <v>0</v>
      </c>
      <c r="Q295" s="260"/>
      <c r="R295" s="260"/>
    </row>
    <row r="296" spans="1:18" ht="26.4" outlineLevel="1">
      <c r="A296" s="293" t="s">
        <v>625</v>
      </c>
      <c r="B296" s="318" t="s">
        <v>1224</v>
      </c>
      <c r="C296" s="294" t="s">
        <v>1225</v>
      </c>
      <c r="D296" s="292" t="s">
        <v>816</v>
      </c>
      <c r="E296" s="304">
        <v>36.06</v>
      </c>
      <c r="F296" s="305">
        <v>4</v>
      </c>
      <c r="G296" s="281">
        <f t="shared" si="89"/>
        <v>144.24</v>
      </c>
      <c r="H296" s="306">
        <v>4</v>
      </c>
      <c r="I296" s="281">
        <f t="shared" si="95"/>
        <v>144.24</v>
      </c>
      <c r="J296" s="297">
        <f>VLOOKUP(A296,'12 - CORPO'!$A$1:$R$5122,18,FALSE)</f>
        <v>0</v>
      </c>
      <c r="K296" s="307">
        <f t="shared" si="92"/>
        <v>0</v>
      </c>
      <c r="L296" s="306">
        <f t="shared" si="96"/>
        <v>4</v>
      </c>
      <c r="M296" s="281">
        <f t="shared" si="97"/>
        <v>144.24</v>
      </c>
      <c r="N296" s="808"/>
      <c r="O296" s="260">
        <f t="shared" si="72"/>
        <v>0</v>
      </c>
      <c r="P296" s="260">
        <f t="shared" si="72"/>
        <v>0</v>
      </c>
      <c r="Q296" s="260"/>
      <c r="R296" s="260"/>
    </row>
    <row r="297" spans="1:18" ht="26.4" outlineLevel="1">
      <c r="A297" s="608" t="s">
        <v>626</v>
      </c>
      <c r="B297" s="609" t="s">
        <v>1226</v>
      </c>
      <c r="C297" s="610" t="s">
        <v>1227</v>
      </c>
      <c r="D297" s="586" t="s">
        <v>816</v>
      </c>
      <c r="E297" s="611">
        <v>1353.6</v>
      </c>
      <c r="F297" s="612">
        <v>6</v>
      </c>
      <c r="G297" s="613">
        <f t="shared" si="89"/>
        <v>8121.6</v>
      </c>
      <c r="H297" s="614">
        <v>6</v>
      </c>
      <c r="I297" s="613">
        <f t="shared" si="95"/>
        <v>8121.6</v>
      </c>
      <c r="J297" s="615">
        <f>VLOOKUP(A297,'12 - CORPO'!$A$1:$R$5122,18,FALSE)</f>
        <v>0</v>
      </c>
      <c r="K297" s="616">
        <f t="shared" si="92"/>
        <v>0</v>
      </c>
      <c r="L297" s="614">
        <f t="shared" si="96"/>
        <v>6</v>
      </c>
      <c r="M297" s="613">
        <f t="shared" si="97"/>
        <v>8121.6</v>
      </c>
      <c r="N297" s="808"/>
      <c r="O297" s="260">
        <f t="shared" si="72"/>
        <v>0</v>
      </c>
      <c r="P297" s="260">
        <f t="shared" si="72"/>
        <v>0</v>
      </c>
      <c r="Q297" s="260"/>
      <c r="R297" s="260"/>
    </row>
    <row r="298" spans="1:18" ht="19.95" customHeight="1">
      <c r="A298" s="1320" t="s">
        <v>627</v>
      </c>
      <c r="B298" s="1447" t="s">
        <v>1113</v>
      </c>
      <c r="C298" s="1447"/>
      <c r="D298" s="1322"/>
      <c r="E298" s="1322"/>
      <c r="F298" s="1322"/>
      <c r="G298" s="1323">
        <f>SUBTOTAL(9,G299:G305)</f>
        <v>10487.97</v>
      </c>
      <c r="H298" s="1322"/>
      <c r="I298" s="1323">
        <f>SUBTOTAL(9,I299:I305)</f>
        <v>10487.97</v>
      </c>
      <c r="J298" s="1322"/>
      <c r="K298" s="1323">
        <f>SUBTOTAL(9,K299:K305)</f>
        <v>0</v>
      </c>
      <c r="L298" s="1322"/>
      <c r="M298" s="1324">
        <f>SUBTOTAL(9,M299:M305)</f>
        <v>10487.97</v>
      </c>
      <c r="N298" s="811"/>
      <c r="O298" s="260">
        <f t="shared" si="72"/>
        <v>0</v>
      </c>
      <c r="P298" s="260">
        <f t="shared" si="72"/>
        <v>0</v>
      </c>
      <c r="Q298" s="262"/>
      <c r="R298" s="262"/>
    </row>
    <row r="299" spans="1:18" outlineLevel="1">
      <c r="A299" s="313" t="s">
        <v>628</v>
      </c>
      <c r="B299" s="314" t="s">
        <v>1228</v>
      </c>
      <c r="C299" s="308" t="s">
        <v>1229</v>
      </c>
      <c r="D299" s="285" t="s">
        <v>816</v>
      </c>
      <c r="E299" s="693">
        <v>122.4</v>
      </c>
      <c r="F299" s="694">
        <v>14</v>
      </c>
      <c r="G299" s="620">
        <f t="shared" si="89"/>
        <v>1713.6</v>
      </c>
      <c r="H299" s="695">
        <v>14</v>
      </c>
      <c r="I299" s="620">
        <f t="shared" si="95"/>
        <v>1713.6</v>
      </c>
      <c r="J299" s="311">
        <f>VLOOKUP(A299,'12 - CORPO'!$A$1:$R$5122,18,FALSE)</f>
        <v>0</v>
      </c>
      <c r="K299" s="696">
        <f t="shared" si="92"/>
        <v>0</v>
      </c>
      <c r="L299" s="695">
        <f t="shared" si="96"/>
        <v>14</v>
      </c>
      <c r="M299" s="620">
        <f t="shared" si="97"/>
        <v>1713.6</v>
      </c>
      <c r="N299" s="808"/>
      <c r="O299" s="260">
        <f t="shared" si="72"/>
        <v>0</v>
      </c>
      <c r="P299" s="260">
        <f t="shared" si="72"/>
        <v>0</v>
      </c>
      <c r="Q299" s="260"/>
      <c r="R299" s="260"/>
    </row>
    <row r="300" spans="1:18" ht="39.6" outlineLevel="1">
      <c r="A300" s="293" t="s">
        <v>629</v>
      </c>
      <c r="B300" s="318" t="s">
        <v>1230</v>
      </c>
      <c r="C300" s="294" t="s">
        <v>1231</v>
      </c>
      <c r="D300" s="292" t="s">
        <v>816</v>
      </c>
      <c r="E300" s="304">
        <v>112.65</v>
      </c>
      <c r="F300" s="305">
        <v>12</v>
      </c>
      <c r="G300" s="281">
        <f t="shared" si="89"/>
        <v>1351.8</v>
      </c>
      <c r="H300" s="306">
        <v>12</v>
      </c>
      <c r="I300" s="281">
        <f t="shared" si="95"/>
        <v>1351.8</v>
      </c>
      <c r="J300" s="297">
        <f>VLOOKUP(A300,'12 - CORPO'!$A$1:$R$5122,18,FALSE)</f>
        <v>0</v>
      </c>
      <c r="K300" s="307">
        <f t="shared" si="92"/>
        <v>0</v>
      </c>
      <c r="L300" s="306">
        <f t="shared" si="96"/>
        <v>12</v>
      </c>
      <c r="M300" s="281">
        <f t="shared" si="97"/>
        <v>1351.8</v>
      </c>
      <c r="N300" s="808"/>
      <c r="O300" s="260">
        <f t="shared" si="72"/>
        <v>0</v>
      </c>
      <c r="P300" s="260">
        <f t="shared" si="72"/>
        <v>0</v>
      </c>
      <c r="Q300" s="260"/>
      <c r="R300" s="260"/>
    </row>
    <row r="301" spans="1:18" ht="39.6" outlineLevel="1">
      <c r="A301" s="317" t="s">
        <v>630</v>
      </c>
      <c r="B301" s="319" t="s">
        <v>1114</v>
      </c>
      <c r="C301" s="273" t="s">
        <v>1115</v>
      </c>
      <c r="D301" s="292" t="s">
        <v>816</v>
      </c>
      <c r="E301" s="279">
        <v>228.37</v>
      </c>
      <c r="F301" s="280">
        <v>3</v>
      </c>
      <c r="G301" s="281">
        <f t="shared" si="89"/>
        <v>685.11</v>
      </c>
      <c r="H301" s="282">
        <v>3</v>
      </c>
      <c r="I301" s="281">
        <f t="shared" si="95"/>
        <v>685.11</v>
      </c>
      <c r="J301" s="277">
        <f>VLOOKUP(A301,'12 - CORPO'!$A$1:$R$5122,18,FALSE)</f>
        <v>0</v>
      </c>
      <c r="K301" s="278">
        <f t="shared" si="92"/>
        <v>0</v>
      </c>
      <c r="L301" s="282">
        <f t="shared" si="96"/>
        <v>3</v>
      </c>
      <c r="M301" s="281">
        <f t="shared" si="97"/>
        <v>685.11</v>
      </c>
      <c r="N301" s="808"/>
      <c r="O301" s="260">
        <f t="shared" si="72"/>
        <v>0</v>
      </c>
      <c r="P301" s="260">
        <f t="shared" si="72"/>
        <v>0</v>
      </c>
      <c r="Q301" s="260"/>
      <c r="R301" s="260"/>
    </row>
    <row r="302" spans="1:18" ht="39.6" outlineLevel="1">
      <c r="A302" s="317" t="s">
        <v>631</v>
      </c>
      <c r="B302" s="319" t="s">
        <v>1029</v>
      </c>
      <c r="C302" s="273" t="s">
        <v>1030</v>
      </c>
      <c r="D302" s="292" t="s">
        <v>816</v>
      </c>
      <c r="E302" s="279">
        <v>542.85</v>
      </c>
      <c r="F302" s="280">
        <v>12</v>
      </c>
      <c r="G302" s="281">
        <f t="shared" si="89"/>
        <v>6514.2</v>
      </c>
      <c r="H302" s="282">
        <v>12</v>
      </c>
      <c r="I302" s="281">
        <f t="shared" si="95"/>
        <v>6514.2</v>
      </c>
      <c r="J302" s="277">
        <f>VLOOKUP(A302,'12 - CORPO'!$A$1:$R$5122,18,FALSE)</f>
        <v>0</v>
      </c>
      <c r="K302" s="278">
        <f t="shared" si="92"/>
        <v>0</v>
      </c>
      <c r="L302" s="282">
        <f t="shared" si="96"/>
        <v>12</v>
      </c>
      <c r="M302" s="281">
        <f t="shared" si="97"/>
        <v>6514.2</v>
      </c>
      <c r="N302" s="808"/>
      <c r="O302" s="260">
        <f t="shared" si="72"/>
        <v>0</v>
      </c>
      <c r="P302" s="260">
        <f t="shared" si="72"/>
        <v>0</v>
      </c>
      <c r="Q302" s="260"/>
      <c r="R302" s="260"/>
    </row>
    <row r="303" spans="1:18" outlineLevel="1">
      <c r="A303" s="293" t="s">
        <v>632</v>
      </c>
      <c r="B303" s="318" t="s">
        <v>1232</v>
      </c>
      <c r="C303" s="294" t="s">
        <v>1233</v>
      </c>
      <c r="D303" s="292" t="s">
        <v>816</v>
      </c>
      <c r="E303" s="304">
        <v>8.3699999999999992</v>
      </c>
      <c r="F303" s="305">
        <v>18</v>
      </c>
      <c r="G303" s="281">
        <f t="shared" si="89"/>
        <v>150.66</v>
      </c>
      <c r="H303" s="306">
        <v>18</v>
      </c>
      <c r="I303" s="281">
        <f t="shared" si="95"/>
        <v>150.66</v>
      </c>
      <c r="J303" s="297">
        <f>VLOOKUP(A303,'12 - CORPO'!$A$1:$R$5122,18,FALSE)</f>
        <v>0</v>
      </c>
      <c r="K303" s="307">
        <f t="shared" si="92"/>
        <v>0</v>
      </c>
      <c r="L303" s="306">
        <f t="shared" si="96"/>
        <v>18</v>
      </c>
      <c r="M303" s="281">
        <f t="shared" si="97"/>
        <v>150.66</v>
      </c>
      <c r="N303" s="808"/>
      <c r="O303" s="260">
        <f t="shared" si="72"/>
        <v>0</v>
      </c>
      <c r="P303" s="260">
        <f t="shared" si="72"/>
        <v>0</v>
      </c>
      <c r="Q303" s="260"/>
      <c r="R303" s="260"/>
    </row>
    <row r="304" spans="1:18" outlineLevel="1">
      <c r="A304" s="293" t="s">
        <v>633</v>
      </c>
      <c r="B304" s="318" t="s">
        <v>1234</v>
      </c>
      <c r="C304" s="294" t="s">
        <v>1235</v>
      </c>
      <c r="D304" s="292" t="s">
        <v>816</v>
      </c>
      <c r="E304" s="304">
        <v>9.25</v>
      </c>
      <c r="F304" s="305">
        <v>1</v>
      </c>
      <c r="G304" s="281">
        <f t="shared" si="89"/>
        <v>9.25</v>
      </c>
      <c r="H304" s="306">
        <v>1</v>
      </c>
      <c r="I304" s="281">
        <f t="shared" si="95"/>
        <v>9.25</v>
      </c>
      <c r="J304" s="297">
        <f>VLOOKUP(A304,'12 - CORPO'!$A$1:$R$5122,18,FALSE)</f>
        <v>0</v>
      </c>
      <c r="K304" s="307">
        <f t="shared" si="92"/>
        <v>0</v>
      </c>
      <c r="L304" s="306">
        <f t="shared" si="96"/>
        <v>1</v>
      </c>
      <c r="M304" s="281">
        <f t="shared" si="97"/>
        <v>9.25</v>
      </c>
      <c r="N304" s="808"/>
      <c r="O304" s="260">
        <f t="shared" si="72"/>
        <v>0</v>
      </c>
      <c r="P304" s="260">
        <f t="shared" si="72"/>
        <v>0</v>
      </c>
      <c r="Q304" s="260"/>
      <c r="R304" s="260"/>
    </row>
    <row r="305" spans="1:18" outlineLevel="1">
      <c r="A305" s="681" t="s">
        <v>634</v>
      </c>
      <c r="B305" s="682" t="s">
        <v>1236</v>
      </c>
      <c r="C305" s="683" t="s">
        <v>162</v>
      </c>
      <c r="D305" s="664" t="s">
        <v>816</v>
      </c>
      <c r="E305" s="684">
        <v>12.67</v>
      </c>
      <c r="F305" s="685">
        <v>5</v>
      </c>
      <c r="G305" s="667">
        <f t="shared" si="89"/>
        <v>63.35</v>
      </c>
      <c r="H305" s="686">
        <v>5</v>
      </c>
      <c r="I305" s="667">
        <f t="shared" si="95"/>
        <v>63.35</v>
      </c>
      <c r="J305" s="687">
        <f>VLOOKUP(A305,'12 - CORPO'!$A$1:$R$5122,18,FALSE)</f>
        <v>0</v>
      </c>
      <c r="K305" s="688">
        <f t="shared" si="92"/>
        <v>0</v>
      </c>
      <c r="L305" s="686">
        <f t="shared" si="96"/>
        <v>5</v>
      </c>
      <c r="M305" s="667">
        <f t="shared" si="97"/>
        <v>63.35</v>
      </c>
      <c r="N305" s="808"/>
      <c r="O305" s="260">
        <f t="shared" si="72"/>
        <v>0</v>
      </c>
      <c r="P305" s="260">
        <f t="shared" si="72"/>
        <v>0</v>
      </c>
      <c r="Q305" s="260"/>
      <c r="R305" s="260"/>
    </row>
    <row r="306" spans="1:18" ht="19.95" customHeight="1">
      <c r="A306" s="1320" t="s">
        <v>635</v>
      </c>
      <c r="B306" s="1447" t="s">
        <v>1237</v>
      </c>
      <c r="C306" s="1447"/>
      <c r="D306" s="1322"/>
      <c r="E306" s="1322"/>
      <c r="F306" s="1322"/>
      <c r="G306" s="1323">
        <f>SUBTOTAL(9,G307:G317)</f>
        <v>2139.5000000000005</v>
      </c>
      <c r="H306" s="1322"/>
      <c r="I306" s="1323">
        <f>SUBTOTAL(9,I307:I317)</f>
        <v>2139.5000000000005</v>
      </c>
      <c r="J306" s="1322"/>
      <c r="K306" s="1323">
        <f>SUBTOTAL(9,K307:K317)</f>
        <v>0</v>
      </c>
      <c r="L306" s="1322"/>
      <c r="M306" s="1324">
        <f>SUBTOTAL(9,M307:M317)</f>
        <v>2139.5000000000005</v>
      </c>
      <c r="N306" s="811"/>
      <c r="O306" s="260">
        <f t="shared" si="72"/>
        <v>0</v>
      </c>
      <c r="P306" s="260">
        <f t="shared" si="72"/>
        <v>0</v>
      </c>
      <c r="Q306" s="262"/>
      <c r="R306" s="262"/>
    </row>
    <row r="307" spans="1:18" ht="26.4" outlineLevel="1">
      <c r="A307" s="313" t="s">
        <v>636</v>
      </c>
      <c r="B307" s="314" t="s">
        <v>1238</v>
      </c>
      <c r="C307" s="308" t="s">
        <v>1239</v>
      </c>
      <c r="D307" s="285" t="s">
        <v>816</v>
      </c>
      <c r="E307" s="693">
        <v>10.9</v>
      </c>
      <c r="F307" s="694">
        <v>2</v>
      </c>
      <c r="G307" s="620">
        <f t="shared" si="89"/>
        <v>21.8</v>
      </c>
      <c r="H307" s="695">
        <v>2</v>
      </c>
      <c r="I307" s="620">
        <f t="shared" ref="I307:I330" si="98">ROUND((E307*H307),2)</f>
        <v>21.8</v>
      </c>
      <c r="J307" s="311">
        <f>VLOOKUP(A307,'12 - CORPO'!$A$1:$R$5122,18,FALSE)</f>
        <v>0</v>
      </c>
      <c r="K307" s="696">
        <f t="shared" si="92"/>
        <v>0</v>
      </c>
      <c r="L307" s="695">
        <f t="shared" ref="L307:L330" si="99">(H307+J307)</f>
        <v>2</v>
      </c>
      <c r="M307" s="620">
        <f t="shared" ref="M307:M330" si="100">ROUND((E307*L307),2)</f>
        <v>21.8</v>
      </c>
      <c r="N307" s="808"/>
      <c r="O307" s="260">
        <f t="shared" si="72"/>
        <v>0</v>
      </c>
      <c r="P307" s="260">
        <f t="shared" si="72"/>
        <v>0</v>
      </c>
      <c r="Q307" s="260"/>
      <c r="R307" s="260"/>
    </row>
    <row r="308" spans="1:18" ht="26.4" outlineLevel="1">
      <c r="A308" s="681" t="s">
        <v>637</v>
      </c>
      <c r="B308" s="682" t="s">
        <v>1240</v>
      </c>
      <c r="C308" s="683" t="s">
        <v>1241</v>
      </c>
      <c r="D308" s="664" t="s">
        <v>816</v>
      </c>
      <c r="E308" s="684">
        <v>11.59</v>
      </c>
      <c r="F308" s="685">
        <v>4</v>
      </c>
      <c r="G308" s="667">
        <f t="shared" si="89"/>
        <v>46.36</v>
      </c>
      <c r="H308" s="686">
        <v>4</v>
      </c>
      <c r="I308" s="667">
        <f t="shared" si="98"/>
        <v>46.36</v>
      </c>
      <c r="J308" s="687">
        <f>VLOOKUP(A308,'12 - CORPO'!$A$1:$R$5122,18,FALSE)</f>
        <v>0</v>
      </c>
      <c r="K308" s="688">
        <f t="shared" si="92"/>
        <v>0</v>
      </c>
      <c r="L308" s="686">
        <f t="shared" si="99"/>
        <v>4</v>
      </c>
      <c r="M308" s="667">
        <f t="shared" si="100"/>
        <v>46.36</v>
      </c>
      <c r="N308" s="808"/>
      <c r="O308" s="260">
        <f t="shared" si="72"/>
        <v>0</v>
      </c>
      <c r="P308" s="260">
        <f t="shared" si="72"/>
        <v>0</v>
      </c>
      <c r="Q308" s="260"/>
      <c r="R308" s="260"/>
    </row>
    <row r="309" spans="1:18" ht="26.4" outlineLevel="1">
      <c r="A309" s="676" t="s">
        <v>638</v>
      </c>
      <c r="B309" s="677" t="s">
        <v>1242</v>
      </c>
      <c r="C309" s="265" t="s">
        <v>1243</v>
      </c>
      <c r="D309" s="601" t="s">
        <v>816</v>
      </c>
      <c r="E309" s="678">
        <v>14.24</v>
      </c>
      <c r="F309" s="679">
        <v>1</v>
      </c>
      <c r="G309" s="673">
        <f t="shared" si="89"/>
        <v>14.24</v>
      </c>
      <c r="H309" s="680">
        <v>1</v>
      </c>
      <c r="I309" s="673">
        <f t="shared" si="98"/>
        <v>14.24</v>
      </c>
      <c r="J309" s="269">
        <f>VLOOKUP(A309,'12 - CORPO'!$A$1:$R$5122,18,FALSE)</f>
        <v>0</v>
      </c>
      <c r="K309" s="270">
        <f t="shared" si="92"/>
        <v>0</v>
      </c>
      <c r="L309" s="680">
        <f t="shared" si="99"/>
        <v>1</v>
      </c>
      <c r="M309" s="673">
        <f t="shared" si="100"/>
        <v>14.24</v>
      </c>
      <c r="N309" s="808"/>
      <c r="O309" s="260">
        <f t="shared" si="72"/>
        <v>0</v>
      </c>
      <c r="P309" s="260">
        <f t="shared" si="72"/>
        <v>0</v>
      </c>
      <c r="Q309" s="260"/>
      <c r="R309" s="260"/>
    </row>
    <row r="310" spans="1:18" ht="26.4" outlineLevel="1">
      <c r="A310" s="293" t="s">
        <v>639</v>
      </c>
      <c r="B310" s="318" t="s">
        <v>1244</v>
      </c>
      <c r="C310" s="294" t="s">
        <v>1245</v>
      </c>
      <c r="D310" s="292" t="s">
        <v>816</v>
      </c>
      <c r="E310" s="304">
        <v>171.65</v>
      </c>
      <c r="F310" s="305">
        <v>1</v>
      </c>
      <c r="G310" s="281">
        <f t="shared" si="89"/>
        <v>171.65</v>
      </c>
      <c r="H310" s="306">
        <v>1</v>
      </c>
      <c r="I310" s="281">
        <f t="shared" si="98"/>
        <v>171.65</v>
      </c>
      <c r="J310" s="297">
        <f>VLOOKUP(A310,'12 - CORPO'!$A$1:$R$5122,18,FALSE)</f>
        <v>0</v>
      </c>
      <c r="K310" s="307">
        <f t="shared" si="92"/>
        <v>0</v>
      </c>
      <c r="L310" s="306">
        <f t="shared" si="99"/>
        <v>1</v>
      </c>
      <c r="M310" s="281">
        <f t="shared" si="100"/>
        <v>171.65</v>
      </c>
      <c r="N310" s="808"/>
      <c r="O310" s="260">
        <f t="shared" si="72"/>
        <v>0</v>
      </c>
      <c r="P310" s="260">
        <f t="shared" si="72"/>
        <v>0</v>
      </c>
      <c r="Q310" s="260"/>
      <c r="R310" s="260"/>
    </row>
    <row r="311" spans="1:18" ht="26.4" outlineLevel="1">
      <c r="A311" s="293" t="s">
        <v>640</v>
      </c>
      <c r="B311" s="318" t="s">
        <v>1246</v>
      </c>
      <c r="C311" s="294" t="s">
        <v>1247</v>
      </c>
      <c r="D311" s="292" t="s">
        <v>816</v>
      </c>
      <c r="E311" s="304">
        <v>170.06</v>
      </c>
      <c r="F311" s="305">
        <v>6</v>
      </c>
      <c r="G311" s="281">
        <f t="shared" si="89"/>
        <v>1020.36</v>
      </c>
      <c r="H311" s="306">
        <v>6</v>
      </c>
      <c r="I311" s="281">
        <f t="shared" si="98"/>
        <v>1020.36</v>
      </c>
      <c r="J311" s="297">
        <f>VLOOKUP(A311,'12 - CORPO'!$A$1:$R$5122,18,FALSE)</f>
        <v>0</v>
      </c>
      <c r="K311" s="307">
        <f t="shared" si="92"/>
        <v>0</v>
      </c>
      <c r="L311" s="306">
        <f t="shared" si="99"/>
        <v>6</v>
      </c>
      <c r="M311" s="281">
        <f t="shared" si="100"/>
        <v>1020.36</v>
      </c>
      <c r="N311" s="808"/>
      <c r="O311" s="260">
        <f t="shared" si="72"/>
        <v>0</v>
      </c>
      <c r="P311" s="260">
        <f t="shared" si="72"/>
        <v>0</v>
      </c>
      <c r="Q311" s="260"/>
      <c r="R311" s="260"/>
    </row>
    <row r="312" spans="1:18" ht="39.6" outlineLevel="1">
      <c r="A312" s="317" t="s">
        <v>641</v>
      </c>
      <c r="B312" s="319" t="s">
        <v>1248</v>
      </c>
      <c r="C312" s="273" t="s">
        <v>1249</v>
      </c>
      <c r="D312" s="292" t="s">
        <v>816</v>
      </c>
      <c r="E312" s="279">
        <v>455.34</v>
      </c>
      <c r="F312" s="280">
        <v>1</v>
      </c>
      <c r="G312" s="281">
        <f t="shared" si="89"/>
        <v>455.34</v>
      </c>
      <c r="H312" s="282">
        <v>1</v>
      </c>
      <c r="I312" s="281">
        <f t="shared" si="98"/>
        <v>455.34</v>
      </c>
      <c r="J312" s="277">
        <f>VLOOKUP(A312,'12 - CORPO'!$A$1:$R$5122,18,FALSE)</f>
        <v>0</v>
      </c>
      <c r="K312" s="278">
        <f t="shared" si="92"/>
        <v>0</v>
      </c>
      <c r="L312" s="282">
        <f t="shared" si="99"/>
        <v>1</v>
      </c>
      <c r="M312" s="281">
        <f t="shared" si="100"/>
        <v>455.34</v>
      </c>
      <c r="N312" s="808"/>
      <c r="O312" s="260">
        <f t="shared" ref="O312:P375" si="101">F312-L312</f>
        <v>0</v>
      </c>
      <c r="P312" s="260">
        <f t="shared" si="101"/>
        <v>0</v>
      </c>
      <c r="Q312" s="260"/>
      <c r="R312" s="260"/>
    </row>
    <row r="313" spans="1:18" ht="26.4" outlineLevel="1">
      <c r="A313" s="293" t="s">
        <v>642</v>
      </c>
      <c r="B313" s="318" t="s">
        <v>1250</v>
      </c>
      <c r="C313" s="294" t="s">
        <v>1251</v>
      </c>
      <c r="D313" s="292" t="s">
        <v>816</v>
      </c>
      <c r="E313" s="304">
        <v>28.18</v>
      </c>
      <c r="F313" s="305">
        <v>4</v>
      </c>
      <c r="G313" s="281">
        <f t="shared" si="89"/>
        <v>112.72</v>
      </c>
      <c r="H313" s="306">
        <v>4</v>
      </c>
      <c r="I313" s="281">
        <f t="shared" si="98"/>
        <v>112.72</v>
      </c>
      <c r="J313" s="297">
        <f>VLOOKUP(A313,'12 - CORPO'!$A$1:$R$5122,18,FALSE)</f>
        <v>0</v>
      </c>
      <c r="K313" s="307">
        <f t="shared" si="92"/>
        <v>0</v>
      </c>
      <c r="L313" s="306">
        <f t="shared" si="99"/>
        <v>4</v>
      </c>
      <c r="M313" s="281">
        <f t="shared" si="100"/>
        <v>112.72</v>
      </c>
      <c r="N313" s="808"/>
      <c r="O313" s="260">
        <f t="shared" si="101"/>
        <v>0</v>
      </c>
      <c r="P313" s="260">
        <f t="shared" si="101"/>
        <v>0</v>
      </c>
      <c r="Q313" s="260"/>
      <c r="R313" s="260"/>
    </row>
    <row r="314" spans="1:18" ht="26.4" outlineLevel="1">
      <c r="A314" s="293" t="s">
        <v>643</v>
      </c>
      <c r="B314" s="318" t="s">
        <v>1252</v>
      </c>
      <c r="C314" s="294" t="s">
        <v>1253</v>
      </c>
      <c r="D314" s="292" t="s">
        <v>816</v>
      </c>
      <c r="E314" s="304">
        <v>44.54</v>
      </c>
      <c r="F314" s="305">
        <v>1</v>
      </c>
      <c r="G314" s="281">
        <f t="shared" si="89"/>
        <v>44.54</v>
      </c>
      <c r="H314" s="306">
        <v>1</v>
      </c>
      <c r="I314" s="281">
        <f t="shared" si="98"/>
        <v>44.54</v>
      </c>
      <c r="J314" s="297">
        <f>VLOOKUP(A314,'12 - CORPO'!$A$1:$R$5122,18,FALSE)</f>
        <v>0</v>
      </c>
      <c r="K314" s="307">
        <f t="shared" si="92"/>
        <v>0</v>
      </c>
      <c r="L314" s="306">
        <f t="shared" si="99"/>
        <v>1</v>
      </c>
      <c r="M314" s="281">
        <f t="shared" si="100"/>
        <v>44.54</v>
      </c>
      <c r="N314" s="808"/>
      <c r="O314" s="260">
        <f t="shared" si="101"/>
        <v>0</v>
      </c>
      <c r="P314" s="260">
        <f t="shared" si="101"/>
        <v>0</v>
      </c>
      <c r="Q314" s="260"/>
      <c r="R314" s="260"/>
    </row>
    <row r="315" spans="1:18" ht="26.4" outlineLevel="1">
      <c r="A315" s="317" t="s">
        <v>644</v>
      </c>
      <c r="B315" s="319" t="s">
        <v>1254</v>
      </c>
      <c r="C315" s="273" t="s">
        <v>1255</v>
      </c>
      <c r="D315" s="292" t="s">
        <v>816</v>
      </c>
      <c r="E315" s="279">
        <v>60.9</v>
      </c>
      <c r="F315" s="280">
        <v>1</v>
      </c>
      <c r="G315" s="281">
        <f t="shared" si="89"/>
        <v>60.9</v>
      </c>
      <c r="H315" s="282">
        <v>1</v>
      </c>
      <c r="I315" s="281">
        <f t="shared" si="98"/>
        <v>60.9</v>
      </c>
      <c r="J315" s="277">
        <f>VLOOKUP(A315,'12 - CORPO'!$A$1:$R$5122,18,FALSE)</f>
        <v>0</v>
      </c>
      <c r="K315" s="278">
        <f t="shared" si="92"/>
        <v>0</v>
      </c>
      <c r="L315" s="282">
        <f t="shared" si="99"/>
        <v>1</v>
      </c>
      <c r="M315" s="281">
        <f t="shared" si="100"/>
        <v>60.9</v>
      </c>
      <c r="N315" s="808"/>
      <c r="O315" s="260">
        <f t="shared" si="101"/>
        <v>0</v>
      </c>
      <c r="P315" s="260">
        <f t="shared" si="101"/>
        <v>0</v>
      </c>
      <c r="Q315" s="260"/>
      <c r="R315" s="260"/>
    </row>
    <row r="316" spans="1:18" outlineLevel="1">
      <c r="A316" s="317" t="s">
        <v>645</v>
      </c>
      <c r="B316" s="319" t="s">
        <v>1256</v>
      </c>
      <c r="C316" s="273" t="s">
        <v>1257</v>
      </c>
      <c r="D316" s="292" t="s">
        <v>816</v>
      </c>
      <c r="E316" s="279">
        <v>142.02000000000001</v>
      </c>
      <c r="F316" s="280">
        <v>1</v>
      </c>
      <c r="G316" s="281">
        <f t="shared" si="89"/>
        <v>142.02000000000001</v>
      </c>
      <c r="H316" s="282">
        <v>1</v>
      </c>
      <c r="I316" s="281">
        <f t="shared" si="98"/>
        <v>142.02000000000001</v>
      </c>
      <c r="J316" s="277">
        <f>VLOOKUP(A316,'12 - CORPO'!$A$1:$R$5122,18,FALSE)</f>
        <v>0</v>
      </c>
      <c r="K316" s="278">
        <f t="shared" si="92"/>
        <v>0</v>
      </c>
      <c r="L316" s="282">
        <f t="shared" si="99"/>
        <v>1</v>
      </c>
      <c r="M316" s="281">
        <f t="shared" si="100"/>
        <v>142.02000000000001</v>
      </c>
      <c r="N316" s="808"/>
      <c r="O316" s="260">
        <f t="shared" si="101"/>
        <v>0</v>
      </c>
      <c r="P316" s="260">
        <f t="shared" si="101"/>
        <v>0</v>
      </c>
      <c r="Q316" s="260"/>
      <c r="R316" s="260"/>
    </row>
    <row r="317" spans="1:18" ht="26.4" outlineLevel="1">
      <c r="A317" s="293" t="s">
        <v>646</v>
      </c>
      <c r="B317" s="318" t="s">
        <v>1258</v>
      </c>
      <c r="C317" s="294" t="s">
        <v>1259</v>
      </c>
      <c r="D317" s="292" t="s">
        <v>816</v>
      </c>
      <c r="E317" s="304">
        <v>49.57</v>
      </c>
      <c r="F317" s="305">
        <v>1</v>
      </c>
      <c r="G317" s="281">
        <f t="shared" si="89"/>
        <v>49.57</v>
      </c>
      <c r="H317" s="306">
        <v>1</v>
      </c>
      <c r="I317" s="281">
        <f t="shared" si="98"/>
        <v>49.57</v>
      </c>
      <c r="J317" s="297">
        <f>VLOOKUP(A317,'12 - CORPO'!$A$1:$R$5122,18,FALSE)</f>
        <v>0</v>
      </c>
      <c r="K317" s="307">
        <f t="shared" si="92"/>
        <v>0</v>
      </c>
      <c r="L317" s="306">
        <f t="shared" si="99"/>
        <v>1</v>
      </c>
      <c r="M317" s="281">
        <f t="shared" si="100"/>
        <v>49.57</v>
      </c>
      <c r="N317" s="808"/>
      <c r="O317" s="260">
        <f t="shared" si="101"/>
        <v>0</v>
      </c>
      <c r="P317" s="260">
        <f t="shared" si="101"/>
        <v>0</v>
      </c>
      <c r="Q317" s="260"/>
      <c r="R317" s="260"/>
    </row>
    <row r="318" spans="1:18" ht="19.95" customHeight="1">
      <c r="A318" s="1320" t="s">
        <v>647</v>
      </c>
      <c r="B318" s="1447" t="s">
        <v>1260</v>
      </c>
      <c r="C318" s="1447" t="s">
        <v>150</v>
      </c>
      <c r="D318" s="1322"/>
      <c r="E318" s="1322"/>
      <c r="F318" s="1322"/>
      <c r="G318" s="1323">
        <f>SUBTOTAL(9,G319:G325)</f>
        <v>19093.61</v>
      </c>
      <c r="H318" s="1322"/>
      <c r="I318" s="1323">
        <f>SUBTOTAL(9,I319:I325)</f>
        <v>19093.61</v>
      </c>
      <c r="J318" s="1322"/>
      <c r="K318" s="1323">
        <f>SUBTOTAL(9,K319:K325)</f>
        <v>0</v>
      </c>
      <c r="L318" s="1322"/>
      <c r="M318" s="1324">
        <f>SUBTOTAL(9,M319:M325)</f>
        <v>19093.61</v>
      </c>
      <c r="N318" s="811"/>
      <c r="O318" s="260">
        <f t="shared" si="101"/>
        <v>0</v>
      </c>
      <c r="P318" s="260">
        <f t="shared" si="101"/>
        <v>0</v>
      </c>
      <c r="Q318" s="262"/>
      <c r="R318" s="262"/>
    </row>
    <row r="319" spans="1:18" ht="26.4" outlineLevel="1">
      <c r="A319" s="293" t="s">
        <v>648</v>
      </c>
      <c r="B319" s="318" t="s">
        <v>1261</v>
      </c>
      <c r="C319" s="294" t="s">
        <v>1262</v>
      </c>
      <c r="D319" s="292" t="s">
        <v>809</v>
      </c>
      <c r="E319" s="304">
        <v>31.73</v>
      </c>
      <c r="F319" s="305">
        <v>242</v>
      </c>
      <c r="G319" s="281">
        <f t="shared" si="89"/>
        <v>7678.66</v>
      </c>
      <c r="H319" s="306">
        <v>242</v>
      </c>
      <c r="I319" s="281">
        <f t="shared" si="98"/>
        <v>7678.66</v>
      </c>
      <c r="J319" s="297">
        <f>VLOOKUP(A319,'12 - CORPO'!$A$1:$R$5122,18,FALSE)</f>
        <v>0</v>
      </c>
      <c r="K319" s="307">
        <f t="shared" si="92"/>
        <v>0</v>
      </c>
      <c r="L319" s="306">
        <f t="shared" si="99"/>
        <v>242</v>
      </c>
      <c r="M319" s="281">
        <f t="shared" si="100"/>
        <v>7678.66</v>
      </c>
      <c r="N319" s="808"/>
      <c r="O319" s="260">
        <f t="shared" si="101"/>
        <v>0</v>
      </c>
      <c r="P319" s="260">
        <f t="shared" si="101"/>
        <v>0</v>
      </c>
      <c r="Q319" s="260"/>
      <c r="R319" s="260"/>
    </row>
    <row r="320" spans="1:18" ht="26.4" outlineLevel="1">
      <c r="A320" s="317" t="s">
        <v>649</v>
      </c>
      <c r="B320" s="319" t="s">
        <v>1263</v>
      </c>
      <c r="C320" s="273" t="s">
        <v>1264</v>
      </c>
      <c r="D320" s="292" t="s">
        <v>816</v>
      </c>
      <c r="E320" s="279">
        <v>32.58</v>
      </c>
      <c r="F320" s="280">
        <v>8</v>
      </c>
      <c r="G320" s="281">
        <f t="shared" si="89"/>
        <v>260.64</v>
      </c>
      <c r="H320" s="282">
        <v>8</v>
      </c>
      <c r="I320" s="281">
        <f t="shared" si="98"/>
        <v>260.64</v>
      </c>
      <c r="J320" s="277">
        <f>VLOOKUP(A320,'12 - CORPO'!$A$1:$R$5122,18,FALSE)</f>
        <v>0</v>
      </c>
      <c r="K320" s="278">
        <f t="shared" si="92"/>
        <v>0</v>
      </c>
      <c r="L320" s="282">
        <f t="shared" si="99"/>
        <v>8</v>
      </c>
      <c r="M320" s="281">
        <f t="shared" si="100"/>
        <v>260.64</v>
      </c>
      <c r="N320" s="808"/>
      <c r="O320" s="260">
        <f t="shared" si="101"/>
        <v>0</v>
      </c>
      <c r="P320" s="260">
        <f t="shared" si="101"/>
        <v>0</v>
      </c>
      <c r="Q320" s="260"/>
      <c r="R320" s="260"/>
    </row>
    <row r="321" spans="1:18" ht="26.4" outlineLevel="1">
      <c r="A321" s="293" t="s">
        <v>650</v>
      </c>
      <c r="B321" s="318" t="s">
        <v>1265</v>
      </c>
      <c r="C321" s="294" t="s">
        <v>1266</v>
      </c>
      <c r="D321" s="292" t="s">
        <v>816</v>
      </c>
      <c r="E321" s="304">
        <v>62.75</v>
      </c>
      <c r="F321" s="305">
        <v>8</v>
      </c>
      <c r="G321" s="281">
        <f t="shared" si="89"/>
        <v>502</v>
      </c>
      <c r="H321" s="306">
        <v>8</v>
      </c>
      <c r="I321" s="281">
        <f t="shared" si="98"/>
        <v>502</v>
      </c>
      <c r="J321" s="297">
        <f>VLOOKUP(A321,'12 - CORPO'!$A$1:$R$5122,18,FALSE)</f>
        <v>0</v>
      </c>
      <c r="K321" s="307">
        <f t="shared" si="92"/>
        <v>0</v>
      </c>
      <c r="L321" s="306">
        <f t="shared" si="99"/>
        <v>8</v>
      </c>
      <c r="M321" s="281">
        <f t="shared" si="100"/>
        <v>502</v>
      </c>
      <c r="N321" s="808"/>
      <c r="O321" s="260">
        <f t="shared" si="101"/>
        <v>0</v>
      </c>
      <c r="P321" s="260">
        <f t="shared" si="101"/>
        <v>0</v>
      </c>
      <c r="Q321" s="260"/>
      <c r="R321" s="260"/>
    </row>
    <row r="322" spans="1:18" ht="39.6" outlineLevel="1">
      <c r="A322" s="293" t="s">
        <v>651</v>
      </c>
      <c r="B322" s="318" t="s">
        <v>1267</v>
      </c>
      <c r="C322" s="294" t="s">
        <v>1268</v>
      </c>
      <c r="D322" s="292" t="s">
        <v>816</v>
      </c>
      <c r="E322" s="304">
        <v>92.85</v>
      </c>
      <c r="F322" s="305">
        <v>27</v>
      </c>
      <c r="G322" s="281">
        <f t="shared" si="89"/>
        <v>2506.9499999999998</v>
      </c>
      <c r="H322" s="306">
        <v>27</v>
      </c>
      <c r="I322" s="281">
        <f t="shared" si="98"/>
        <v>2506.9499999999998</v>
      </c>
      <c r="J322" s="297">
        <f>VLOOKUP(A322,'12 - CORPO'!$A$1:$R$5122,18,FALSE)</f>
        <v>0</v>
      </c>
      <c r="K322" s="307">
        <f t="shared" si="92"/>
        <v>0</v>
      </c>
      <c r="L322" s="306">
        <f t="shared" si="99"/>
        <v>27</v>
      </c>
      <c r="M322" s="281">
        <f t="shared" si="100"/>
        <v>2506.9499999999998</v>
      </c>
      <c r="N322" s="808"/>
      <c r="O322" s="260">
        <f t="shared" si="101"/>
        <v>0</v>
      </c>
      <c r="P322" s="260">
        <f t="shared" si="101"/>
        <v>0</v>
      </c>
      <c r="Q322" s="260"/>
      <c r="R322" s="260"/>
    </row>
    <row r="323" spans="1:18" ht="26.4" outlineLevel="1">
      <c r="A323" s="317" t="s">
        <v>652</v>
      </c>
      <c r="B323" s="319" t="s">
        <v>1269</v>
      </c>
      <c r="C323" s="273" t="s">
        <v>164</v>
      </c>
      <c r="D323" s="292" t="s">
        <v>816</v>
      </c>
      <c r="E323" s="279">
        <v>127.08</v>
      </c>
      <c r="F323" s="280">
        <v>27</v>
      </c>
      <c r="G323" s="281">
        <f t="shared" si="89"/>
        <v>3431.16</v>
      </c>
      <c r="H323" s="282">
        <v>27</v>
      </c>
      <c r="I323" s="281">
        <f t="shared" si="98"/>
        <v>3431.16</v>
      </c>
      <c r="J323" s="277">
        <f>VLOOKUP(A323,'12 - CORPO'!$A$1:$R$5122,18,FALSE)</f>
        <v>0</v>
      </c>
      <c r="K323" s="278">
        <f t="shared" si="92"/>
        <v>0</v>
      </c>
      <c r="L323" s="282">
        <f t="shared" si="99"/>
        <v>27</v>
      </c>
      <c r="M323" s="281">
        <f t="shared" si="100"/>
        <v>3431.16</v>
      </c>
      <c r="N323" s="808"/>
      <c r="O323" s="260">
        <f t="shared" si="101"/>
        <v>0</v>
      </c>
      <c r="P323" s="260">
        <f t="shared" si="101"/>
        <v>0</v>
      </c>
      <c r="Q323" s="260"/>
      <c r="R323" s="260"/>
    </row>
    <row r="324" spans="1:18" outlineLevel="1">
      <c r="A324" s="317" t="s">
        <v>653</v>
      </c>
      <c r="B324" s="319" t="s">
        <v>1270</v>
      </c>
      <c r="C324" s="273" t="s">
        <v>1271</v>
      </c>
      <c r="D324" s="292" t="s">
        <v>816</v>
      </c>
      <c r="E324" s="279">
        <v>128.36000000000001</v>
      </c>
      <c r="F324" s="280">
        <v>27</v>
      </c>
      <c r="G324" s="281">
        <f t="shared" si="89"/>
        <v>3465.72</v>
      </c>
      <c r="H324" s="282">
        <v>27</v>
      </c>
      <c r="I324" s="281">
        <f t="shared" si="98"/>
        <v>3465.72</v>
      </c>
      <c r="J324" s="277">
        <f>VLOOKUP(A324,'12 - CORPO'!$A$1:$R$5122,18,FALSE)</f>
        <v>0</v>
      </c>
      <c r="K324" s="278">
        <f t="shared" si="92"/>
        <v>0</v>
      </c>
      <c r="L324" s="282">
        <f t="shared" si="99"/>
        <v>27</v>
      </c>
      <c r="M324" s="281">
        <f t="shared" si="100"/>
        <v>3465.72</v>
      </c>
      <c r="N324" s="808"/>
      <c r="O324" s="260">
        <f t="shared" si="101"/>
        <v>0</v>
      </c>
      <c r="P324" s="260">
        <f t="shared" si="101"/>
        <v>0</v>
      </c>
      <c r="Q324" s="260"/>
      <c r="R324" s="260"/>
    </row>
    <row r="325" spans="1:18" ht="39.6" outlineLevel="1">
      <c r="A325" s="661" t="s">
        <v>654</v>
      </c>
      <c r="B325" s="662" t="s">
        <v>1272</v>
      </c>
      <c r="C325" s="663" t="s">
        <v>1273</v>
      </c>
      <c r="D325" s="664" t="s">
        <v>816</v>
      </c>
      <c r="E325" s="665">
        <v>46.24</v>
      </c>
      <c r="F325" s="666">
        <v>27</v>
      </c>
      <c r="G325" s="667">
        <f t="shared" ref="G325:G365" si="102">ROUND(F325*E325,2)</f>
        <v>1248.48</v>
      </c>
      <c r="H325" s="668">
        <v>27</v>
      </c>
      <c r="I325" s="667">
        <f t="shared" si="98"/>
        <v>1248.48</v>
      </c>
      <c r="J325" s="669">
        <f>VLOOKUP(A325,'12 - CORPO'!$A$1:$R$5122,18,FALSE)</f>
        <v>0</v>
      </c>
      <c r="K325" s="670">
        <f t="shared" si="92"/>
        <v>0</v>
      </c>
      <c r="L325" s="668">
        <f t="shared" si="99"/>
        <v>27</v>
      </c>
      <c r="M325" s="667">
        <f t="shared" si="100"/>
        <v>1248.48</v>
      </c>
      <c r="N325" s="808"/>
      <c r="O325" s="260">
        <f t="shared" si="101"/>
        <v>0</v>
      </c>
      <c r="P325" s="260">
        <f t="shared" si="101"/>
        <v>0</v>
      </c>
      <c r="Q325" s="260"/>
      <c r="R325" s="260"/>
    </row>
    <row r="326" spans="1:18" ht="19.95" customHeight="1">
      <c r="A326" s="1320" t="s">
        <v>655</v>
      </c>
      <c r="B326" s="1447" t="s">
        <v>1274</v>
      </c>
      <c r="C326" s="1447"/>
      <c r="D326" s="1322"/>
      <c r="E326" s="1322"/>
      <c r="F326" s="1322"/>
      <c r="G326" s="1323">
        <f>SUBTOTAL(9,G327:G342)</f>
        <v>15225.279999999999</v>
      </c>
      <c r="H326" s="1322"/>
      <c r="I326" s="1323">
        <f>SUBTOTAL(9,I327:I342)</f>
        <v>15225.279999999999</v>
      </c>
      <c r="J326" s="1322"/>
      <c r="K326" s="1323">
        <f>SUBTOTAL(9,K327:K342)</f>
        <v>0</v>
      </c>
      <c r="L326" s="1322"/>
      <c r="M326" s="1324">
        <f>SUBTOTAL(9,M327:M342)</f>
        <v>15225.279999999999</v>
      </c>
      <c r="N326" s="811"/>
      <c r="O326" s="260">
        <f t="shared" si="101"/>
        <v>0</v>
      </c>
      <c r="P326" s="260">
        <f t="shared" si="101"/>
        <v>0</v>
      </c>
      <c r="Q326" s="262"/>
      <c r="R326" s="262"/>
    </row>
    <row r="327" spans="1:18" outlineLevel="1">
      <c r="A327" s="293" t="s">
        <v>656</v>
      </c>
      <c r="B327" s="318" t="s">
        <v>1275</v>
      </c>
      <c r="C327" s="294" t="s">
        <v>1276</v>
      </c>
      <c r="D327" s="292" t="s">
        <v>816</v>
      </c>
      <c r="E327" s="304">
        <v>1575.37</v>
      </c>
      <c r="F327" s="305">
        <v>1</v>
      </c>
      <c r="G327" s="281">
        <f t="shared" si="102"/>
        <v>1575.37</v>
      </c>
      <c r="H327" s="306">
        <v>1</v>
      </c>
      <c r="I327" s="281">
        <f t="shared" si="98"/>
        <v>1575.37</v>
      </c>
      <c r="J327" s="297">
        <f>VLOOKUP(A327,'12 - CORPO'!$A$1:$R$5122,18,FALSE)</f>
        <v>0</v>
      </c>
      <c r="K327" s="307">
        <f t="shared" si="92"/>
        <v>0</v>
      </c>
      <c r="L327" s="306">
        <f t="shared" si="99"/>
        <v>1</v>
      </c>
      <c r="M327" s="281">
        <f t="shared" si="100"/>
        <v>1575.37</v>
      </c>
      <c r="N327" s="808"/>
      <c r="O327" s="260">
        <f t="shared" si="101"/>
        <v>0</v>
      </c>
      <c r="P327" s="260">
        <f t="shared" si="101"/>
        <v>0</v>
      </c>
      <c r="Q327" s="260"/>
      <c r="R327" s="260"/>
    </row>
    <row r="328" spans="1:18" ht="26.4" outlineLevel="1">
      <c r="A328" s="317" t="s">
        <v>657</v>
      </c>
      <c r="B328" s="319" t="s">
        <v>1277</v>
      </c>
      <c r="C328" s="273" t="s">
        <v>1278</v>
      </c>
      <c r="D328" s="292" t="s">
        <v>816</v>
      </c>
      <c r="E328" s="279">
        <v>563.32000000000005</v>
      </c>
      <c r="F328" s="280">
        <v>3</v>
      </c>
      <c r="G328" s="281">
        <f t="shared" si="102"/>
        <v>1689.96</v>
      </c>
      <c r="H328" s="282">
        <v>3</v>
      </c>
      <c r="I328" s="281">
        <f t="shared" si="98"/>
        <v>1689.96</v>
      </c>
      <c r="J328" s="277">
        <f>VLOOKUP(A328,'12 - CORPO'!$A$1:$R$5122,18,FALSE)</f>
        <v>0</v>
      </c>
      <c r="K328" s="278">
        <f t="shared" si="92"/>
        <v>0</v>
      </c>
      <c r="L328" s="282">
        <f t="shared" si="99"/>
        <v>3</v>
      </c>
      <c r="M328" s="281">
        <f t="shared" si="100"/>
        <v>1689.96</v>
      </c>
      <c r="N328" s="808"/>
      <c r="O328" s="260">
        <f t="shared" si="101"/>
        <v>0</v>
      </c>
      <c r="P328" s="260">
        <f t="shared" si="101"/>
        <v>0</v>
      </c>
      <c r="Q328" s="260"/>
      <c r="R328" s="260"/>
    </row>
    <row r="329" spans="1:18" outlineLevel="1">
      <c r="A329" s="293" t="s">
        <v>658</v>
      </c>
      <c r="B329" s="318" t="s">
        <v>1279</v>
      </c>
      <c r="C329" s="294" t="s">
        <v>1280</v>
      </c>
      <c r="D329" s="292" t="s">
        <v>809</v>
      </c>
      <c r="E329" s="304">
        <v>27.2</v>
      </c>
      <c r="F329" s="305">
        <v>15</v>
      </c>
      <c r="G329" s="281">
        <f t="shared" si="102"/>
        <v>408</v>
      </c>
      <c r="H329" s="306">
        <v>15</v>
      </c>
      <c r="I329" s="281">
        <f t="shared" si="98"/>
        <v>408</v>
      </c>
      <c r="J329" s="297">
        <f>VLOOKUP(A329,'12 - CORPO'!$A$1:$R$5122,18,FALSE)</f>
        <v>0</v>
      </c>
      <c r="K329" s="307">
        <f t="shared" si="92"/>
        <v>0</v>
      </c>
      <c r="L329" s="306">
        <f t="shared" si="99"/>
        <v>15</v>
      </c>
      <c r="M329" s="281">
        <f t="shared" si="100"/>
        <v>408</v>
      </c>
      <c r="N329" s="808"/>
      <c r="O329" s="260">
        <f t="shared" si="101"/>
        <v>0</v>
      </c>
      <c r="P329" s="260">
        <f t="shared" si="101"/>
        <v>0</v>
      </c>
      <c r="Q329" s="260"/>
      <c r="R329" s="260"/>
    </row>
    <row r="330" spans="1:18" ht="26.4" outlineLevel="1">
      <c r="A330" s="293" t="s">
        <v>659</v>
      </c>
      <c r="B330" s="318" t="s">
        <v>1281</v>
      </c>
      <c r="C330" s="294" t="s">
        <v>1282</v>
      </c>
      <c r="D330" s="292" t="s">
        <v>816</v>
      </c>
      <c r="E330" s="304">
        <v>310.38</v>
      </c>
      <c r="F330" s="305">
        <v>8</v>
      </c>
      <c r="G330" s="281">
        <f t="shared" si="102"/>
        <v>2483.04</v>
      </c>
      <c r="H330" s="306">
        <v>8</v>
      </c>
      <c r="I330" s="281">
        <f t="shared" si="98"/>
        <v>2483.04</v>
      </c>
      <c r="J330" s="297">
        <f>VLOOKUP(A330,'12 - CORPO'!$A$1:$R$5122,18,FALSE)</f>
        <v>0</v>
      </c>
      <c r="K330" s="307">
        <f t="shared" si="92"/>
        <v>0</v>
      </c>
      <c r="L330" s="306">
        <f t="shared" si="99"/>
        <v>8</v>
      </c>
      <c r="M330" s="281">
        <f t="shared" si="100"/>
        <v>2483.04</v>
      </c>
      <c r="N330" s="808"/>
      <c r="O330" s="260">
        <f t="shared" si="101"/>
        <v>0</v>
      </c>
      <c r="P330" s="260">
        <f t="shared" si="101"/>
        <v>0</v>
      </c>
      <c r="Q330" s="260"/>
      <c r="R330" s="260"/>
    </row>
    <row r="331" spans="1:18" outlineLevel="1">
      <c r="A331" s="317" t="s">
        <v>660</v>
      </c>
      <c r="B331" s="319" t="s">
        <v>1283</v>
      </c>
      <c r="C331" s="273" t="s">
        <v>1284</v>
      </c>
      <c r="D331" s="292" t="s">
        <v>816</v>
      </c>
      <c r="E331" s="279">
        <v>421.41</v>
      </c>
      <c r="F331" s="280">
        <v>2</v>
      </c>
      <c r="G331" s="281">
        <f t="shared" si="102"/>
        <v>842.82</v>
      </c>
      <c r="H331" s="282">
        <v>2</v>
      </c>
      <c r="I331" s="281">
        <f t="shared" ref="I331:I361" si="103">ROUND((E331*H331),2)</f>
        <v>842.82</v>
      </c>
      <c r="J331" s="277">
        <f>VLOOKUP(A331,'12 - CORPO'!$A$1:$R$5122,18,FALSE)</f>
        <v>0</v>
      </c>
      <c r="K331" s="278">
        <f t="shared" si="92"/>
        <v>0</v>
      </c>
      <c r="L331" s="282">
        <f t="shared" ref="L331:L361" si="104">(H331+J331)</f>
        <v>2</v>
      </c>
      <c r="M331" s="281">
        <f t="shared" ref="M331:M361" si="105">ROUND((E331*L331),2)</f>
        <v>842.82</v>
      </c>
      <c r="N331" s="808"/>
      <c r="O331" s="260">
        <f t="shared" si="101"/>
        <v>0</v>
      </c>
      <c r="P331" s="260">
        <f t="shared" si="101"/>
        <v>0</v>
      </c>
      <c r="Q331" s="260"/>
      <c r="R331" s="260"/>
    </row>
    <row r="332" spans="1:18" outlineLevel="1">
      <c r="A332" s="317" t="s">
        <v>661</v>
      </c>
      <c r="B332" s="319" t="s">
        <v>1285</v>
      </c>
      <c r="C332" s="273" t="s">
        <v>1286</v>
      </c>
      <c r="D332" s="292" t="s">
        <v>809</v>
      </c>
      <c r="E332" s="279">
        <v>41.28</v>
      </c>
      <c r="F332" s="280">
        <v>54</v>
      </c>
      <c r="G332" s="281">
        <f t="shared" si="102"/>
        <v>2229.12</v>
      </c>
      <c r="H332" s="282">
        <v>54</v>
      </c>
      <c r="I332" s="281">
        <f t="shared" si="103"/>
        <v>2229.12</v>
      </c>
      <c r="J332" s="277">
        <f>VLOOKUP(A332,'12 - CORPO'!$A$1:$R$5122,18,FALSE)</f>
        <v>0</v>
      </c>
      <c r="K332" s="278">
        <f t="shared" si="92"/>
        <v>0</v>
      </c>
      <c r="L332" s="282">
        <f t="shared" si="104"/>
        <v>54</v>
      </c>
      <c r="M332" s="281">
        <f t="shared" si="105"/>
        <v>2229.12</v>
      </c>
      <c r="N332" s="808"/>
      <c r="O332" s="260">
        <f t="shared" si="101"/>
        <v>0</v>
      </c>
      <c r="P332" s="260">
        <f t="shared" si="101"/>
        <v>0</v>
      </c>
      <c r="Q332" s="260"/>
      <c r="R332" s="260"/>
    </row>
    <row r="333" spans="1:18" ht="19.95" customHeight="1" outlineLevel="1">
      <c r="A333" s="293" t="s">
        <v>662</v>
      </c>
      <c r="B333" s="318" t="s">
        <v>1287</v>
      </c>
      <c r="C333" s="294" t="s">
        <v>1288</v>
      </c>
      <c r="D333" s="292" t="s">
        <v>877</v>
      </c>
      <c r="E333" s="304">
        <v>13.38</v>
      </c>
      <c r="F333" s="305">
        <v>1</v>
      </c>
      <c r="G333" s="281">
        <f t="shared" si="102"/>
        <v>13.38</v>
      </c>
      <c r="H333" s="306">
        <v>1</v>
      </c>
      <c r="I333" s="281">
        <f t="shared" si="103"/>
        <v>13.38</v>
      </c>
      <c r="J333" s="297">
        <f>VLOOKUP(A333,'12 - CORPO'!$A$1:$R$5122,18,FALSE)</f>
        <v>0</v>
      </c>
      <c r="K333" s="307">
        <f t="shared" si="92"/>
        <v>0</v>
      </c>
      <c r="L333" s="306">
        <f t="shared" si="104"/>
        <v>1</v>
      </c>
      <c r="M333" s="281">
        <f t="shared" si="105"/>
        <v>13.38</v>
      </c>
      <c r="N333" s="808"/>
      <c r="O333" s="260">
        <f t="shared" si="101"/>
        <v>0</v>
      </c>
      <c r="P333" s="260">
        <f t="shared" si="101"/>
        <v>0</v>
      </c>
      <c r="Q333" s="260"/>
      <c r="R333" s="260"/>
    </row>
    <row r="334" spans="1:18" outlineLevel="1">
      <c r="A334" s="293" t="s">
        <v>663</v>
      </c>
      <c r="B334" s="318" t="s">
        <v>1289</v>
      </c>
      <c r="C334" s="294" t="s">
        <v>1290</v>
      </c>
      <c r="D334" s="292" t="s">
        <v>809</v>
      </c>
      <c r="E334" s="304">
        <v>305.95</v>
      </c>
      <c r="F334" s="305">
        <v>6</v>
      </c>
      <c r="G334" s="281">
        <f t="shared" si="102"/>
        <v>1835.7</v>
      </c>
      <c r="H334" s="306">
        <v>6</v>
      </c>
      <c r="I334" s="281">
        <f t="shared" si="103"/>
        <v>1835.7</v>
      </c>
      <c r="J334" s="297">
        <f>VLOOKUP(A334,'12 - CORPO'!$A$1:$R$5122,18,FALSE)</f>
        <v>0</v>
      </c>
      <c r="K334" s="307">
        <f t="shared" si="92"/>
        <v>0</v>
      </c>
      <c r="L334" s="306">
        <f t="shared" si="104"/>
        <v>6</v>
      </c>
      <c r="M334" s="281">
        <f t="shared" si="105"/>
        <v>1835.7</v>
      </c>
      <c r="N334" s="808"/>
      <c r="O334" s="260">
        <f t="shared" si="101"/>
        <v>0</v>
      </c>
      <c r="P334" s="260">
        <f t="shared" si="101"/>
        <v>0</v>
      </c>
      <c r="Q334" s="260"/>
      <c r="R334" s="260"/>
    </row>
    <row r="335" spans="1:18" ht="19.95" customHeight="1" outlineLevel="1">
      <c r="A335" s="317" t="s">
        <v>664</v>
      </c>
      <c r="B335" s="319" t="s">
        <v>1291</v>
      </c>
      <c r="C335" s="273" t="s">
        <v>1292</v>
      </c>
      <c r="D335" s="292" t="s">
        <v>816</v>
      </c>
      <c r="E335" s="279">
        <v>424.7</v>
      </c>
      <c r="F335" s="280">
        <v>1</v>
      </c>
      <c r="G335" s="281">
        <f t="shared" si="102"/>
        <v>424.7</v>
      </c>
      <c r="H335" s="282">
        <v>1</v>
      </c>
      <c r="I335" s="281">
        <f t="shared" si="103"/>
        <v>424.7</v>
      </c>
      <c r="J335" s="277">
        <f>VLOOKUP(A335,'12 - CORPO'!$A$1:$R$5122,18,FALSE)</f>
        <v>0</v>
      </c>
      <c r="K335" s="278">
        <f t="shared" si="92"/>
        <v>0</v>
      </c>
      <c r="L335" s="282">
        <f t="shared" si="104"/>
        <v>1</v>
      </c>
      <c r="M335" s="281">
        <f t="shared" si="105"/>
        <v>424.7</v>
      </c>
      <c r="N335" s="808"/>
      <c r="O335" s="260">
        <f t="shared" si="101"/>
        <v>0</v>
      </c>
      <c r="P335" s="260">
        <f t="shared" si="101"/>
        <v>0</v>
      </c>
      <c r="Q335" s="260"/>
      <c r="R335" s="260"/>
    </row>
    <row r="336" spans="1:18" ht="19.95" customHeight="1" outlineLevel="1">
      <c r="A336" s="293" t="s">
        <v>665</v>
      </c>
      <c r="B336" s="318" t="s">
        <v>1270</v>
      </c>
      <c r="C336" s="294" t="s">
        <v>1271</v>
      </c>
      <c r="D336" s="292" t="s">
        <v>816</v>
      </c>
      <c r="E336" s="304">
        <v>128.36000000000001</v>
      </c>
      <c r="F336" s="305">
        <v>2</v>
      </c>
      <c r="G336" s="281">
        <f t="shared" si="102"/>
        <v>256.72000000000003</v>
      </c>
      <c r="H336" s="306">
        <v>2</v>
      </c>
      <c r="I336" s="281">
        <f t="shared" si="103"/>
        <v>256.72000000000003</v>
      </c>
      <c r="J336" s="297">
        <f>VLOOKUP(A336,'12 - CORPO'!$A$1:$R$5122,18,FALSE)</f>
        <v>0</v>
      </c>
      <c r="K336" s="307">
        <f t="shared" si="92"/>
        <v>0</v>
      </c>
      <c r="L336" s="306">
        <f t="shared" si="104"/>
        <v>2</v>
      </c>
      <c r="M336" s="281">
        <f t="shared" si="105"/>
        <v>256.72000000000003</v>
      </c>
      <c r="N336" s="808"/>
      <c r="O336" s="260">
        <f t="shared" si="101"/>
        <v>0</v>
      </c>
      <c r="P336" s="260">
        <f t="shared" si="101"/>
        <v>0</v>
      </c>
      <c r="Q336" s="260"/>
      <c r="R336" s="260"/>
    </row>
    <row r="337" spans="1:18" ht="19.95" customHeight="1" outlineLevel="1">
      <c r="A337" s="293" t="s">
        <v>666</v>
      </c>
      <c r="B337" s="318" t="s">
        <v>1272</v>
      </c>
      <c r="C337" s="294" t="s">
        <v>1273</v>
      </c>
      <c r="D337" s="292" t="s">
        <v>816</v>
      </c>
      <c r="E337" s="304">
        <v>46.24</v>
      </c>
      <c r="F337" s="305">
        <v>2</v>
      </c>
      <c r="G337" s="281">
        <f t="shared" si="102"/>
        <v>92.48</v>
      </c>
      <c r="H337" s="306">
        <v>2</v>
      </c>
      <c r="I337" s="281">
        <f t="shared" si="103"/>
        <v>92.48</v>
      </c>
      <c r="J337" s="297">
        <f>VLOOKUP(A337,'12 - CORPO'!$A$1:$R$5122,18,FALSE)</f>
        <v>0</v>
      </c>
      <c r="K337" s="307">
        <f t="shared" si="92"/>
        <v>0</v>
      </c>
      <c r="L337" s="306">
        <f t="shared" si="104"/>
        <v>2</v>
      </c>
      <c r="M337" s="281">
        <f t="shared" si="105"/>
        <v>92.48</v>
      </c>
      <c r="N337" s="808"/>
      <c r="O337" s="260">
        <f t="shared" si="101"/>
        <v>0</v>
      </c>
      <c r="P337" s="260">
        <f t="shared" si="101"/>
        <v>0</v>
      </c>
      <c r="Q337" s="260"/>
      <c r="R337" s="260"/>
    </row>
    <row r="338" spans="1:18" ht="26.4" outlineLevel="1">
      <c r="A338" s="317" t="s">
        <v>667</v>
      </c>
      <c r="B338" s="319" t="s">
        <v>1293</v>
      </c>
      <c r="C338" s="273" t="s">
        <v>1294</v>
      </c>
      <c r="D338" s="292" t="s">
        <v>809</v>
      </c>
      <c r="E338" s="279">
        <v>27.14</v>
      </c>
      <c r="F338" s="280">
        <v>5</v>
      </c>
      <c r="G338" s="281">
        <f t="shared" si="102"/>
        <v>135.69999999999999</v>
      </c>
      <c r="H338" s="282">
        <v>5</v>
      </c>
      <c r="I338" s="281">
        <f t="shared" si="103"/>
        <v>135.69999999999999</v>
      </c>
      <c r="J338" s="277">
        <f>VLOOKUP(A338,'12 - CORPO'!$A$1:$R$5122,18,FALSE)</f>
        <v>0</v>
      </c>
      <c r="K338" s="278">
        <f t="shared" si="92"/>
        <v>0</v>
      </c>
      <c r="L338" s="282">
        <f t="shared" si="104"/>
        <v>5</v>
      </c>
      <c r="M338" s="281">
        <f t="shared" si="105"/>
        <v>135.69999999999999</v>
      </c>
      <c r="N338" s="808"/>
      <c r="O338" s="260">
        <f t="shared" si="101"/>
        <v>0</v>
      </c>
      <c r="P338" s="260">
        <f t="shared" si="101"/>
        <v>0</v>
      </c>
      <c r="Q338" s="260"/>
      <c r="R338" s="260"/>
    </row>
    <row r="339" spans="1:18" ht="19.95" customHeight="1" outlineLevel="1">
      <c r="A339" s="681" t="s">
        <v>668</v>
      </c>
      <c r="B339" s="682" t="s">
        <v>1295</v>
      </c>
      <c r="C339" s="683" t="s">
        <v>1296</v>
      </c>
      <c r="D339" s="664" t="s">
        <v>1297</v>
      </c>
      <c r="E339" s="684">
        <v>173.4</v>
      </c>
      <c r="F339" s="685">
        <v>3</v>
      </c>
      <c r="G339" s="667">
        <f t="shared" si="102"/>
        <v>520.20000000000005</v>
      </c>
      <c r="H339" s="686">
        <v>3</v>
      </c>
      <c r="I339" s="667">
        <f t="shared" si="103"/>
        <v>520.20000000000005</v>
      </c>
      <c r="J339" s="687">
        <f>VLOOKUP(A339,'12 - CORPO'!$A$1:$R$5122,18,FALSE)</f>
        <v>0</v>
      </c>
      <c r="K339" s="688">
        <f t="shared" si="92"/>
        <v>0</v>
      </c>
      <c r="L339" s="686">
        <f t="shared" si="104"/>
        <v>3</v>
      </c>
      <c r="M339" s="667">
        <f t="shared" si="105"/>
        <v>520.20000000000005</v>
      </c>
      <c r="N339" s="808"/>
      <c r="O339" s="260">
        <f t="shared" si="101"/>
        <v>0</v>
      </c>
      <c r="P339" s="260">
        <f t="shared" si="101"/>
        <v>0</v>
      </c>
      <c r="Q339" s="260"/>
      <c r="R339" s="260"/>
    </row>
    <row r="340" spans="1:18" outlineLevel="1">
      <c r="A340" s="598" t="s">
        <v>669</v>
      </c>
      <c r="B340" s="599" t="s">
        <v>1298</v>
      </c>
      <c r="C340" s="600" t="s">
        <v>1299</v>
      </c>
      <c r="D340" s="601" t="s">
        <v>821</v>
      </c>
      <c r="E340" s="671">
        <v>413.23</v>
      </c>
      <c r="F340" s="672">
        <v>0.01</v>
      </c>
      <c r="G340" s="673">
        <f t="shared" si="102"/>
        <v>4.13</v>
      </c>
      <c r="H340" s="674">
        <v>0.01</v>
      </c>
      <c r="I340" s="673">
        <f t="shared" si="103"/>
        <v>4.13</v>
      </c>
      <c r="J340" s="604">
        <f>VLOOKUP(A340,'12 - CORPO'!$A$1:$R$5122,18,FALSE)</f>
        <v>0</v>
      </c>
      <c r="K340" s="675">
        <f t="shared" si="92"/>
        <v>0</v>
      </c>
      <c r="L340" s="674">
        <f t="shared" si="104"/>
        <v>0.01</v>
      </c>
      <c r="M340" s="673">
        <f t="shared" si="105"/>
        <v>4.13</v>
      </c>
      <c r="N340" s="808"/>
      <c r="O340" s="260">
        <f t="shared" si="101"/>
        <v>0</v>
      </c>
      <c r="P340" s="260">
        <f t="shared" si="101"/>
        <v>0</v>
      </c>
      <c r="Q340" s="260"/>
      <c r="R340" s="260"/>
    </row>
    <row r="341" spans="1:18" ht="19.95" customHeight="1" outlineLevel="1">
      <c r="A341" s="293" t="s">
        <v>670</v>
      </c>
      <c r="B341" s="318" t="s">
        <v>1300</v>
      </c>
      <c r="C341" s="294" t="s">
        <v>1301</v>
      </c>
      <c r="D341" s="292" t="s">
        <v>816</v>
      </c>
      <c r="E341" s="304">
        <v>1925.06</v>
      </c>
      <c r="F341" s="305">
        <v>1</v>
      </c>
      <c r="G341" s="281">
        <f t="shared" si="102"/>
        <v>1925.06</v>
      </c>
      <c r="H341" s="306">
        <v>1</v>
      </c>
      <c r="I341" s="281">
        <f t="shared" si="103"/>
        <v>1925.06</v>
      </c>
      <c r="J341" s="297">
        <f>VLOOKUP(A341,'12 - CORPO'!$A$1:$R$5122,18,FALSE)</f>
        <v>0</v>
      </c>
      <c r="K341" s="307">
        <f t="shared" si="92"/>
        <v>0</v>
      </c>
      <c r="L341" s="306">
        <f t="shared" si="104"/>
        <v>1</v>
      </c>
      <c r="M341" s="281">
        <f t="shared" si="105"/>
        <v>1925.06</v>
      </c>
      <c r="N341" s="808"/>
      <c r="O341" s="260">
        <f t="shared" si="101"/>
        <v>0</v>
      </c>
      <c r="P341" s="260">
        <f t="shared" si="101"/>
        <v>0</v>
      </c>
      <c r="Q341" s="260"/>
      <c r="R341" s="260"/>
    </row>
    <row r="342" spans="1:18" ht="39.6" outlineLevel="1">
      <c r="A342" s="317" t="s">
        <v>671</v>
      </c>
      <c r="B342" s="319" t="s">
        <v>1302</v>
      </c>
      <c r="C342" s="273" t="s">
        <v>1303</v>
      </c>
      <c r="D342" s="292" t="s">
        <v>816</v>
      </c>
      <c r="E342" s="279">
        <v>788.9</v>
      </c>
      <c r="F342" s="280">
        <v>1</v>
      </c>
      <c r="G342" s="281">
        <f t="shared" si="102"/>
        <v>788.9</v>
      </c>
      <c r="H342" s="282">
        <v>1</v>
      </c>
      <c r="I342" s="281">
        <f t="shared" si="103"/>
        <v>788.9</v>
      </c>
      <c r="J342" s="277">
        <f>VLOOKUP(A342,'12 - CORPO'!$A$1:$R$5122,18,FALSE)</f>
        <v>0</v>
      </c>
      <c r="K342" s="278">
        <f t="shared" si="92"/>
        <v>0</v>
      </c>
      <c r="L342" s="282">
        <f t="shared" si="104"/>
        <v>1</v>
      </c>
      <c r="M342" s="281">
        <f t="shared" si="105"/>
        <v>788.9</v>
      </c>
      <c r="N342" s="808"/>
      <c r="O342" s="260">
        <f t="shared" si="101"/>
        <v>0</v>
      </c>
      <c r="P342" s="260">
        <f t="shared" si="101"/>
        <v>0</v>
      </c>
      <c r="Q342" s="260"/>
      <c r="R342" s="260"/>
    </row>
    <row r="343" spans="1:18" ht="19.95" customHeight="1">
      <c r="A343" s="1320" t="s">
        <v>672</v>
      </c>
      <c r="B343" s="1321" t="s">
        <v>1304</v>
      </c>
      <c r="C343" s="1322" t="s">
        <v>150</v>
      </c>
      <c r="D343" s="1322"/>
      <c r="E343" s="1322"/>
      <c r="F343" s="1322"/>
      <c r="G343" s="1323">
        <f>SUBTOTAL(9,G344:G365)</f>
        <v>52761.429999999986</v>
      </c>
      <c r="H343" s="1322"/>
      <c r="I343" s="1323">
        <f>SUBTOTAL(9,I344:I365)</f>
        <v>52133.349999999984</v>
      </c>
      <c r="J343" s="1322"/>
      <c r="K343" s="1323">
        <f>SUBTOTAL(9,K344:K365)</f>
        <v>0</v>
      </c>
      <c r="L343" s="1322"/>
      <c r="M343" s="1324">
        <f>SUBTOTAL(9,M344:M365)</f>
        <v>52133.349999999984</v>
      </c>
      <c r="N343" s="811"/>
      <c r="O343" s="260">
        <f t="shared" si="101"/>
        <v>0</v>
      </c>
      <c r="P343" s="260"/>
      <c r="Q343" s="262"/>
      <c r="R343" s="262"/>
    </row>
    <row r="344" spans="1:18" ht="26.4" outlineLevel="1">
      <c r="A344" s="293" t="s">
        <v>673</v>
      </c>
      <c r="B344" s="318" t="s">
        <v>1293</v>
      </c>
      <c r="C344" s="294" t="s">
        <v>1305</v>
      </c>
      <c r="D344" s="292" t="s">
        <v>809</v>
      </c>
      <c r="E344" s="304">
        <v>27.14</v>
      </c>
      <c r="F344" s="305">
        <v>148</v>
      </c>
      <c r="G344" s="281">
        <f t="shared" si="102"/>
        <v>4016.72</v>
      </c>
      <c r="H344" s="306">
        <v>148</v>
      </c>
      <c r="I344" s="281">
        <f t="shared" si="103"/>
        <v>4016.72</v>
      </c>
      <c r="J344" s="297">
        <f>VLOOKUP(A344,'12 - CORPO'!$A$1:$R$5122,18,FALSE)</f>
        <v>0</v>
      </c>
      <c r="K344" s="307">
        <f t="shared" si="92"/>
        <v>0</v>
      </c>
      <c r="L344" s="306">
        <f t="shared" si="104"/>
        <v>148</v>
      </c>
      <c r="M344" s="281">
        <f t="shared" si="105"/>
        <v>4016.72</v>
      </c>
      <c r="N344" s="808"/>
      <c r="O344" s="260">
        <f t="shared" si="101"/>
        <v>0</v>
      </c>
      <c r="P344" s="260">
        <f t="shared" si="101"/>
        <v>0</v>
      </c>
      <c r="Q344" s="260"/>
      <c r="R344" s="260"/>
    </row>
    <row r="345" spans="1:18" ht="26.4" outlineLevel="1">
      <c r="A345" s="293" t="s">
        <v>674</v>
      </c>
      <c r="B345" s="318" t="s">
        <v>1306</v>
      </c>
      <c r="C345" s="294" t="s">
        <v>1307</v>
      </c>
      <c r="D345" s="292" t="s">
        <v>809</v>
      </c>
      <c r="E345" s="304">
        <v>36.18</v>
      </c>
      <c r="F345" s="305">
        <v>611</v>
      </c>
      <c r="G345" s="281">
        <f t="shared" si="102"/>
        <v>22105.98</v>
      </c>
      <c r="H345" s="306">
        <v>611</v>
      </c>
      <c r="I345" s="281">
        <f t="shared" si="103"/>
        <v>22105.98</v>
      </c>
      <c r="J345" s="297">
        <f>VLOOKUP(A345,'12 - CORPO'!$A$1:$R$5122,18,FALSE)</f>
        <v>0</v>
      </c>
      <c r="K345" s="307">
        <f t="shared" si="92"/>
        <v>0</v>
      </c>
      <c r="L345" s="306">
        <f t="shared" si="104"/>
        <v>611</v>
      </c>
      <c r="M345" s="281">
        <f t="shared" si="105"/>
        <v>22105.98</v>
      </c>
      <c r="N345" s="808"/>
      <c r="O345" s="260">
        <f t="shared" si="101"/>
        <v>0</v>
      </c>
      <c r="P345" s="260">
        <f t="shared" si="101"/>
        <v>0</v>
      </c>
      <c r="Q345" s="260"/>
      <c r="R345" s="260"/>
    </row>
    <row r="346" spans="1:18" outlineLevel="1">
      <c r="A346" s="317" t="s">
        <v>675</v>
      </c>
      <c r="B346" s="319" t="s">
        <v>1308</v>
      </c>
      <c r="C346" s="273" t="s">
        <v>163</v>
      </c>
      <c r="D346" s="292" t="s">
        <v>816</v>
      </c>
      <c r="E346" s="279">
        <v>53.09</v>
      </c>
      <c r="F346" s="280">
        <v>7</v>
      </c>
      <c r="G346" s="281">
        <f t="shared" si="102"/>
        <v>371.63</v>
      </c>
      <c r="H346" s="282">
        <v>7</v>
      </c>
      <c r="I346" s="281">
        <f t="shared" si="103"/>
        <v>371.63</v>
      </c>
      <c r="J346" s="277">
        <f>VLOOKUP(A346,'12 - CORPO'!$A$1:$R$5122,18,FALSE)</f>
        <v>0</v>
      </c>
      <c r="K346" s="278">
        <f t="shared" si="92"/>
        <v>0</v>
      </c>
      <c r="L346" s="282">
        <f t="shared" si="104"/>
        <v>7</v>
      </c>
      <c r="M346" s="281">
        <f t="shared" si="105"/>
        <v>371.63</v>
      </c>
      <c r="N346" s="808"/>
      <c r="O346" s="260">
        <f t="shared" si="101"/>
        <v>0</v>
      </c>
      <c r="P346" s="260">
        <f t="shared" si="101"/>
        <v>0</v>
      </c>
      <c r="Q346" s="260"/>
      <c r="R346" s="260"/>
    </row>
    <row r="347" spans="1:18" ht="39.6" outlineLevel="1">
      <c r="A347" s="317" t="s">
        <v>676</v>
      </c>
      <c r="B347" s="319" t="s">
        <v>1309</v>
      </c>
      <c r="C347" s="273" t="s">
        <v>1310</v>
      </c>
      <c r="D347" s="292" t="s">
        <v>816</v>
      </c>
      <c r="E347" s="279">
        <v>54.48</v>
      </c>
      <c r="F347" s="280">
        <v>9</v>
      </c>
      <c r="G347" s="281">
        <f t="shared" si="102"/>
        <v>490.32</v>
      </c>
      <c r="H347" s="282">
        <v>9</v>
      </c>
      <c r="I347" s="281">
        <f t="shared" si="103"/>
        <v>490.32</v>
      </c>
      <c r="J347" s="277">
        <f>VLOOKUP(A347,'12 - CORPO'!$A$1:$R$5122,18,FALSE)</f>
        <v>0</v>
      </c>
      <c r="K347" s="278">
        <f t="shared" si="92"/>
        <v>0</v>
      </c>
      <c r="L347" s="282">
        <f t="shared" si="104"/>
        <v>9</v>
      </c>
      <c r="M347" s="281">
        <f t="shared" si="105"/>
        <v>490.32</v>
      </c>
      <c r="N347" s="808"/>
      <c r="O347" s="260">
        <f t="shared" si="101"/>
        <v>0</v>
      </c>
      <c r="P347" s="260">
        <f t="shared" si="101"/>
        <v>0</v>
      </c>
      <c r="Q347" s="260"/>
      <c r="R347" s="260"/>
    </row>
    <row r="348" spans="1:18" ht="19.95" customHeight="1" outlineLevel="1">
      <c r="A348" s="293" t="s">
        <v>677</v>
      </c>
      <c r="B348" s="318" t="s">
        <v>1309</v>
      </c>
      <c r="C348" s="294" t="s">
        <v>1311</v>
      </c>
      <c r="D348" s="292" t="s">
        <v>816</v>
      </c>
      <c r="E348" s="304">
        <v>54.48</v>
      </c>
      <c r="F348" s="305">
        <v>87</v>
      </c>
      <c r="G348" s="281">
        <f t="shared" si="102"/>
        <v>4739.76</v>
      </c>
      <c r="H348" s="306">
        <v>87</v>
      </c>
      <c r="I348" s="281">
        <f t="shared" si="103"/>
        <v>4739.76</v>
      </c>
      <c r="J348" s="297">
        <f>VLOOKUP(A348,'12 - CORPO'!$A$1:$R$5122,18,FALSE)</f>
        <v>0</v>
      </c>
      <c r="K348" s="307">
        <f t="shared" si="92"/>
        <v>0</v>
      </c>
      <c r="L348" s="306">
        <f t="shared" si="104"/>
        <v>87</v>
      </c>
      <c r="M348" s="281">
        <f t="shared" si="105"/>
        <v>4739.76</v>
      </c>
      <c r="N348" s="808"/>
      <c r="O348" s="260">
        <f t="shared" si="101"/>
        <v>0</v>
      </c>
      <c r="P348" s="260">
        <f t="shared" si="101"/>
        <v>0</v>
      </c>
      <c r="Q348" s="260"/>
      <c r="R348" s="260"/>
    </row>
    <row r="349" spans="1:18" ht="26.4" outlineLevel="1">
      <c r="A349" s="293" t="s">
        <v>678</v>
      </c>
      <c r="B349" s="318" t="s">
        <v>1312</v>
      </c>
      <c r="C349" s="294" t="s">
        <v>1313</v>
      </c>
      <c r="D349" s="292" t="s">
        <v>816</v>
      </c>
      <c r="E349" s="304">
        <v>22.66</v>
      </c>
      <c r="F349" s="305">
        <v>45</v>
      </c>
      <c r="G349" s="281">
        <f t="shared" si="102"/>
        <v>1019.7</v>
      </c>
      <c r="H349" s="306">
        <v>45</v>
      </c>
      <c r="I349" s="281">
        <f t="shared" si="103"/>
        <v>1019.7</v>
      </c>
      <c r="J349" s="297">
        <f>VLOOKUP(A349,'12 - CORPO'!$A$1:$R$5122,18,FALSE)</f>
        <v>0</v>
      </c>
      <c r="K349" s="307">
        <f t="shared" si="92"/>
        <v>0</v>
      </c>
      <c r="L349" s="306">
        <f t="shared" si="104"/>
        <v>45</v>
      </c>
      <c r="M349" s="281">
        <f t="shared" si="105"/>
        <v>1019.7</v>
      </c>
      <c r="N349" s="808"/>
      <c r="O349" s="260">
        <f t="shared" si="101"/>
        <v>0</v>
      </c>
      <c r="P349" s="260">
        <f t="shared" si="101"/>
        <v>0</v>
      </c>
      <c r="Q349" s="260"/>
      <c r="R349" s="260"/>
    </row>
    <row r="350" spans="1:18" ht="26.4" outlineLevel="1">
      <c r="A350" s="317" t="s">
        <v>679</v>
      </c>
      <c r="B350" s="319" t="s">
        <v>1263</v>
      </c>
      <c r="C350" s="273" t="s">
        <v>1264</v>
      </c>
      <c r="D350" s="292" t="s">
        <v>816</v>
      </c>
      <c r="E350" s="279">
        <v>32.58</v>
      </c>
      <c r="F350" s="280">
        <v>30</v>
      </c>
      <c r="G350" s="281">
        <f t="shared" si="102"/>
        <v>977.4</v>
      </c>
      <c r="H350" s="282">
        <v>30</v>
      </c>
      <c r="I350" s="281">
        <f t="shared" si="103"/>
        <v>977.4</v>
      </c>
      <c r="J350" s="277">
        <f>VLOOKUP(A350,'12 - CORPO'!$A$1:$R$5122,18,FALSE)</f>
        <v>0</v>
      </c>
      <c r="K350" s="278">
        <f t="shared" ref="K350:K365" si="106">M350-I350</f>
        <v>0</v>
      </c>
      <c r="L350" s="282">
        <f t="shared" si="104"/>
        <v>30</v>
      </c>
      <c r="M350" s="281">
        <f t="shared" si="105"/>
        <v>977.4</v>
      </c>
      <c r="N350" s="808"/>
      <c r="O350" s="260">
        <f t="shared" si="101"/>
        <v>0</v>
      </c>
      <c r="P350" s="260">
        <f t="shared" si="101"/>
        <v>0</v>
      </c>
      <c r="Q350" s="260"/>
      <c r="R350" s="260"/>
    </row>
    <row r="351" spans="1:18" ht="26.4" outlineLevel="1">
      <c r="A351" s="293" t="s">
        <v>680</v>
      </c>
      <c r="B351" s="318" t="s">
        <v>1314</v>
      </c>
      <c r="C351" s="294" t="s">
        <v>1315</v>
      </c>
      <c r="D351" s="292" t="s">
        <v>816</v>
      </c>
      <c r="E351" s="304">
        <v>7.83</v>
      </c>
      <c r="F351" s="305">
        <v>24</v>
      </c>
      <c r="G351" s="281">
        <f t="shared" si="102"/>
        <v>187.92</v>
      </c>
      <c r="H351" s="306">
        <v>24</v>
      </c>
      <c r="I351" s="281">
        <f t="shared" si="103"/>
        <v>187.92</v>
      </c>
      <c r="J351" s="297">
        <f>VLOOKUP(A351,'12 - CORPO'!$A$1:$R$5122,18,FALSE)</f>
        <v>0</v>
      </c>
      <c r="K351" s="307">
        <f t="shared" si="106"/>
        <v>0</v>
      </c>
      <c r="L351" s="306">
        <f t="shared" si="104"/>
        <v>24</v>
      </c>
      <c r="M351" s="281">
        <f t="shared" si="105"/>
        <v>187.92</v>
      </c>
      <c r="N351" s="808"/>
      <c r="O351" s="260">
        <f t="shared" si="101"/>
        <v>0</v>
      </c>
      <c r="P351" s="260">
        <f t="shared" si="101"/>
        <v>0</v>
      </c>
      <c r="Q351" s="260"/>
      <c r="R351" s="260"/>
    </row>
    <row r="352" spans="1:18" ht="39.6" outlineLevel="1">
      <c r="A352" s="293" t="s">
        <v>681</v>
      </c>
      <c r="B352" s="318" t="s">
        <v>1265</v>
      </c>
      <c r="C352" s="294" t="s">
        <v>1316</v>
      </c>
      <c r="D352" s="292" t="s">
        <v>816</v>
      </c>
      <c r="E352" s="304">
        <v>62.75</v>
      </c>
      <c r="F352" s="305">
        <v>47</v>
      </c>
      <c r="G352" s="281">
        <f t="shared" si="102"/>
        <v>2949.25</v>
      </c>
      <c r="H352" s="306">
        <v>47</v>
      </c>
      <c r="I352" s="281">
        <f t="shared" si="103"/>
        <v>2949.25</v>
      </c>
      <c r="J352" s="297">
        <f>VLOOKUP(A352,'12 - CORPO'!$A$1:$R$5122,18,FALSE)</f>
        <v>0</v>
      </c>
      <c r="K352" s="307">
        <f t="shared" si="106"/>
        <v>0</v>
      </c>
      <c r="L352" s="306">
        <f t="shared" si="104"/>
        <v>47</v>
      </c>
      <c r="M352" s="281">
        <f t="shared" si="105"/>
        <v>2949.25</v>
      </c>
      <c r="N352" s="808"/>
      <c r="O352" s="260">
        <f t="shared" si="101"/>
        <v>0</v>
      </c>
      <c r="P352" s="260">
        <f t="shared" si="101"/>
        <v>0</v>
      </c>
      <c r="Q352" s="260"/>
      <c r="R352" s="260"/>
    </row>
    <row r="353" spans="1:18" outlineLevel="1">
      <c r="A353" s="317" t="s">
        <v>682</v>
      </c>
      <c r="B353" s="319" t="s">
        <v>1317</v>
      </c>
      <c r="C353" s="273" t="s">
        <v>1318</v>
      </c>
      <c r="D353" s="292" t="s">
        <v>1297</v>
      </c>
      <c r="E353" s="279">
        <v>78.510000000000005</v>
      </c>
      <c r="F353" s="280">
        <v>8</v>
      </c>
      <c r="G353" s="281">
        <f t="shared" si="102"/>
        <v>628.08000000000004</v>
      </c>
      <c r="H353" s="282">
        <v>0</v>
      </c>
      <c r="I353" s="281">
        <f t="shared" si="103"/>
        <v>0</v>
      </c>
      <c r="J353" s="277">
        <f>VLOOKUP(A353,'12 - CORPO'!$A$1:$R$5122,18,FALSE)</f>
        <v>0</v>
      </c>
      <c r="K353" s="278">
        <f t="shared" si="106"/>
        <v>0</v>
      </c>
      <c r="L353" s="282">
        <f t="shared" si="104"/>
        <v>0</v>
      </c>
      <c r="M353" s="281">
        <f t="shared" si="105"/>
        <v>0</v>
      </c>
      <c r="N353" s="808"/>
      <c r="O353" s="260">
        <f t="shared" si="101"/>
        <v>8</v>
      </c>
      <c r="P353" s="260">
        <f t="shared" si="101"/>
        <v>628.08000000000004</v>
      </c>
      <c r="Q353" s="260"/>
      <c r="R353" s="260"/>
    </row>
    <row r="354" spans="1:18" ht="39.6" outlineLevel="1">
      <c r="A354" s="293" t="s">
        <v>683</v>
      </c>
      <c r="B354" s="318" t="s">
        <v>1309</v>
      </c>
      <c r="C354" s="294" t="s">
        <v>1310</v>
      </c>
      <c r="D354" s="292" t="s">
        <v>816</v>
      </c>
      <c r="E354" s="304">
        <v>54.48</v>
      </c>
      <c r="F354" s="305">
        <v>8</v>
      </c>
      <c r="G354" s="281">
        <f t="shared" si="102"/>
        <v>435.84</v>
      </c>
      <c r="H354" s="306">
        <v>8</v>
      </c>
      <c r="I354" s="281">
        <f t="shared" si="103"/>
        <v>435.84</v>
      </c>
      <c r="J354" s="297">
        <f>VLOOKUP(A354,'12 - CORPO'!$A$1:$R$5122,18,FALSE)</f>
        <v>0</v>
      </c>
      <c r="K354" s="307">
        <f t="shared" si="106"/>
        <v>0</v>
      </c>
      <c r="L354" s="306">
        <f t="shared" si="104"/>
        <v>8</v>
      </c>
      <c r="M354" s="281">
        <f t="shared" si="105"/>
        <v>435.84</v>
      </c>
      <c r="N354" s="808"/>
      <c r="O354" s="260">
        <f t="shared" si="101"/>
        <v>0</v>
      </c>
      <c r="P354" s="260">
        <f t="shared" si="101"/>
        <v>0</v>
      </c>
      <c r="Q354" s="260"/>
      <c r="R354" s="260"/>
    </row>
    <row r="355" spans="1:18" outlineLevel="1">
      <c r="A355" s="293" t="s">
        <v>684</v>
      </c>
      <c r="B355" s="318" t="s">
        <v>1319</v>
      </c>
      <c r="C355" s="294" t="s">
        <v>1320</v>
      </c>
      <c r="D355" s="292" t="s">
        <v>816</v>
      </c>
      <c r="E355" s="304">
        <v>12.07</v>
      </c>
      <c r="F355" s="305">
        <v>2</v>
      </c>
      <c r="G355" s="281">
        <f t="shared" si="102"/>
        <v>24.14</v>
      </c>
      <c r="H355" s="306">
        <v>2</v>
      </c>
      <c r="I355" s="281">
        <f t="shared" si="103"/>
        <v>24.14</v>
      </c>
      <c r="J355" s="297">
        <f>VLOOKUP(A355,'12 - CORPO'!$A$1:$R$5122,18,FALSE)</f>
        <v>0</v>
      </c>
      <c r="K355" s="307">
        <f t="shared" si="106"/>
        <v>0</v>
      </c>
      <c r="L355" s="306">
        <f t="shared" si="104"/>
        <v>2</v>
      </c>
      <c r="M355" s="281">
        <f t="shared" si="105"/>
        <v>24.14</v>
      </c>
      <c r="N355" s="808"/>
      <c r="O355" s="260">
        <f t="shared" si="101"/>
        <v>0</v>
      </c>
      <c r="P355" s="260">
        <f t="shared" si="101"/>
        <v>0</v>
      </c>
      <c r="Q355" s="260"/>
      <c r="R355" s="260"/>
    </row>
    <row r="356" spans="1:18" ht="19.95" customHeight="1" outlineLevel="1">
      <c r="A356" s="317" t="s">
        <v>685</v>
      </c>
      <c r="B356" s="319" t="s">
        <v>1321</v>
      </c>
      <c r="C356" s="273" t="s">
        <v>1322</v>
      </c>
      <c r="D356" s="292" t="s">
        <v>816</v>
      </c>
      <c r="E356" s="279">
        <v>22.77</v>
      </c>
      <c r="F356" s="280">
        <v>4</v>
      </c>
      <c r="G356" s="281">
        <f t="shared" si="102"/>
        <v>91.08</v>
      </c>
      <c r="H356" s="282">
        <v>4</v>
      </c>
      <c r="I356" s="281">
        <f t="shared" si="103"/>
        <v>91.08</v>
      </c>
      <c r="J356" s="277">
        <f>VLOOKUP(A356,'12 - CORPO'!$A$1:$R$5122,18,FALSE)</f>
        <v>0</v>
      </c>
      <c r="K356" s="278">
        <f t="shared" si="106"/>
        <v>0</v>
      </c>
      <c r="L356" s="282">
        <f t="shared" si="104"/>
        <v>4</v>
      </c>
      <c r="M356" s="281">
        <f t="shared" si="105"/>
        <v>91.08</v>
      </c>
      <c r="N356" s="808"/>
      <c r="O356" s="260">
        <f t="shared" si="101"/>
        <v>0</v>
      </c>
      <c r="P356" s="260">
        <f t="shared" si="101"/>
        <v>0</v>
      </c>
      <c r="Q356" s="260"/>
      <c r="R356" s="260"/>
    </row>
    <row r="357" spans="1:18" outlineLevel="1">
      <c r="A357" s="293" t="s">
        <v>686</v>
      </c>
      <c r="B357" s="318" t="s">
        <v>1323</v>
      </c>
      <c r="C357" s="294" t="s">
        <v>1324</v>
      </c>
      <c r="D357" s="292" t="s">
        <v>816</v>
      </c>
      <c r="E357" s="304">
        <v>1.89</v>
      </c>
      <c r="F357" s="305">
        <v>6</v>
      </c>
      <c r="G357" s="281">
        <f t="shared" si="102"/>
        <v>11.34</v>
      </c>
      <c r="H357" s="306">
        <v>6</v>
      </c>
      <c r="I357" s="281">
        <f t="shared" si="103"/>
        <v>11.34</v>
      </c>
      <c r="J357" s="297">
        <f>VLOOKUP(A357,'12 - CORPO'!$A$1:$R$5122,18,FALSE)</f>
        <v>0</v>
      </c>
      <c r="K357" s="307">
        <f t="shared" si="106"/>
        <v>0</v>
      </c>
      <c r="L357" s="306">
        <f t="shared" si="104"/>
        <v>6</v>
      </c>
      <c r="M357" s="281">
        <f t="shared" si="105"/>
        <v>11.34</v>
      </c>
      <c r="N357" s="808"/>
      <c r="O357" s="260">
        <f t="shared" si="101"/>
        <v>0</v>
      </c>
      <c r="P357" s="260">
        <f t="shared" si="101"/>
        <v>0</v>
      </c>
      <c r="Q357" s="260"/>
      <c r="R357" s="260"/>
    </row>
    <row r="358" spans="1:18" ht="26.4" outlineLevel="1">
      <c r="A358" s="293" t="s">
        <v>687</v>
      </c>
      <c r="B358" s="318" t="s">
        <v>1263</v>
      </c>
      <c r="C358" s="294" t="s">
        <v>1264</v>
      </c>
      <c r="D358" s="292" t="s">
        <v>816</v>
      </c>
      <c r="E358" s="304">
        <v>32.58</v>
      </c>
      <c r="F358" s="305">
        <v>30</v>
      </c>
      <c r="G358" s="281">
        <f t="shared" si="102"/>
        <v>977.4</v>
      </c>
      <c r="H358" s="306">
        <v>30</v>
      </c>
      <c r="I358" s="281">
        <f t="shared" si="103"/>
        <v>977.4</v>
      </c>
      <c r="J358" s="297">
        <f>VLOOKUP(A358,'12 - CORPO'!$A$1:$R$5122,18,FALSE)</f>
        <v>0</v>
      </c>
      <c r="K358" s="307">
        <f t="shared" si="106"/>
        <v>0</v>
      </c>
      <c r="L358" s="306">
        <f t="shared" si="104"/>
        <v>30</v>
      </c>
      <c r="M358" s="281">
        <f t="shared" si="105"/>
        <v>977.4</v>
      </c>
      <c r="N358" s="808"/>
      <c r="O358" s="260">
        <f t="shared" si="101"/>
        <v>0</v>
      </c>
      <c r="P358" s="260">
        <f t="shared" si="101"/>
        <v>0</v>
      </c>
      <c r="Q358" s="260"/>
      <c r="R358" s="260"/>
    </row>
    <row r="359" spans="1:18" ht="26.4" outlineLevel="1">
      <c r="A359" s="317" t="s">
        <v>688</v>
      </c>
      <c r="B359" s="319" t="s">
        <v>1267</v>
      </c>
      <c r="C359" s="273" t="s">
        <v>1325</v>
      </c>
      <c r="D359" s="292" t="s">
        <v>816</v>
      </c>
      <c r="E359" s="279">
        <v>92.85</v>
      </c>
      <c r="F359" s="280">
        <v>32</v>
      </c>
      <c r="G359" s="281">
        <f t="shared" si="102"/>
        <v>2971.2</v>
      </c>
      <c r="H359" s="282">
        <v>32</v>
      </c>
      <c r="I359" s="281">
        <f t="shared" si="103"/>
        <v>2971.2</v>
      </c>
      <c r="J359" s="277">
        <f>VLOOKUP(A359,'12 - CORPO'!$A$1:$R$5122,18,FALSE)</f>
        <v>0</v>
      </c>
      <c r="K359" s="278">
        <f t="shared" si="106"/>
        <v>0</v>
      </c>
      <c r="L359" s="282">
        <f t="shared" si="104"/>
        <v>32</v>
      </c>
      <c r="M359" s="281">
        <f t="shared" si="105"/>
        <v>2971.2</v>
      </c>
      <c r="N359" s="808"/>
      <c r="O359" s="260">
        <f t="shared" si="101"/>
        <v>0</v>
      </c>
      <c r="P359" s="260">
        <f t="shared" si="101"/>
        <v>0</v>
      </c>
      <c r="Q359" s="260"/>
      <c r="R359" s="260"/>
    </row>
    <row r="360" spans="1:18" ht="26.4" outlineLevel="1">
      <c r="A360" s="317" t="s">
        <v>689</v>
      </c>
      <c r="B360" s="319" t="s">
        <v>1269</v>
      </c>
      <c r="C360" s="273" t="s">
        <v>164</v>
      </c>
      <c r="D360" s="292" t="s">
        <v>816</v>
      </c>
      <c r="E360" s="279">
        <v>127.08</v>
      </c>
      <c r="F360" s="280">
        <v>32</v>
      </c>
      <c r="G360" s="281">
        <f t="shared" si="102"/>
        <v>4066.56</v>
      </c>
      <c r="H360" s="282">
        <v>32</v>
      </c>
      <c r="I360" s="281">
        <f t="shared" si="103"/>
        <v>4066.56</v>
      </c>
      <c r="J360" s="277">
        <f>VLOOKUP(A360,'12 - CORPO'!$A$1:$R$5122,18,FALSE)</f>
        <v>0</v>
      </c>
      <c r="K360" s="278">
        <f t="shared" si="106"/>
        <v>0</v>
      </c>
      <c r="L360" s="282">
        <f t="shared" si="104"/>
        <v>32</v>
      </c>
      <c r="M360" s="281">
        <f t="shared" si="105"/>
        <v>4066.56</v>
      </c>
      <c r="N360" s="808"/>
      <c r="O360" s="260">
        <f t="shared" si="101"/>
        <v>0</v>
      </c>
      <c r="P360" s="260">
        <f t="shared" si="101"/>
        <v>0</v>
      </c>
      <c r="Q360" s="260"/>
      <c r="R360" s="260"/>
    </row>
    <row r="361" spans="1:18" ht="39.6" outlineLevel="1">
      <c r="A361" s="293" t="s">
        <v>690</v>
      </c>
      <c r="B361" s="318" t="s">
        <v>1326</v>
      </c>
      <c r="C361" s="294" t="s">
        <v>1327</v>
      </c>
      <c r="D361" s="292" t="s">
        <v>816</v>
      </c>
      <c r="E361" s="304">
        <v>212.71</v>
      </c>
      <c r="F361" s="305">
        <v>1</v>
      </c>
      <c r="G361" s="281">
        <f t="shared" si="102"/>
        <v>212.71</v>
      </c>
      <c r="H361" s="306">
        <v>1</v>
      </c>
      <c r="I361" s="281">
        <f t="shared" si="103"/>
        <v>212.71</v>
      </c>
      <c r="J361" s="297">
        <f>VLOOKUP(A361,'12 - CORPO'!$A$1:$R$5122,18,FALSE)</f>
        <v>0</v>
      </c>
      <c r="K361" s="307">
        <f t="shared" si="106"/>
        <v>0</v>
      </c>
      <c r="L361" s="306">
        <f t="shared" si="104"/>
        <v>1</v>
      </c>
      <c r="M361" s="281">
        <f t="shared" si="105"/>
        <v>212.71</v>
      </c>
      <c r="N361" s="808"/>
      <c r="O361" s="260">
        <f t="shared" si="101"/>
        <v>0</v>
      </c>
      <c r="P361" s="260">
        <f t="shared" si="101"/>
        <v>0</v>
      </c>
      <c r="Q361" s="260"/>
      <c r="R361" s="260"/>
    </row>
    <row r="362" spans="1:18" ht="39.6" outlineLevel="1">
      <c r="A362" s="293" t="s">
        <v>691</v>
      </c>
      <c r="B362" s="318" t="s">
        <v>1328</v>
      </c>
      <c r="C362" s="294" t="s">
        <v>1329</v>
      </c>
      <c r="D362" s="292" t="s">
        <v>816</v>
      </c>
      <c r="E362" s="304">
        <v>462.5</v>
      </c>
      <c r="F362" s="305">
        <v>1</v>
      </c>
      <c r="G362" s="281">
        <f t="shared" si="102"/>
        <v>462.5</v>
      </c>
      <c r="H362" s="306">
        <v>1</v>
      </c>
      <c r="I362" s="281">
        <f t="shared" ref="I362:I369" si="107">ROUND((E362*H362),2)</f>
        <v>462.5</v>
      </c>
      <c r="J362" s="297">
        <f>VLOOKUP(A362,'12 - CORPO'!$A$1:$R$5122,18,FALSE)</f>
        <v>0</v>
      </c>
      <c r="K362" s="307">
        <f t="shared" si="106"/>
        <v>0</v>
      </c>
      <c r="L362" s="306">
        <f t="shared" ref="L362:L369" si="108">(H362+J362)</f>
        <v>1</v>
      </c>
      <c r="M362" s="281">
        <f t="shared" ref="M362:M369" si="109">ROUND((E362*L362),2)</f>
        <v>462.5</v>
      </c>
      <c r="N362" s="808"/>
      <c r="O362" s="260">
        <f t="shared" si="101"/>
        <v>0</v>
      </c>
      <c r="P362" s="260">
        <f t="shared" si="101"/>
        <v>0</v>
      </c>
      <c r="Q362" s="260"/>
      <c r="R362" s="260"/>
    </row>
    <row r="363" spans="1:18" ht="19.95" customHeight="1" outlineLevel="1">
      <c r="A363" s="317" t="s">
        <v>692</v>
      </c>
      <c r="B363" s="319" t="s">
        <v>1270</v>
      </c>
      <c r="C363" s="273" t="s">
        <v>1271</v>
      </c>
      <c r="D363" s="292" t="s">
        <v>816</v>
      </c>
      <c r="E363" s="279">
        <v>128.36000000000001</v>
      </c>
      <c r="F363" s="280">
        <v>32</v>
      </c>
      <c r="G363" s="281">
        <f t="shared" si="102"/>
        <v>4107.5200000000004</v>
      </c>
      <c r="H363" s="282">
        <v>32</v>
      </c>
      <c r="I363" s="281">
        <f t="shared" si="107"/>
        <v>4107.5200000000004</v>
      </c>
      <c r="J363" s="277">
        <f>VLOOKUP(A363,'12 - CORPO'!$A$1:$R$5122,18,FALSE)</f>
        <v>0</v>
      </c>
      <c r="K363" s="278">
        <f t="shared" si="106"/>
        <v>0</v>
      </c>
      <c r="L363" s="282">
        <f t="shared" si="108"/>
        <v>32</v>
      </c>
      <c r="M363" s="281">
        <f t="shared" si="109"/>
        <v>4107.5200000000004</v>
      </c>
      <c r="N363" s="808"/>
      <c r="O363" s="260">
        <f t="shared" si="101"/>
        <v>0</v>
      </c>
      <c r="P363" s="260">
        <f t="shared" si="101"/>
        <v>0</v>
      </c>
      <c r="Q363" s="260"/>
      <c r="R363" s="260"/>
    </row>
    <row r="364" spans="1:18" ht="39.6" outlineLevel="1">
      <c r="A364" s="293" t="s">
        <v>693</v>
      </c>
      <c r="B364" s="318" t="s">
        <v>1272</v>
      </c>
      <c r="C364" s="294" t="s">
        <v>1273</v>
      </c>
      <c r="D364" s="292" t="s">
        <v>816</v>
      </c>
      <c r="E364" s="304">
        <v>46.24</v>
      </c>
      <c r="F364" s="305">
        <v>32</v>
      </c>
      <c r="G364" s="281">
        <f t="shared" si="102"/>
        <v>1479.68</v>
      </c>
      <c r="H364" s="306">
        <v>32</v>
      </c>
      <c r="I364" s="281">
        <f t="shared" si="107"/>
        <v>1479.68</v>
      </c>
      <c r="J364" s="297">
        <f>VLOOKUP(A364,'12 - CORPO'!$A$1:$R$5122,18,FALSE)</f>
        <v>0</v>
      </c>
      <c r="K364" s="307">
        <f t="shared" si="106"/>
        <v>0</v>
      </c>
      <c r="L364" s="306">
        <f t="shared" si="108"/>
        <v>32</v>
      </c>
      <c r="M364" s="281">
        <f t="shared" si="109"/>
        <v>1479.68</v>
      </c>
      <c r="N364" s="808"/>
      <c r="O364" s="260">
        <f t="shared" si="101"/>
        <v>0</v>
      </c>
      <c r="P364" s="260">
        <f t="shared" si="101"/>
        <v>0</v>
      </c>
      <c r="Q364" s="260"/>
      <c r="R364" s="260"/>
    </row>
    <row r="365" spans="1:18" outlineLevel="1">
      <c r="A365" s="661" t="s">
        <v>694</v>
      </c>
      <c r="B365" s="662" t="s">
        <v>1199</v>
      </c>
      <c r="C365" s="663" t="s">
        <v>1200</v>
      </c>
      <c r="D365" s="664" t="s">
        <v>809</v>
      </c>
      <c r="E365" s="665">
        <v>24.15</v>
      </c>
      <c r="F365" s="666">
        <v>18</v>
      </c>
      <c r="G365" s="667">
        <f t="shared" si="102"/>
        <v>434.7</v>
      </c>
      <c r="H365" s="668">
        <v>18</v>
      </c>
      <c r="I365" s="667">
        <f t="shared" si="107"/>
        <v>434.7</v>
      </c>
      <c r="J365" s="669">
        <f>VLOOKUP(A365,'12 - CORPO'!$A$1:$R$5122,18,FALSE)</f>
        <v>0</v>
      </c>
      <c r="K365" s="670">
        <f t="shared" si="106"/>
        <v>0</v>
      </c>
      <c r="L365" s="668">
        <f t="shared" si="108"/>
        <v>18</v>
      </c>
      <c r="M365" s="667">
        <f t="shared" si="109"/>
        <v>434.7</v>
      </c>
      <c r="N365" s="808"/>
      <c r="O365" s="260">
        <f t="shared" si="101"/>
        <v>0</v>
      </c>
      <c r="P365" s="260">
        <f t="shared" si="101"/>
        <v>0</v>
      </c>
      <c r="Q365" s="260"/>
      <c r="R365" s="260"/>
    </row>
    <row r="366" spans="1:18" ht="19.95" customHeight="1">
      <c r="A366" s="1320" t="s">
        <v>695</v>
      </c>
      <c r="B366" s="1447" t="s">
        <v>1330</v>
      </c>
      <c r="C366" s="1447"/>
      <c r="D366" s="1322"/>
      <c r="E366" s="1322"/>
      <c r="F366" s="1322"/>
      <c r="G366" s="1323">
        <f>SUBTOTAL(9,G367:G399)</f>
        <v>107512.19000000002</v>
      </c>
      <c r="H366" s="1322"/>
      <c r="I366" s="1323"/>
      <c r="J366" s="1322"/>
      <c r="K366" s="1322"/>
      <c r="L366" s="1322"/>
      <c r="M366" s="1324">
        <f>SUBTOTAL(9,M367:M399)</f>
        <v>107512.19000000002</v>
      </c>
      <c r="N366" s="811"/>
      <c r="O366" s="260">
        <f t="shared" si="101"/>
        <v>0</v>
      </c>
      <c r="P366" s="260">
        <f t="shared" si="101"/>
        <v>0</v>
      </c>
      <c r="Q366" s="262"/>
      <c r="R366" s="262"/>
    </row>
    <row r="367" spans="1:18" ht="26.4" outlineLevel="1">
      <c r="A367" s="317" t="s">
        <v>696</v>
      </c>
      <c r="B367" s="319" t="s">
        <v>1093</v>
      </c>
      <c r="C367" s="273" t="s">
        <v>1094</v>
      </c>
      <c r="D367" s="292" t="s">
        <v>809</v>
      </c>
      <c r="E367" s="279">
        <v>5.48</v>
      </c>
      <c r="F367" s="280">
        <v>1045</v>
      </c>
      <c r="G367" s="281">
        <f>ROUND(F367*E367,2)</f>
        <v>5726.6</v>
      </c>
      <c r="H367" s="282">
        <v>1045</v>
      </c>
      <c r="I367" s="281">
        <f t="shared" si="107"/>
        <v>5726.6</v>
      </c>
      <c r="J367" s="277">
        <f>VLOOKUP(A367,'12 - CORPO'!$A$1:$R$5122,18,FALSE)</f>
        <v>0</v>
      </c>
      <c r="K367" s="278">
        <f t="shared" ref="K367:K392" si="110">M367-I367</f>
        <v>0</v>
      </c>
      <c r="L367" s="282">
        <f t="shared" si="108"/>
        <v>1045</v>
      </c>
      <c r="M367" s="281">
        <f t="shared" si="109"/>
        <v>5726.6</v>
      </c>
      <c r="N367" s="808"/>
      <c r="O367" s="260">
        <f t="shared" si="101"/>
        <v>0</v>
      </c>
      <c r="P367" s="260">
        <f t="shared" si="101"/>
        <v>0</v>
      </c>
      <c r="Q367" s="260"/>
      <c r="R367" s="260"/>
    </row>
    <row r="368" spans="1:18" ht="26.4" outlineLevel="1">
      <c r="A368" s="317" t="s">
        <v>697</v>
      </c>
      <c r="B368" s="319" t="s">
        <v>1331</v>
      </c>
      <c r="C368" s="273" t="s">
        <v>1332</v>
      </c>
      <c r="D368" s="292" t="s">
        <v>1333</v>
      </c>
      <c r="E368" s="279">
        <v>121.81</v>
      </c>
      <c r="F368" s="280">
        <v>32</v>
      </c>
      <c r="G368" s="281">
        <f>ROUND(F368*E368,2)</f>
        <v>3897.92</v>
      </c>
      <c r="H368" s="282">
        <v>32</v>
      </c>
      <c r="I368" s="281">
        <f t="shared" si="107"/>
        <v>3897.92</v>
      </c>
      <c r="J368" s="277">
        <f>VLOOKUP(A368,'12 - CORPO'!$A$1:$R$5122,18,FALSE)</f>
        <v>0</v>
      </c>
      <c r="K368" s="278">
        <f t="shared" si="110"/>
        <v>0</v>
      </c>
      <c r="L368" s="282">
        <f t="shared" si="108"/>
        <v>32</v>
      </c>
      <c r="M368" s="281">
        <f t="shared" si="109"/>
        <v>3897.92</v>
      </c>
      <c r="N368" s="808"/>
      <c r="O368" s="260">
        <f t="shared" si="101"/>
        <v>0</v>
      </c>
      <c r="P368" s="260">
        <f t="shared" si="101"/>
        <v>0</v>
      </c>
      <c r="Q368" s="260"/>
      <c r="R368" s="260"/>
    </row>
    <row r="369" spans="1:18" ht="26.4" outlineLevel="1">
      <c r="A369" s="293" t="s">
        <v>698</v>
      </c>
      <c r="B369" s="318" t="s">
        <v>1334</v>
      </c>
      <c r="C369" s="294" t="s">
        <v>1335</v>
      </c>
      <c r="D369" s="292" t="s">
        <v>809</v>
      </c>
      <c r="E369" s="304">
        <v>8.5500000000000007</v>
      </c>
      <c r="F369" s="305">
        <v>120</v>
      </c>
      <c r="G369" s="281">
        <f>ROUND(F369*E369,2)</f>
        <v>1026</v>
      </c>
      <c r="H369" s="306">
        <v>120</v>
      </c>
      <c r="I369" s="281">
        <f t="shared" si="107"/>
        <v>1026</v>
      </c>
      <c r="J369" s="297">
        <f>VLOOKUP(A369,'12 - CORPO'!$A$1:$R$5122,18,FALSE)</f>
        <v>0</v>
      </c>
      <c r="K369" s="307">
        <f t="shared" si="110"/>
        <v>0</v>
      </c>
      <c r="L369" s="306">
        <f t="shared" si="108"/>
        <v>120</v>
      </c>
      <c r="M369" s="281">
        <f t="shared" si="109"/>
        <v>1026</v>
      </c>
      <c r="N369" s="808"/>
      <c r="O369" s="260">
        <f t="shared" si="101"/>
        <v>0</v>
      </c>
      <c r="P369" s="260">
        <f t="shared" si="101"/>
        <v>0</v>
      </c>
      <c r="Q369" s="260"/>
      <c r="R369" s="260"/>
    </row>
    <row r="370" spans="1:18" ht="26.4" outlineLevel="1">
      <c r="A370" s="293" t="s">
        <v>699</v>
      </c>
      <c r="B370" s="318" t="s">
        <v>1336</v>
      </c>
      <c r="C370" s="294" t="s">
        <v>1337</v>
      </c>
      <c r="D370" s="292" t="s">
        <v>816</v>
      </c>
      <c r="E370" s="304">
        <v>35.17</v>
      </c>
      <c r="F370" s="305">
        <v>3</v>
      </c>
      <c r="G370" s="281">
        <f t="shared" ref="G370:G377" si="111">ROUND(F370*E370,2)</f>
        <v>105.51</v>
      </c>
      <c r="H370" s="306">
        <v>3</v>
      </c>
      <c r="I370" s="281">
        <f t="shared" ref="I370:I377" si="112">ROUND((E370*H370),2)</f>
        <v>105.51</v>
      </c>
      <c r="J370" s="297">
        <f>VLOOKUP(A370,'12 - CORPO'!$A$1:$R$5122,18,FALSE)</f>
        <v>0</v>
      </c>
      <c r="K370" s="307">
        <f t="shared" si="110"/>
        <v>0</v>
      </c>
      <c r="L370" s="306">
        <f t="shared" ref="L370:L377" si="113">(H370+J370)</f>
        <v>3</v>
      </c>
      <c r="M370" s="281">
        <f t="shared" ref="M370:M377" si="114">ROUND((E370*L370),2)</f>
        <v>105.51</v>
      </c>
      <c r="N370" s="808"/>
      <c r="O370" s="260">
        <f t="shared" si="101"/>
        <v>0</v>
      </c>
      <c r="P370" s="260">
        <f t="shared" si="101"/>
        <v>0</v>
      </c>
      <c r="Q370" s="260"/>
      <c r="R370" s="260"/>
    </row>
    <row r="371" spans="1:18" outlineLevel="1">
      <c r="A371" s="317" t="s">
        <v>700</v>
      </c>
      <c r="B371" s="319" t="s">
        <v>1338</v>
      </c>
      <c r="C371" s="273" t="s">
        <v>1339</v>
      </c>
      <c r="D371" s="292" t="s">
        <v>816</v>
      </c>
      <c r="E371" s="279">
        <v>50.23</v>
      </c>
      <c r="F371" s="280">
        <v>6</v>
      </c>
      <c r="G371" s="281">
        <f t="shared" si="111"/>
        <v>301.38</v>
      </c>
      <c r="H371" s="282">
        <v>6</v>
      </c>
      <c r="I371" s="281">
        <f t="shared" si="112"/>
        <v>301.38</v>
      </c>
      <c r="J371" s="277">
        <f>VLOOKUP(A371,'12 - CORPO'!$A$1:$R$5122,18,FALSE)</f>
        <v>0</v>
      </c>
      <c r="K371" s="278">
        <f t="shared" si="110"/>
        <v>0</v>
      </c>
      <c r="L371" s="282">
        <f t="shared" si="113"/>
        <v>6</v>
      </c>
      <c r="M371" s="281">
        <f t="shared" si="114"/>
        <v>301.38</v>
      </c>
      <c r="N371" s="808"/>
      <c r="O371" s="260">
        <f t="shared" si="101"/>
        <v>0</v>
      </c>
      <c r="P371" s="260">
        <f t="shared" si="101"/>
        <v>0</v>
      </c>
      <c r="Q371" s="260"/>
      <c r="R371" s="260"/>
    </row>
    <row r="372" spans="1:18" outlineLevel="1">
      <c r="A372" s="293" t="s">
        <v>701</v>
      </c>
      <c r="B372" s="318" t="s">
        <v>1340</v>
      </c>
      <c r="C372" s="294" t="s">
        <v>1341</v>
      </c>
      <c r="D372" s="292" t="s">
        <v>816</v>
      </c>
      <c r="E372" s="304">
        <v>34.64</v>
      </c>
      <c r="F372" s="305">
        <v>6</v>
      </c>
      <c r="G372" s="281">
        <f t="shared" si="111"/>
        <v>207.84</v>
      </c>
      <c r="H372" s="306">
        <v>6</v>
      </c>
      <c r="I372" s="281">
        <f t="shared" si="112"/>
        <v>207.84</v>
      </c>
      <c r="J372" s="297">
        <f>VLOOKUP(A372,'12 - CORPO'!$A$1:$R$5122,18,FALSE)</f>
        <v>0</v>
      </c>
      <c r="K372" s="307">
        <f t="shared" si="110"/>
        <v>0</v>
      </c>
      <c r="L372" s="306">
        <f t="shared" si="113"/>
        <v>6</v>
      </c>
      <c r="M372" s="281">
        <f t="shared" si="114"/>
        <v>207.84</v>
      </c>
      <c r="N372" s="808"/>
      <c r="O372" s="260">
        <f t="shared" si="101"/>
        <v>0</v>
      </c>
      <c r="P372" s="260">
        <f t="shared" si="101"/>
        <v>0</v>
      </c>
      <c r="Q372" s="260"/>
      <c r="R372" s="260"/>
    </row>
    <row r="373" spans="1:18" ht="26.4" outlineLevel="1">
      <c r="A373" s="293" t="s">
        <v>702</v>
      </c>
      <c r="B373" s="318" t="s">
        <v>1342</v>
      </c>
      <c r="C373" s="294" t="s">
        <v>1343</v>
      </c>
      <c r="D373" s="292" t="s">
        <v>816</v>
      </c>
      <c r="E373" s="304">
        <v>120.32</v>
      </c>
      <c r="F373" s="305">
        <v>15</v>
      </c>
      <c r="G373" s="281">
        <f t="shared" si="111"/>
        <v>1804.8</v>
      </c>
      <c r="H373" s="306">
        <v>15</v>
      </c>
      <c r="I373" s="281">
        <f t="shared" si="112"/>
        <v>1804.8</v>
      </c>
      <c r="J373" s="297">
        <f>VLOOKUP(A373,'12 - CORPO'!$A$1:$R$5122,18,FALSE)</f>
        <v>0</v>
      </c>
      <c r="K373" s="307">
        <f t="shared" si="110"/>
        <v>0</v>
      </c>
      <c r="L373" s="306">
        <f t="shared" si="113"/>
        <v>15</v>
      </c>
      <c r="M373" s="281">
        <f t="shared" si="114"/>
        <v>1804.8</v>
      </c>
      <c r="N373" s="808"/>
      <c r="O373" s="260">
        <f t="shared" si="101"/>
        <v>0</v>
      </c>
      <c r="P373" s="260">
        <f t="shared" si="101"/>
        <v>0</v>
      </c>
      <c r="Q373" s="260"/>
      <c r="R373" s="260"/>
    </row>
    <row r="374" spans="1:18" outlineLevel="1">
      <c r="A374" s="317" t="s">
        <v>703</v>
      </c>
      <c r="B374" s="319" t="s">
        <v>1344</v>
      </c>
      <c r="C374" s="273" t="s">
        <v>1345</v>
      </c>
      <c r="D374" s="292" t="s">
        <v>816</v>
      </c>
      <c r="E374" s="279">
        <v>350.18</v>
      </c>
      <c r="F374" s="280">
        <v>1</v>
      </c>
      <c r="G374" s="281">
        <f t="shared" si="111"/>
        <v>350.18</v>
      </c>
      <c r="H374" s="282">
        <v>1</v>
      </c>
      <c r="I374" s="281">
        <f t="shared" si="112"/>
        <v>350.18</v>
      </c>
      <c r="J374" s="277">
        <f>VLOOKUP(A374,'12 - CORPO'!$A$1:$R$5122,18,FALSE)</f>
        <v>0</v>
      </c>
      <c r="K374" s="278">
        <f t="shared" si="110"/>
        <v>0</v>
      </c>
      <c r="L374" s="282">
        <f t="shared" si="113"/>
        <v>1</v>
      </c>
      <c r="M374" s="281">
        <f t="shared" si="114"/>
        <v>350.18</v>
      </c>
      <c r="N374" s="808"/>
      <c r="O374" s="260">
        <f t="shared" si="101"/>
        <v>0</v>
      </c>
      <c r="P374" s="260">
        <f t="shared" si="101"/>
        <v>0</v>
      </c>
      <c r="Q374" s="260"/>
      <c r="R374" s="260"/>
    </row>
    <row r="375" spans="1:18" ht="26.4" outlineLevel="1">
      <c r="A375" s="317" t="s">
        <v>704</v>
      </c>
      <c r="B375" s="319" t="s">
        <v>1346</v>
      </c>
      <c r="C375" s="273" t="s">
        <v>1347</v>
      </c>
      <c r="D375" s="292" t="s">
        <v>816</v>
      </c>
      <c r="E375" s="279">
        <v>15.55</v>
      </c>
      <c r="F375" s="280">
        <v>1</v>
      </c>
      <c r="G375" s="281">
        <f t="shared" si="111"/>
        <v>15.55</v>
      </c>
      <c r="H375" s="282">
        <v>1</v>
      </c>
      <c r="I375" s="281">
        <f t="shared" si="112"/>
        <v>15.55</v>
      </c>
      <c r="J375" s="277">
        <f>VLOOKUP(A375,'12 - CORPO'!$A$1:$R$5122,18,FALSE)</f>
        <v>0</v>
      </c>
      <c r="K375" s="278">
        <f t="shared" si="110"/>
        <v>0</v>
      </c>
      <c r="L375" s="282">
        <f t="shared" si="113"/>
        <v>1</v>
      </c>
      <c r="M375" s="281">
        <f t="shared" si="114"/>
        <v>15.55</v>
      </c>
      <c r="N375" s="808"/>
      <c r="O375" s="260">
        <f t="shared" si="101"/>
        <v>0</v>
      </c>
      <c r="P375" s="260">
        <f t="shared" si="101"/>
        <v>0</v>
      </c>
      <c r="Q375" s="260"/>
      <c r="R375" s="260"/>
    </row>
    <row r="376" spans="1:18" outlineLevel="1">
      <c r="A376" s="293" t="s">
        <v>705</v>
      </c>
      <c r="B376" s="318" t="s">
        <v>1199</v>
      </c>
      <c r="C376" s="294" t="s">
        <v>1200</v>
      </c>
      <c r="D376" s="292" t="s">
        <v>809</v>
      </c>
      <c r="E376" s="304">
        <v>24.15</v>
      </c>
      <c r="F376" s="305">
        <v>77</v>
      </c>
      <c r="G376" s="281">
        <f t="shared" si="111"/>
        <v>1859.55</v>
      </c>
      <c r="H376" s="306">
        <v>77</v>
      </c>
      <c r="I376" s="281">
        <f t="shared" si="112"/>
        <v>1859.55</v>
      </c>
      <c r="J376" s="297">
        <f>VLOOKUP(A376,'12 - CORPO'!$A$1:$R$5122,18,FALSE)</f>
        <v>0</v>
      </c>
      <c r="K376" s="307">
        <f t="shared" si="110"/>
        <v>0</v>
      </c>
      <c r="L376" s="306">
        <f t="shared" si="113"/>
        <v>77</v>
      </c>
      <c r="M376" s="281">
        <f t="shared" si="114"/>
        <v>1859.55</v>
      </c>
      <c r="N376" s="808"/>
      <c r="O376" s="260">
        <f t="shared" ref="O376:P415" si="115">F376-L376</f>
        <v>0</v>
      </c>
      <c r="P376" s="260">
        <f t="shared" si="115"/>
        <v>0</v>
      </c>
      <c r="Q376" s="260"/>
      <c r="R376" s="260"/>
    </row>
    <row r="377" spans="1:18" ht="26.4" outlineLevel="1">
      <c r="A377" s="293" t="s">
        <v>706</v>
      </c>
      <c r="B377" s="318" t="s">
        <v>1348</v>
      </c>
      <c r="C377" s="294" t="s">
        <v>1349</v>
      </c>
      <c r="D377" s="292" t="s">
        <v>809</v>
      </c>
      <c r="E377" s="304">
        <v>41.41</v>
      </c>
      <c r="F377" s="305">
        <v>5</v>
      </c>
      <c r="G377" s="281">
        <f t="shared" si="111"/>
        <v>207.05</v>
      </c>
      <c r="H377" s="306">
        <v>5</v>
      </c>
      <c r="I377" s="281">
        <f t="shared" si="112"/>
        <v>207.05</v>
      </c>
      <c r="J377" s="297">
        <f>VLOOKUP(A377,'12 - CORPO'!$A$1:$R$5122,18,FALSE)</f>
        <v>0</v>
      </c>
      <c r="K377" s="307">
        <f t="shared" si="110"/>
        <v>0</v>
      </c>
      <c r="L377" s="306">
        <f t="shared" si="113"/>
        <v>5</v>
      </c>
      <c r="M377" s="281">
        <f t="shared" si="114"/>
        <v>207.05</v>
      </c>
      <c r="N377" s="808"/>
      <c r="O377" s="260">
        <f t="shared" si="115"/>
        <v>0</v>
      </c>
      <c r="P377" s="260">
        <f t="shared" si="115"/>
        <v>0</v>
      </c>
      <c r="Q377" s="260"/>
      <c r="R377" s="260"/>
    </row>
    <row r="378" spans="1:18" ht="26.4" outlineLevel="1">
      <c r="A378" s="317" t="s">
        <v>707</v>
      </c>
      <c r="B378" s="319" t="s">
        <v>1100</v>
      </c>
      <c r="C378" s="273" t="s">
        <v>157</v>
      </c>
      <c r="D378" s="292" t="s">
        <v>809</v>
      </c>
      <c r="E378" s="279">
        <v>10.3</v>
      </c>
      <c r="F378" s="280">
        <v>24</v>
      </c>
      <c r="G378" s="281">
        <f t="shared" ref="G378:G399" si="116">ROUND(F378*E378,2)</f>
        <v>247.2</v>
      </c>
      <c r="H378" s="282">
        <v>24</v>
      </c>
      <c r="I378" s="281">
        <f t="shared" ref="I378:I399" si="117">ROUND((E378*H378),2)</f>
        <v>247.2</v>
      </c>
      <c r="J378" s="277">
        <f>VLOOKUP(A378,'12 - CORPO'!$A$1:$R$5122,18,FALSE)</f>
        <v>0</v>
      </c>
      <c r="K378" s="278">
        <f t="shared" si="110"/>
        <v>0</v>
      </c>
      <c r="L378" s="282">
        <f t="shared" ref="L378:L399" si="118">(H378+J378)</f>
        <v>24</v>
      </c>
      <c r="M378" s="281">
        <f t="shared" ref="M378:M399" si="119">ROUND((E378*L378),2)</f>
        <v>247.2</v>
      </c>
      <c r="N378" s="808"/>
      <c r="O378" s="260">
        <f t="shared" si="115"/>
        <v>0</v>
      </c>
      <c r="P378" s="260">
        <f t="shared" si="115"/>
        <v>0</v>
      </c>
      <c r="Q378" s="260"/>
      <c r="R378" s="260"/>
    </row>
    <row r="379" spans="1:18" outlineLevel="1">
      <c r="A379" s="293" t="s">
        <v>708</v>
      </c>
      <c r="B379" s="318" t="s">
        <v>1350</v>
      </c>
      <c r="C379" s="294" t="s">
        <v>1351</v>
      </c>
      <c r="D379" s="292" t="s">
        <v>809</v>
      </c>
      <c r="E379" s="304">
        <v>12.7</v>
      </c>
      <c r="F379" s="305">
        <v>150</v>
      </c>
      <c r="G379" s="281">
        <f t="shared" si="116"/>
        <v>1905</v>
      </c>
      <c r="H379" s="306">
        <v>150</v>
      </c>
      <c r="I379" s="281">
        <f t="shared" si="117"/>
        <v>1905</v>
      </c>
      <c r="J379" s="297">
        <f>VLOOKUP(A379,'12 - CORPO'!$A$1:$R$5122,18,FALSE)</f>
        <v>0</v>
      </c>
      <c r="K379" s="307">
        <f t="shared" si="110"/>
        <v>0</v>
      </c>
      <c r="L379" s="306">
        <f t="shared" si="118"/>
        <v>150</v>
      </c>
      <c r="M379" s="281">
        <f t="shared" si="119"/>
        <v>1905</v>
      </c>
      <c r="N379" s="808"/>
      <c r="O379" s="260">
        <f t="shared" si="115"/>
        <v>0</v>
      </c>
      <c r="P379" s="260">
        <f t="shared" si="115"/>
        <v>0</v>
      </c>
      <c r="Q379" s="260"/>
      <c r="R379" s="260"/>
    </row>
    <row r="380" spans="1:18" ht="39.6" outlineLevel="1">
      <c r="A380" s="293" t="s">
        <v>709</v>
      </c>
      <c r="B380" s="318" t="s">
        <v>1107</v>
      </c>
      <c r="C380" s="294" t="s">
        <v>1108</v>
      </c>
      <c r="D380" s="292" t="s">
        <v>809</v>
      </c>
      <c r="E380" s="304">
        <v>51.99</v>
      </c>
      <c r="F380" s="305">
        <v>215</v>
      </c>
      <c r="G380" s="281">
        <f t="shared" si="116"/>
        <v>11177.85</v>
      </c>
      <c r="H380" s="306">
        <v>215</v>
      </c>
      <c r="I380" s="281">
        <f t="shared" si="117"/>
        <v>11177.85</v>
      </c>
      <c r="J380" s="297">
        <f>VLOOKUP(A380,'12 - CORPO'!$A$1:$R$5122,18,FALSE)</f>
        <v>0</v>
      </c>
      <c r="K380" s="307">
        <f t="shared" si="110"/>
        <v>0</v>
      </c>
      <c r="L380" s="306">
        <f t="shared" si="118"/>
        <v>215</v>
      </c>
      <c r="M380" s="281">
        <f t="shared" si="119"/>
        <v>11177.85</v>
      </c>
      <c r="N380" s="808"/>
      <c r="O380" s="260">
        <f t="shared" si="115"/>
        <v>0</v>
      </c>
      <c r="P380" s="260">
        <f t="shared" si="115"/>
        <v>0</v>
      </c>
      <c r="Q380" s="260"/>
      <c r="R380" s="260"/>
    </row>
    <row r="381" spans="1:18" outlineLevel="1">
      <c r="A381" s="317" t="s">
        <v>710</v>
      </c>
      <c r="B381" s="319" t="s">
        <v>1352</v>
      </c>
      <c r="C381" s="273" t="s">
        <v>1353</v>
      </c>
      <c r="D381" s="292" t="s">
        <v>809</v>
      </c>
      <c r="E381" s="279">
        <v>34.6</v>
      </c>
      <c r="F381" s="280">
        <v>55</v>
      </c>
      <c r="G381" s="281">
        <f t="shared" si="116"/>
        <v>1903</v>
      </c>
      <c r="H381" s="282">
        <v>55</v>
      </c>
      <c r="I381" s="281">
        <f t="shared" si="117"/>
        <v>1903</v>
      </c>
      <c r="J381" s="277">
        <f>VLOOKUP(A381,'12 - CORPO'!$A$1:$R$5122,18,FALSE)</f>
        <v>0</v>
      </c>
      <c r="K381" s="278">
        <f t="shared" si="110"/>
        <v>0</v>
      </c>
      <c r="L381" s="282">
        <f t="shared" si="118"/>
        <v>55</v>
      </c>
      <c r="M381" s="281">
        <f t="shared" si="119"/>
        <v>1903</v>
      </c>
      <c r="N381" s="808"/>
      <c r="O381" s="260">
        <f t="shared" si="115"/>
        <v>0</v>
      </c>
      <c r="P381" s="260">
        <f t="shared" si="115"/>
        <v>0</v>
      </c>
      <c r="Q381" s="260"/>
      <c r="R381" s="260"/>
    </row>
    <row r="382" spans="1:18" outlineLevel="1">
      <c r="A382" s="317" t="s">
        <v>711</v>
      </c>
      <c r="B382" s="319" t="s">
        <v>1199</v>
      </c>
      <c r="C382" s="273" t="s">
        <v>1354</v>
      </c>
      <c r="D382" s="292" t="s">
        <v>809</v>
      </c>
      <c r="E382" s="279">
        <v>24.15</v>
      </c>
      <c r="F382" s="280">
        <v>10</v>
      </c>
      <c r="G382" s="281">
        <f t="shared" si="116"/>
        <v>241.5</v>
      </c>
      <c r="H382" s="282">
        <v>10</v>
      </c>
      <c r="I382" s="281">
        <f t="shared" si="117"/>
        <v>241.5</v>
      </c>
      <c r="J382" s="277">
        <f>VLOOKUP(A382,'12 - CORPO'!$A$1:$R$5122,18,FALSE)</f>
        <v>0</v>
      </c>
      <c r="K382" s="278">
        <f t="shared" si="110"/>
        <v>0</v>
      </c>
      <c r="L382" s="282">
        <f t="shared" si="118"/>
        <v>10</v>
      </c>
      <c r="M382" s="281">
        <f t="shared" si="119"/>
        <v>241.5</v>
      </c>
      <c r="N382" s="808"/>
      <c r="O382" s="260">
        <f t="shared" si="115"/>
        <v>0</v>
      </c>
      <c r="P382" s="260">
        <f t="shared" si="115"/>
        <v>0</v>
      </c>
      <c r="Q382" s="260"/>
      <c r="R382" s="260"/>
    </row>
    <row r="383" spans="1:18" outlineLevel="1">
      <c r="A383" s="293" t="s">
        <v>712</v>
      </c>
      <c r="B383" s="318" t="s">
        <v>1191</v>
      </c>
      <c r="C383" s="294" t="s">
        <v>1192</v>
      </c>
      <c r="D383" s="292" t="s">
        <v>809</v>
      </c>
      <c r="E383" s="304">
        <v>9.85</v>
      </c>
      <c r="F383" s="305">
        <v>22</v>
      </c>
      <c r="G383" s="281">
        <f t="shared" si="116"/>
        <v>216.7</v>
      </c>
      <c r="H383" s="306">
        <v>22</v>
      </c>
      <c r="I383" s="281">
        <f t="shared" si="117"/>
        <v>216.7</v>
      </c>
      <c r="J383" s="297">
        <f>VLOOKUP(A383,'12 - CORPO'!$A$1:$R$5122,18,FALSE)</f>
        <v>0</v>
      </c>
      <c r="K383" s="307">
        <f t="shared" si="110"/>
        <v>0</v>
      </c>
      <c r="L383" s="306">
        <f t="shared" si="118"/>
        <v>22</v>
      </c>
      <c r="M383" s="281">
        <f t="shared" si="119"/>
        <v>216.7</v>
      </c>
      <c r="N383" s="808"/>
      <c r="O383" s="260">
        <f t="shared" si="115"/>
        <v>0</v>
      </c>
      <c r="P383" s="260">
        <f t="shared" si="115"/>
        <v>0</v>
      </c>
      <c r="Q383" s="260"/>
      <c r="R383" s="260"/>
    </row>
    <row r="384" spans="1:18" ht="26.4" outlineLevel="1">
      <c r="A384" s="293" t="s">
        <v>713</v>
      </c>
      <c r="B384" s="318" t="s">
        <v>1355</v>
      </c>
      <c r="C384" s="294" t="s">
        <v>1356</v>
      </c>
      <c r="D384" s="292" t="s">
        <v>816</v>
      </c>
      <c r="E384" s="304">
        <v>2754.49</v>
      </c>
      <c r="F384" s="305">
        <v>1</v>
      </c>
      <c r="G384" s="281">
        <f t="shared" si="116"/>
        <v>2754.49</v>
      </c>
      <c r="H384" s="306">
        <v>1</v>
      </c>
      <c r="I384" s="281">
        <f t="shared" si="117"/>
        <v>2754.49</v>
      </c>
      <c r="J384" s="297">
        <f>VLOOKUP(A384,'12 - CORPO'!$A$1:$R$5122,18,FALSE)</f>
        <v>0</v>
      </c>
      <c r="K384" s="307">
        <f t="shared" si="110"/>
        <v>0</v>
      </c>
      <c r="L384" s="306">
        <f t="shared" si="118"/>
        <v>1</v>
      </c>
      <c r="M384" s="281">
        <f t="shared" si="119"/>
        <v>2754.49</v>
      </c>
      <c r="N384" s="808"/>
      <c r="O384" s="260">
        <f t="shared" si="115"/>
        <v>0</v>
      </c>
      <c r="P384" s="260">
        <f t="shared" si="115"/>
        <v>0</v>
      </c>
      <c r="Q384" s="260"/>
      <c r="R384" s="260"/>
    </row>
    <row r="385" spans="1:18" ht="39.6" outlineLevel="1">
      <c r="A385" s="317" t="s">
        <v>714</v>
      </c>
      <c r="B385" s="319" t="s">
        <v>1357</v>
      </c>
      <c r="C385" s="273" t="s">
        <v>1358</v>
      </c>
      <c r="D385" s="292" t="s">
        <v>816</v>
      </c>
      <c r="E385" s="279">
        <v>6736.38</v>
      </c>
      <c r="F385" s="280">
        <v>1</v>
      </c>
      <c r="G385" s="281">
        <f t="shared" si="116"/>
        <v>6736.38</v>
      </c>
      <c r="H385" s="282">
        <v>1</v>
      </c>
      <c r="I385" s="281">
        <f t="shared" si="117"/>
        <v>6736.38</v>
      </c>
      <c r="J385" s="277">
        <f>VLOOKUP(A385,'12 - CORPO'!$A$1:$R$5122,18,FALSE)</f>
        <v>0</v>
      </c>
      <c r="K385" s="278">
        <f t="shared" si="110"/>
        <v>0</v>
      </c>
      <c r="L385" s="282">
        <f t="shared" si="118"/>
        <v>1</v>
      </c>
      <c r="M385" s="281">
        <f t="shared" si="119"/>
        <v>6736.38</v>
      </c>
      <c r="N385" s="808"/>
      <c r="O385" s="260">
        <f t="shared" si="115"/>
        <v>0</v>
      </c>
      <c r="P385" s="260">
        <f t="shared" si="115"/>
        <v>0</v>
      </c>
      <c r="Q385" s="260"/>
      <c r="R385" s="260"/>
    </row>
    <row r="386" spans="1:18" outlineLevel="1">
      <c r="A386" s="293" t="s">
        <v>715</v>
      </c>
      <c r="B386" s="318" t="s">
        <v>1359</v>
      </c>
      <c r="C386" s="294" t="s">
        <v>1360</v>
      </c>
      <c r="D386" s="292" t="s">
        <v>816</v>
      </c>
      <c r="E386" s="304">
        <v>791.61</v>
      </c>
      <c r="F386" s="305">
        <v>2</v>
      </c>
      <c r="G386" s="281">
        <f t="shared" si="116"/>
        <v>1583.22</v>
      </c>
      <c r="H386" s="306">
        <v>2</v>
      </c>
      <c r="I386" s="281">
        <f t="shared" si="117"/>
        <v>1583.22</v>
      </c>
      <c r="J386" s="297">
        <f>VLOOKUP(A386,'12 - CORPO'!$A$1:$R$5122,18,FALSE)</f>
        <v>0</v>
      </c>
      <c r="K386" s="307">
        <f t="shared" si="110"/>
        <v>0</v>
      </c>
      <c r="L386" s="306">
        <f t="shared" si="118"/>
        <v>2</v>
      </c>
      <c r="M386" s="281">
        <f t="shared" si="119"/>
        <v>1583.22</v>
      </c>
      <c r="N386" s="808"/>
      <c r="O386" s="260">
        <f t="shared" si="115"/>
        <v>0</v>
      </c>
      <c r="P386" s="260">
        <f t="shared" si="115"/>
        <v>0</v>
      </c>
      <c r="Q386" s="260"/>
      <c r="R386" s="260"/>
    </row>
    <row r="387" spans="1:18" ht="26.4" outlineLevel="1">
      <c r="A387" s="293" t="s">
        <v>716</v>
      </c>
      <c r="B387" s="318" t="s">
        <v>1361</v>
      </c>
      <c r="C387" s="294" t="s">
        <v>1362</v>
      </c>
      <c r="D387" s="292" t="s">
        <v>816</v>
      </c>
      <c r="E387" s="304">
        <v>129.96</v>
      </c>
      <c r="F387" s="305">
        <v>2</v>
      </c>
      <c r="G387" s="281">
        <f t="shared" si="116"/>
        <v>259.92</v>
      </c>
      <c r="H387" s="306">
        <v>2</v>
      </c>
      <c r="I387" s="281">
        <f t="shared" si="117"/>
        <v>259.92</v>
      </c>
      <c r="J387" s="297">
        <f>VLOOKUP(A387,'12 - CORPO'!$A$1:$R$5122,18,FALSE)</f>
        <v>0</v>
      </c>
      <c r="K387" s="307">
        <f t="shared" si="110"/>
        <v>0</v>
      </c>
      <c r="L387" s="306">
        <f t="shared" si="118"/>
        <v>2</v>
      </c>
      <c r="M387" s="281">
        <f t="shared" si="119"/>
        <v>259.92</v>
      </c>
      <c r="N387" s="808"/>
      <c r="O387" s="260">
        <f t="shared" si="115"/>
        <v>0</v>
      </c>
      <c r="P387" s="260">
        <f t="shared" si="115"/>
        <v>0</v>
      </c>
      <c r="Q387" s="260"/>
      <c r="R387" s="260"/>
    </row>
    <row r="388" spans="1:18" ht="39.6" outlineLevel="1">
      <c r="A388" s="317" t="s">
        <v>717</v>
      </c>
      <c r="B388" s="319" t="s">
        <v>1363</v>
      </c>
      <c r="C388" s="273" t="s">
        <v>1364</v>
      </c>
      <c r="D388" s="292" t="s">
        <v>1365</v>
      </c>
      <c r="E388" s="279">
        <v>448.08</v>
      </c>
      <c r="F388" s="280">
        <v>2</v>
      </c>
      <c r="G388" s="281">
        <f t="shared" si="116"/>
        <v>896.16</v>
      </c>
      <c r="H388" s="282">
        <v>2</v>
      </c>
      <c r="I388" s="281">
        <f t="shared" si="117"/>
        <v>896.16</v>
      </c>
      <c r="J388" s="277">
        <f>VLOOKUP(A388,'12 - CORPO'!$A$1:$R$5122,18,FALSE)</f>
        <v>0</v>
      </c>
      <c r="K388" s="278">
        <f t="shared" si="110"/>
        <v>0</v>
      </c>
      <c r="L388" s="282">
        <f t="shared" si="118"/>
        <v>2</v>
      </c>
      <c r="M388" s="281">
        <f t="shared" si="119"/>
        <v>896.16</v>
      </c>
      <c r="N388" s="808"/>
      <c r="O388" s="260">
        <f t="shared" si="115"/>
        <v>0</v>
      </c>
      <c r="P388" s="260">
        <f t="shared" si="115"/>
        <v>0</v>
      </c>
      <c r="Q388" s="260"/>
      <c r="R388" s="260"/>
    </row>
    <row r="389" spans="1:18" ht="26.4" outlineLevel="1">
      <c r="A389" s="317" t="s">
        <v>718</v>
      </c>
      <c r="B389" s="319" t="s">
        <v>1366</v>
      </c>
      <c r="C389" s="273" t="s">
        <v>1367</v>
      </c>
      <c r="D389" s="292" t="s">
        <v>816</v>
      </c>
      <c r="E389" s="279">
        <v>53.09</v>
      </c>
      <c r="F389" s="280">
        <v>2</v>
      </c>
      <c r="G389" s="281">
        <f t="shared" si="116"/>
        <v>106.18</v>
      </c>
      <c r="H389" s="282">
        <v>2</v>
      </c>
      <c r="I389" s="281">
        <f t="shared" si="117"/>
        <v>106.18</v>
      </c>
      <c r="J389" s="277">
        <f>VLOOKUP(A389,'12 - CORPO'!$A$1:$R$5122,18,FALSE)</f>
        <v>0</v>
      </c>
      <c r="K389" s="278">
        <f t="shared" si="110"/>
        <v>0</v>
      </c>
      <c r="L389" s="282">
        <f t="shared" si="118"/>
        <v>2</v>
      </c>
      <c r="M389" s="281">
        <f t="shared" si="119"/>
        <v>106.18</v>
      </c>
      <c r="N389" s="808"/>
      <c r="O389" s="260">
        <f t="shared" si="115"/>
        <v>0</v>
      </c>
      <c r="P389" s="260">
        <f t="shared" si="115"/>
        <v>0</v>
      </c>
      <c r="Q389" s="260"/>
      <c r="R389" s="260"/>
    </row>
    <row r="390" spans="1:18" ht="26.4" outlineLevel="1">
      <c r="A390" s="293" t="s">
        <v>719</v>
      </c>
      <c r="B390" s="318" t="s">
        <v>1368</v>
      </c>
      <c r="C390" s="294" t="s">
        <v>1369</v>
      </c>
      <c r="D390" s="292" t="s">
        <v>1365</v>
      </c>
      <c r="E390" s="304">
        <v>11.28</v>
      </c>
      <c r="F390" s="305">
        <v>6</v>
      </c>
      <c r="G390" s="281">
        <f t="shared" si="116"/>
        <v>67.680000000000007</v>
      </c>
      <c r="H390" s="306">
        <v>6</v>
      </c>
      <c r="I390" s="281">
        <f t="shared" si="117"/>
        <v>67.680000000000007</v>
      </c>
      <c r="J390" s="297">
        <f>VLOOKUP(A390,'12 - CORPO'!$A$1:$R$5122,18,FALSE)</f>
        <v>0</v>
      </c>
      <c r="K390" s="307">
        <f t="shared" si="110"/>
        <v>0</v>
      </c>
      <c r="L390" s="306">
        <f t="shared" si="118"/>
        <v>6</v>
      </c>
      <c r="M390" s="281">
        <f t="shared" si="119"/>
        <v>67.680000000000007</v>
      </c>
      <c r="N390" s="808"/>
      <c r="O390" s="260">
        <f t="shared" si="115"/>
        <v>0</v>
      </c>
      <c r="P390" s="260">
        <f t="shared" si="115"/>
        <v>0</v>
      </c>
      <c r="Q390" s="260"/>
      <c r="R390" s="260"/>
    </row>
    <row r="391" spans="1:18" ht="26.4" outlineLevel="1">
      <c r="A391" s="293" t="s">
        <v>720</v>
      </c>
      <c r="B391" s="318" t="s">
        <v>1370</v>
      </c>
      <c r="C391" s="294" t="s">
        <v>1371</v>
      </c>
      <c r="D391" s="292" t="s">
        <v>1297</v>
      </c>
      <c r="E391" s="304">
        <v>1438.73</v>
      </c>
      <c r="F391" s="305">
        <v>1</v>
      </c>
      <c r="G391" s="281">
        <f t="shared" si="116"/>
        <v>1438.73</v>
      </c>
      <c r="H391" s="306">
        <v>1</v>
      </c>
      <c r="I391" s="281">
        <f t="shared" si="117"/>
        <v>1438.73</v>
      </c>
      <c r="J391" s="297">
        <f>VLOOKUP(A391,'12 - CORPO'!$A$1:$R$5122,18,FALSE)</f>
        <v>0</v>
      </c>
      <c r="K391" s="307">
        <f t="shared" si="110"/>
        <v>0</v>
      </c>
      <c r="L391" s="306">
        <f t="shared" si="118"/>
        <v>1</v>
      </c>
      <c r="M391" s="281">
        <f t="shared" si="119"/>
        <v>1438.73</v>
      </c>
      <c r="N391" s="808"/>
      <c r="O391" s="260">
        <f t="shared" si="115"/>
        <v>0</v>
      </c>
      <c r="P391" s="260">
        <f t="shared" si="115"/>
        <v>0</v>
      </c>
      <c r="Q391" s="260"/>
      <c r="R391" s="260"/>
    </row>
    <row r="392" spans="1:18" ht="26.4" outlineLevel="1">
      <c r="A392" s="317" t="s">
        <v>721</v>
      </c>
      <c r="B392" s="319" t="s">
        <v>1372</v>
      </c>
      <c r="C392" s="273" t="s">
        <v>1373</v>
      </c>
      <c r="D392" s="292" t="s">
        <v>816</v>
      </c>
      <c r="E392" s="279">
        <v>400.03</v>
      </c>
      <c r="F392" s="280">
        <v>1</v>
      </c>
      <c r="G392" s="281">
        <f t="shared" si="116"/>
        <v>400.03</v>
      </c>
      <c r="H392" s="282">
        <v>1</v>
      </c>
      <c r="I392" s="281">
        <f t="shared" si="117"/>
        <v>400.03</v>
      </c>
      <c r="J392" s="277">
        <f>VLOOKUP(A392,'12 - CORPO'!$A$1:$R$5122,18,FALSE)</f>
        <v>0</v>
      </c>
      <c r="K392" s="278">
        <f t="shared" si="110"/>
        <v>0</v>
      </c>
      <c r="L392" s="282">
        <f t="shared" si="118"/>
        <v>1</v>
      </c>
      <c r="M392" s="281">
        <f t="shared" si="119"/>
        <v>400.03</v>
      </c>
      <c r="N392" s="808"/>
      <c r="O392" s="260">
        <f t="shared" si="115"/>
        <v>0</v>
      </c>
      <c r="P392" s="260">
        <f t="shared" si="115"/>
        <v>0</v>
      </c>
      <c r="Q392" s="260"/>
      <c r="R392" s="260"/>
    </row>
    <row r="393" spans="1:18" ht="26.4" outlineLevel="1">
      <c r="A393" s="293" t="s">
        <v>722</v>
      </c>
      <c r="B393" s="318" t="s">
        <v>1374</v>
      </c>
      <c r="C393" s="294" t="s">
        <v>1375</v>
      </c>
      <c r="D393" s="292" t="s">
        <v>809</v>
      </c>
      <c r="E393" s="304">
        <v>17.97</v>
      </c>
      <c r="F393" s="305">
        <v>20</v>
      </c>
      <c r="G393" s="281">
        <f t="shared" si="116"/>
        <v>359.4</v>
      </c>
      <c r="H393" s="306">
        <v>20</v>
      </c>
      <c r="I393" s="281">
        <f t="shared" si="117"/>
        <v>359.4</v>
      </c>
      <c r="J393" s="297">
        <f>VLOOKUP(A393,'12 - CORPO'!$A$1:$R$5122,18,FALSE)</f>
        <v>0</v>
      </c>
      <c r="K393" s="307">
        <f t="shared" ref="K393:K399" si="120">M393-I393</f>
        <v>0</v>
      </c>
      <c r="L393" s="306">
        <f t="shared" si="118"/>
        <v>20</v>
      </c>
      <c r="M393" s="281">
        <f t="shared" si="119"/>
        <v>359.4</v>
      </c>
      <c r="N393" s="808"/>
      <c r="O393" s="260">
        <f t="shared" si="115"/>
        <v>0</v>
      </c>
      <c r="P393" s="260">
        <f t="shared" si="115"/>
        <v>0</v>
      </c>
      <c r="Q393" s="260"/>
      <c r="R393" s="260"/>
    </row>
    <row r="394" spans="1:18" ht="26.4" outlineLevel="1">
      <c r="A394" s="661" t="s">
        <v>723</v>
      </c>
      <c r="B394" s="662" t="s">
        <v>1265</v>
      </c>
      <c r="C394" s="663" t="s">
        <v>1266</v>
      </c>
      <c r="D394" s="664" t="s">
        <v>816</v>
      </c>
      <c r="E394" s="665">
        <v>62.75</v>
      </c>
      <c r="F394" s="666">
        <v>1</v>
      </c>
      <c r="G394" s="667">
        <f t="shared" si="116"/>
        <v>62.75</v>
      </c>
      <c r="H394" s="668">
        <v>1</v>
      </c>
      <c r="I394" s="667">
        <f t="shared" si="117"/>
        <v>62.75</v>
      </c>
      <c r="J394" s="669">
        <f>VLOOKUP(A394,'12 - CORPO'!$A$1:$R$5122,18,FALSE)</f>
        <v>0</v>
      </c>
      <c r="K394" s="670">
        <f t="shared" si="120"/>
        <v>0</v>
      </c>
      <c r="L394" s="668">
        <f t="shared" si="118"/>
        <v>1</v>
      </c>
      <c r="M394" s="667">
        <f t="shared" si="119"/>
        <v>62.75</v>
      </c>
      <c r="N394" s="808"/>
      <c r="O394" s="260">
        <f t="shared" si="115"/>
        <v>0</v>
      </c>
      <c r="P394" s="260">
        <f t="shared" si="115"/>
        <v>0</v>
      </c>
      <c r="Q394" s="260"/>
      <c r="R394" s="260"/>
    </row>
    <row r="395" spans="1:18" ht="52.8" outlineLevel="1">
      <c r="A395" s="676" t="s">
        <v>724</v>
      </c>
      <c r="B395" s="677" t="s">
        <v>1376</v>
      </c>
      <c r="C395" s="265" t="s">
        <v>1377</v>
      </c>
      <c r="D395" s="601" t="s">
        <v>816</v>
      </c>
      <c r="E395" s="678">
        <v>7659.43</v>
      </c>
      <c r="F395" s="679">
        <v>2</v>
      </c>
      <c r="G395" s="673">
        <f t="shared" si="116"/>
        <v>15318.86</v>
      </c>
      <c r="H395" s="680">
        <v>2</v>
      </c>
      <c r="I395" s="673">
        <f t="shared" si="117"/>
        <v>15318.86</v>
      </c>
      <c r="J395" s="269">
        <f>VLOOKUP(A395,'12 - CORPO'!$A$1:$R$5122,18,FALSE)</f>
        <v>0</v>
      </c>
      <c r="K395" s="270">
        <f t="shared" si="120"/>
        <v>0</v>
      </c>
      <c r="L395" s="680">
        <f t="shared" si="118"/>
        <v>2</v>
      </c>
      <c r="M395" s="673">
        <f t="shared" si="119"/>
        <v>15318.86</v>
      </c>
      <c r="N395" s="808"/>
      <c r="O395" s="260">
        <f t="shared" si="115"/>
        <v>0</v>
      </c>
      <c r="P395" s="260">
        <f t="shared" si="115"/>
        <v>0</v>
      </c>
      <c r="Q395" s="260"/>
      <c r="R395" s="260"/>
    </row>
    <row r="396" spans="1:18" ht="39.6" outlineLevel="1">
      <c r="A396" s="317" t="s">
        <v>725</v>
      </c>
      <c r="B396" s="319" t="s">
        <v>1378</v>
      </c>
      <c r="C396" s="273" t="s">
        <v>165</v>
      </c>
      <c r="D396" s="292" t="s">
        <v>816</v>
      </c>
      <c r="E396" s="279">
        <v>627.33000000000004</v>
      </c>
      <c r="F396" s="280">
        <v>6</v>
      </c>
      <c r="G396" s="281">
        <f t="shared" si="116"/>
        <v>3763.98</v>
      </c>
      <c r="H396" s="282">
        <v>6</v>
      </c>
      <c r="I396" s="281">
        <f t="shared" si="117"/>
        <v>3763.98</v>
      </c>
      <c r="J396" s="277">
        <f>VLOOKUP(A396,'12 - CORPO'!$A$1:$R$5122,18,FALSE)</f>
        <v>0</v>
      </c>
      <c r="K396" s="278">
        <f t="shared" si="120"/>
        <v>0</v>
      </c>
      <c r="L396" s="282">
        <f t="shared" si="118"/>
        <v>6</v>
      </c>
      <c r="M396" s="281">
        <f t="shared" si="119"/>
        <v>3763.98</v>
      </c>
      <c r="N396" s="808"/>
      <c r="O396" s="260">
        <f t="shared" si="115"/>
        <v>0</v>
      </c>
      <c r="P396" s="260">
        <f t="shared" si="115"/>
        <v>0</v>
      </c>
      <c r="Q396" s="260"/>
      <c r="R396" s="260"/>
    </row>
    <row r="397" spans="1:18" ht="39.6" outlineLevel="1">
      <c r="A397" s="293" t="s">
        <v>726</v>
      </c>
      <c r="B397" s="318" t="s">
        <v>1379</v>
      </c>
      <c r="C397" s="294" t="s">
        <v>166</v>
      </c>
      <c r="D397" s="292" t="s">
        <v>816</v>
      </c>
      <c r="E397" s="304">
        <v>2833.53</v>
      </c>
      <c r="F397" s="305">
        <v>11</v>
      </c>
      <c r="G397" s="281">
        <f t="shared" si="116"/>
        <v>31168.83</v>
      </c>
      <c r="H397" s="306">
        <v>11</v>
      </c>
      <c r="I397" s="281">
        <f t="shared" si="117"/>
        <v>31168.83</v>
      </c>
      <c r="J397" s="297">
        <f>VLOOKUP(A397,'12 - CORPO'!$A$1:$R$5122,18,FALSE)</f>
        <v>0</v>
      </c>
      <c r="K397" s="307">
        <f t="shared" si="120"/>
        <v>0</v>
      </c>
      <c r="L397" s="306">
        <f t="shared" si="118"/>
        <v>11</v>
      </c>
      <c r="M397" s="281">
        <f t="shared" si="119"/>
        <v>31168.83</v>
      </c>
      <c r="N397" s="808"/>
      <c r="O397" s="260">
        <f t="shared" si="115"/>
        <v>0</v>
      </c>
      <c r="P397" s="260">
        <f t="shared" si="115"/>
        <v>0</v>
      </c>
      <c r="Q397" s="260"/>
      <c r="R397" s="260"/>
    </row>
    <row r="398" spans="1:18" ht="52.8" outlineLevel="1">
      <c r="A398" s="293" t="s">
        <v>727</v>
      </c>
      <c r="B398" s="318" t="s">
        <v>1380</v>
      </c>
      <c r="C398" s="294" t="s">
        <v>1381</v>
      </c>
      <c r="D398" s="292" t="s">
        <v>816</v>
      </c>
      <c r="E398" s="304">
        <v>5403.07</v>
      </c>
      <c r="F398" s="305">
        <v>2</v>
      </c>
      <c r="G398" s="281">
        <f t="shared" si="116"/>
        <v>10806.14</v>
      </c>
      <c r="H398" s="306">
        <v>2</v>
      </c>
      <c r="I398" s="281">
        <f t="shared" si="117"/>
        <v>10806.14</v>
      </c>
      <c r="J398" s="297">
        <f>VLOOKUP(A398,'12 - CORPO'!$A$1:$R$5122,18,FALSE)</f>
        <v>0</v>
      </c>
      <c r="K398" s="307">
        <f t="shared" si="120"/>
        <v>0</v>
      </c>
      <c r="L398" s="306">
        <f t="shared" si="118"/>
        <v>2</v>
      </c>
      <c r="M398" s="281">
        <f t="shared" si="119"/>
        <v>10806.14</v>
      </c>
      <c r="N398" s="808"/>
      <c r="O398" s="260">
        <f t="shared" si="115"/>
        <v>0</v>
      </c>
      <c r="P398" s="260">
        <f t="shared" si="115"/>
        <v>0</v>
      </c>
      <c r="Q398" s="260"/>
      <c r="R398" s="260"/>
    </row>
    <row r="399" spans="1:18" outlineLevel="1">
      <c r="A399" s="317" t="s">
        <v>728</v>
      </c>
      <c r="B399" s="319" t="s">
        <v>1382</v>
      </c>
      <c r="C399" s="273" t="s">
        <v>1383</v>
      </c>
      <c r="D399" s="292" t="s">
        <v>816</v>
      </c>
      <c r="E399" s="279">
        <v>595.80999999999995</v>
      </c>
      <c r="F399" s="280">
        <v>1</v>
      </c>
      <c r="G399" s="281">
        <f t="shared" si="116"/>
        <v>595.80999999999995</v>
      </c>
      <c r="H399" s="282">
        <v>1</v>
      </c>
      <c r="I399" s="281">
        <f t="shared" si="117"/>
        <v>595.80999999999995</v>
      </c>
      <c r="J399" s="277">
        <f>VLOOKUP(A399,'12 - CORPO'!$A$1:$R$5122,18,FALSE)</f>
        <v>0</v>
      </c>
      <c r="K399" s="278">
        <f t="shared" si="120"/>
        <v>0</v>
      </c>
      <c r="L399" s="282">
        <f t="shared" si="118"/>
        <v>1</v>
      </c>
      <c r="M399" s="281">
        <f t="shared" si="119"/>
        <v>595.80999999999995</v>
      </c>
      <c r="N399" s="808"/>
      <c r="O399" s="260">
        <f t="shared" si="115"/>
        <v>0</v>
      </c>
      <c r="P399" s="260">
        <f t="shared" si="115"/>
        <v>0</v>
      </c>
      <c r="Q399" s="260"/>
      <c r="R399" s="260"/>
    </row>
    <row r="400" spans="1:18" ht="19.95" customHeight="1">
      <c r="A400" s="1312" t="s">
        <v>283</v>
      </c>
      <c r="B400" s="1448" t="s">
        <v>284</v>
      </c>
      <c r="C400" s="1448"/>
      <c r="D400" s="1309"/>
      <c r="E400" s="1309"/>
      <c r="F400" s="1309"/>
      <c r="G400" s="1310">
        <f>SUBTOTAL(9,G401:G428)</f>
        <v>22192413.00999999</v>
      </c>
      <c r="H400" s="1309"/>
      <c r="I400" s="1310"/>
      <c r="J400" s="1309"/>
      <c r="K400" s="1310">
        <f>SUBTOTAL(9,K401:K428)</f>
        <v>0</v>
      </c>
      <c r="L400" s="1309"/>
      <c r="M400" s="1311"/>
      <c r="N400" s="811"/>
      <c r="O400" s="260">
        <f t="shared" si="115"/>
        <v>0</v>
      </c>
      <c r="P400" s="260"/>
      <c r="Q400" s="262"/>
      <c r="R400" s="262"/>
    </row>
    <row r="401" spans="1:18" ht="19.95" customHeight="1">
      <c r="A401" s="1320" t="s">
        <v>729</v>
      </c>
      <c r="B401" s="1447" t="s">
        <v>1384</v>
      </c>
      <c r="C401" s="1447"/>
      <c r="D401" s="1322"/>
      <c r="E401" s="1322"/>
      <c r="F401" s="1322"/>
      <c r="G401" s="1323">
        <f>SUBTOTAL(9,G402:G407)</f>
        <v>19784198.919999998</v>
      </c>
      <c r="H401" s="1322"/>
      <c r="I401" s="1323"/>
      <c r="J401" s="1322"/>
      <c r="K401" s="1323">
        <f>SUBTOTAL(9,K402:K407)</f>
        <v>0</v>
      </c>
      <c r="L401" s="1322"/>
      <c r="M401" s="1324"/>
      <c r="N401" s="811"/>
      <c r="O401" s="260">
        <f t="shared" si="115"/>
        <v>0</v>
      </c>
      <c r="P401" s="260"/>
      <c r="Q401" s="262"/>
      <c r="R401" s="262"/>
    </row>
    <row r="402" spans="1:18" ht="26.4" outlineLevel="1">
      <c r="A402" s="317" t="s">
        <v>730</v>
      </c>
      <c r="B402" s="319" t="s">
        <v>1385</v>
      </c>
      <c r="C402" s="273" t="s">
        <v>1386</v>
      </c>
      <c r="D402" s="292" t="s">
        <v>816</v>
      </c>
      <c r="E402" s="279">
        <v>168995.77</v>
      </c>
      <c r="F402" s="280">
        <v>10</v>
      </c>
      <c r="G402" s="281">
        <f t="shared" ref="G402:G407" si="121">ROUND(F402*E402,2)</f>
        <v>1689957.7</v>
      </c>
      <c r="H402" s="282">
        <v>10</v>
      </c>
      <c r="I402" s="281">
        <f t="shared" ref="I402:I407" si="122">ROUND((E402*H402),2)</f>
        <v>1689957.7</v>
      </c>
      <c r="J402" s="277">
        <f>VLOOKUP(A402,'12 - CORPO'!$A$1:$R$5122,18,FALSE)</f>
        <v>0</v>
      </c>
      <c r="K402" s="278">
        <f t="shared" ref="K402:K407" si="123">M402-I402</f>
        <v>0</v>
      </c>
      <c r="L402" s="282">
        <f t="shared" ref="L402:L407" si="124">(H402+J402)</f>
        <v>10</v>
      </c>
      <c r="M402" s="281">
        <f t="shared" ref="M402:M407" si="125">ROUND((E402*L402),2)</f>
        <v>1689957.7</v>
      </c>
      <c r="N402" s="808"/>
      <c r="O402" s="260">
        <f t="shared" si="115"/>
        <v>0</v>
      </c>
      <c r="P402" s="260">
        <f t="shared" si="115"/>
        <v>0</v>
      </c>
      <c r="Q402" s="260"/>
      <c r="R402" s="260"/>
    </row>
    <row r="403" spans="1:18" ht="26.4" outlineLevel="1">
      <c r="A403" s="293" t="s">
        <v>731</v>
      </c>
      <c r="B403" s="318" t="s">
        <v>1387</v>
      </c>
      <c r="C403" s="294" t="s">
        <v>1388</v>
      </c>
      <c r="D403" s="292" t="s">
        <v>816</v>
      </c>
      <c r="E403" s="304">
        <v>407470.99</v>
      </c>
      <c r="F403" s="305">
        <v>8</v>
      </c>
      <c r="G403" s="281">
        <f t="shared" si="121"/>
        <v>3259767.92</v>
      </c>
      <c r="H403" s="306">
        <v>8</v>
      </c>
      <c r="I403" s="281">
        <f t="shared" si="122"/>
        <v>3259767.92</v>
      </c>
      <c r="J403" s="297">
        <f>VLOOKUP(A403,'12 - CORPO'!$A$1:$R$5122,18,FALSE)</f>
        <v>0</v>
      </c>
      <c r="K403" s="307">
        <f t="shared" si="123"/>
        <v>0</v>
      </c>
      <c r="L403" s="306">
        <f t="shared" si="124"/>
        <v>8</v>
      </c>
      <c r="M403" s="281">
        <f t="shared" si="125"/>
        <v>3259767.92</v>
      </c>
      <c r="N403" s="808"/>
      <c r="O403" s="260">
        <f t="shared" si="115"/>
        <v>0</v>
      </c>
      <c r="P403" s="260">
        <f t="shared" si="115"/>
        <v>0</v>
      </c>
      <c r="Q403" s="260"/>
      <c r="R403" s="260"/>
    </row>
    <row r="404" spans="1:18" outlineLevel="1">
      <c r="A404" s="293" t="s">
        <v>732</v>
      </c>
      <c r="B404" s="318" t="s">
        <v>1389</v>
      </c>
      <c r="C404" s="294" t="s">
        <v>1390</v>
      </c>
      <c r="D404" s="292" t="s">
        <v>816</v>
      </c>
      <c r="E404" s="304">
        <v>393940.24</v>
      </c>
      <c r="F404" s="305">
        <v>10</v>
      </c>
      <c r="G404" s="281">
        <f t="shared" si="121"/>
        <v>3939402.4</v>
      </c>
      <c r="H404" s="306">
        <v>10</v>
      </c>
      <c r="I404" s="281">
        <f t="shared" si="122"/>
        <v>3939402.4</v>
      </c>
      <c r="J404" s="297">
        <f>VLOOKUP(A404,'12 - CORPO'!$A$1:$R$5122,18,FALSE)</f>
        <v>0</v>
      </c>
      <c r="K404" s="307">
        <f t="shared" si="123"/>
        <v>0</v>
      </c>
      <c r="L404" s="306">
        <f t="shared" si="124"/>
        <v>10</v>
      </c>
      <c r="M404" s="281">
        <f t="shared" si="125"/>
        <v>3939402.4</v>
      </c>
      <c r="N404" s="808"/>
      <c r="O404" s="260">
        <f t="shared" si="115"/>
        <v>0</v>
      </c>
      <c r="P404" s="260">
        <f t="shared" si="115"/>
        <v>0</v>
      </c>
      <c r="Q404" s="260"/>
      <c r="R404" s="260"/>
    </row>
    <row r="405" spans="1:18" outlineLevel="1">
      <c r="A405" s="608" t="s">
        <v>733</v>
      </c>
      <c r="B405" s="609" t="s">
        <v>1391</v>
      </c>
      <c r="C405" s="610" t="s">
        <v>1392</v>
      </c>
      <c r="D405" s="586" t="s">
        <v>816</v>
      </c>
      <c r="E405" s="611">
        <v>35733.06</v>
      </c>
      <c r="F405" s="612">
        <v>10</v>
      </c>
      <c r="G405" s="613">
        <f t="shared" si="121"/>
        <v>357330.6</v>
      </c>
      <c r="H405" s="614">
        <v>10</v>
      </c>
      <c r="I405" s="613">
        <f t="shared" si="122"/>
        <v>357330.6</v>
      </c>
      <c r="J405" s="615">
        <f>VLOOKUP(A405,'12 - CORPO'!$A$1:$R$5122,18,FALSE)</f>
        <v>0</v>
      </c>
      <c r="K405" s="616">
        <f t="shared" si="123"/>
        <v>0</v>
      </c>
      <c r="L405" s="614">
        <f t="shared" si="124"/>
        <v>10</v>
      </c>
      <c r="M405" s="613">
        <f t="shared" si="125"/>
        <v>357330.6</v>
      </c>
      <c r="N405" s="808"/>
      <c r="O405" s="260">
        <f t="shared" si="115"/>
        <v>0</v>
      </c>
      <c r="P405" s="260">
        <f t="shared" si="115"/>
        <v>0</v>
      </c>
      <c r="Q405" s="260"/>
      <c r="R405" s="260"/>
    </row>
    <row r="406" spans="1:18" ht="39.6" outlineLevel="1">
      <c r="A406" s="317" t="s">
        <v>734</v>
      </c>
      <c r="B406" s="319" t="s">
        <v>1393</v>
      </c>
      <c r="C406" s="273" t="s">
        <v>1394</v>
      </c>
      <c r="D406" s="292" t="s">
        <v>816</v>
      </c>
      <c r="E406" s="279">
        <v>1293726.54</v>
      </c>
      <c r="F406" s="280">
        <v>8</v>
      </c>
      <c r="G406" s="281">
        <f t="shared" si="121"/>
        <v>10349812.32</v>
      </c>
      <c r="H406" s="282">
        <v>6.4</v>
      </c>
      <c r="I406" s="281">
        <f t="shared" si="122"/>
        <v>8279849.8600000003</v>
      </c>
      <c r="J406" s="282">
        <f>VLOOKUP(A406,'12 - CORPO'!$A$1:$R$5122,18,FALSE)</f>
        <v>0</v>
      </c>
      <c r="K406" s="278">
        <f t="shared" si="123"/>
        <v>0</v>
      </c>
      <c r="L406" s="282">
        <f t="shared" si="124"/>
        <v>6.4</v>
      </c>
      <c r="M406" s="281">
        <f t="shared" si="125"/>
        <v>8279849.8600000003</v>
      </c>
      <c r="N406" s="808"/>
      <c r="O406" s="260">
        <f t="shared" si="115"/>
        <v>1.5999999999999996</v>
      </c>
      <c r="P406" s="260">
        <f t="shared" si="115"/>
        <v>2069962.46</v>
      </c>
      <c r="Q406" s="260"/>
      <c r="R406" s="260"/>
    </row>
    <row r="407" spans="1:18" ht="39.6" outlineLevel="1">
      <c r="A407" s="584" t="s">
        <v>735</v>
      </c>
      <c r="B407" s="595" t="s">
        <v>1395</v>
      </c>
      <c r="C407" s="585" t="s">
        <v>1396</v>
      </c>
      <c r="D407" s="586" t="s">
        <v>816</v>
      </c>
      <c r="E407" s="622">
        <v>187927.98</v>
      </c>
      <c r="F407" s="623">
        <v>1</v>
      </c>
      <c r="G407" s="613">
        <f t="shared" si="121"/>
        <v>187927.98</v>
      </c>
      <c r="H407" s="624">
        <v>1</v>
      </c>
      <c r="I407" s="613">
        <f t="shared" si="122"/>
        <v>187927.98</v>
      </c>
      <c r="J407" s="590">
        <f>VLOOKUP(A407,'12 - CORPO'!$A$1:$R$5122,18,FALSE)</f>
        <v>0</v>
      </c>
      <c r="K407" s="625">
        <f t="shared" si="123"/>
        <v>0</v>
      </c>
      <c r="L407" s="624">
        <f t="shared" si="124"/>
        <v>1</v>
      </c>
      <c r="M407" s="613">
        <f t="shared" si="125"/>
        <v>187927.98</v>
      </c>
      <c r="N407" s="808"/>
      <c r="O407" s="260">
        <f t="shared" si="115"/>
        <v>0</v>
      </c>
      <c r="P407" s="260">
        <f t="shared" si="115"/>
        <v>0</v>
      </c>
      <c r="Q407" s="260"/>
      <c r="R407" s="260"/>
    </row>
    <row r="408" spans="1:18" ht="19.95" customHeight="1">
      <c r="A408" s="1320" t="s">
        <v>736</v>
      </c>
      <c r="B408" s="1447" t="s">
        <v>1397</v>
      </c>
      <c r="C408" s="1447"/>
      <c r="D408" s="1322"/>
      <c r="E408" s="1322"/>
      <c r="F408" s="1322"/>
      <c r="G408" s="1323">
        <f>SUBTOTAL(9,G409:G415)</f>
        <v>286454.77999999997</v>
      </c>
      <c r="H408" s="1322"/>
      <c r="I408" s="1323"/>
      <c r="J408" s="1322"/>
      <c r="K408" s="1322"/>
      <c r="L408" s="1322"/>
      <c r="M408" s="1324"/>
      <c r="N408" s="811"/>
      <c r="O408" s="260">
        <f t="shared" si="115"/>
        <v>0</v>
      </c>
      <c r="P408" s="260"/>
      <c r="Q408" s="262"/>
      <c r="R408" s="262"/>
    </row>
    <row r="409" spans="1:18" outlineLevel="1">
      <c r="A409" s="617" t="s">
        <v>737</v>
      </c>
      <c r="B409" s="594" t="s">
        <v>1398</v>
      </c>
      <c r="C409" s="284" t="s">
        <v>1399</v>
      </c>
      <c r="D409" s="285" t="s">
        <v>816</v>
      </c>
      <c r="E409" s="618">
        <v>6649.37</v>
      </c>
      <c r="F409" s="619">
        <v>10</v>
      </c>
      <c r="G409" s="620">
        <f t="shared" ref="G409:G415" si="126">ROUND(F409*E409,2)</f>
        <v>66493.7</v>
      </c>
      <c r="H409" s="621">
        <v>10</v>
      </c>
      <c r="I409" s="620">
        <f t="shared" ref="I409:I415" si="127">ROUND((E409*H409),2)</f>
        <v>66493.7</v>
      </c>
      <c r="J409" s="289">
        <f>VLOOKUP(A409,'12 - CORPO'!$A$1:$R$5122,18,FALSE)</f>
        <v>0</v>
      </c>
      <c r="K409" s="290">
        <f t="shared" ref="K409:K415" si="128">M409-I409</f>
        <v>0</v>
      </c>
      <c r="L409" s="621">
        <f t="shared" ref="L409:L415" si="129">(H409+J409)</f>
        <v>10</v>
      </c>
      <c r="M409" s="620">
        <f t="shared" ref="M409:M415" si="130">ROUND((E409*L409),2)</f>
        <v>66493.7</v>
      </c>
      <c r="N409" s="808"/>
      <c r="O409" s="260">
        <f t="shared" si="115"/>
        <v>0</v>
      </c>
      <c r="P409" s="260">
        <f t="shared" si="115"/>
        <v>0</v>
      </c>
      <c r="Q409" s="260"/>
      <c r="R409" s="260"/>
    </row>
    <row r="410" spans="1:18" ht="31.5" customHeight="1" outlineLevel="1">
      <c r="A410" s="293" t="s">
        <v>738</v>
      </c>
      <c r="B410" s="318" t="s">
        <v>1400</v>
      </c>
      <c r="C410" s="294" t="s">
        <v>1401</v>
      </c>
      <c r="D410" s="292" t="s">
        <v>816</v>
      </c>
      <c r="E410" s="304">
        <v>6736.05</v>
      </c>
      <c r="F410" s="305">
        <v>8</v>
      </c>
      <c r="G410" s="281">
        <f t="shared" si="126"/>
        <v>53888.4</v>
      </c>
      <c r="H410" s="306">
        <v>8</v>
      </c>
      <c r="I410" s="281">
        <f t="shared" si="127"/>
        <v>53888.4</v>
      </c>
      <c r="J410" s="297">
        <f>VLOOKUP(A410,'12 - CORPO'!$A$1:$R$5122,18,FALSE)</f>
        <v>0</v>
      </c>
      <c r="K410" s="307">
        <f t="shared" si="128"/>
        <v>0</v>
      </c>
      <c r="L410" s="306">
        <f t="shared" si="129"/>
        <v>8</v>
      </c>
      <c r="M410" s="281">
        <f t="shared" si="130"/>
        <v>53888.4</v>
      </c>
      <c r="N410" s="808"/>
      <c r="O410" s="260">
        <f t="shared" si="115"/>
        <v>0</v>
      </c>
      <c r="P410" s="260">
        <f t="shared" si="115"/>
        <v>0</v>
      </c>
      <c r="Q410" s="260"/>
      <c r="R410" s="260"/>
    </row>
    <row r="411" spans="1:18" outlineLevel="1">
      <c r="A411" s="293" t="s">
        <v>739</v>
      </c>
      <c r="B411" s="318" t="s">
        <v>1402</v>
      </c>
      <c r="C411" s="294" t="s">
        <v>1403</v>
      </c>
      <c r="D411" s="292" t="s">
        <v>816</v>
      </c>
      <c r="E411" s="304">
        <v>4731.29</v>
      </c>
      <c r="F411" s="305">
        <v>10</v>
      </c>
      <c r="G411" s="281">
        <f t="shared" si="126"/>
        <v>47312.9</v>
      </c>
      <c r="H411" s="306">
        <v>10</v>
      </c>
      <c r="I411" s="281">
        <f t="shared" si="127"/>
        <v>47312.9</v>
      </c>
      <c r="J411" s="297">
        <f>VLOOKUP(A411,'12 - CORPO'!$A$1:$R$5122,18,FALSE)</f>
        <v>0</v>
      </c>
      <c r="K411" s="307">
        <f t="shared" si="128"/>
        <v>0</v>
      </c>
      <c r="L411" s="306">
        <f t="shared" si="129"/>
        <v>10</v>
      </c>
      <c r="M411" s="281">
        <f t="shared" si="130"/>
        <v>47312.9</v>
      </c>
      <c r="N411" s="808"/>
      <c r="O411" s="260">
        <f t="shared" si="115"/>
        <v>0</v>
      </c>
      <c r="P411" s="260">
        <f t="shared" si="115"/>
        <v>0</v>
      </c>
      <c r="Q411" s="260"/>
      <c r="R411" s="260"/>
    </row>
    <row r="412" spans="1:18" outlineLevel="1">
      <c r="A412" s="317" t="s">
        <v>740</v>
      </c>
      <c r="B412" s="319" t="s">
        <v>1404</v>
      </c>
      <c r="C412" s="273" t="s">
        <v>1405</v>
      </c>
      <c r="D412" s="292" t="s">
        <v>816</v>
      </c>
      <c r="E412" s="279">
        <v>2530.42</v>
      </c>
      <c r="F412" s="280">
        <v>10</v>
      </c>
      <c r="G412" s="281">
        <f t="shared" si="126"/>
        <v>25304.2</v>
      </c>
      <c r="H412" s="282">
        <v>10</v>
      </c>
      <c r="I412" s="281">
        <f>ROUND((E412*H412),2)</f>
        <v>25304.2</v>
      </c>
      <c r="J412" s="277">
        <f>VLOOKUP(A412,'12 - CORPO'!$A$1:$R$5122,18,FALSE)</f>
        <v>0</v>
      </c>
      <c r="K412" s="278">
        <f t="shared" si="128"/>
        <v>0</v>
      </c>
      <c r="L412" s="282">
        <f t="shared" si="129"/>
        <v>10</v>
      </c>
      <c r="M412" s="281">
        <f t="shared" si="130"/>
        <v>25304.2</v>
      </c>
      <c r="N412" s="808"/>
      <c r="O412" s="260">
        <f t="shared" si="115"/>
        <v>0</v>
      </c>
      <c r="P412" s="260">
        <f t="shared" si="115"/>
        <v>0</v>
      </c>
      <c r="Q412" s="260"/>
      <c r="R412" s="260"/>
    </row>
    <row r="413" spans="1:18" ht="39.6" outlineLevel="1">
      <c r="A413" s="293" t="s">
        <v>741</v>
      </c>
      <c r="B413" s="318" t="s">
        <v>1406</v>
      </c>
      <c r="C413" s="294" t="s">
        <v>1407</v>
      </c>
      <c r="D413" s="292" t="s">
        <v>816</v>
      </c>
      <c r="E413" s="304">
        <v>9168.7999999999993</v>
      </c>
      <c r="F413" s="305">
        <v>8</v>
      </c>
      <c r="G413" s="281">
        <f t="shared" si="126"/>
        <v>73350.399999999994</v>
      </c>
      <c r="H413" s="306">
        <v>8</v>
      </c>
      <c r="I413" s="281">
        <f t="shared" si="127"/>
        <v>73350.399999999994</v>
      </c>
      <c r="J413" s="306">
        <f>VLOOKUP(A413,'12 - CORPO'!$A$1:$R$5122,18,FALSE)</f>
        <v>0</v>
      </c>
      <c r="K413" s="307">
        <f t="shared" si="128"/>
        <v>0</v>
      </c>
      <c r="L413" s="306">
        <f t="shared" si="129"/>
        <v>8</v>
      </c>
      <c r="M413" s="281">
        <f t="shared" si="130"/>
        <v>73350.399999999994</v>
      </c>
      <c r="N413" s="808"/>
      <c r="O413" s="260">
        <f t="shared" si="115"/>
        <v>0</v>
      </c>
      <c r="P413" s="260">
        <f t="shared" si="115"/>
        <v>0</v>
      </c>
      <c r="Q413" s="260"/>
      <c r="R413" s="260"/>
    </row>
    <row r="414" spans="1:18" ht="26.4" outlineLevel="1">
      <c r="A414" s="293" t="s">
        <v>742</v>
      </c>
      <c r="B414" s="318" t="s">
        <v>1408</v>
      </c>
      <c r="C414" s="294" t="s">
        <v>1409</v>
      </c>
      <c r="D414" s="292" t="s">
        <v>816</v>
      </c>
      <c r="E414" s="304">
        <v>6840.58</v>
      </c>
      <c r="F414" s="305">
        <v>1</v>
      </c>
      <c r="G414" s="281">
        <f t="shared" si="126"/>
        <v>6840.58</v>
      </c>
      <c r="H414" s="306">
        <v>1</v>
      </c>
      <c r="I414" s="281">
        <f t="shared" si="127"/>
        <v>6840.58</v>
      </c>
      <c r="J414" s="297">
        <f>VLOOKUP(A414,'12 - CORPO'!$A$1:$R$5122,18,FALSE)</f>
        <v>0</v>
      </c>
      <c r="K414" s="307">
        <f t="shared" si="128"/>
        <v>0</v>
      </c>
      <c r="L414" s="306">
        <f t="shared" si="129"/>
        <v>1</v>
      </c>
      <c r="M414" s="281">
        <f t="shared" si="130"/>
        <v>6840.58</v>
      </c>
      <c r="N414" s="808"/>
      <c r="O414" s="260">
        <f t="shared" si="115"/>
        <v>0</v>
      </c>
      <c r="P414" s="260">
        <f t="shared" si="115"/>
        <v>0</v>
      </c>
      <c r="Q414" s="260"/>
      <c r="R414" s="260"/>
    </row>
    <row r="415" spans="1:18" ht="26.4" outlineLevel="1">
      <c r="A415" s="681" t="s">
        <v>743</v>
      </c>
      <c r="B415" s="682" t="s">
        <v>1410</v>
      </c>
      <c r="C415" s="683" t="s">
        <v>1411</v>
      </c>
      <c r="D415" s="664" t="s">
        <v>816</v>
      </c>
      <c r="E415" s="684">
        <v>1326.46</v>
      </c>
      <c r="F415" s="685">
        <v>10</v>
      </c>
      <c r="G415" s="667">
        <f t="shared" si="126"/>
        <v>13264.6</v>
      </c>
      <c r="H415" s="686">
        <v>10</v>
      </c>
      <c r="I415" s="667">
        <f t="shared" si="127"/>
        <v>13264.6</v>
      </c>
      <c r="J415" s="687">
        <f>VLOOKUP(A415,'12 - CORPO'!$A$1:$R$5122,18,FALSE)</f>
        <v>0</v>
      </c>
      <c r="K415" s="688">
        <f t="shared" si="128"/>
        <v>0</v>
      </c>
      <c r="L415" s="686">
        <f t="shared" si="129"/>
        <v>10</v>
      </c>
      <c r="M415" s="667">
        <f t="shared" si="130"/>
        <v>13264.6</v>
      </c>
      <c r="N415" s="808"/>
      <c r="O415" s="260">
        <f t="shared" si="115"/>
        <v>0</v>
      </c>
      <c r="P415" s="260">
        <f t="shared" si="115"/>
        <v>0</v>
      </c>
      <c r="Q415" s="260"/>
      <c r="R415" s="260"/>
    </row>
    <row r="416" spans="1:18" ht="19.95" customHeight="1">
      <c r="A416" s="1320" t="s">
        <v>744</v>
      </c>
      <c r="B416" s="1447" t="s">
        <v>1412</v>
      </c>
      <c r="C416" s="1447"/>
      <c r="D416" s="1322"/>
      <c r="E416" s="1322"/>
      <c r="F416" s="1322"/>
      <c r="G416" s="1323">
        <f>SUBTOTAL(9,G417:G428)</f>
        <v>2121759.31</v>
      </c>
      <c r="H416" s="1322"/>
      <c r="I416" s="1323"/>
      <c r="J416" s="1322"/>
      <c r="K416" s="1322"/>
      <c r="L416" s="1322"/>
      <c r="M416" s="1324"/>
      <c r="N416" s="811"/>
      <c r="O416" s="262"/>
      <c r="P416" s="260"/>
      <c r="Q416" s="262"/>
      <c r="R416" s="262"/>
    </row>
    <row r="417" spans="1:18" ht="19.95" customHeight="1">
      <c r="A417" s="1320" t="s">
        <v>745</v>
      </c>
      <c r="B417" s="1447" t="s">
        <v>1413</v>
      </c>
      <c r="C417" s="1447"/>
      <c r="D417" s="1322"/>
      <c r="E417" s="1322"/>
      <c r="F417" s="1322"/>
      <c r="G417" s="1323">
        <f>SUBTOTAL(9,G418:G428)</f>
        <v>2121759.31</v>
      </c>
      <c r="H417" s="1322"/>
      <c r="I417" s="1323"/>
      <c r="J417" s="1322"/>
      <c r="K417" s="1322"/>
      <c r="L417" s="1322"/>
      <c r="M417" s="1323">
        <f>SUBTOTAL(9,M418:M428)</f>
        <v>2088921.3099999998</v>
      </c>
      <c r="N417" s="811"/>
      <c r="O417" s="628"/>
      <c r="P417" s="260"/>
      <c r="Q417" s="262"/>
      <c r="R417" s="262"/>
    </row>
    <row r="418" spans="1:18" ht="26.4" outlineLevel="1">
      <c r="A418" s="617" t="s">
        <v>746</v>
      </c>
      <c r="B418" s="594" t="s">
        <v>1414</v>
      </c>
      <c r="C418" s="284" t="s">
        <v>1415</v>
      </c>
      <c r="D418" s="285" t="s">
        <v>816</v>
      </c>
      <c r="E418" s="618">
        <v>22111.9</v>
      </c>
      <c r="F418" s="619"/>
      <c r="G418" s="620">
        <f t="shared" ref="G418:G424" si="131">ROUND(F418*E418,2)</f>
        <v>0</v>
      </c>
      <c r="H418" s="621"/>
      <c r="I418" s="620">
        <f t="shared" ref="I418:I424" si="132">ROUND((E418*H418),2)</f>
        <v>0</v>
      </c>
      <c r="J418" s="289">
        <f>VLOOKUP(A418,'12 - CORPO'!$A$1:$R$5122,18,FALSE)</f>
        <v>0</v>
      </c>
      <c r="K418" s="290">
        <f t="shared" ref="K418:K424" si="133">M418-I418</f>
        <v>0</v>
      </c>
      <c r="L418" s="621">
        <f t="shared" ref="L418:L424" si="134">(H418+J418)</f>
        <v>0</v>
      </c>
      <c r="M418" s="620">
        <f t="shared" ref="M418:M424" si="135">ROUND((E418*L418),2)</f>
        <v>0</v>
      </c>
      <c r="N418" s="808"/>
      <c r="O418" s="260">
        <f t="shared" ref="O418:O428" si="136">F418-L418</f>
        <v>0</v>
      </c>
      <c r="P418" s="260">
        <f t="shared" ref="P418:P463" si="137">G418-M418</f>
        <v>0</v>
      </c>
      <c r="Q418" s="260"/>
      <c r="R418" s="260"/>
    </row>
    <row r="419" spans="1:18" ht="26.4" outlineLevel="1">
      <c r="A419" s="293" t="s">
        <v>747</v>
      </c>
      <c r="B419" s="318" t="s">
        <v>1416</v>
      </c>
      <c r="C419" s="294" t="s">
        <v>1417</v>
      </c>
      <c r="D419" s="292" t="s">
        <v>816</v>
      </c>
      <c r="E419" s="304">
        <v>53569.24</v>
      </c>
      <c r="F419" s="305"/>
      <c r="G419" s="281">
        <f t="shared" si="131"/>
        <v>0</v>
      </c>
      <c r="H419" s="306"/>
      <c r="I419" s="281">
        <f t="shared" si="132"/>
        <v>0</v>
      </c>
      <c r="J419" s="297">
        <f>VLOOKUP(A419,'12 - CORPO'!$A$1:$R$5122,18,FALSE)</f>
        <v>0</v>
      </c>
      <c r="K419" s="307">
        <f t="shared" si="133"/>
        <v>0</v>
      </c>
      <c r="L419" s="306">
        <f t="shared" si="134"/>
        <v>0</v>
      </c>
      <c r="M419" s="281">
        <f t="shared" si="135"/>
        <v>0</v>
      </c>
      <c r="N419" s="808"/>
      <c r="O419" s="260">
        <f t="shared" si="136"/>
        <v>0</v>
      </c>
      <c r="P419" s="260">
        <f t="shared" si="137"/>
        <v>0</v>
      </c>
      <c r="Q419" s="260"/>
      <c r="R419" s="260"/>
    </row>
    <row r="420" spans="1:18" ht="26.4" outlineLevel="1">
      <c r="A420" s="293" t="s">
        <v>748</v>
      </c>
      <c r="B420" s="318" t="s">
        <v>1418</v>
      </c>
      <c r="C420" s="294" t="s">
        <v>1419</v>
      </c>
      <c r="D420" s="292" t="s">
        <v>816</v>
      </c>
      <c r="E420" s="304">
        <v>62939.040000000001</v>
      </c>
      <c r="F420" s="305"/>
      <c r="G420" s="281">
        <f t="shared" si="131"/>
        <v>0</v>
      </c>
      <c r="H420" s="306"/>
      <c r="I420" s="281">
        <f t="shared" si="132"/>
        <v>0</v>
      </c>
      <c r="J420" s="297">
        <f>VLOOKUP(A420,'12 - CORPO'!$A$1:$R$5122,18,FALSE)</f>
        <v>0</v>
      </c>
      <c r="K420" s="307">
        <f t="shared" si="133"/>
        <v>0</v>
      </c>
      <c r="L420" s="306">
        <f t="shared" si="134"/>
        <v>0</v>
      </c>
      <c r="M420" s="281">
        <f t="shared" si="135"/>
        <v>0</v>
      </c>
      <c r="N420" s="808"/>
      <c r="O420" s="260">
        <f t="shared" si="136"/>
        <v>0</v>
      </c>
      <c r="P420" s="260">
        <f t="shared" si="137"/>
        <v>0</v>
      </c>
      <c r="Q420" s="260"/>
      <c r="R420" s="260"/>
    </row>
    <row r="421" spans="1:18" ht="26.4" outlineLevel="1">
      <c r="A421" s="293" t="s">
        <v>749</v>
      </c>
      <c r="B421" s="318" t="s">
        <v>1420</v>
      </c>
      <c r="C421" s="294" t="s">
        <v>1421</v>
      </c>
      <c r="D421" s="292" t="s">
        <v>809</v>
      </c>
      <c r="E421" s="304">
        <v>49113.15</v>
      </c>
      <c r="F421" s="305">
        <v>30</v>
      </c>
      <c r="G421" s="281">
        <f t="shared" si="131"/>
        <v>1473394.5</v>
      </c>
      <c r="H421" s="306">
        <v>30</v>
      </c>
      <c r="I421" s="281">
        <f t="shared" si="132"/>
        <v>1473394.5</v>
      </c>
      <c r="J421" s="297">
        <f>VLOOKUP(A421,'12 - CORPO'!$A$1:$R$5122,18,FALSE)</f>
        <v>0</v>
      </c>
      <c r="K421" s="307">
        <f t="shared" si="133"/>
        <v>0</v>
      </c>
      <c r="L421" s="306">
        <f t="shared" si="134"/>
        <v>30</v>
      </c>
      <c r="M421" s="281">
        <f t="shared" si="135"/>
        <v>1473394.5</v>
      </c>
      <c r="N421" s="808"/>
      <c r="O421" s="260">
        <f t="shared" si="136"/>
        <v>0</v>
      </c>
      <c r="P421" s="260">
        <f t="shared" si="137"/>
        <v>0</v>
      </c>
      <c r="Q421" s="260"/>
      <c r="R421" s="260"/>
    </row>
    <row r="422" spans="1:18" ht="26.4" outlineLevel="1">
      <c r="A422" s="293" t="s">
        <v>750</v>
      </c>
      <c r="B422" s="318" t="s">
        <v>1422</v>
      </c>
      <c r="C422" s="294" t="s">
        <v>1423</v>
      </c>
      <c r="D422" s="292" t="s">
        <v>816</v>
      </c>
      <c r="E422" s="304">
        <v>16257.37</v>
      </c>
      <c r="F422" s="305"/>
      <c r="G422" s="281">
        <f t="shared" si="131"/>
        <v>0</v>
      </c>
      <c r="H422" s="306">
        <v>0</v>
      </c>
      <c r="I422" s="281">
        <f>ROUND((E422*H422),2)</f>
        <v>0</v>
      </c>
      <c r="J422" s="297">
        <f>VLOOKUP(A422,'12 - CORPO'!$A$1:$R$5122,18,FALSE)</f>
        <v>0</v>
      </c>
      <c r="K422" s="307">
        <f>M422-I422</f>
        <v>0</v>
      </c>
      <c r="L422" s="306">
        <f t="shared" si="134"/>
        <v>0</v>
      </c>
      <c r="M422" s="281">
        <f>ROUND((E422*L422),2)</f>
        <v>0</v>
      </c>
      <c r="N422" s="808"/>
      <c r="O422" s="260">
        <f t="shared" si="136"/>
        <v>0</v>
      </c>
      <c r="P422" s="260">
        <f t="shared" si="137"/>
        <v>0</v>
      </c>
      <c r="Q422" s="260"/>
      <c r="R422" s="260"/>
    </row>
    <row r="423" spans="1:18" ht="26.4" outlineLevel="1">
      <c r="A423" s="293" t="s">
        <v>751</v>
      </c>
      <c r="B423" s="318" t="s">
        <v>1424</v>
      </c>
      <c r="C423" s="294" t="s">
        <v>1425</v>
      </c>
      <c r="D423" s="292" t="s">
        <v>816</v>
      </c>
      <c r="E423" s="304">
        <v>62317.11</v>
      </c>
      <c r="F423" s="305"/>
      <c r="G423" s="281">
        <f t="shared" si="131"/>
        <v>0</v>
      </c>
      <c r="H423" s="306">
        <v>0</v>
      </c>
      <c r="I423" s="281">
        <f t="shared" si="132"/>
        <v>0</v>
      </c>
      <c r="J423" s="297">
        <f>VLOOKUP(A423,'12 - CORPO'!$A$1:$R$5122,18,FALSE)</f>
        <v>0</v>
      </c>
      <c r="K423" s="307">
        <f t="shared" si="133"/>
        <v>0</v>
      </c>
      <c r="L423" s="306">
        <f t="shared" si="134"/>
        <v>0</v>
      </c>
      <c r="M423" s="281">
        <f t="shared" si="135"/>
        <v>0</v>
      </c>
      <c r="N423" s="808"/>
      <c r="O423" s="260">
        <f t="shared" si="136"/>
        <v>0</v>
      </c>
      <c r="P423" s="260">
        <f t="shared" si="137"/>
        <v>0</v>
      </c>
      <c r="Q423" s="260"/>
      <c r="R423" s="260"/>
    </row>
    <row r="424" spans="1:18" ht="26.4" outlineLevel="1">
      <c r="A424" s="317" t="s">
        <v>752</v>
      </c>
      <c r="B424" s="319" t="s">
        <v>1426</v>
      </c>
      <c r="C424" s="273" t="s">
        <v>1427</v>
      </c>
      <c r="D424" s="292" t="s">
        <v>816</v>
      </c>
      <c r="E424" s="279">
        <v>16276.36</v>
      </c>
      <c r="F424" s="280"/>
      <c r="G424" s="281">
        <f t="shared" si="131"/>
        <v>0</v>
      </c>
      <c r="H424" s="282">
        <v>0</v>
      </c>
      <c r="I424" s="281">
        <f t="shared" si="132"/>
        <v>0</v>
      </c>
      <c r="J424" s="277">
        <f>VLOOKUP(A424,'12 - CORPO'!$A$1:$R$5122,18,FALSE)</f>
        <v>0</v>
      </c>
      <c r="K424" s="278">
        <f t="shared" si="133"/>
        <v>0</v>
      </c>
      <c r="L424" s="282">
        <f t="shared" si="134"/>
        <v>0</v>
      </c>
      <c r="M424" s="281">
        <f t="shared" si="135"/>
        <v>0</v>
      </c>
      <c r="N424" s="808"/>
      <c r="O424" s="260">
        <f t="shared" si="136"/>
        <v>0</v>
      </c>
      <c r="P424" s="260">
        <f t="shared" si="137"/>
        <v>0</v>
      </c>
      <c r="Q424" s="260"/>
      <c r="R424" s="260"/>
    </row>
    <row r="425" spans="1:18" ht="26.4" outlineLevel="1">
      <c r="A425" s="293" t="s">
        <v>753</v>
      </c>
      <c r="B425" s="318" t="s">
        <v>1428</v>
      </c>
      <c r="C425" s="294" t="s">
        <v>1429</v>
      </c>
      <c r="D425" s="292" t="s">
        <v>816</v>
      </c>
      <c r="E425" s="304">
        <v>34171.79</v>
      </c>
      <c r="F425" s="305">
        <v>10</v>
      </c>
      <c r="G425" s="281">
        <f>ROUND(F425*E425,2)</f>
        <v>341717.9</v>
      </c>
      <c r="H425" s="306">
        <v>10</v>
      </c>
      <c r="I425" s="281">
        <f>ROUND((E425*H425),2)</f>
        <v>341717.9</v>
      </c>
      <c r="J425" s="297">
        <f>VLOOKUP(A425,'12 - CORPO'!$A$1:$R$5122,18,FALSE)</f>
        <v>0</v>
      </c>
      <c r="K425" s="307">
        <f>M425-I425</f>
        <v>0</v>
      </c>
      <c r="L425" s="306">
        <f>(H425+J425)</f>
        <v>10</v>
      </c>
      <c r="M425" s="281">
        <f>ROUND((E425*L425),2)</f>
        <v>341717.9</v>
      </c>
      <c r="N425" s="808"/>
      <c r="O425" s="260">
        <f t="shared" si="136"/>
        <v>0</v>
      </c>
      <c r="P425" s="260">
        <f t="shared" si="137"/>
        <v>0</v>
      </c>
      <c r="Q425" s="260"/>
      <c r="R425" s="260"/>
    </row>
    <row r="426" spans="1:18" ht="26.4" outlineLevel="1">
      <c r="A426" s="584" t="s">
        <v>754</v>
      </c>
      <c r="B426" s="595" t="s">
        <v>1430</v>
      </c>
      <c r="C426" s="585" t="s">
        <v>1431</v>
      </c>
      <c r="D426" s="586" t="s">
        <v>1333</v>
      </c>
      <c r="E426" s="622">
        <v>656.76</v>
      </c>
      <c r="F426" s="623">
        <v>50</v>
      </c>
      <c r="G426" s="613">
        <f>ROUND(F426*E426,2)</f>
        <v>32838</v>
      </c>
      <c r="H426" s="624">
        <v>0</v>
      </c>
      <c r="I426" s="613">
        <f>ROUND((E426*H426),2)</f>
        <v>0</v>
      </c>
      <c r="J426" s="590">
        <f>VLOOKUP(A426,'12 - CORPO'!$A$1:$R$5122,18,FALSE)</f>
        <v>0</v>
      </c>
      <c r="K426" s="625">
        <f>M426-I426</f>
        <v>0</v>
      </c>
      <c r="L426" s="624">
        <f>(H426+J426)</f>
        <v>0</v>
      </c>
      <c r="M426" s="613">
        <f>ROUND((E426*L426),2)</f>
        <v>0</v>
      </c>
      <c r="N426" s="808"/>
      <c r="O426" s="260">
        <f t="shared" si="136"/>
        <v>50</v>
      </c>
      <c r="P426" s="260">
        <f t="shared" si="137"/>
        <v>32838</v>
      </c>
      <c r="Q426" s="260"/>
      <c r="R426" s="260"/>
    </row>
    <row r="427" spans="1:18" ht="26.4" outlineLevel="1">
      <c r="A427" s="317" t="s">
        <v>755</v>
      </c>
      <c r="B427" s="319" t="s">
        <v>1432</v>
      </c>
      <c r="C427" s="273" t="s">
        <v>1433</v>
      </c>
      <c r="D427" s="292" t="s">
        <v>816</v>
      </c>
      <c r="E427" s="279">
        <v>69.52</v>
      </c>
      <c r="F427" s="280">
        <v>1600</v>
      </c>
      <c r="G427" s="281">
        <f>ROUND(F427*E427,2)</f>
        <v>111232</v>
      </c>
      <c r="H427" s="282">
        <v>1600</v>
      </c>
      <c r="I427" s="281">
        <f>ROUND((E427*H427),2)</f>
        <v>111232</v>
      </c>
      <c r="J427" s="277">
        <f>VLOOKUP(A427,'12 - CORPO'!$A$1:$R$5122,18,FALSE)</f>
        <v>0</v>
      </c>
      <c r="K427" s="278">
        <f>M427-I427</f>
        <v>0</v>
      </c>
      <c r="L427" s="282">
        <f>(H427+J427)</f>
        <v>1600</v>
      </c>
      <c r="M427" s="281">
        <f>ROUND((E427*L427),2)</f>
        <v>111232</v>
      </c>
      <c r="N427" s="808"/>
      <c r="O427" s="260">
        <f t="shared" si="136"/>
        <v>0</v>
      </c>
      <c r="P427" s="260">
        <f t="shared" si="137"/>
        <v>0</v>
      </c>
      <c r="Q427" s="260"/>
      <c r="R427" s="260"/>
    </row>
    <row r="428" spans="1:18" ht="26.4" outlineLevel="1">
      <c r="A428" s="293" t="s">
        <v>756</v>
      </c>
      <c r="B428" s="318" t="s">
        <v>1434</v>
      </c>
      <c r="C428" s="294" t="s">
        <v>1435</v>
      </c>
      <c r="D428" s="292" t="s">
        <v>809</v>
      </c>
      <c r="E428" s="304">
        <v>554.87</v>
      </c>
      <c r="F428" s="305">
        <f>259.4+33.6</f>
        <v>293</v>
      </c>
      <c r="G428" s="281">
        <f>ROUND(F428*E428,2)</f>
        <v>162576.91</v>
      </c>
      <c r="H428" s="306">
        <v>293</v>
      </c>
      <c r="I428" s="281">
        <f>ROUND((E428*H428),2)</f>
        <v>162576.91</v>
      </c>
      <c r="J428" s="297">
        <f>VLOOKUP(A428,'12 - CORPO'!$A$1:$R$5122,18,FALSE)</f>
        <v>0</v>
      </c>
      <c r="K428" s="307">
        <f>M428-I428</f>
        <v>0</v>
      </c>
      <c r="L428" s="306">
        <f>(H428+J428)</f>
        <v>293</v>
      </c>
      <c r="M428" s="281">
        <f>ROUND((E428*L428),2)</f>
        <v>162576.91</v>
      </c>
      <c r="N428" s="808"/>
      <c r="O428" s="260">
        <f t="shared" si="136"/>
        <v>0</v>
      </c>
      <c r="P428" s="260">
        <f t="shared" si="137"/>
        <v>0</v>
      </c>
      <c r="Q428" s="260"/>
      <c r="R428" s="260"/>
    </row>
    <row r="429" spans="1:18" ht="19.95" customHeight="1">
      <c r="A429" s="1315"/>
      <c r="B429" s="1316"/>
      <c r="C429" s="1461" t="s">
        <v>1436</v>
      </c>
      <c r="D429" s="1462"/>
      <c r="E429" s="1462"/>
      <c r="F429" s="1463"/>
      <c r="G429" s="1317">
        <f>$G$400+$G$205+$G$203+$G$54+$G$32+$G$25</f>
        <v>33984502.199999996</v>
      </c>
      <c r="H429" s="1318"/>
      <c r="I429" s="1319">
        <f>SUBTOTAL(9,$I$25:$I$428)</f>
        <v>29894150.940000001</v>
      </c>
      <c r="J429" s="1318"/>
      <c r="K429" s="1319">
        <f>SUBTOTAL(9,$K$25:$K$428)</f>
        <v>11974.719999999987</v>
      </c>
      <c r="L429" s="1318"/>
      <c r="M429" s="1319">
        <f>SUBTOTAL(9,$M$25:$M$428)</f>
        <v>29906125.66</v>
      </c>
      <c r="N429" s="808"/>
      <c r="O429" s="260"/>
      <c r="P429" s="260"/>
      <c r="Q429" s="260"/>
      <c r="R429" s="260"/>
    </row>
    <row r="430" spans="1:18" ht="19.95" customHeight="1">
      <c r="A430" s="1307" t="s">
        <v>1437</v>
      </c>
      <c r="B430" s="1308"/>
      <c r="C430" s="1309"/>
      <c r="D430" s="1309"/>
      <c r="E430" s="1309"/>
      <c r="F430" s="1309"/>
      <c r="G430" s="1310"/>
      <c r="H430" s="1309"/>
      <c r="I430" s="1310"/>
      <c r="J430" s="1309"/>
      <c r="K430" s="1309"/>
      <c r="L430" s="1309"/>
      <c r="M430" s="1311"/>
      <c r="N430" s="808"/>
      <c r="O430" s="260"/>
      <c r="P430" s="260">
        <f t="shared" si="137"/>
        <v>0</v>
      </c>
      <c r="Q430" s="260"/>
      <c r="R430" s="260"/>
    </row>
    <row r="431" spans="1:18" ht="39.6" outlineLevel="1">
      <c r="A431" s="293" t="s">
        <v>287</v>
      </c>
      <c r="B431" s="318" t="s">
        <v>1438</v>
      </c>
      <c r="C431" s="294" t="s">
        <v>1439</v>
      </c>
      <c r="D431" s="292" t="s">
        <v>862</v>
      </c>
      <c r="E431" s="304">
        <v>53019.48</v>
      </c>
      <c r="F431" s="305">
        <v>6</v>
      </c>
      <c r="G431" s="281">
        <f>ROUND(F431*E431,2)</f>
        <v>318116.88</v>
      </c>
      <c r="H431" s="306"/>
      <c r="I431" s="281">
        <f>ROUND((E431*H431),2)</f>
        <v>0</v>
      </c>
      <c r="J431" s="297">
        <f>VLOOKUP(A431,'12 - CORPO'!$A$1:$R$5122,18,FALSE)</f>
        <v>2</v>
      </c>
      <c r="K431" s="307">
        <f>M431-I431</f>
        <v>106038.96</v>
      </c>
      <c r="L431" s="306">
        <f>(H431+J431)</f>
        <v>2</v>
      </c>
      <c r="M431" s="281">
        <f>ROUND((E431*L431),2)</f>
        <v>106038.96</v>
      </c>
      <c r="N431" s="808"/>
      <c r="O431" s="260"/>
      <c r="P431" s="260"/>
      <c r="Q431" s="260"/>
      <c r="R431" s="260"/>
    </row>
    <row r="432" spans="1:18" ht="19.95" customHeight="1">
      <c r="A432" s="1315"/>
      <c r="B432" s="1316"/>
      <c r="C432" s="1461" t="s">
        <v>1440</v>
      </c>
      <c r="D432" s="1462"/>
      <c r="E432" s="1462"/>
      <c r="F432" s="1463"/>
      <c r="G432" s="1317">
        <f>G431</f>
        <v>318116.88</v>
      </c>
      <c r="H432" s="1318"/>
      <c r="I432" s="1319">
        <f>I431</f>
        <v>0</v>
      </c>
      <c r="J432" s="1318"/>
      <c r="K432" s="1319">
        <f>SUBTOTAL(9,K431)</f>
        <v>106038.96</v>
      </c>
      <c r="L432" s="1318"/>
      <c r="M432" s="1319">
        <f>SUBTOTAL(9,M431)</f>
        <v>106038.96</v>
      </c>
      <c r="N432" s="808"/>
      <c r="O432" s="260"/>
      <c r="P432" s="260"/>
      <c r="Q432" s="260"/>
      <c r="R432" s="260"/>
    </row>
    <row r="433" spans="1:18" ht="19.95" customHeight="1">
      <c r="A433" s="1307" t="s">
        <v>1441</v>
      </c>
      <c r="B433" s="1308"/>
      <c r="C433" s="1309"/>
      <c r="D433" s="1309"/>
      <c r="E433" s="1309"/>
      <c r="F433" s="1309"/>
      <c r="G433" s="1310"/>
      <c r="H433" s="1309"/>
      <c r="I433" s="1310"/>
      <c r="J433" s="1309"/>
      <c r="K433" s="1309"/>
      <c r="L433" s="1309"/>
      <c r="M433" s="1311"/>
      <c r="N433" s="811"/>
      <c r="O433" s="262"/>
      <c r="P433" s="260"/>
      <c r="Q433" s="262"/>
      <c r="R433" s="262"/>
    </row>
    <row r="434" spans="1:18" ht="19.95" customHeight="1">
      <c r="A434" s="1312" t="s">
        <v>291</v>
      </c>
      <c r="B434" s="1448" t="s">
        <v>292</v>
      </c>
      <c r="C434" s="1448"/>
      <c r="D434" s="1309"/>
      <c r="E434" s="1309"/>
      <c r="F434" s="1309"/>
      <c r="G434" s="1310">
        <f>SUBTOTAL(9,G435:G463)</f>
        <v>8509327.5699999966</v>
      </c>
      <c r="H434" s="1309"/>
      <c r="I434" s="1310"/>
      <c r="J434" s="1309"/>
      <c r="K434" s="1310">
        <f>SUBTOTAL(9,K435:K463)</f>
        <v>0</v>
      </c>
      <c r="L434" s="1309"/>
      <c r="M434" s="1311"/>
      <c r="N434" s="811"/>
      <c r="O434" s="260">
        <f>F434-L434</f>
        <v>0</v>
      </c>
      <c r="P434" s="260"/>
      <c r="Q434" s="262"/>
      <c r="R434" s="262"/>
    </row>
    <row r="435" spans="1:18" outlineLevel="1">
      <c r="A435" s="293" t="s">
        <v>757</v>
      </c>
      <c r="B435" s="318">
        <v>7040100290</v>
      </c>
      <c r="C435" s="294" t="s">
        <v>1442</v>
      </c>
      <c r="D435" s="292" t="s">
        <v>853</v>
      </c>
      <c r="E435" s="304">
        <v>42.2</v>
      </c>
      <c r="F435" s="305">
        <v>39396</v>
      </c>
      <c r="G435" s="281">
        <f>ROUND(F435*E435,2)</f>
        <v>1662511.2</v>
      </c>
      <c r="H435" s="306">
        <v>39396</v>
      </c>
      <c r="I435" s="281">
        <f>ROUND((E435*H435),2)</f>
        <v>1662511.2</v>
      </c>
      <c r="J435" s="297">
        <f>VLOOKUP(A435,'12 - CORPO'!$A$1:$R$5122,18,FALSE)</f>
        <v>0</v>
      </c>
      <c r="K435" s="307">
        <f t="shared" ref="K435:K443" si="138">M435-I435</f>
        <v>0</v>
      </c>
      <c r="L435" s="306">
        <f t="shared" ref="L435:L443" si="139">(H435+J435)</f>
        <v>39396</v>
      </c>
      <c r="M435" s="281">
        <f t="shared" ref="M435:M443" si="140">ROUND((E435*L435),2)</f>
        <v>1662511.2</v>
      </c>
      <c r="N435" s="808"/>
      <c r="O435" s="260">
        <f>F435-L435</f>
        <v>0</v>
      </c>
      <c r="P435" s="260">
        <f t="shared" si="137"/>
        <v>0</v>
      </c>
      <c r="Q435" s="260"/>
      <c r="R435" s="260"/>
    </row>
    <row r="436" spans="1:18" ht="26.4" outlineLevel="1">
      <c r="A436" s="293" t="s">
        <v>758</v>
      </c>
      <c r="B436" s="318">
        <v>5914351</v>
      </c>
      <c r="C436" s="294" t="s">
        <v>1443</v>
      </c>
      <c r="D436" s="292" t="s">
        <v>853</v>
      </c>
      <c r="E436" s="304">
        <v>1.41</v>
      </c>
      <c r="F436" s="305">
        <v>45689.9</v>
      </c>
      <c r="G436" s="281">
        <f>ROUND(F436*E436,2)</f>
        <v>64422.76</v>
      </c>
      <c r="H436" s="306">
        <v>45689.900091999989</v>
      </c>
      <c r="I436" s="281">
        <f>ROUND((E436*H436),2)</f>
        <v>64422.76</v>
      </c>
      <c r="J436" s="297">
        <f>VLOOKUP(A436,'12 - CORPO'!$A$1:$R$5122,18,FALSE)</f>
        <v>0</v>
      </c>
      <c r="K436" s="307">
        <f t="shared" si="138"/>
        <v>0</v>
      </c>
      <c r="L436" s="306">
        <f t="shared" si="139"/>
        <v>45689.900091999989</v>
      </c>
      <c r="M436" s="281">
        <f t="shared" si="140"/>
        <v>64422.76</v>
      </c>
      <c r="N436" s="808"/>
      <c r="O436" s="260">
        <f t="shared" ref="O436:O458" si="141">F436-L436</f>
        <v>-9.1999987489543855E-5</v>
      </c>
      <c r="P436" s="260">
        <f t="shared" si="137"/>
        <v>0</v>
      </c>
      <c r="Q436" s="260"/>
      <c r="R436" s="260"/>
    </row>
    <row r="437" spans="1:18" outlineLevel="1">
      <c r="A437" s="293" t="s">
        <v>759</v>
      </c>
      <c r="B437" s="318">
        <v>7010100310</v>
      </c>
      <c r="C437" s="294" t="s">
        <v>1444</v>
      </c>
      <c r="D437" s="292" t="s">
        <v>862</v>
      </c>
      <c r="E437" s="304">
        <v>14645.14</v>
      </c>
      <c r="F437" s="305">
        <v>34</v>
      </c>
      <c r="G437" s="281">
        <f>ROUND(F437*E437,2)</f>
        <v>497934.76</v>
      </c>
      <c r="H437" s="306">
        <v>34</v>
      </c>
      <c r="I437" s="281">
        <f>ROUND((E437*H437),2)</f>
        <v>497934.76</v>
      </c>
      <c r="J437" s="297">
        <f>VLOOKUP(A437,'12 - CORPO'!$A$1:$R$5122,18,FALSE)</f>
        <v>0</v>
      </c>
      <c r="K437" s="307">
        <f t="shared" si="138"/>
        <v>0</v>
      </c>
      <c r="L437" s="306">
        <f t="shared" si="139"/>
        <v>34</v>
      </c>
      <c r="M437" s="281">
        <f t="shared" si="140"/>
        <v>497934.76</v>
      </c>
      <c r="N437" s="808"/>
      <c r="O437" s="260">
        <f t="shared" si="141"/>
        <v>0</v>
      </c>
      <c r="P437" s="260">
        <f t="shared" si="137"/>
        <v>0</v>
      </c>
      <c r="Q437" s="260"/>
      <c r="R437" s="260"/>
    </row>
    <row r="438" spans="1:18" outlineLevel="1">
      <c r="A438" s="293" t="s">
        <v>760</v>
      </c>
      <c r="B438" s="318">
        <v>7010100290</v>
      </c>
      <c r="C438" s="294" t="s">
        <v>1445</v>
      </c>
      <c r="D438" s="292" t="s">
        <v>862</v>
      </c>
      <c r="E438" s="304">
        <v>7730.67</v>
      </c>
      <c r="F438" s="305">
        <v>11</v>
      </c>
      <c r="G438" s="281">
        <f>ROUND(F438*E438,2)</f>
        <v>85037.37</v>
      </c>
      <c r="H438" s="306">
        <v>11</v>
      </c>
      <c r="I438" s="281">
        <f>ROUND((E438*H438),2)</f>
        <v>85037.37</v>
      </c>
      <c r="J438" s="297">
        <f>VLOOKUP(A438,'12 - CORPO'!$A$1:$R$5122,18,FALSE)</f>
        <v>0</v>
      </c>
      <c r="K438" s="307">
        <f t="shared" si="138"/>
        <v>0</v>
      </c>
      <c r="L438" s="306">
        <f t="shared" si="139"/>
        <v>11</v>
      </c>
      <c r="M438" s="281">
        <f t="shared" si="140"/>
        <v>85037.37</v>
      </c>
      <c r="N438" s="808"/>
      <c r="O438" s="260">
        <f t="shared" si="141"/>
        <v>0</v>
      </c>
      <c r="P438" s="260">
        <f t="shared" si="137"/>
        <v>0</v>
      </c>
      <c r="Q438" s="260"/>
      <c r="R438" s="260"/>
    </row>
    <row r="439" spans="1:18" ht="26.4" outlineLevel="1">
      <c r="A439" s="293" t="s">
        <v>761</v>
      </c>
      <c r="B439" s="318" t="s">
        <v>1446</v>
      </c>
      <c r="C439" s="294" t="s">
        <v>1447</v>
      </c>
      <c r="D439" s="292" t="s">
        <v>1448</v>
      </c>
      <c r="E439" s="304">
        <v>20.14</v>
      </c>
      <c r="F439" s="305">
        <v>175440</v>
      </c>
      <c r="G439" s="281">
        <f t="shared" ref="G439:G459" si="142">ROUND(F439*E439,2)</f>
        <v>3533361.6</v>
      </c>
      <c r="H439" s="306">
        <v>175439.99999999997</v>
      </c>
      <c r="I439" s="281">
        <f t="shared" ref="I439:I449" si="143">ROUND((E439*H439),2)</f>
        <v>3533361.6</v>
      </c>
      <c r="J439" s="297">
        <f>VLOOKUP(A439,'12 - CORPO'!$A$1:$R$5122,18,FALSE)</f>
        <v>0</v>
      </c>
      <c r="K439" s="307">
        <f t="shared" si="138"/>
        <v>0</v>
      </c>
      <c r="L439" s="306">
        <f t="shared" si="139"/>
        <v>175439.99999999997</v>
      </c>
      <c r="M439" s="281">
        <f t="shared" si="140"/>
        <v>3533361.6</v>
      </c>
      <c r="N439" s="808"/>
      <c r="O439" s="260">
        <f t="shared" si="141"/>
        <v>0</v>
      </c>
      <c r="P439" s="260">
        <f t="shared" si="137"/>
        <v>0</v>
      </c>
      <c r="Q439" s="260"/>
      <c r="R439" s="260"/>
    </row>
    <row r="440" spans="1:18" ht="26.4" outlineLevel="1">
      <c r="A440" s="293" t="s">
        <v>762</v>
      </c>
      <c r="B440" s="318">
        <v>100324</v>
      </c>
      <c r="C440" s="294" t="s">
        <v>1449</v>
      </c>
      <c r="D440" s="292" t="s">
        <v>853</v>
      </c>
      <c r="E440" s="304">
        <v>106.77</v>
      </c>
      <c r="F440" s="305">
        <v>0</v>
      </c>
      <c r="G440" s="281">
        <f t="shared" si="142"/>
        <v>0</v>
      </c>
      <c r="H440" s="306">
        <v>0</v>
      </c>
      <c r="I440" s="281">
        <f t="shared" si="143"/>
        <v>0</v>
      </c>
      <c r="J440" s="297">
        <f>VLOOKUP(A440,'12 - CORPO'!$A$1:$R$5122,18,FALSE)</f>
        <v>0</v>
      </c>
      <c r="K440" s="307">
        <f t="shared" si="138"/>
        <v>0</v>
      </c>
      <c r="L440" s="306">
        <f t="shared" si="139"/>
        <v>0</v>
      </c>
      <c r="M440" s="281">
        <f t="shared" si="140"/>
        <v>0</v>
      </c>
      <c r="N440" s="808"/>
      <c r="O440" s="260">
        <f t="shared" si="141"/>
        <v>0</v>
      </c>
      <c r="P440" s="260">
        <f t="shared" si="137"/>
        <v>0</v>
      </c>
      <c r="Q440" s="260"/>
      <c r="R440" s="260"/>
    </row>
    <row r="441" spans="1:18" ht="26.4" outlineLevel="1">
      <c r="A441" s="293" t="s">
        <v>763</v>
      </c>
      <c r="B441" s="318">
        <v>4011562</v>
      </c>
      <c r="C441" s="294" t="s">
        <v>1450</v>
      </c>
      <c r="D441" s="292" t="s">
        <v>853</v>
      </c>
      <c r="E441" s="304">
        <v>28.68</v>
      </c>
      <c r="F441" s="305">
        <v>885.87</v>
      </c>
      <c r="G441" s="281">
        <f t="shared" si="142"/>
        <v>25406.75</v>
      </c>
      <c r="H441" s="306">
        <v>885.87</v>
      </c>
      <c r="I441" s="281">
        <f t="shared" si="143"/>
        <v>25406.75</v>
      </c>
      <c r="J441" s="297">
        <f>VLOOKUP(A441,'12 - CORPO'!$A$1:$R$5122,18,FALSE)</f>
        <v>0</v>
      </c>
      <c r="K441" s="307">
        <f t="shared" si="138"/>
        <v>0</v>
      </c>
      <c r="L441" s="306">
        <f t="shared" si="139"/>
        <v>885.87</v>
      </c>
      <c r="M441" s="281">
        <f t="shared" si="140"/>
        <v>25406.75</v>
      </c>
      <c r="N441" s="808"/>
      <c r="O441" s="260">
        <f t="shared" si="141"/>
        <v>0</v>
      </c>
      <c r="P441" s="260">
        <f t="shared" si="137"/>
        <v>0</v>
      </c>
      <c r="Q441" s="260"/>
      <c r="R441" s="260"/>
    </row>
    <row r="442" spans="1:18" ht="26.4" outlineLevel="1">
      <c r="A442" s="293" t="s">
        <v>764</v>
      </c>
      <c r="B442" s="318">
        <v>40639</v>
      </c>
      <c r="C442" s="294" t="s">
        <v>1451</v>
      </c>
      <c r="D442" s="292" t="s">
        <v>809</v>
      </c>
      <c r="E442" s="304">
        <v>399.79</v>
      </c>
      <c r="F442" s="305">
        <v>0</v>
      </c>
      <c r="G442" s="281">
        <f t="shared" si="142"/>
        <v>0</v>
      </c>
      <c r="H442" s="306">
        <v>0</v>
      </c>
      <c r="I442" s="281">
        <f t="shared" si="143"/>
        <v>0</v>
      </c>
      <c r="J442" s="297">
        <f>VLOOKUP(A442,'12 - CORPO'!$A$1:$R$5122,18,FALSE)</f>
        <v>0</v>
      </c>
      <c r="K442" s="307">
        <f t="shared" si="138"/>
        <v>0</v>
      </c>
      <c r="L442" s="306">
        <f t="shared" si="139"/>
        <v>0</v>
      </c>
      <c r="M442" s="281">
        <f t="shared" si="140"/>
        <v>0</v>
      </c>
      <c r="N442" s="808"/>
      <c r="O442" s="260">
        <f t="shared" si="141"/>
        <v>0</v>
      </c>
      <c r="P442" s="260">
        <f t="shared" si="137"/>
        <v>0</v>
      </c>
      <c r="Q442" s="260"/>
      <c r="R442" s="260"/>
    </row>
    <row r="443" spans="1:18" ht="26.4" outlineLevel="1">
      <c r="A443" s="293" t="s">
        <v>765</v>
      </c>
      <c r="B443" s="318" t="s">
        <v>1452</v>
      </c>
      <c r="C443" s="294" t="s">
        <v>1453</v>
      </c>
      <c r="D443" s="292" t="s">
        <v>821</v>
      </c>
      <c r="E443" s="304">
        <v>14.36</v>
      </c>
      <c r="F443" s="305">
        <v>1959.2</v>
      </c>
      <c r="G443" s="281">
        <f t="shared" si="142"/>
        <v>28134.11</v>
      </c>
      <c r="H443" s="306">
        <v>1959.2</v>
      </c>
      <c r="I443" s="281">
        <f t="shared" si="143"/>
        <v>28134.11</v>
      </c>
      <c r="J443" s="297">
        <f>VLOOKUP(A443,'12 - CORPO'!$A$1:$R$5122,18,FALSE)</f>
        <v>0</v>
      </c>
      <c r="K443" s="307">
        <f t="shared" si="138"/>
        <v>0</v>
      </c>
      <c r="L443" s="306">
        <f t="shared" si="139"/>
        <v>1959.2</v>
      </c>
      <c r="M443" s="281">
        <f t="shared" si="140"/>
        <v>28134.11</v>
      </c>
      <c r="N443" s="808"/>
      <c r="O443" s="260">
        <f t="shared" si="141"/>
        <v>0</v>
      </c>
      <c r="P443" s="260">
        <f t="shared" si="137"/>
        <v>0</v>
      </c>
      <c r="Q443" s="260"/>
      <c r="R443" s="260"/>
    </row>
    <row r="444" spans="1:18" outlineLevel="1">
      <c r="A444" s="293" t="s">
        <v>766</v>
      </c>
      <c r="B444" s="318">
        <v>2003838</v>
      </c>
      <c r="C444" s="294" t="s">
        <v>1454</v>
      </c>
      <c r="D444" s="292" t="s">
        <v>809</v>
      </c>
      <c r="E444" s="304">
        <v>631.57000000000005</v>
      </c>
      <c r="F444" s="305">
        <v>42.5</v>
      </c>
      <c r="G444" s="281">
        <f t="shared" si="142"/>
        <v>26841.73</v>
      </c>
      <c r="H444" s="306">
        <v>42.5</v>
      </c>
      <c r="I444" s="281">
        <f t="shared" si="143"/>
        <v>26841.73</v>
      </c>
      <c r="J444" s="297">
        <f>VLOOKUP(A444,'12 - CORPO'!$A$1:$R$5122,18,FALSE)</f>
        <v>0</v>
      </c>
      <c r="K444" s="307">
        <f t="shared" ref="K444:K447" si="144">M444-I444</f>
        <v>0</v>
      </c>
      <c r="L444" s="306">
        <f t="shared" ref="L444:L449" si="145">(H444+J444)</f>
        <v>42.5</v>
      </c>
      <c r="M444" s="281">
        <f t="shared" ref="M444:M449" si="146">ROUND((E444*L444),2)</f>
        <v>26841.73</v>
      </c>
      <c r="N444" s="808"/>
      <c r="O444" s="260">
        <f t="shared" si="141"/>
        <v>0</v>
      </c>
      <c r="P444" s="260">
        <f t="shared" si="137"/>
        <v>0</v>
      </c>
      <c r="Q444" s="260"/>
      <c r="R444" s="260"/>
    </row>
    <row r="445" spans="1:18" ht="26.4" outlineLevel="1">
      <c r="A445" s="293" t="s">
        <v>767</v>
      </c>
      <c r="B445" s="318">
        <v>4016096</v>
      </c>
      <c r="C445" s="294" t="s">
        <v>1455</v>
      </c>
      <c r="D445" s="292" t="s">
        <v>853</v>
      </c>
      <c r="E445" s="304">
        <v>0.98</v>
      </c>
      <c r="F445" s="305">
        <v>18691.39</v>
      </c>
      <c r="G445" s="281">
        <f t="shared" si="142"/>
        <v>18317.560000000001</v>
      </c>
      <c r="H445" s="306">
        <v>18691.393</v>
      </c>
      <c r="I445" s="281">
        <f t="shared" si="143"/>
        <v>18317.57</v>
      </c>
      <c r="J445" s="297">
        <f>VLOOKUP(A445,'12 - CORPO'!$A$1:$R$5122,18,FALSE)</f>
        <v>0</v>
      </c>
      <c r="K445" s="307">
        <f t="shared" si="144"/>
        <v>0</v>
      </c>
      <c r="L445" s="306">
        <f t="shared" si="145"/>
        <v>18691.393</v>
      </c>
      <c r="M445" s="281">
        <f t="shared" si="146"/>
        <v>18317.57</v>
      </c>
      <c r="N445" s="808"/>
      <c r="O445" s="260">
        <f t="shared" si="141"/>
        <v>-3.0000000006111804E-3</v>
      </c>
      <c r="P445" s="260">
        <f t="shared" si="137"/>
        <v>-9.9999999983992893E-3</v>
      </c>
      <c r="Q445" s="260"/>
      <c r="R445" s="260"/>
    </row>
    <row r="446" spans="1:18" ht="26.4" outlineLevel="1">
      <c r="A446" s="293" t="s">
        <v>768</v>
      </c>
      <c r="B446" s="318" t="s">
        <v>1456</v>
      </c>
      <c r="C446" s="294" t="s">
        <v>1457</v>
      </c>
      <c r="D446" s="292" t="s">
        <v>853</v>
      </c>
      <c r="E446" s="304">
        <v>96.45</v>
      </c>
      <c r="F446" s="305">
        <v>2949.19</v>
      </c>
      <c r="G446" s="281">
        <f t="shared" si="142"/>
        <v>284449.38</v>
      </c>
      <c r="H446" s="306">
        <v>2949.19</v>
      </c>
      <c r="I446" s="281">
        <f t="shared" si="143"/>
        <v>284449.38</v>
      </c>
      <c r="J446" s="297">
        <f>VLOOKUP(A446,'12 - CORPO'!$A$1:$R$5122,18,FALSE)</f>
        <v>0</v>
      </c>
      <c r="K446" s="307">
        <f t="shared" si="144"/>
        <v>0</v>
      </c>
      <c r="L446" s="306">
        <f t="shared" si="145"/>
        <v>2949.19</v>
      </c>
      <c r="M446" s="281">
        <f t="shared" si="146"/>
        <v>284449.38</v>
      </c>
      <c r="N446" s="808"/>
      <c r="O446" s="260">
        <f t="shared" si="141"/>
        <v>0</v>
      </c>
      <c r="P446" s="260">
        <f t="shared" si="137"/>
        <v>0</v>
      </c>
      <c r="Q446" s="260"/>
      <c r="R446" s="260"/>
    </row>
    <row r="447" spans="1:18" ht="26.4" outlineLevel="1">
      <c r="A447" s="293" t="s">
        <v>769</v>
      </c>
      <c r="B447" s="318">
        <v>98114</v>
      </c>
      <c r="C447" s="294" t="s">
        <v>1458</v>
      </c>
      <c r="D447" s="292" t="s">
        <v>816</v>
      </c>
      <c r="E447" s="304">
        <v>390.67</v>
      </c>
      <c r="F447" s="305">
        <v>5</v>
      </c>
      <c r="G447" s="281">
        <f t="shared" si="142"/>
        <v>1953.35</v>
      </c>
      <c r="H447" s="306">
        <v>5</v>
      </c>
      <c r="I447" s="281">
        <f t="shared" si="143"/>
        <v>1953.35</v>
      </c>
      <c r="J447" s="297">
        <f>VLOOKUP(A447,'12 - CORPO'!$A$1:$R$5122,18,FALSE)</f>
        <v>0</v>
      </c>
      <c r="K447" s="307">
        <f t="shared" si="144"/>
        <v>0</v>
      </c>
      <c r="L447" s="306">
        <f t="shared" si="145"/>
        <v>5</v>
      </c>
      <c r="M447" s="281">
        <f t="shared" si="146"/>
        <v>1953.35</v>
      </c>
      <c r="N447" s="808"/>
      <c r="O447" s="260">
        <f t="shared" si="141"/>
        <v>0</v>
      </c>
      <c r="P447" s="260">
        <f t="shared" si="137"/>
        <v>0</v>
      </c>
      <c r="Q447" s="260"/>
      <c r="R447" s="260"/>
    </row>
    <row r="448" spans="1:18" outlineLevel="1">
      <c r="A448" s="293" t="s">
        <v>770</v>
      </c>
      <c r="B448" s="318" t="s">
        <v>1459</v>
      </c>
      <c r="C448" s="294" t="s">
        <v>1460</v>
      </c>
      <c r="D448" s="292" t="s">
        <v>816</v>
      </c>
      <c r="E448" s="304">
        <v>1</v>
      </c>
      <c r="F448" s="305">
        <v>0</v>
      </c>
      <c r="G448" s="281">
        <f t="shared" si="142"/>
        <v>0</v>
      </c>
      <c r="H448" s="306">
        <v>0</v>
      </c>
      <c r="I448" s="281">
        <f t="shared" si="143"/>
        <v>0</v>
      </c>
      <c r="J448" s="297">
        <f>VLOOKUP(A448,'12 - CORPO'!$A$1:$R$5122,18,FALSE)</f>
        <v>0</v>
      </c>
      <c r="K448" s="307">
        <f t="shared" ref="K448:K449" si="147">M448-I448</f>
        <v>0</v>
      </c>
      <c r="L448" s="306">
        <f t="shared" ref="L448" si="148">(H448+J448)</f>
        <v>0</v>
      </c>
      <c r="M448" s="281">
        <f t="shared" ref="M448" si="149">ROUND((E448*L448),2)</f>
        <v>0</v>
      </c>
      <c r="N448" s="808"/>
      <c r="O448" s="260">
        <f t="shared" si="141"/>
        <v>0</v>
      </c>
      <c r="P448" s="260">
        <f t="shared" si="137"/>
        <v>0</v>
      </c>
      <c r="Q448" s="260"/>
      <c r="R448" s="260"/>
    </row>
    <row r="449" spans="1:18" ht="26.4" outlineLevel="1">
      <c r="A449" s="293" t="s">
        <v>771</v>
      </c>
      <c r="B449" s="318">
        <v>40705</v>
      </c>
      <c r="C449" s="294" t="s">
        <v>1461</v>
      </c>
      <c r="D449" s="292" t="s">
        <v>816</v>
      </c>
      <c r="E449" s="304">
        <v>100.02</v>
      </c>
      <c r="F449" s="305">
        <v>0</v>
      </c>
      <c r="G449" s="281">
        <f t="shared" si="142"/>
        <v>0</v>
      </c>
      <c r="H449" s="306">
        <v>0</v>
      </c>
      <c r="I449" s="281">
        <f t="shared" si="143"/>
        <v>0</v>
      </c>
      <c r="J449" s="297">
        <f>VLOOKUP(A449,'12 - CORPO'!$A$1:$R$5122,18,FALSE)</f>
        <v>0</v>
      </c>
      <c r="K449" s="307">
        <f t="shared" si="147"/>
        <v>0</v>
      </c>
      <c r="L449" s="306">
        <f t="shared" si="145"/>
        <v>0</v>
      </c>
      <c r="M449" s="281">
        <f t="shared" si="146"/>
        <v>0</v>
      </c>
      <c r="N449" s="808"/>
      <c r="O449" s="260">
        <f t="shared" si="141"/>
        <v>0</v>
      </c>
      <c r="P449" s="260">
        <f t="shared" si="137"/>
        <v>0</v>
      </c>
      <c r="Q449" s="260"/>
      <c r="R449" s="260"/>
    </row>
    <row r="450" spans="1:18" outlineLevel="1">
      <c r="A450" s="293" t="s">
        <v>772</v>
      </c>
      <c r="B450" s="318" t="s">
        <v>1462</v>
      </c>
      <c r="C450" s="294" t="s">
        <v>1463</v>
      </c>
      <c r="D450" s="292" t="s">
        <v>816</v>
      </c>
      <c r="E450" s="304">
        <v>33165.71</v>
      </c>
      <c r="F450" s="305">
        <v>10</v>
      </c>
      <c r="G450" s="281">
        <f t="shared" si="142"/>
        <v>331657.09999999998</v>
      </c>
      <c r="H450" s="306">
        <v>10</v>
      </c>
      <c r="I450" s="281">
        <f t="shared" ref="I450:I459" si="150">ROUND((E450*H450),2)</f>
        <v>331657.09999999998</v>
      </c>
      <c r="J450" s="297">
        <f>VLOOKUP(A450,'12 - CORPO'!$A$1:$R$5122,18,FALSE)</f>
        <v>0</v>
      </c>
      <c r="K450" s="307">
        <f t="shared" ref="K450:K463" si="151">M450-I450</f>
        <v>0</v>
      </c>
      <c r="L450" s="306">
        <f t="shared" ref="L450" si="152">(H450+J450)</f>
        <v>10</v>
      </c>
      <c r="M450" s="281">
        <f t="shared" ref="M450" si="153">ROUND((E450*L450),2)</f>
        <v>331657.09999999998</v>
      </c>
      <c r="N450" s="808"/>
      <c r="O450" s="260">
        <f t="shared" si="141"/>
        <v>0</v>
      </c>
      <c r="P450" s="260">
        <f t="shared" si="137"/>
        <v>0</v>
      </c>
      <c r="Q450" s="260"/>
      <c r="R450" s="260"/>
    </row>
    <row r="451" spans="1:18" outlineLevel="1">
      <c r="A451" s="293" t="s">
        <v>773</v>
      </c>
      <c r="B451" s="318" t="s">
        <v>1464</v>
      </c>
      <c r="C451" s="294" t="s">
        <v>1465</v>
      </c>
      <c r="D451" s="292" t="s">
        <v>816</v>
      </c>
      <c r="E451" s="304">
        <v>23838.080000000002</v>
      </c>
      <c r="F451" s="305">
        <v>10</v>
      </c>
      <c r="G451" s="281">
        <f t="shared" si="142"/>
        <v>238380.79999999999</v>
      </c>
      <c r="H451" s="306">
        <v>10</v>
      </c>
      <c r="I451" s="281">
        <f t="shared" si="150"/>
        <v>238380.79999999999</v>
      </c>
      <c r="J451" s="297">
        <f>VLOOKUP(A451,'12 - CORPO'!$A$1:$R$5122,18,FALSE)</f>
        <v>0</v>
      </c>
      <c r="K451" s="307">
        <f t="shared" si="151"/>
        <v>0</v>
      </c>
      <c r="L451" s="306">
        <f t="shared" ref="L451:L463" si="154">(H451+J451)</f>
        <v>10</v>
      </c>
      <c r="M451" s="281">
        <f t="shared" ref="M451:M463" si="155">ROUND((E451*L451),2)</f>
        <v>238380.79999999999</v>
      </c>
      <c r="N451" s="808"/>
      <c r="O451" s="260">
        <f t="shared" si="141"/>
        <v>0</v>
      </c>
      <c r="P451" s="260">
        <f t="shared" si="137"/>
        <v>0</v>
      </c>
      <c r="Q451" s="260"/>
      <c r="R451" s="260"/>
    </row>
    <row r="452" spans="1:18" outlineLevel="1">
      <c r="A452" s="293" t="s">
        <v>774</v>
      </c>
      <c r="B452" s="318" t="s">
        <v>1466</v>
      </c>
      <c r="C452" s="294" t="s">
        <v>1467</v>
      </c>
      <c r="D452" s="292" t="s">
        <v>816</v>
      </c>
      <c r="E452" s="304">
        <v>29134.560000000001</v>
      </c>
      <c r="F452" s="305">
        <v>10</v>
      </c>
      <c r="G452" s="281">
        <f t="shared" si="142"/>
        <v>291345.59999999998</v>
      </c>
      <c r="H452" s="306">
        <v>10</v>
      </c>
      <c r="I452" s="281">
        <f t="shared" si="150"/>
        <v>291345.59999999998</v>
      </c>
      <c r="J452" s="297">
        <f>VLOOKUP(A452,'12 - CORPO'!$A$1:$R$5122,18,FALSE)</f>
        <v>0</v>
      </c>
      <c r="K452" s="307">
        <f t="shared" si="151"/>
        <v>0</v>
      </c>
      <c r="L452" s="306">
        <f t="shared" si="154"/>
        <v>10</v>
      </c>
      <c r="M452" s="281">
        <f t="shared" si="155"/>
        <v>291345.59999999998</v>
      </c>
      <c r="N452" s="808"/>
      <c r="O452" s="260">
        <f t="shared" si="141"/>
        <v>0</v>
      </c>
      <c r="P452" s="260">
        <f t="shared" si="137"/>
        <v>0</v>
      </c>
      <c r="Q452" s="260"/>
      <c r="R452" s="260"/>
    </row>
    <row r="453" spans="1:18" outlineLevel="1">
      <c r="A453" s="293" t="s">
        <v>775</v>
      </c>
      <c r="B453" s="318" t="s">
        <v>1468</v>
      </c>
      <c r="C453" s="294" t="s">
        <v>1469</v>
      </c>
      <c r="D453" s="292" t="s">
        <v>816</v>
      </c>
      <c r="E453" s="304">
        <v>62027.08</v>
      </c>
      <c r="F453" s="305">
        <v>10</v>
      </c>
      <c r="G453" s="281">
        <f t="shared" si="142"/>
        <v>620270.80000000005</v>
      </c>
      <c r="H453" s="306">
        <v>10</v>
      </c>
      <c r="I453" s="281">
        <f t="shared" si="150"/>
        <v>620270.80000000005</v>
      </c>
      <c r="J453" s="297">
        <f>VLOOKUP(A453,'12 - CORPO'!$A$1:$R$5122,18,FALSE)</f>
        <v>0</v>
      </c>
      <c r="K453" s="307">
        <f t="shared" si="151"/>
        <v>0</v>
      </c>
      <c r="L453" s="306">
        <f t="shared" si="154"/>
        <v>10</v>
      </c>
      <c r="M453" s="281">
        <f t="shared" si="155"/>
        <v>620270.80000000005</v>
      </c>
      <c r="N453" s="808"/>
      <c r="O453" s="260">
        <f t="shared" si="141"/>
        <v>0</v>
      </c>
      <c r="P453" s="260">
        <f t="shared" si="137"/>
        <v>0</v>
      </c>
      <c r="Q453" s="260"/>
      <c r="R453" s="260"/>
    </row>
    <row r="454" spans="1:18" outlineLevel="1">
      <c r="A454" s="293" t="s">
        <v>776</v>
      </c>
      <c r="B454" s="318" t="s">
        <v>1470</v>
      </c>
      <c r="C454" s="294" t="s">
        <v>1471</v>
      </c>
      <c r="D454" s="292" t="s">
        <v>816</v>
      </c>
      <c r="E454" s="304">
        <v>9579.02</v>
      </c>
      <c r="F454" s="305">
        <v>8</v>
      </c>
      <c r="G454" s="281">
        <f t="shared" si="142"/>
        <v>76632.160000000003</v>
      </c>
      <c r="H454" s="306">
        <v>8</v>
      </c>
      <c r="I454" s="281">
        <f t="shared" si="150"/>
        <v>76632.160000000003</v>
      </c>
      <c r="J454" s="297">
        <f>VLOOKUP(A454,'12 - CORPO'!$A$1:$R$5122,18,FALSE)</f>
        <v>0</v>
      </c>
      <c r="K454" s="307">
        <f t="shared" si="151"/>
        <v>0</v>
      </c>
      <c r="L454" s="306">
        <f t="shared" si="154"/>
        <v>8</v>
      </c>
      <c r="M454" s="281">
        <f t="shared" si="155"/>
        <v>76632.160000000003</v>
      </c>
      <c r="N454" s="808"/>
      <c r="O454" s="260">
        <f t="shared" si="141"/>
        <v>0</v>
      </c>
      <c r="P454" s="260">
        <f t="shared" si="137"/>
        <v>0</v>
      </c>
      <c r="Q454" s="260"/>
      <c r="R454" s="260"/>
    </row>
    <row r="455" spans="1:18" outlineLevel="1">
      <c r="A455" s="293" t="s">
        <v>777</v>
      </c>
      <c r="B455" s="318" t="s">
        <v>1472</v>
      </c>
      <c r="C455" s="294" t="s">
        <v>1473</v>
      </c>
      <c r="D455" s="292" t="s">
        <v>816</v>
      </c>
      <c r="E455" s="304">
        <v>4091.38</v>
      </c>
      <c r="F455" s="305">
        <v>8</v>
      </c>
      <c r="G455" s="281">
        <f t="shared" si="142"/>
        <v>32731.040000000001</v>
      </c>
      <c r="H455" s="306">
        <v>8</v>
      </c>
      <c r="I455" s="281">
        <f t="shared" si="150"/>
        <v>32731.040000000001</v>
      </c>
      <c r="J455" s="297">
        <f>VLOOKUP(A455,'12 - CORPO'!$A$1:$R$5122,18,FALSE)</f>
        <v>0</v>
      </c>
      <c r="K455" s="307">
        <f t="shared" si="151"/>
        <v>0</v>
      </c>
      <c r="L455" s="306">
        <f t="shared" si="154"/>
        <v>8</v>
      </c>
      <c r="M455" s="281">
        <f t="shared" si="155"/>
        <v>32731.040000000001</v>
      </c>
      <c r="N455" s="808"/>
      <c r="O455" s="260">
        <f t="shared" si="141"/>
        <v>0</v>
      </c>
      <c r="P455" s="260">
        <f t="shared" si="137"/>
        <v>0</v>
      </c>
      <c r="Q455" s="260"/>
      <c r="R455" s="260"/>
    </row>
    <row r="456" spans="1:18" outlineLevel="1">
      <c r="A456" s="293" t="s">
        <v>778</v>
      </c>
      <c r="B456" s="318" t="s">
        <v>1474</v>
      </c>
      <c r="C456" s="294" t="s">
        <v>1475</v>
      </c>
      <c r="D456" s="292" t="s">
        <v>816</v>
      </c>
      <c r="E456" s="304">
        <v>36991.25</v>
      </c>
      <c r="F456" s="305">
        <v>2</v>
      </c>
      <c r="G456" s="281">
        <f t="shared" si="142"/>
        <v>73982.5</v>
      </c>
      <c r="H456" s="306">
        <v>2</v>
      </c>
      <c r="I456" s="281">
        <f t="shared" si="150"/>
        <v>73982.5</v>
      </c>
      <c r="J456" s="297">
        <f>VLOOKUP(A456,'12 - CORPO'!$A$1:$R$5122,18,FALSE)</f>
        <v>0</v>
      </c>
      <c r="K456" s="307">
        <f t="shared" si="151"/>
        <v>0</v>
      </c>
      <c r="L456" s="306">
        <f t="shared" si="154"/>
        <v>2</v>
      </c>
      <c r="M456" s="281">
        <f t="shared" si="155"/>
        <v>73982.5</v>
      </c>
      <c r="N456" s="808"/>
      <c r="O456" s="260">
        <f t="shared" si="141"/>
        <v>0</v>
      </c>
      <c r="P456" s="260">
        <f t="shared" si="137"/>
        <v>0</v>
      </c>
      <c r="Q456" s="260"/>
      <c r="R456" s="260"/>
    </row>
    <row r="457" spans="1:18" outlineLevel="1">
      <c r="A457" s="293" t="s">
        <v>779</v>
      </c>
      <c r="B457" s="318" t="s">
        <v>1476</v>
      </c>
      <c r="C457" s="294" t="s">
        <v>1477</v>
      </c>
      <c r="D457" s="292" t="s">
        <v>816</v>
      </c>
      <c r="E457" s="304">
        <v>18235.849999999999</v>
      </c>
      <c r="F457" s="305">
        <v>8</v>
      </c>
      <c r="G457" s="281">
        <f t="shared" si="142"/>
        <v>145886.79999999999</v>
      </c>
      <c r="H457" s="306">
        <v>8</v>
      </c>
      <c r="I457" s="281">
        <f t="shared" si="150"/>
        <v>145886.79999999999</v>
      </c>
      <c r="J457" s="297">
        <f>VLOOKUP(A457,'12 - CORPO'!$A$1:$R$5122,18,FALSE)</f>
        <v>0</v>
      </c>
      <c r="K457" s="307">
        <f t="shared" si="151"/>
        <v>0</v>
      </c>
      <c r="L457" s="306">
        <f t="shared" si="154"/>
        <v>8</v>
      </c>
      <c r="M457" s="281">
        <f t="shared" si="155"/>
        <v>145886.79999999999</v>
      </c>
      <c r="N457" s="808"/>
      <c r="O457" s="260">
        <f t="shared" si="141"/>
        <v>0</v>
      </c>
      <c r="P457" s="260">
        <f t="shared" si="137"/>
        <v>0</v>
      </c>
      <c r="Q457" s="260"/>
      <c r="R457" s="260"/>
    </row>
    <row r="458" spans="1:18" ht="39.6" outlineLevel="1">
      <c r="A458" s="293" t="s">
        <v>780</v>
      </c>
      <c r="B458" s="318" t="s">
        <v>1478</v>
      </c>
      <c r="C458" s="294" t="s">
        <v>1479</v>
      </c>
      <c r="D458" s="292" t="s">
        <v>1480</v>
      </c>
      <c r="E458" s="304">
        <v>83.86</v>
      </c>
      <c r="F458" s="305">
        <f>348+541.11</f>
        <v>889.11</v>
      </c>
      <c r="G458" s="281">
        <f t="shared" si="142"/>
        <v>74560.759999999995</v>
      </c>
      <c r="H458" s="306">
        <v>889.11</v>
      </c>
      <c r="I458" s="281">
        <f t="shared" si="150"/>
        <v>74560.759999999995</v>
      </c>
      <c r="J458" s="297">
        <f>VLOOKUP(A458,'12 - CORPO'!$A$1:$R$5122,18,FALSE)</f>
        <v>0</v>
      </c>
      <c r="K458" s="307">
        <f t="shared" si="151"/>
        <v>0</v>
      </c>
      <c r="L458" s="306">
        <f t="shared" si="154"/>
        <v>889.11</v>
      </c>
      <c r="M458" s="281">
        <f t="shared" si="155"/>
        <v>74560.759999999995</v>
      </c>
      <c r="N458" s="808"/>
      <c r="O458" s="260">
        <f t="shared" si="141"/>
        <v>0</v>
      </c>
      <c r="P458" s="260">
        <f t="shared" si="137"/>
        <v>0</v>
      </c>
      <c r="Q458" s="260"/>
      <c r="R458" s="260"/>
    </row>
    <row r="459" spans="1:18" ht="39.6" outlineLevel="1">
      <c r="A459" s="293" t="s">
        <v>781</v>
      </c>
      <c r="B459" s="318" t="s">
        <v>1481</v>
      </c>
      <c r="C459" s="294" t="s">
        <v>1482</v>
      </c>
      <c r="D459" s="292" t="s">
        <v>1483</v>
      </c>
      <c r="E459" s="304">
        <v>47.81</v>
      </c>
      <c r="F459" s="305">
        <v>63.9</v>
      </c>
      <c r="G459" s="281">
        <f t="shared" si="142"/>
        <v>3055.06</v>
      </c>
      <c r="H459" s="306">
        <v>63.9</v>
      </c>
      <c r="I459" s="281">
        <f t="shared" si="150"/>
        <v>3055.06</v>
      </c>
      <c r="J459" s="297">
        <f>VLOOKUP(A459,'12 - CORPO'!$A$1:$R$5122,18,FALSE)</f>
        <v>0</v>
      </c>
      <c r="K459" s="307">
        <f t="shared" si="151"/>
        <v>0</v>
      </c>
      <c r="L459" s="306">
        <f t="shared" si="154"/>
        <v>63.9</v>
      </c>
      <c r="M459" s="281">
        <f t="shared" si="155"/>
        <v>3055.06</v>
      </c>
      <c r="N459" s="808"/>
      <c r="O459" s="260"/>
      <c r="P459" s="260">
        <f t="shared" si="137"/>
        <v>0</v>
      </c>
      <c r="Q459" s="260"/>
      <c r="R459" s="260"/>
    </row>
    <row r="460" spans="1:18" outlineLevel="1">
      <c r="A460" s="293" t="s">
        <v>782</v>
      </c>
      <c r="B460" s="318" t="s">
        <v>1484</v>
      </c>
      <c r="C460" s="294" t="s">
        <v>1485</v>
      </c>
      <c r="D460" s="292" t="s">
        <v>862</v>
      </c>
      <c r="E460" s="304">
        <v>26622.68</v>
      </c>
      <c r="F460" s="305">
        <v>12</v>
      </c>
      <c r="G460" s="281">
        <f t="shared" ref="G460" si="156">ROUND(F460*E460,2)</f>
        <v>319472.15999999997</v>
      </c>
      <c r="H460" s="306">
        <v>12</v>
      </c>
      <c r="I460" s="281">
        <f t="shared" ref="I460" si="157">ROUND((E460*H460),2)</f>
        <v>319472.15999999997</v>
      </c>
      <c r="J460" s="297">
        <f>VLOOKUP(A460,'12 - CORPO'!$A$1:$R$5122,18,FALSE)</f>
        <v>0</v>
      </c>
      <c r="K460" s="307">
        <f t="shared" si="151"/>
        <v>0</v>
      </c>
      <c r="L460" s="306">
        <f t="shared" si="154"/>
        <v>12</v>
      </c>
      <c r="M460" s="281">
        <f t="shared" si="155"/>
        <v>319472.15999999997</v>
      </c>
      <c r="N460" s="808"/>
      <c r="O460" s="260"/>
      <c r="P460" s="260">
        <f t="shared" si="137"/>
        <v>0</v>
      </c>
      <c r="Q460" s="260"/>
      <c r="R460" s="260"/>
    </row>
    <row r="461" spans="1:18" ht="39.6" outlineLevel="1">
      <c r="A461" s="293" t="s">
        <v>783</v>
      </c>
      <c r="B461" s="318" t="s">
        <v>1486</v>
      </c>
      <c r="C461" s="294" t="s">
        <v>1487</v>
      </c>
      <c r="D461" s="292" t="s">
        <v>1488</v>
      </c>
      <c r="E461" s="304">
        <v>116.77</v>
      </c>
      <c r="F461" s="305">
        <v>169.44</v>
      </c>
      <c r="G461" s="281">
        <f t="shared" ref="G461:G463" si="158">ROUND(F461*E461,2)</f>
        <v>19785.509999999998</v>
      </c>
      <c r="H461" s="306">
        <v>0</v>
      </c>
      <c r="I461" s="281">
        <f t="shared" ref="I461:I463" si="159">ROUND((E461*H461),2)</f>
        <v>0</v>
      </c>
      <c r="J461" s="297">
        <f>VLOOKUP(A461,'12 - CORPO'!$A$1:$R$5122,18,FALSE)</f>
        <v>0</v>
      </c>
      <c r="K461" s="307">
        <f t="shared" si="151"/>
        <v>0</v>
      </c>
      <c r="L461" s="306">
        <f t="shared" si="154"/>
        <v>0</v>
      </c>
      <c r="M461" s="281">
        <f t="shared" si="155"/>
        <v>0</v>
      </c>
      <c r="N461" s="808"/>
      <c r="O461" s="260"/>
      <c r="P461" s="260">
        <f t="shared" si="137"/>
        <v>19785.509999999998</v>
      </c>
      <c r="Q461" s="260"/>
      <c r="R461" s="260"/>
    </row>
    <row r="462" spans="1:18" ht="26.4" outlineLevel="1">
      <c r="A462" s="293" t="s">
        <v>784</v>
      </c>
      <c r="B462" s="318" t="s">
        <v>40</v>
      </c>
      <c r="C462" s="294" t="s">
        <v>167</v>
      </c>
      <c r="D462" s="292" t="s">
        <v>816</v>
      </c>
      <c r="E462" s="304">
        <v>40863.17</v>
      </c>
      <c r="F462" s="305">
        <v>1</v>
      </c>
      <c r="G462" s="281">
        <f t="shared" ref="G462" si="160">ROUND(F462*E462,2)</f>
        <v>40863.17</v>
      </c>
      <c r="H462" s="306">
        <v>1</v>
      </c>
      <c r="I462" s="281">
        <f t="shared" ref="I462" si="161">ROUND((E462*H462),2)</f>
        <v>40863.17</v>
      </c>
      <c r="J462" s="297">
        <f>VLOOKUP(A462,'12 - CORPO'!$A$1:$R$5122,18,FALSE)</f>
        <v>0</v>
      </c>
      <c r="K462" s="307">
        <f t="shared" si="151"/>
        <v>0</v>
      </c>
      <c r="L462" s="306">
        <f t="shared" si="154"/>
        <v>1</v>
      </c>
      <c r="M462" s="281">
        <f t="shared" si="155"/>
        <v>40863.17</v>
      </c>
      <c r="N462" s="808"/>
      <c r="O462" s="260"/>
      <c r="P462" s="260">
        <f t="shared" si="137"/>
        <v>0</v>
      </c>
      <c r="Q462" s="260"/>
      <c r="R462" s="260"/>
    </row>
    <row r="463" spans="1:18" outlineLevel="1">
      <c r="A463" s="293" t="s">
        <v>785</v>
      </c>
      <c r="B463" s="318" t="s">
        <v>1484</v>
      </c>
      <c r="C463" s="294" t="s">
        <v>1489</v>
      </c>
      <c r="D463" s="292" t="s">
        <v>816</v>
      </c>
      <c r="E463" s="304">
        <v>12333.54</v>
      </c>
      <c r="F463" s="305">
        <v>1</v>
      </c>
      <c r="G463" s="281">
        <f t="shared" si="158"/>
        <v>12333.54</v>
      </c>
      <c r="H463" s="306">
        <v>1</v>
      </c>
      <c r="I463" s="281">
        <f t="shared" si="159"/>
        <v>12333.54</v>
      </c>
      <c r="J463" s="297">
        <f>VLOOKUP(A463,'12 - CORPO'!$A$1:$R$5122,18,FALSE)</f>
        <v>0</v>
      </c>
      <c r="K463" s="307">
        <f t="shared" si="151"/>
        <v>0</v>
      </c>
      <c r="L463" s="306">
        <f t="shared" si="154"/>
        <v>1</v>
      </c>
      <c r="M463" s="281">
        <f t="shared" si="155"/>
        <v>12333.54</v>
      </c>
      <c r="N463" s="808"/>
      <c r="O463" s="260"/>
      <c r="P463" s="260">
        <f t="shared" si="137"/>
        <v>0</v>
      </c>
      <c r="Q463" s="260"/>
      <c r="R463" s="260"/>
    </row>
    <row r="464" spans="1:18" ht="19.95" customHeight="1">
      <c r="A464" s="1315"/>
      <c r="B464" s="1316"/>
      <c r="C464" s="1461" t="s">
        <v>1490</v>
      </c>
      <c r="D464" s="1462"/>
      <c r="E464" s="1462"/>
      <c r="F464" s="1463"/>
      <c r="G464" s="1317">
        <f>SUM(G435:G463)</f>
        <v>8509327.5699999966</v>
      </c>
      <c r="H464" s="1318"/>
      <c r="I464" s="1319">
        <f>SUM(I435:I463)</f>
        <v>8489542.0699999966</v>
      </c>
      <c r="J464" s="1318"/>
      <c r="K464" s="1319">
        <f>SUBTOTAL(9,$K$435:$K$463)</f>
        <v>0</v>
      </c>
      <c r="L464" s="1318"/>
      <c r="M464" s="1319">
        <f>SUBTOTAL(9,$M$435:$M$463)</f>
        <v>8489542.0699999966</v>
      </c>
      <c r="N464" s="808"/>
      <c r="O464" s="260"/>
      <c r="P464" s="260"/>
      <c r="Q464" s="260"/>
      <c r="R464" s="260"/>
    </row>
    <row r="465" spans="1:18" s="627" customFormat="1" ht="30" customHeight="1">
      <c r="A465" s="1458" t="s">
        <v>1491</v>
      </c>
      <c r="B465" s="1459"/>
      <c r="C465" s="1459"/>
      <c r="D465" s="1460"/>
      <c r="E465" s="1327"/>
      <c r="F465" s="1328"/>
      <c r="G465" s="1329">
        <f>G23+G429+G432+G464</f>
        <v>43038658.219999999</v>
      </c>
      <c r="H465" s="1330"/>
      <c r="I465" s="1329">
        <f>I23+I429+I432+I464</f>
        <v>38610404.579999998</v>
      </c>
      <c r="J465" s="1331"/>
      <c r="K465" s="1329">
        <f>SUBTOTAL(9,K10:K464)</f>
        <v>118013.68</v>
      </c>
      <c r="L465" s="1332"/>
      <c r="M465" s="1329">
        <f>SUBTOTAL(9,M10:M464)</f>
        <v>38728418.25999999</v>
      </c>
      <c r="N465" s="811"/>
      <c r="O465" s="629">
        <f>G465-N465</f>
        <v>43038658.219999999</v>
      </c>
      <c r="P465" s="626">
        <f>G465-M465</f>
        <v>4310239.9600000083</v>
      </c>
      <c r="Q465" s="626"/>
      <c r="R465" s="626"/>
    </row>
    <row r="466" spans="1:18" ht="19.5" customHeight="1">
      <c r="A466" s="320"/>
      <c r="B466" s="582"/>
      <c r="C466" s="321"/>
      <c r="D466" s="321"/>
      <c r="E466" s="321"/>
      <c r="F466" s="322"/>
      <c r="G466" s="323"/>
      <c r="H466" s="324"/>
      <c r="I466" s="325"/>
      <c r="J466" s="258"/>
      <c r="K466" s="326">
        <v>434500.18999999994</v>
      </c>
      <c r="L466" s="326"/>
      <c r="M466" s="325"/>
      <c r="N466" s="813"/>
      <c r="O466" s="260"/>
      <c r="P466" s="260"/>
      <c r="Q466" s="260"/>
      <c r="R466" s="260"/>
    </row>
    <row r="467" spans="1:18" ht="19.95" customHeight="1">
      <c r="A467" s="320"/>
      <c r="B467" s="582"/>
      <c r="C467" s="327"/>
      <c r="D467" s="321"/>
      <c r="E467" s="328"/>
      <c r="F467" s="329"/>
      <c r="G467" s="325"/>
      <c r="H467" s="324"/>
      <c r="I467" s="325"/>
      <c r="J467" s="258"/>
      <c r="K467" s="258">
        <f>K466-K465</f>
        <v>316486.50999999995</v>
      </c>
      <c r="L467" s="326"/>
      <c r="M467" s="325"/>
      <c r="N467" s="808"/>
      <c r="O467" s="260"/>
      <c r="P467" s="260"/>
      <c r="Q467" s="260"/>
      <c r="R467" s="260"/>
    </row>
    <row r="468" spans="1:18" ht="19.95" customHeight="1">
      <c r="A468" s="252"/>
      <c r="B468" s="593"/>
      <c r="C468" s="330"/>
      <c r="D468" s="331"/>
      <c r="E468" s="328"/>
      <c r="F468" s="332"/>
      <c r="G468" s="255"/>
      <c r="H468" s="256"/>
      <c r="I468" s="257"/>
      <c r="J468" s="258"/>
      <c r="K468" s="259"/>
      <c r="L468" s="259"/>
      <c r="M468" s="257"/>
      <c r="N468" s="808"/>
      <c r="O468" s="260"/>
      <c r="P468" s="260"/>
      <c r="Q468" s="260"/>
      <c r="R468" s="260"/>
    </row>
    <row r="469" spans="1:18" ht="19.95" customHeight="1">
      <c r="A469" s="252"/>
      <c r="B469" s="593"/>
      <c r="C469" s="330"/>
      <c r="D469" s="331"/>
      <c r="E469" s="333"/>
      <c r="F469" s="332"/>
      <c r="G469" s="255"/>
      <c r="H469" s="256"/>
      <c r="I469" s="257"/>
      <c r="J469" s="334"/>
      <c r="K469" s="335" t="s">
        <v>1492</v>
      </c>
      <c r="L469" s="336" t="e">
        <f>K465-#REF!</f>
        <v>#REF!</v>
      </c>
      <c r="M469" s="257"/>
      <c r="N469" s="808"/>
      <c r="O469" s="260"/>
      <c r="P469" s="260"/>
      <c r="Q469" s="260"/>
      <c r="R469" s="260"/>
    </row>
    <row r="470" spans="1:18" ht="19.95" customHeight="1">
      <c r="A470" s="252"/>
      <c r="B470" s="593"/>
      <c r="C470" s="330"/>
      <c r="D470" s="331"/>
      <c r="E470" s="333"/>
      <c r="F470" s="332"/>
      <c r="G470" s="255"/>
      <c r="H470" s="256"/>
      <c r="I470" s="257"/>
      <c r="J470" s="337"/>
      <c r="K470" s="338" t="s">
        <v>1493</v>
      </c>
      <c r="L470" s="339">
        <v>6.9900000000000004E-2</v>
      </c>
      <c r="M470" s="340"/>
      <c r="N470" s="808"/>
      <c r="O470" s="260"/>
      <c r="P470" s="260"/>
      <c r="Q470" s="260"/>
      <c r="R470" s="260"/>
    </row>
    <row r="471" spans="1:18" ht="19.95" customHeight="1">
      <c r="A471" s="252"/>
      <c r="B471" s="593"/>
      <c r="C471" s="259"/>
      <c r="D471" s="253"/>
      <c r="E471" s="253"/>
      <c r="F471" s="254"/>
      <c r="G471" s="255"/>
      <c r="H471" s="256"/>
      <c r="I471" s="257"/>
      <c r="J471" s="341"/>
      <c r="K471" s="342" t="s">
        <v>1494</v>
      </c>
      <c r="L471" s="343" t="e">
        <f>TRUNC(L469*L470,3)</f>
        <v>#REF!</v>
      </c>
      <c r="M471" s="344" t="e">
        <f>L471/#REF!</f>
        <v>#REF!</v>
      </c>
      <c r="N471" s="808"/>
      <c r="O471" s="260"/>
      <c r="P471" s="260"/>
      <c r="Q471" s="260"/>
      <c r="R471" s="260"/>
    </row>
    <row r="472" spans="1:18" ht="19.95" customHeight="1">
      <c r="A472" s="252"/>
      <c r="B472" s="593"/>
      <c r="C472" s="253"/>
      <c r="D472" s="253"/>
      <c r="E472" s="253"/>
      <c r="F472" s="254"/>
      <c r="G472" s="255"/>
      <c r="H472" s="256"/>
      <c r="I472" s="257"/>
      <c r="J472" s="258"/>
      <c r="K472" s="259"/>
      <c r="L472" s="345" t="e">
        <f>(L470*L469)/#REF!</f>
        <v>#REF!</v>
      </c>
      <c r="M472" s="344"/>
      <c r="N472" s="808"/>
      <c r="O472" s="260"/>
      <c r="P472" s="260"/>
      <c r="Q472" s="260"/>
      <c r="R472" s="260"/>
    </row>
    <row r="473" spans="1:18" ht="19.95" customHeight="1">
      <c r="A473" s="252"/>
      <c r="B473" s="593"/>
      <c r="C473" s="346"/>
      <c r="D473" s="253"/>
      <c r="E473" s="259"/>
      <c r="F473" s="254"/>
      <c r="G473" s="255"/>
      <c r="H473" s="256"/>
      <c r="I473" s="257"/>
      <c r="J473" s="258"/>
      <c r="K473" s="259"/>
      <c r="L473" s="258"/>
      <c r="M473" s="257"/>
      <c r="N473" s="808"/>
      <c r="O473" s="260"/>
      <c r="P473" s="260"/>
      <c r="Q473" s="260"/>
      <c r="R473" s="260"/>
    </row>
    <row r="474" spans="1:18" ht="19.95" customHeight="1">
      <c r="A474" s="252"/>
      <c r="B474" s="593"/>
      <c r="C474" s="347"/>
      <c r="D474" s="253"/>
      <c r="E474" s="259"/>
      <c r="F474" s="254"/>
      <c r="G474" s="255"/>
      <c r="H474" s="256"/>
      <c r="I474" s="257"/>
      <c r="K474" s="259"/>
      <c r="L474" s="259"/>
      <c r="M474" s="257"/>
      <c r="N474" s="808"/>
      <c r="O474" s="260"/>
      <c r="P474" s="260"/>
      <c r="Q474" s="260"/>
      <c r="R474" s="260"/>
    </row>
    <row r="475" spans="1:18" ht="19.95" customHeight="1">
      <c r="A475" s="252"/>
      <c r="B475" s="593"/>
      <c r="C475" s="347"/>
      <c r="D475" s="253"/>
      <c r="E475" s="259"/>
      <c r="F475" s="254"/>
      <c r="G475" s="255"/>
      <c r="H475" s="256"/>
      <c r="I475" s="257"/>
      <c r="J475" s="258"/>
      <c r="K475" s="259"/>
      <c r="L475" s="259"/>
      <c r="M475" s="257"/>
      <c r="N475" s="808"/>
      <c r="O475" s="260"/>
      <c r="P475" s="260"/>
      <c r="Q475" s="260"/>
      <c r="R475" s="260"/>
    </row>
    <row r="476" spans="1:18" ht="19.95" customHeight="1">
      <c r="A476" s="252"/>
      <c r="B476" s="593"/>
      <c r="C476" s="346"/>
      <c r="D476" s="253"/>
      <c r="E476" s="253"/>
      <c r="F476" s="254"/>
      <c r="G476" s="255">
        <f>G465-M465</f>
        <v>4310239.9600000083</v>
      </c>
      <c r="H476" s="256"/>
      <c r="I476" s="257"/>
      <c r="J476" s="258"/>
      <c r="K476" s="259"/>
      <c r="L476" s="259"/>
      <c r="M476" s="257"/>
      <c r="N476" s="808"/>
      <c r="O476" s="260"/>
      <c r="P476" s="260"/>
      <c r="Q476" s="260"/>
      <c r="R476" s="260"/>
    </row>
    <row r="477" spans="1:18" ht="19.95" customHeight="1"/>
    <row r="478" spans="1:18" ht="19.95" customHeight="1"/>
    <row r="479" spans="1:18" ht="19.95" customHeight="1"/>
    <row r="480" spans="1:18" ht="19.95" customHeight="1"/>
    <row r="481" ht="19.95" customHeight="1"/>
    <row r="482" ht="19.95" customHeight="1"/>
    <row r="483" ht="19.95" customHeight="1"/>
    <row r="484" ht="19.95" customHeight="1"/>
    <row r="485" ht="19.95" customHeight="1"/>
    <row r="486" ht="19.95" customHeight="1"/>
    <row r="487" ht="19.95" customHeight="1"/>
    <row r="488" ht="19.95" customHeight="1"/>
    <row r="489" ht="19.95" customHeight="1"/>
    <row r="490" ht="19.95" customHeight="1"/>
    <row r="491" ht="19.95" customHeight="1"/>
    <row r="492" ht="19.95" customHeight="1"/>
    <row r="493" ht="19.95" customHeight="1"/>
    <row r="494" ht="19.95" customHeight="1"/>
    <row r="495" ht="19.95" customHeight="1"/>
    <row r="496" ht="19.95" customHeight="1"/>
    <row r="497" ht="19.95" customHeight="1"/>
    <row r="498" ht="19.95" customHeight="1"/>
    <row r="499" ht="19.95" customHeight="1"/>
    <row r="500" ht="19.95" customHeight="1"/>
    <row r="501" ht="19.95" customHeight="1"/>
    <row r="502" ht="19.95" customHeight="1"/>
    <row r="503" ht="19.95" customHeight="1"/>
    <row r="504" ht="19.95" customHeight="1"/>
    <row r="505" ht="19.95" customHeight="1"/>
    <row r="506" ht="19.95" customHeight="1"/>
    <row r="507" ht="19.95" customHeight="1"/>
    <row r="508" ht="19.95" customHeight="1"/>
    <row r="509" ht="19.95" customHeight="1"/>
    <row r="510" ht="19.95" customHeight="1"/>
    <row r="511" ht="19.95" customHeight="1"/>
    <row r="512" ht="19.95" customHeight="1"/>
    <row r="513" ht="19.95" customHeight="1"/>
    <row r="514" ht="19.95" customHeight="1"/>
    <row r="515" ht="19.95" customHeight="1"/>
    <row r="516" ht="19.95" customHeight="1"/>
    <row r="517" ht="19.95" customHeight="1"/>
    <row r="518" ht="19.95" customHeight="1"/>
    <row r="519" ht="19.95" customHeight="1"/>
    <row r="520" ht="19.95" customHeight="1"/>
    <row r="521" ht="19.95" customHeight="1"/>
    <row r="522" ht="19.95" customHeight="1"/>
    <row r="523" ht="19.95" customHeight="1"/>
    <row r="524" ht="19.95" customHeight="1"/>
    <row r="525" ht="19.95" customHeight="1"/>
    <row r="526" ht="19.95" customHeight="1"/>
    <row r="527" ht="19.95" customHeight="1"/>
    <row r="528" ht="19.95" customHeight="1"/>
    <row r="529" ht="19.95" customHeight="1"/>
    <row r="530" ht="19.95" customHeight="1"/>
    <row r="531" ht="19.95" customHeight="1"/>
    <row r="532" ht="19.95" customHeight="1"/>
    <row r="533" ht="19.95" customHeight="1"/>
    <row r="534" ht="19.95" customHeight="1"/>
    <row r="535" ht="19.95" customHeight="1"/>
    <row r="536" ht="19.95" customHeight="1"/>
    <row r="537" ht="19.95" customHeight="1"/>
    <row r="538" ht="19.95" customHeight="1"/>
    <row r="539" ht="19.95" customHeight="1"/>
    <row r="540" ht="19.95" customHeight="1"/>
    <row r="541" ht="19.95" customHeight="1"/>
    <row r="542" ht="19.95" customHeight="1"/>
    <row r="543" ht="19.95" customHeight="1"/>
    <row r="544" ht="19.95" customHeight="1"/>
    <row r="545" ht="19.95" customHeight="1"/>
    <row r="546" ht="19.95" customHeight="1"/>
    <row r="547" ht="19.95" customHeight="1"/>
    <row r="548" ht="19.95" customHeight="1"/>
    <row r="549" ht="19.95" customHeight="1"/>
    <row r="550" ht="19.95" customHeight="1"/>
    <row r="551" ht="19.95" customHeight="1"/>
    <row r="552" ht="19.95" customHeight="1"/>
    <row r="553" ht="19.95" customHeight="1"/>
    <row r="554" ht="19.95" customHeight="1"/>
    <row r="555" ht="19.95" customHeight="1"/>
    <row r="556" ht="19.95" customHeight="1"/>
    <row r="557" ht="19.95" customHeight="1"/>
    <row r="558" ht="19.95" customHeight="1"/>
    <row r="559" ht="19.95" customHeight="1"/>
    <row r="560" ht="19.95" customHeight="1"/>
    <row r="561" ht="19.95" customHeight="1"/>
    <row r="562" ht="19.95" customHeight="1"/>
    <row r="563" ht="19.95" customHeight="1"/>
    <row r="564" ht="19.95" customHeight="1"/>
    <row r="565" ht="19.95" customHeight="1"/>
    <row r="566" ht="19.95" customHeight="1"/>
    <row r="567" ht="19.95" customHeight="1"/>
    <row r="568" ht="19.95" customHeight="1"/>
    <row r="569" ht="19.95" customHeight="1"/>
    <row r="570" ht="19.95" customHeight="1"/>
    <row r="571" ht="19.95" customHeight="1"/>
    <row r="572" ht="19.95" customHeight="1"/>
    <row r="573" ht="19.95" customHeight="1"/>
    <row r="574" ht="19.95" customHeight="1"/>
    <row r="575" ht="19.95" customHeight="1"/>
    <row r="576" ht="19.95" customHeight="1"/>
    <row r="577" ht="19.95" customHeight="1"/>
    <row r="578" ht="19.95" customHeight="1"/>
    <row r="579" ht="19.95" customHeight="1"/>
    <row r="580" ht="19.95" customHeight="1"/>
    <row r="581" ht="19.95" customHeight="1"/>
    <row r="582" ht="19.95" customHeight="1"/>
    <row r="583" ht="19.95" customHeight="1"/>
    <row r="584" ht="19.95" customHeight="1"/>
    <row r="585" ht="19.95" customHeight="1"/>
    <row r="586" ht="19.95" customHeight="1"/>
    <row r="587" ht="19.95" customHeight="1"/>
    <row r="588" ht="19.95" customHeight="1"/>
    <row r="589" ht="19.95" customHeight="1"/>
    <row r="590" ht="19.95" customHeight="1"/>
    <row r="591" ht="19.95" customHeight="1"/>
    <row r="592" ht="19.95" customHeight="1"/>
    <row r="593" ht="19.95" customHeight="1"/>
    <row r="594" ht="19.95" customHeight="1"/>
    <row r="595" ht="19.95" customHeight="1"/>
    <row r="596" ht="19.95" customHeight="1"/>
    <row r="597" ht="19.95" customHeight="1"/>
    <row r="598" ht="19.95" customHeight="1"/>
    <row r="599" ht="19.95" customHeight="1"/>
    <row r="600" ht="19.95" customHeight="1"/>
    <row r="601" ht="19.95" customHeight="1"/>
    <row r="602" ht="19.95" customHeight="1"/>
    <row r="603" ht="19.95" customHeight="1"/>
    <row r="604" ht="19.95" customHeight="1"/>
    <row r="605" ht="19.95" customHeight="1"/>
    <row r="606" ht="19.95" customHeight="1"/>
    <row r="607" ht="19.95" customHeight="1"/>
    <row r="608" ht="19.95" customHeight="1"/>
    <row r="609" ht="19.95" customHeight="1"/>
    <row r="610" ht="19.95" customHeight="1"/>
    <row r="611" ht="19.95" customHeight="1"/>
    <row r="612" ht="19.95" customHeight="1"/>
    <row r="613" ht="19.95" customHeight="1"/>
    <row r="614" ht="19.95" customHeight="1"/>
    <row r="615" ht="19.95" customHeight="1"/>
    <row r="616" ht="19.95" customHeight="1"/>
    <row r="617" ht="19.95" customHeight="1"/>
    <row r="618" ht="19.95" customHeight="1"/>
    <row r="619" ht="19.95" customHeight="1"/>
    <row r="620" ht="19.95" customHeight="1"/>
    <row r="621" ht="19.95" customHeight="1"/>
    <row r="622" ht="19.95" customHeight="1"/>
    <row r="623" ht="19.95" customHeight="1"/>
    <row r="624" ht="19.95" customHeight="1"/>
    <row r="625" ht="19.95" customHeight="1"/>
    <row r="626" ht="19.95" customHeight="1"/>
    <row r="627" ht="19.95" customHeight="1"/>
    <row r="628" ht="19.95" customHeight="1"/>
    <row r="629" ht="19.95" customHeight="1"/>
    <row r="630" ht="19.95" customHeight="1"/>
    <row r="631" ht="19.95" customHeight="1"/>
    <row r="632" ht="19.95" customHeight="1"/>
    <row r="633" ht="19.95" customHeight="1"/>
    <row r="634" ht="19.95" customHeight="1"/>
    <row r="635" ht="19.95" customHeight="1"/>
    <row r="636" ht="19.95" customHeight="1"/>
    <row r="637" ht="19.95" customHeight="1"/>
    <row r="638" ht="19.95" customHeight="1"/>
    <row r="639" ht="19.95" customHeight="1"/>
    <row r="640" ht="19.95" customHeight="1"/>
    <row r="641" ht="19.95" customHeight="1"/>
    <row r="642" ht="19.95" customHeight="1"/>
    <row r="643" ht="19.95" customHeight="1"/>
    <row r="644" ht="19.95" customHeight="1"/>
    <row r="645" ht="19.95" customHeight="1"/>
    <row r="646" ht="19.95" customHeight="1"/>
    <row r="647" ht="19.95" customHeight="1"/>
    <row r="648" ht="19.95" customHeight="1"/>
    <row r="649" ht="19.95" customHeight="1"/>
    <row r="650" ht="19.95" customHeight="1"/>
    <row r="651" ht="19.95" customHeight="1"/>
    <row r="652" ht="19.95" customHeight="1"/>
    <row r="653" ht="19.95" customHeight="1"/>
    <row r="654" ht="19.95" customHeight="1"/>
    <row r="655" ht="19.95" customHeight="1"/>
    <row r="656" ht="19.95" customHeight="1"/>
    <row r="657" ht="19.95" customHeight="1"/>
    <row r="658" ht="19.95" customHeight="1"/>
    <row r="659" ht="19.95" customHeight="1"/>
    <row r="660" ht="19.95" customHeight="1"/>
    <row r="661" ht="19.95" customHeight="1"/>
    <row r="662" ht="19.95" customHeight="1"/>
    <row r="663" ht="19.95" customHeight="1"/>
    <row r="664" ht="19.95" customHeight="1"/>
    <row r="665" ht="19.95" customHeight="1"/>
    <row r="666" ht="19.95" customHeight="1"/>
    <row r="667" ht="19.95" customHeight="1"/>
    <row r="668" ht="19.95" customHeight="1"/>
    <row r="669" ht="19.95" customHeight="1"/>
    <row r="670" ht="19.95" customHeight="1"/>
    <row r="671" ht="19.95" customHeight="1"/>
    <row r="672" ht="19.95" customHeight="1"/>
    <row r="673" ht="19.95" customHeight="1"/>
    <row r="674" ht="19.95" customHeight="1"/>
    <row r="675" ht="19.95" customHeight="1"/>
    <row r="676" ht="19.95" customHeight="1"/>
    <row r="677" ht="19.95" customHeight="1"/>
    <row r="678" ht="19.95" customHeight="1"/>
    <row r="679" ht="19.95" customHeight="1"/>
    <row r="680" ht="19.95" customHeight="1"/>
    <row r="681" ht="19.95" customHeight="1"/>
    <row r="682" ht="19.95" customHeight="1"/>
    <row r="683" ht="19.95" customHeight="1"/>
    <row r="684" ht="19.95" customHeight="1"/>
    <row r="685" ht="19.95" customHeight="1"/>
    <row r="686" ht="19.95" customHeight="1"/>
    <row r="687" ht="19.95" customHeight="1"/>
    <row r="688" ht="19.95" customHeight="1"/>
    <row r="689" ht="19.95" customHeight="1"/>
    <row r="690" ht="19.95" customHeight="1"/>
    <row r="691" ht="19.95" customHeight="1"/>
    <row r="692" ht="19.95" customHeight="1"/>
    <row r="693" ht="19.95" customHeight="1"/>
    <row r="694" ht="19.95" customHeight="1"/>
    <row r="695" ht="19.95" customHeight="1"/>
    <row r="696" ht="19.95" customHeight="1"/>
    <row r="697" ht="19.95" customHeight="1"/>
    <row r="698" ht="19.95" customHeight="1"/>
    <row r="699" ht="19.95" customHeight="1"/>
    <row r="700" ht="19.95" customHeight="1"/>
    <row r="701" ht="19.95" customHeight="1"/>
    <row r="702" ht="19.95" customHeight="1"/>
    <row r="703" ht="19.95" customHeight="1"/>
    <row r="704" ht="19.95" customHeight="1"/>
    <row r="705" ht="19.95" customHeight="1"/>
    <row r="706" ht="19.95" customHeight="1"/>
    <row r="707" ht="19.95" customHeight="1"/>
    <row r="708" ht="19.95" customHeight="1"/>
    <row r="709" ht="19.95" customHeight="1"/>
    <row r="710" ht="19.95" customHeight="1"/>
    <row r="711" ht="19.95" customHeight="1"/>
    <row r="712" ht="19.95" customHeight="1"/>
    <row r="713" ht="19.95" customHeight="1"/>
    <row r="714" ht="19.95" customHeight="1"/>
    <row r="715" ht="19.95" customHeight="1"/>
    <row r="716" ht="19.95" customHeight="1"/>
    <row r="717" ht="19.95" customHeight="1"/>
    <row r="718" ht="19.95" customHeight="1"/>
    <row r="719" ht="19.95" customHeight="1"/>
    <row r="720" ht="19.95" customHeight="1"/>
    <row r="721" ht="19.95" customHeight="1"/>
    <row r="722" ht="19.95" customHeight="1"/>
    <row r="723" ht="19.95" customHeight="1"/>
    <row r="724" ht="19.95" customHeight="1"/>
    <row r="725" ht="19.95" customHeight="1"/>
    <row r="726" ht="19.95" customHeight="1"/>
    <row r="727" ht="19.95" customHeight="1"/>
    <row r="728" ht="19.95" customHeight="1"/>
    <row r="729" ht="19.95" customHeight="1"/>
    <row r="730" ht="19.95" customHeight="1"/>
    <row r="731" ht="19.95" customHeight="1"/>
    <row r="732" ht="19.95" customHeight="1"/>
    <row r="733" ht="19.95" customHeight="1"/>
    <row r="734" ht="19.95" customHeight="1"/>
    <row r="735" ht="19.95" customHeight="1"/>
    <row r="736" ht="19.95" customHeight="1"/>
    <row r="737" ht="19.95" customHeight="1"/>
    <row r="738" ht="19.95" customHeight="1"/>
    <row r="739" ht="19.95" customHeight="1"/>
    <row r="740" ht="19.95" customHeight="1"/>
    <row r="741" ht="19.95" customHeight="1"/>
    <row r="742" ht="19.95" customHeight="1"/>
    <row r="743" ht="19.95" customHeight="1"/>
    <row r="744" ht="19.95" customHeight="1"/>
    <row r="745" ht="19.95" customHeight="1"/>
    <row r="746" ht="19.95" customHeight="1"/>
    <row r="747" ht="19.95" customHeight="1"/>
    <row r="748" ht="19.95" customHeight="1"/>
    <row r="749" ht="19.95" customHeight="1"/>
    <row r="750" ht="19.95" customHeight="1"/>
    <row r="751" ht="19.95" customHeight="1"/>
    <row r="752" ht="19.95" customHeight="1"/>
    <row r="753" ht="19.95" customHeight="1"/>
    <row r="754" ht="19.95" customHeight="1"/>
    <row r="755" ht="19.95" customHeight="1"/>
    <row r="756" ht="19.95" customHeight="1"/>
    <row r="757" ht="19.95" customHeight="1"/>
    <row r="758" ht="19.95" customHeight="1"/>
    <row r="759" ht="19.95" customHeight="1"/>
    <row r="760" ht="19.95" customHeight="1"/>
    <row r="761" ht="19.95" customHeight="1"/>
    <row r="762" ht="19.95" customHeight="1"/>
    <row r="763" ht="19.95" customHeight="1"/>
    <row r="764" ht="19.95" customHeight="1"/>
    <row r="765" ht="19.95" customHeight="1"/>
    <row r="766" ht="19.95" customHeight="1"/>
    <row r="767" ht="19.95" customHeight="1"/>
    <row r="768" ht="19.95" customHeight="1"/>
    <row r="769" ht="19.95" customHeight="1"/>
    <row r="770" ht="19.95" customHeight="1"/>
    <row r="771" ht="19.95" customHeight="1"/>
    <row r="772" ht="19.95" customHeight="1"/>
    <row r="773" ht="19.95" customHeight="1"/>
    <row r="774" ht="19.95" customHeight="1"/>
    <row r="775" ht="19.95" customHeight="1"/>
    <row r="776" ht="19.95" customHeight="1"/>
    <row r="777" ht="19.95" customHeight="1"/>
    <row r="778" ht="19.95" customHeight="1"/>
    <row r="779" ht="19.95" customHeight="1"/>
    <row r="780" ht="19.95" customHeight="1"/>
    <row r="781" ht="19.95" customHeight="1"/>
    <row r="782" ht="19.95" customHeight="1"/>
    <row r="783" ht="19.95" customHeight="1"/>
    <row r="784" ht="19.95" customHeight="1"/>
    <row r="785" ht="19.95" customHeight="1"/>
    <row r="786" ht="19.95" customHeight="1"/>
    <row r="787" ht="19.95" customHeight="1"/>
    <row r="788" ht="19.95" customHeight="1"/>
    <row r="789" ht="19.95" customHeight="1"/>
    <row r="790" ht="19.95" customHeight="1"/>
    <row r="791" ht="19.95" customHeight="1"/>
    <row r="792" ht="19.95" customHeight="1"/>
    <row r="793" ht="19.95" customHeight="1"/>
    <row r="794" ht="19.95" customHeight="1"/>
    <row r="795" ht="19.95" customHeight="1"/>
    <row r="796" ht="19.95" customHeight="1"/>
    <row r="797" ht="19.95" customHeight="1"/>
    <row r="798" ht="19.95" customHeight="1"/>
    <row r="799" ht="19.95" customHeight="1"/>
    <row r="800" ht="19.95" customHeight="1"/>
    <row r="801" ht="19.95" customHeight="1"/>
    <row r="802" ht="19.95" customHeight="1"/>
    <row r="803" ht="19.95" customHeight="1"/>
    <row r="804" ht="19.95" customHeight="1"/>
    <row r="805" ht="19.95" customHeight="1"/>
    <row r="806" ht="19.95" customHeight="1"/>
    <row r="807" ht="19.95" customHeight="1"/>
    <row r="808" ht="19.95" customHeight="1"/>
    <row r="809" ht="19.95" customHeight="1"/>
    <row r="810" ht="19.95" customHeight="1"/>
    <row r="811" ht="19.95" customHeight="1"/>
    <row r="812" ht="19.95" customHeight="1"/>
    <row r="813" ht="19.95" customHeight="1"/>
    <row r="814" ht="19.95" customHeight="1"/>
    <row r="815" ht="19.95" customHeight="1"/>
    <row r="816" ht="19.95" customHeight="1"/>
    <row r="817" ht="19.95" customHeight="1"/>
    <row r="818" ht="19.95" customHeight="1"/>
    <row r="819" ht="19.95" customHeight="1"/>
    <row r="820" ht="19.95" customHeight="1"/>
    <row r="821" ht="19.95" customHeight="1"/>
    <row r="822" ht="19.95" customHeight="1"/>
    <row r="823" ht="19.95" customHeight="1"/>
    <row r="824" ht="19.95" customHeight="1"/>
    <row r="825" ht="19.95" customHeight="1"/>
    <row r="826" ht="19.95" customHeight="1"/>
    <row r="827" ht="19.95" customHeight="1"/>
    <row r="828" ht="19.95" customHeight="1"/>
    <row r="829" ht="19.95" customHeight="1"/>
    <row r="830" ht="19.95" customHeight="1"/>
    <row r="831" ht="19.95" customHeight="1"/>
    <row r="832" ht="19.95" customHeight="1"/>
    <row r="833" ht="19.95" customHeight="1"/>
    <row r="834" ht="19.95" customHeight="1"/>
    <row r="835" ht="19.95" customHeight="1"/>
    <row r="836" ht="19.95" customHeight="1"/>
    <row r="837" ht="19.95" customHeight="1"/>
    <row r="838" ht="19.95" customHeight="1"/>
    <row r="839" ht="19.95" customHeight="1"/>
    <row r="840" ht="19.95" customHeight="1"/>
    <row r="841" ht="19.95" customHeight="1"/>
    <row r="842" ht="19.95" customHeight="1"/>
    <row r="843" ht="19.95" customHeight="1"/>
    <row r="844" ht="19.95" customHeight="1"/>
    <row r="845" ht="19.95" customHeight="1"/>
    <row r="846" ht="19.95" customHeight="1"/>
    <row r="847" ht="19.95" customHeight="1"/>
    <row r="848" ht="19.95" customHeight="1"/>
    <row r="849" ht="19.95" customHeight="1"/>
    <row r="850" ht="19.95" customHeight="1"/>
    <row r="851" ht="19.95" customHeight="1"/>
    <row r="852" ht="19.95" customHeight="1"/>
    <row r="853" ht="19.95" customHeight="1"/>
    <row r="854" ht="19.95" customHeight="1"/>
    <row r="855" ht="19.95" customHeight="1"/>
    <row r="856" ht="19.95" customHeight="1"/>
    <row r="857" ht="19.95" customHeight="1"/>
    <row r="858" ht="19.95" customHeight="1"/>
    <row r="859" ht="19.95" customHeight="1"/>
    <row r="860" ht="19.95" customHeight="1"/>
    <row r="861" ht="19.95" customHeight="1"/>
    <row r="862" ht="19.95" customHeight="1"/>
    <row r="863" ht="19.95" customHeight="1"/>
    <row r="864" ht="19.95" customHeight="1"/>
    <row r="865" ht="19.95" customHeight="1"/>
    <row r="866" ht="19.95" customHeight="1"/>
    <row r="867" ht="19.95" customHeight="1"/>
    <row r="868" ht="19.95" customHeight="1"/>
    <row r="869" ht="19.95" customHeight="1"/>
    <row r="870" ht="19.95" customHeight="1"/>
    <row r="871" ht="19.95" customHeight="1"/>
    <row r="872" ht="19.95" customHeight="1"/>
    <row r="873" ht="19.95" customHeight="1"/>
    <row r="874" ht="19.95" customHeight="1"/>
    <row r="875" ht="19.95" customHeight="1"/>
    <row r="876" ht="19.95" customHeight="1"/>
    <row r="877" ht="19.95" customHeight="1"/>
    <row r="878" ht="19.95" customHeight="1"/>
    <row r="879" ht="19.95" customHeight="1"/>
    <row r="880" ht="19.95" customHeight="1"/>
    <row r="881" ht="19.95" customHeight="1"/>
    <row r="882" ht="19.95" customHeight="1"/>
    <row r="883" ht="19.95" customHeight="1"/>
    <row r="884" ht="19.95" customHeight="1"/>
    <row r="885" ht="19.95" customHeight="1"/>
    <row r="886" ht="19.95" customHeight="1"/>
    <row r="887" ht="19.95" customHeight="1"/>
    <row r="888" ht="19.95" customHeight="1"/>
    <row r="889" ht="19.95" customHeight="1"/>
    <row r="890" ht="19.95" customHeight="1"/>
    <row r="891" ht="19.95" customHeight="1"/>
    <row r="892" ht="19.95" customHeight="1"/>
    <row r="893" ht="19.95" customHeight="1"/>
    <row r="894" ht="19.95" customHeight="1"/>
    <row r="895" ht="19.95" customHeight="1"/>
    <row r="896" ht="19.95" customHeight="1"/>
    <row r="897" ht="19.95" customHeight="1"/>
    <row r="898" ht="19.95" customHeight="1"/>
    <row r="899" ht="19.95" customHeight="1"/>
    <row r="900" ht="19.95" customHeight="1"/>
    <row r="901" ht="19.95" customHeight="1"/>
    <row r="902" ht="19.95" customHeight="1"/>
    <row r="903" ht="19.95" customHeight="1"/>
    <row r="904" ht="19.95" customHeight="1"/>
    <row r="905" ht="19.95" customHeight="1"/>
    <row r="906" ht="19.95" customHeight="1"/>
    <row r="907" ht="19.95" customHeight="1"/>
    <row r="908" ht="19.95" customHeight="1"/>
    <row r="909" ht="19.95" customHeight="1"/>
    <row r="910" ht="19.95" customHeight="1"/>
    <row r="911" ht="19.95" customHeight="1"/>
    <row r="912" ht="19.95" customHeight="1"/>
    <row r="913" ht="19.95" customHeight="1"/>
    <row r="914" ht="19.95" customHeight="1"/>
    <row r="915" ht="19.95" customHeight="1"/>
    <row r="916" ht="19.95" customHeight="1"/>
    <row r="917" ht="19.95" customHeight="1"/>
    <row r="918" ht="19.95" customHeight="1"/>
    <row r="919" ht="19.95" customHeight="1"/>
    <row r="920" ht="19.95" customHeight="1"/>
    <row r="921" ht="19.95" customHeight="1"/>
    <row r="922" ht="19.95" customHeight="1"/>
    <row r="923" ht="19.95" customHeight="1"/>
    <row r="924" ht="19.95" customHeight="1"/>
    <row r="925" ht="19.95" customHeight="1"/>
    <row r="926" ht="19.95" customHeight="1"/>
    <row r="927" ht="19.95" customHeight="1"/>
    <row r="928" ht="19.95" customHeight="1"/>
    <row r="929" ht="19.95" customHeight="1"/>
    <row r="930" ht="19.95" customHeight="1"/>
    <row r="931" ht="19.95" customHeight="1"/>
    <row r="932" ht="19.95" customHeight="1"/>
    <row r="933" ht="19.95" customHeight="1"/>
    <row r="934" ht="19.95" customHeight="1"/>
    <row r="935" ht="19.95" customHeight="1"/>
    <row r="936" ht="19.95" customHeight="1"/>
    <row r="937" ht="19.95" customHeight="1"/>
    <row r="938" ht="19.95" customHeight="1"/>
    <row r="939" ht="19.95" customHeight="1"/>
    <row r="940" ht="19.95" customHeight="1"/>
    <row r="941" ht="19.95" customHeight="1"/>
    <row r="942" ht="19.95" customHeight="1"/>
    <row r="943" ht="19.95" customHeight="1"/>
    <row r="944" ht="19.95" customHeight="1"/>
    <row r="945" ht="19.95" customHeight="1"/>
    <row r="946" ht="19.95" customHeight="1"/>
    <row r="947" ht="19.95" customHeight="1"/>
    <row r="948" ht="19.95" customHeight="1"/>
    <row r="949" ht="19.95" customHeight="1"/>
    <row r="950" ht="19.95" customHeight="1"/>
    <row r="951" ht="19.95" customHeight="1"/>
    <row r="952" ht="19.95" customHeight="1"/>
    <row r="953" ht="19.95" customHeight="1"/>
    <row r="954" ht="19.95" customHeight="1"/>
    <row r="955" ht="19.95" customHeight="1"/>
    <row r="956" ht="19.95" customHeight="1"/>
    <row r="957" ht="19.95" customHeight="1"/>
    <row r="958" ht="19.95" customHeight="1"/>
    <row r="959" ht="19.95" customHeight="1"/>
    <row r="960" ht="19.95" customHeight="1"/>
    <row r="961" ht="19.95" customHeight="1"/>
    <row r="962" ht="19.95" customHeight="1"/>
    <row r="963" ht="19.95" customHeight="1"/>
    <row r="964" ht="19.95" customHeight="1"/>
    <row r="965" ht="19.95" customHeight="1"/>
    <row r="966" ht="19.95" customHeight="1"/>
    <row r="967" ht="19.95" customHeight="1"/>
    <row r="968" ht="19.95" customHeight="1"/>
    <row r="969" ht="19.95" customHeight="1"/>
    <row r="970" ht="19.95" customHeight="1"/>
    <row r="971" ht="19.95" customHeight="1"/>
    <row r="972" ht="19.95" customHeight="1"/>
    <row r="973" ht="19.95" customHeight="1"/>
    <row r="974" ht="19.95" customHeight="1"/>
    <row r="975" ht="19.95" customHeight="1"/>
    <row r="976" ht="19.95" customHeight="1"/>
    <row r="977" ht="19.95" customHeight="1"/>
    <row r="978" ht="19.95" customHeight="1"/>
    <row r="979" ht="19.95" customHeight="1"/>
    <row r="980" ht="19.95" customHeight="1"/>
    <row r="981" ht="19.95" customHeight="1"/>
    <row r="982" ht="19.95" customHeight="1"/>
    <row r="983" ht="19.95" customHeight="1"/>
    <row r="984" ht="19.95" customHeight="1"/>
  </sheetData>
  <mergeCells count="43">
    <mergeCell ref="B408:C408"/>
    <mergeCell ref="D3:K3"/>
    <mergeCell ref="B366:C366"/>
    <mergeCell ref="A465:D465"/>
    <mergeCell ref="C429:F429"/>
    <mergeCell ref="C464:F464"/>
    <mergeCell ref="C432:F432"/>
    <mergeCell ref="B434:C434"/>
    <mergeCell ref="C2:C4"/>
    <mergeCell ref="B416:C416"/>
    <mergeCell ref="B417:C417"/>
    <mergeCell ref="C23:F23"/>
    <mergeCell ref="B229:C229"/>
    <mergeCell ref="B298:C298"/>
    <mergeCell ref="B55:C55"/>
    <mergeCell ref="B61:C61"/>
    <mergeCell ref="B93:C93"/>
    <mergeCell ref="B400:C400"/>
    <mergeCell ref="B401:C401"/>
    <mergeCell ref="B306:C306"/>
    <mergeCell ref="B318:C318"/>
    <mergeCell ref="B285:C285"/>
    <mergeCell ref="B233:C233"/>
    <mergeCell ref="B104:C104"/>
    <mergeCell ref="B149:C149"/>
    <mergeCell ref="B326:C326"/>
    <mergeCell ref="B267:C267"/>
    <mergeCell ref="D2:K2"/>
    <mergeCell ref="D4:K4"/>
    <mergeCell ref="B225:C225"/>
    <mergeCell ref="B211:C211"/>
    <mergeCell ref="B179:C179"/>
    <mergeCell ref="B203:C203"/>
    <mergeCell ref="B221:C221"/>
    <mergeCell ref="A5:M5"/>
    <mergeCell ref="A6:B6"/>
    <mergeCell ref="C6:C7"/>
    <mergeCell ref="D6:D7"/>
    <mergeCell ref="E6:G6"/>
    <mergeCell ref="H6:I6"/>
    <mergeCell ref="J6:K6"/>
    <mergeCell ref="L6:M6"/>
    <mergeCell ref="B49:C49"/>
  </mergeCells>
  <phoneticPr fontId="98" type="noConversion"/>
  <printOptions horizontalCentered="1"/>
  <pageMargins left="0.39370078740157483" right="0.39370078740157483" top="0.59055118110236227" bottom="0.78740157480314965" header="0" footer="0"/>
  <pageSetup paperSize="9" scale="47" firstPageNumber="34" fitToHeight="0" orientation="landscape" r:id="rId1"/>
  <rowBreaks count="15" manualBreakCount="15">
    <brk id="31" max="12" man="1"/>
    <brk id="60" max="12" man="1"/>
    <brk id="89" max="12" man="1"/>
    <brk id="103" max="12" man="1"/>
    <brk id="126" max="12" man="1"/>
    <brk id="148" max="12" man="1"/>
    <brk id="178" max="12" man="1"/>
    <brk id="194" max="12" man="1"/>
    <brk id="223" max="12" man="1"/>
    <brk id="285" max="12" man="1"/>
    <brk id="313" max="12" man="1"/>
    <brk id="346" max="12" man="1"/>
    <brk id="365" max="12" man="1"/>
    <brk id="396" max="12" man="1"/>
    <brk id="426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FFFF00"/>
    <pageSetUpPr fitToPage="1"/>
  </sheetPr>
  <dimension ref="A1:BE5530"/>
  <sheetViews>
    <sheetView showGridLines="0" view="pageBreakPreview" topLeftCell="A654" zoomScale="55" zoomScaleNormal="80" zoomScaleSheetLayoutView="55" workbookViewId="0">
      <selection activeCell="C690" sqref="C690"/>
    </sheetView>
  </sheetViews>
  <sheetFormatPr defaultColWidth="9.109375" defaultRowHeight="13.8"/>
  <cols>
    <col min="1" max="1" width="9.5546875" style="349" customWidth="1"/>
    <col min="2" max="2" width="17.5546875" style="405" customWidth="1"/>
    <col min="3" max="3" width="95.88671875" style="406" customWidth="1"/>
    <col min="4" max="4" width="10.6640625" style="407" customWidth="1"/>
    <col min="5" max="5" width="2.6640625" style="381" customWidth="1"/>
    <col min="6" max="6" width="10.6640625" style="382" customWidth="1"/>
    <col min="7" max="7" width="10.6640625" style="407" customWidth="1"/>
    <col min="8" max="8" width="2.6640625" style="350" customWidth="1"/>
    <col min="9" max="9" width="10.6640625" style="382" customWidth="1"/>
    <col min="10" max="10" width="10" style="408" customWidth="1"/>
    <col min="11" max="11" width="12.5546875" style="409" customWidth="1"/>
    <col min="12" max="12" width="15.88671875" style="409" customWidth="1"/>
    <col min="13" max="13" width="15.33203125" style="408" customWidth="1"/>
    <col min="14" max="14" width="13.88671875" style="410" customWidth="1"/>
    <col min="15" max="15" width="18.33203125" style="411" bestFit="1" customWidth="1"/>
    <col min="16" max="16" width="15.6640625" style="350" customWidth="1"/>
    <col min="17" max="17" width="15.6640625" style="385" customWidth="1"/>
    <col min="18" max="18" width="15.33203125" style="412" bestFit="1" customWidth="1"/>
    <col min="19" max="19" width="7.6640625" style="374" bestFit="1" customWidth="1"/>
    <col min="20" max="20" width="14.33203125" style="350" bestFit="1" customWidth="1"/>
    <col min="21" max="21" width="77.44140625" style="350" customWidth="1"/>
    <col min="22" max="22" width="15" style="573" bestFit="1" customWidth="1"/>
    <col min="23" max="26" width="5.44140625" style="350" customWidth="1"/>
    <col min="27" max="27" width="7.5546875" style="350" customWidth="1"/>
    <col min="28" max="34" width="5.44140625" style="350" customWidth="1"/>
    <col min="35" max="51" width="9.109375" style="350" customWidth="1"/>
    <col min="52" max="52" width="11.5546875" style="350" customWidth="1"/>
    <col min="53" max="53" width="18.88671875" style="350" bestFit="1" customWidth="1"/>
    <col min="54" max="54" width="17" style="350" customWidth="1"/>
    <col min="55" max="55" width="13.33203125" style="350" customWidth="1"/>
    <col min="56" max="56" width="24.33203125" style="350" customWidth="1"/>
    <col min="57" max="57" width="19" style="350" bestFit="1" customWidth="1"/>
    <col min="58" max="58" width="27.88671875" style="350" customWidth="1"/>
    <col min="59" max="59" width="14.33203125" style="350" customWidth="1"/>
    <col min="60" max="241" width="9.109375" style="350" customWidth="1"/>
    <col min="242" max="242" width="13.44140625" style="350" customWidth="1"/>
    <col min="243" max="243" width="55.5546875" style="350" customWidth="1"/>
    <col min="244" max="244" width="7.6640625" style="350" customWidth="1"/>
    <col min="245" max="245" width="1.5546875" style="350" customWidth="1"/>
    <col min="246" max="246" width="7.33203125" style="350" customWidth="1"/>
    <col min="247" max="247" width="7.6640625" style="350" customWidth="1"/>
    <col min="248" max="248" width="1.5546875" style="350" customWidth="1"/>
    <col min="249" max="249" width="7.33203125" style="350" customWidth="1"/>
    <col min="250" max="250" width="4.6640625" style="350" customWidth="1"/>
    <col min="251" max="251" width="13.88671875" style="350" customWidth="1"/>
    <col min="252" max="253" width="13.109375" style="350" customWidth="1"/>
    <col min="254" max="254" width="12.6640625" style="350" customWidth="1"/>
    <col min="255" max="255" width="6.88671875" style="350" customWidth="1"/>
    <col min="256" max="16384" width="9.109375" style="350"/>
  </cols>
  <sheetData>
    <row r="1" spans="1:38" s="77" customFormat="1" ht="55.95" customHeight="1">
      <c r="A1" s="15"/>
      <c r="B1" s="2033" t="s">
        <v>1495</v>
      </c>
      <c r="C1" s="2034"/>
      <c r="D1" s="2035" t="s">
        <v>1496</v>
      </c>
      <c r="E1" s="2035"/>
      <c r="F1" s="2035"/>
      <c r="G1" s="2035"/>
      <c r="H1" s="2035"/>
      <c r="I1" s="2035"/>
      <c r="J1" s="2035"/>
      <c r="K1" s="2035"/>
      <c r="L1" s="2035"/>
      <c r="M1" s="2035"/>
      <c r="N1" s="2035"/>
      <c r="O1" s="2035"/>
      <c r="P1" s="2035"/>
      <c r="Q1" s="2035"/>
      <c r="R1" s="2035"/>
      <c r="S1" s="2035"/>
      <c r="T1" s="2035"/>
      <c r="U1" s="2036"/>
      <c r="V1" s="478"/>
    </row>
    <row r="2" spans="1:38" s="77" customFormat="1" ht="28.2" customHeight="1">
      <c r="A2" s="15"/>
      <c r="B2" s="1055" t="s">
        <v>1497</v>
      </c>
      <c r="C2" s="2030" t="s">
        <v>1498</v>
      </c>
      <c r="D2" s="2031"/>
      <c r="E2" s="2031"/>
      <c r="F2" s="2031"/>
      <c r="G2" s="2031"/>
      <c r="H2" s="2031"/>
      <c r="I2" s="2031"/>
      <c r="J2" s="2031"/>
      <c r="K2" s="2031"/>
      <c r="L2" s="2031"/>
      <c r="M2" s="2031"/>
      <c r="N2" s="2031"/>
      <c r="O2" s="2031"/>
      <c r="P2" s="2031"/>
      <c r="Q2" s="2031"/>
      <c r="R2" s="2031"/>
      <c r="S2" s="2032"/>
      <c r="T2" s="1058" t="s">
        <v>1499</v>
      </c>
      <c r="U2" s="1059">
        <v>37</v>
      </c>
      <c r="V2" s="478"/>
    </row>
    <row r="3" spans="1:38" s="77" customFormat="1" ht="21" customHeight="1" thickBot="1">
      <c r="A3" s="15"/>
      <c r="B3" s="1066" t="str">
        <f>'11 - FINANCEIRA'!L4</f>
        <v>Período:  01/03/2026 a 31/03/2026</v>
      </c>
      <c r="C3" s="1067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5"/>
      <c r="T3" s="1056" t="s">
        <v>1500</v>
      </c>
      <c r="U3" s="1057">
        <f ca="1">TODAY()</f>
        <v>46127</v>
      </c>
      <c r="V3" s="478"/>
    </row>
    <row r="4" spans="1:38" s="77" customFormat="1" ht="17.399999999999999">
      <c r="A4" s="15"/>
      <c r="B4" s="2076" t="s">
        <v>1501</v>
      </c>
      <c r="C4" s="2077"/>
      <c r="D4" s="2077"/>
      <c r="E4" s="2077"/>
      <c r="F4" s="2077"/>
      <c r="G4" s="2077"/>
      <c r="H4" s="2077"/>
      <c r="I4" s="2077"/>
      <c r="J4" s="2077"/>
      <c r="K4" s="2077"/>
      <c r="L4" s="2077"/>
      <c r="M4" s="2077"/>
      <c r="N4" s="2077"/>
      <c r="O4" s="2077"/>
      <c r="P4" s="2077"/>
      <c r="Q4" s="2077"/>
      <c r="R4" s="2077"/>
      <c r="S4" s="2077"/>
      <c r="T4" s="2077"/>
      <c r="U4" s="2078"/>
      <c r="V4" s="478"/>
    </row>
    <row r="5" spans="1:38" s="77" customFormat="1" ht="17.399999999999999">
      <c r="A5" s="15"/>
      <c r="B5" s="1417"/>
      <c r="C5" s="723"/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/>
      <c r="P5" s="723"/>
      <c r="Q5" s="723"/>
      <c r="R5" s="723"/>
      <c r="S5" s="723"/>
      <c r="T5" s="723"/>
      <c r="U5" s="724"/>
      <c r="V5" s="478"/>
    </row>
    <row r="6" spans="1:38" ht="15.6" hidden="1">
      <c r="B6" s="2079" t="s">
        <v>1502</v>
      </c>
      <c r="C6" s="2080"/>
      <c r="D6" s="2080"/>
      <c r="E6" s="2080"/>
      <c r="F6" s="2080"/>
      <c r="G6" s="2080"/>
      <c r="H6" s="2080"/>
      <c r="I6" s="2080"/>
      <c r="J6" s="2080"/>
      <c r="K6" s="2080"/>
      <c r="L6" s="2080"/>
      <c r="M6" s="2080"/>
      <c r="N6" s="2080"/>
      <c r="O6" s="2080"/>
      <c r="P6" s="2080"/>
      <c r="Q6" s="2080"/>
      <c r="R6" s="2080"/>
      <c r="S6" s="2080"/>
      <c r="T6" s="2080"/>
      <c r="U6" s="2081"/>
      <c r="V6" s="574">
        <f>SUM(V7:V244)</f>
        <v>0</v>
      </c>
    </row>
    <row r="7" spans="1:38" s="632" customFormat="1" ht="15.6" hidden="1">
      <c r="A7" s="630"/>
      <c r="B7" s="1333" t="str">
        <f>LEFT(A16,3)</f>
        <v>1.1</v>
      </c>
      <c r="C7" s="1334" t="str">
        <f>VLOOKUP(LEFT(A16,3),'11 - FINANCEIRA'!_xlnm.Print_Area,2,FALSE)</f>
        <v>IMPLANTAÇÃO DO CANTEIRO DE OBRAS</v>
      </c>
      <c r="D7" s="1334"/>
      <c r="E7" s="1335"/>
      <c r="F7" s="1334"/>
      <c r="G7" s="1336"/>
      <c r="H7" s="1337"/>
      <c r="I7" s="1337"/>
      <c r="J7" s="1337"/>
      <c r="K7" s="1337"/>
      <c r="L7" s="1337"/>
      <c r="M7" s="1338"/>
      <c r="N7" s="1339"/>
      <c r="O7" s="1337"/>
      <c r="P7" s="1337"/>
      <c r="Q7" s="1337"/>
      <c r="R7" s="1337"/>
      <c r="S7" s="1337"/>
      <c r="T7" s="1337"/>
      <c r="U7" s="1340"/>
      <c r="V7" s="631">
        <f>SUM(V8:V244)</f>
        <v>0</v>
      </c>
    </row>
    <row r="8" spans="1:38" s="352" customFormat="1" ht="15.6" hidden="1">
      <c r="A8" s="351"/>
      <c r="B8" s="1963" t="str">
        <f>VLOOKUP(A16,'11 - FINANCEIRA'!_xlnm.Print_Area,1,FALSE)</f>
        <v>1.1.1</v>
      </c>
      <c r="C8" s="1965" t="str">
        <f>VLOOKUP(A16,'11 - FINANCEIRA'!_xlnm.Print_Area,3,FALSE)</f>
        <v>Rede de água com padrão de entrada d'água diâm. 3/4", conf. espec. CESAN, incl. tubos e conexões para alimentação, distribuição, extravasor e limpeza, cons. o padrão a 25m, conf. projeto (1 utilização)</v>
      </c>
      <c r="D8" s="1967" t="s">
        <v>1503</v>
      </c>
      <c r="E8" s="1968"/>
      <c r="F8" s="1968"/>
      <c r="G8" s="1968"/>
      <c r="H8" s="1968"/>
      <c r="I8" s="1969"/>
      <c r="J8" s="1914" t="s">
        <v>1504</v>
      </c>
      <c r="K8" s="1914" t="s">
        <v>1505</v>
      </c>
      <c r="L8" s="1914" t="s">
        <v>1506</v>
      </c>
      <c r="M8" s="1914" t="s">
        <v>1507</v>
      </c>
      <c r="N8" s="1914" t="s">
        <v>1508</v>
      </c>
      <c r="O8" s="1914" t="s">
        <v>1509</v>
      </c>
      <c r="P8" s="1341" t="s">
        <v>1510</v>
      </c>
      <c r="Q8" s="1914" t="s">
        <v>1493</v>
      </c>
      <c r="R8" s="1916" t="s">
        <v>804</v>
      </c>
      <c r="S8" s="1914" t="s">
        <v>1511</v>
      </c>
      <c r="T8" s="1914" t="s">
        <v>1512</v>
      </c>
      <c r="U8" s="1918" t="s">
        <v>1513</v>
      </c>
      <c r="V8" s="1418">
        <f t="shared" ref="V8:V15" si="0">V9</f>
        <v>0</v>
      </c>
      <c r="W8" s="16"/>
      <c r="X8" s="16"/>
      <c r="Y8" s="16"/>
      <c r="Z8" s="17"/>
      <c r="AA8" s="12"/>
      <c r="AB8" s="12"/>
      <c r="AC8" s="12"/>
      <c r="AD8" s="12"/>
      <c r="AE8" s="12"/>
      <c r="AF8" s="12"/>
      <c r="AG8" s="12"/>
      <c r="AH8" s="12"/>
      <c r="AI8" s="12"/>
      <c r="AJ8" s="12"/>
    </row>
    <row r="9" spans="1:38" s="352" customFormat="1" ht="15.6" hidden="1">
      <c r="A9" s="351"/>
      <c r="B9" s="1964" t="e">
        <f>LEFT(#REF!,5)</f>
        <v>#REF!</v>
      </c>
      <c r="C9" s="1966" t="e">
        <f>VLOOKUP(LEFT(#REF!,5),'11 - FINANCEIRA'!_xlnm.Print_Area,2,FALSE)</f>
        <v>#REF!</v>
      </c>
      <c r="D9" s="1920" t="s">
        <v>1514</v>
      </c>
      <c r="E9" s="1921"/>
      <c r="F9" s="1922"/>
      <c r="G9" s="1923" t="s">
        <v>1515</v>
      </c>
      <c r="H9" s="1924"/>
      <c r="I9" s="1925"/>
      <c r="J9" s="1915"/>
      <c r="K9" s="1915"/>
      <c r="L9" s="1915"/>
      <c r="M9" s="1915"/>
      <c r="N9" s="1915"/>
      <c r="O9" s="1915"/>
      <c r="P9" s="353" t="s">
        <v>1516</v>
      </c>
      <c r="Q9" s="1915"/>
      <c r="R9" s="1917"/>
      <c r="S9" s="1915"/>
      <c r="T9" s="1915"/>
      <c r="U9" s="1919"/>
      <c r="V9" s="1418">
        <f t="shared" si="0"/>
        <v>0</v>
      </c>
      <c r="W9" s="16"/>
      <c r="X9" s="16"/>
      <c r="Y9" s="16"/>
      <c r="Z9" s="17"/>
      <c r="AA9" s="12"/>
      <c r="AB9" s="12"/>
      <c r="AC9" s="12"/>
      <c r="AD9" s="12"/>
      <c r="AE9" s="12"/>
      <c r="AF9" s="12"/>
      <c r="AG9" s="12"/>
      <c r="AH9" s="12"/>
      <c r="AI9" s="12"/>
      <c r="AJ9" s="12"/>
    </row>
    <row r="10" spans="1:38" s="361" customFormat="1" ht="15" hidden="1">
      <c r="A10" s="354"/>
      <c r="B10" s="755" t="s">
        <v>1517</v>
      </c>
      <c r="C10" s="1342" t="s">
        <v>1518</v>
      </c>
      <c r="D10" s="18"/>
      <c r="E10" s="19"/>
      <c r="F10" s="20"/>
      <c r="G10" s="18"/>
      <c r="H10" s="19"/>
      <c r="I10" s="20"/>
      <c r="J10" s="21"/>
      <c r="K10" s="22"/>
      <c r="L10" s="23"/>
      <c r="M10" s="24"/>
      <c r="N10" s="728"/>
      <c r="O10" s="25"/>
      <c r="P10" s="23"/>
      <c r="Q10" s="729"/>
      <c r="R10" s="1109">
        <v>50</v>
      </c>
      <c r="S10" s="730" t="s">
        <v>809</v>
      </c>
      <c r="T10" s="446" t="s">
        <v>298</v>
      </c>
      <c r="U10" s="44"/>
      <c r="V10" s="1419">
        <f>V11</f>
        <v>0</v>
      </c>
      <c r="W10" s="357"/>
      <c r="X10" s="357"/>
      <c r="Y10" s="357"/>
      <c r="Z10" s="358"/>
      <c r="AA10" s="359"/>
      <c r="AB10" s="360"/>
      <c r="AL10" s="361" t="s">
        <v>1519</v>
      </c>
    </row>
    <row r="11" spans="1:38" s="510" customFormat="1" ht="15" hidden="1">
      <c r="A11" s="504"/>
      <c r="B11" s="511"/>
      <c r="C11" s="467"/>
      <c r="D11" s="515"/>
      <c r="E11" s="516"/>
      <c r="F11" s="517"/>
      <c r="G11" s="515"/>
      <c r="H11" s="516"/>
      <c r="I11" s="517"/>
      <c r="J11" s="468"/>
      <c r="K11" s="469"/>
      <c r="L11" s="470"/>
      <c r="M11" s="471"/>
      <c r="N11" s="480"/>
      <c r="O11" s="472"/>
      <c r="P11" s="470"/>
      <c r="Q11" s="536"/>
      <c r="R11" s="492"/>
      <c r="S11" s="537"/>
      <c r="T11" s="493"/>
      <c r="U11" s="512"/>
      <c r="V11" s="1418">
        <f t="shared" si="0"/>
        <v>0</v>
      </c>
      <c r="W11" s="506"/>
      <c r="X11" s="506"/>
      <c r="Y11" s="506"/>
      <c r="Z11" s="507"/>
      <c r="AA11" s="508"/>
      <c r="AB11" s="509"/>
    </row>
    <row r="12" spans="1:38" s="478" customFormat="1" ht="15" hidden="1">
      <c r="A12" s="465"/>
      <c r="B12" s="511"/>
      <c r="C12" s="467"/>
      <c r="D12" s="515"/>
      <c r="E12" s="516"/>
      <c r="F12" s="517"/>
      <c r="G12" s="515"/>
      <c r="H12" s="516"/>
      <c r="I12" s="517"/>
      <c r="J12" s="468"/>
      <c r="K12" s="469"/>
      <c r="L12" s="470"/>
      <c r="M12" s="471"/>
      <c r="N12" s="472"/>
      <c r="O12" s="472"/>
      <c r="P12" s="470"/>
      <c r="Q12" s="473"/>
      <c r="R12" s="474"/>
      <c r="S12" s="475"/>
      <c r="T12" s="493"/>
      <c r="U12" s="512"/>
      <c r="V12" s="1418">
        <f t="shared" si="0"/>
        <v>0</v>
      </c>
      <c r="W12" s="513"/>
      <c r="X12" s="513"/>
      <c r="Y12" s="513"/>
      <c r="Z12" s="514"/>
    </row>
    <row r="13" spans="1:38" s="478" customFormat="1" ht="15" hidden="1">
      <c r="A13" s="465"/>
      <c r="B13" s="501"/>
      <c r="C13" s="502"/>
      <c r="D13" s="515"/>
      <c r="E13" s="516"/>
      <c r="F13" s="517"/>
      <c r="G13" s="515"/>
      <c r="H13" s="516"/>
      <c r="I13" s="517"/>
      <c r="J13" s="468"/>
      <c r="K13" s="469"/>
      <c r="L13" s="470"/>
      <c r="M13" s="471"/>
      <c r="N13" s="472"/>
      <c r="O13" s="472"/>
      <c r="P13" s="470"/>
      <c r="Q13" s="473"/>
      <c r="R13" s="538"/>
      <c r="S13" s="539"/>
      <c r="T13" s="540"/>
      <c r="U13" s="477"/>
      <c r="V13" s="1418">
        <f t="shared" si="0"/>
        <v>0</v>
      </c>
      <c r="AB13" s="479"/>
    </row>
    <row r="14" spans="1:38" s="77" customFormat="1" ht="15.6" hidden="1">
      <c r="A14" s="370"/>
      <c r="B14" s="499"/>
      <c r="C14" s="37"/>
      <c r="D14" s="1929" t="s">
        <v>1520</v>
      </c>
      <c r="E14" s="1930"/>
      <c r="F14" s="1930"/>
      <c r="G14" s="1930"/>
      <c r="H14" s="1930"/>
      <c r="I14" s="1931"/>
      <c r="J14" s="1932">
        <f>VLOOKUP(A16,'11 - FINANCEIRA'!_xlnm.Print_Area,6,FALSE)</f>
        <v>50</v>
      </c>
      <c r="K14" s="1933"/>
      <c r="L14" s="1343" t="str">
        <f>VLOOKUP(A16,'11 - FINANCEIRA'!_xlnm.Print_Area,4,FALSE)</f>
        <v>m</v>
      </c>
      <c r="M14" s="1934" t="s">
        <v>1521</v>
      </c>
      <c r="N14" s="1935"/>
      <c r="O14" s="1935"/>
      <c r="P14" s="1935"/>
      <c r="Q14" s="1936"/>
      <c r="R14" s="726">
        <f>SUM(R10:R13)</f>
        <v>50</v>
      </c>
      <c r="S14" s="1344" t="str">
        <f>L14</f>
        <v>m</v>
      </c>
      <c r="T14" s="373"/>
      <c r="U14" s="486"/>
      <c r="V14" s="1418">
        <f t="shared" si="0"/>
        <v>0</v>
      </c>
      <c r="AB14" s="15"/>
    </row>
    <row r="15" spans="1:38" s="77" customFormat="1" ht="15.6" hidden="1">
      <c r="A15" s="370"/>
      <c r="B15" s="499"/>
      <c r="C15" s="725"/>
      <c r="D15" s="1937" t="s">
        <v>1522</v>
      </c>
      <c r="E15" s="1938"/>
      <c r="F15" s="1938"/>
      <c r="G15" s="1938"/>
      <c r="H15" s="1938"/>
      <c r="I15" s="1939"/>
      <c r="J15" s="1943">
        <f>R14/J14</f>
        <v>1</v>
      </c>
      <c r="K15" s="1944"/>
      <c r="L15" s="1947"/>
      <c r="M15" s="1934" t="s">
        <v>1523</v>
      </c>
      <c r="N15" s="1935"/>
      <c r="O15" s="1935"/>
      <c r="P15" s="1935"/>
      <c r="Q15" s="1936"/>
      <c r="R15" s="726">
        <f>VLOOKUP(A16,'11 - FINANCEIRA'!_xlnm.Print_Area,8,FALSE)</f>
        <v>50</v>
      </c>
      <c r="S15" s="727" t="str">
        <f>L14</f>
        <v>m</v>
      </c>
      <c r="T15" s="373"/>
      <c r="U15" s="486"/>
      <c r="V15" s="1418">
        <f t="shared" si="0"/>
        <v>0</v>
      </c>
      <c r="AB15" s="15"/>
    </row>
    <row r="16" spans="1:38" s="77" customFormat="1" ht="15.6" hidden="1">
      <c r="A16" s="364" t="s">
        <v>347</v>
      </c>
      <c r="B16" s="499"/>
      <c r="C16" s="37"/>
      <c r="D16" s="2013"/>
      <c r="E16" s="2014"/>
      <c r="F16" s="2014"/>
      <c r="G16" s="2014"/>
      <c r="H16" s="2014"/>
      <c r="I16" s="2015"/>
      <c r="J16" s="2016"/>
      <c r="K16" s="2017"/>
      <c r="L16" s="1962"/>
      <c r="M16" s="2007" t="s">
        <v>1524</v>
      </c>
      <c r="N16" s="2008"/>
      <c r="O16" s="2008"/>
      <c r="P16" s="2008"/>
      <c r="Q16" s="2009"/>
      <c r="R16" s="1345">
        <f>R14-R15</f>
        <v>0</v>
      </c>
      <c r="S16" s="1346" t="str">
        <f>L14</f>
        <v>m</v>
      </c>
      <c r="T16" s="373"/>
      <c r="U16" s="486"/>
      <c r="V16" s="1418">
        <f>R16</f>
        <v>0</v>
      </c>
      <c r="AB16" s="15"/>
    </row>
    <row r="17" spans="1:36" s="77" customFormat="1" ht="15.6" hidden="1">
      <c r="A17" s="370"/>
      <c r="B17" s="1347"/>
      <c r="C17" s="1348"/>
      <c r="D17" s="1349"/>
      <c r="E17" s="1350"/>
      <c r="F17" s="1349"/>
      <c r="G17" s="1349"/>
      <c r="H17" s="1349"/>
      <c r="I17" s="1349"/>
      <c r="J17" s="1351"/>
      <c r="K17" s="1352"/>
      <c r="L17" s="1353"/>
      <c r="M17" s="1354"/>
      <c r="N17" s="1354"/>
      <c r="O17" s="1354"/>
      <c r="P17" s="1354"/>
      <c r="Q17" s="1354"/>
      <c r="R17" s="1355"/>
      <c r="S17" s="1356"/>
      <c r="T17" s="1357"/>
      <c r="U17" s="1358"/>
      <c r="V17" s="1420">
        <f>SUM(V8:V16)</f>
        <v>0</v>
      </c>
      <c r="AB17" s="15"/>
    </row>
    <row r="18" spans="1:36" s="352" customFormat="1" ht="15.6" hidden="1">
      <c r="A18" s="351"/>
      <c r="B18" s="1963" t="str">
        <f>VLOOKUP(A26,'11 - FINANCEIRA'!_xlnm.Print_Area,1,FALSE)</f>
        <v>1.1.2</v>
      </c>
      <c r="C18" s="1965" t="str">
        <f>VLOOKUP(A26,'11 - FINANCEIRA'!_xlnm.Print_Area,3,FALSE)</f>
        <v>Rede de esgoto, contendo fossa e filtro, inclusive tubos e conexões de ligação entre caixas, considerando distância de 25m, conforme projeto (1 utilização)</v>
      </c>
      <c r="D18" s="1967" t="s">
        <v>1503</v>
      </c>
      <c r="E18" s="1968"/>
      <c r="F18" s="1968"/>
      <c r="G18" s="1968"/>
      <c r="H18" s="1968"/>
      <c r="I18" s="1969"/>
      <c r="J18" s="1914" t="s">
        <v>1504</v>
      </c>
      <c r="K18" s="1914" t="s">
        <v>1505</v>
      </c>
      <c r="L18" s="1914" t="s">
        <v>1506</v>
      </c>
      <c r="M18" s="1914" t="s">
        <v>1507</v>
      </c>
      <c r="N18" s="1914" t="s">
        <v>1508</v>
      </c>
      <c r="O18" s="1914" t="s">
        <v>1509</v>
      </c>
      <c r="P18" s="1341" t="s">
        <v>1510</v>
      </c>
      <c r="Q18" s="1914" t="s">
        <v>1493</v>
      </c>
      <c r="R18" s="1916" t="s">
        <v>804</v>
      </c>
      <c r="S18" s="1914" t="s">
        <v>1511</v>
      </c>
      <c r="T18" s="1914" t="s">
        <v>1512</v>
      </c>
      <c r="U18" s="1918" t="s">
        <v>1513</v>
      </c>
      <c r="V18" s="1418">
        <f t="shared" ref="V18:V25" si="1">V19</f>
        <v>0</v>
      </c>
      <c r="W18" s="16"/>
      <c r="X18" s="16"/>
      <c r="Y18" s="16"/>
      <c r="Z18" s="17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s="352" customFormat="1" ht="15.6" hidden="1">
      <c r="A19" s="351"/>
      <c r="B19" s="1964" t="e">
        <f>LEFT(#REF!,5)</f>
        <v>#REF!</v>
      </c>
      <c r="C19" s="1966" t="e">
        <f>VLOOKUP(LEFT(#REF!,5),'11 - FINANCEIRA'!_xlnm.Print_Area,2,FALSE)</f>
        <v>#REF!</v>
      </c>
      <c r="D19" s="1920" t="s">
        <v>1514</v>
      </c>
      <c r="E19" s="1921"/>
      <c r="F19" s="1922"/>
      <c r="G19" s="1923" t="s">
        <v>1515</v>
      </c>
      <c r="H19" s="1924"/>
      <c r="I19" s="1925"/>
      <c r="J19" s="1915"/>
      <c r="K19" s="1915"/>
      <c r="L19" s="1915"/>
      <c r="M19" s="1915"/>
      <c r="N19" s="1915"/>
      <c r="O19" s="1915"/>
      <c r="P19" s="353" t="s">
        <v>1516</v>
      </c>
      <c r="Q19" s="1915"/>
      <c r="R19" s="1917"/>
      <c r="S19" s="1915"/>
      <c r="T19" s="1915"/>
      <c r="U19" s="1919"/>
      <c r="V19" s="1418">
        <f t="shared" si="1"/>
        <v>0</v>
      </c>
      <c r="W19" s="16"/>
      <c r="X19" s="16"/>
      <c r="Y19" s="16"/>
      <c r="Z19" s="17"/>
      <c r="AA19" s="12"/>
      <c r="AB19" s="12"/>
      <c r="AC19" s="12"/>
      <c r="AD19" s="12"/>
      <c r="AE19" s="12"/>
      <c r="AF19" s="12"/>
      <c r="AG19" s="12"/>
      <c r="AH19" s="12"/>
      <c r="AI19" s="12"/>
      <c r="AJ19" s="12"/>
    </row>
    <row r="20" spans="1:36" s="361" customFormat="1" ht="15" hidden="1">
      <c r="A20" s="354"/>
      <c r="B20" s="755" t="s">
        <v>1525</v>
      </c>
      <c r="C20" s="28" t="s">
        <v>1526</v>
      </c>
      <c r="D20" s="18"/>
      <c r="E20" s="19"/>
      <c r="F20" s="20"/>
      <c r="G20" s="18"/>
      <c r="H20" s="19"/>
      <c r="I20" s="20"/>
      <c r="J20" s="21"/>
      <c r="K20" s="22"/>
      <c r="L20" s="23"/>
      <c r="M20" s="24"/>
      <c r="N20" s="728"/>
      <c r="O20" s="25"/>
      <c r="P20" s="23"/>
      <c r="Q20" s="729"/>
      <c r="R20" s="1109">
        <v>50</v>
      </c>
      <c r="S20" s="730" t="s">
        <v>809</v>
      </c>
      <c r="T20" s="446" t="s">
        <v>298</v>
      </c>
      <c r="U20" s="44"/>
      <c r="V20" s="1419">
        <f>V21</f>
        <v>0</v>
      </c>
      <c r="W20" s="357"/>
      <c r="X20" s="357"/>
      <c r="Y20" s="357"/>
      <c r="Z20" s="358"/>
      <c r="AA20" s="359"/>
      <c r="AB20" s="360"/>
    </row>
    <row r="21" spans="1:36" s="510" customFormat="1" ht="15" hidden="1">
      <c r="A21" s="504"/>
      <c r="B21" s="511"/>
      <c r="C21" s="467" t="s">
        <v>1527</v>
      </c>
      <c r="D21" s="515"/>
      <c r="E21" s="516"/>
      <c r="F21" s="517"/>
      <c r="G21" s="515"/>
      <c r="H21" s="516"/>
      <c r="I21" s="517"/>
      <c r="J21" s="468"/>
      <c r="K21" s="469"/>
      <c r="L21" s="470"/>
      <c r="M21" s="471"/>
      <c r="N21" s="480"/>
      <c r="O21" s="472"/>
      <c r="P21" s="470"/>
      <c r="Q21" s="536"/>
      <c r="R21" s="492"/>
      <c r="S21" s="537"/>
      <c r="T21" s="493"/>
      <c r="U21" s="512"/>
      <c r="V21" s="1418">
        <f t="shared" si="1"/>
        <v>0</v>
      </c>
      <c r="W21" s="506"/>
      <c r="X21" s="506"/>
      <c r="Y21" s="506"/>
      <c r="Z21" s="507"/>
      <c r="AA21" s="508"/>
      <c r="AB21" s="509"/>
    </row>
    <row r="22" spans="1:36" s="478" customFormat="1" ht="15" hidden="1">
      <c r="A22" s="465"/>
      <c r="B22" s="511"/>
      <c r="C22" s="467"/>
      <c r="D22" s="515"/>
      <c r="E22" s="516"/>
      <c r="F22" s="517"/>
      <c r="G22" s="515"/>
      <c r="H22" s="516"/>
      <c r="I22" s="517"/>
      <c r="J22" s="468"/>
      <c r="K22" s="469"/>
      <c r="L22" s="470"/>
      <c r="M22" s="471"/>
      <c r="N22" s="472"/>
      <c r="O22" s="472"/>
      <c r="P22" s="470"/>
      <c r="Q22" s="473"/>
      <c r="R22" s="474"/>
      <c r="S22" s="475"/>
      <c r="T22" s="493"/>
      <c r="U22" s="512"/>
      <c r="V22" s="1418">
        <f t="shared" si="1"/>
        <v>0</v>
      </c>
      <c r="W22" s="513"/>
      <c r="X22" s="513"/>
      <c r="Y22" s="513"/>
      <c r="Z22" s="514"/>
    </row>
    <row r="23" spans="1:36" s="478" customFormat="1" ht="15" hidden="1">
      <c r="A23" s="465"/>
      <c r="B23" s="501"/>
      <c r="C23" s="502"/>
      <c r="D23" s="515"/>
      <c r="E23" s="516"/>
      <c r="F23" s="517"/>
      <c r="G23" s="515"/>
      <c r="H23" s="516"/>
      <c r="I23" s="517"/>
      <c r="J23" s="468"/>
      <c r="K23" s="469"/>
      <c r="L23" s="470"/>
      <c r="M23" s="471"/>
      <c r="N23" s="472"/>
      <c r="O23" s="472"/>
      <c r="P23" s="470"/>
      <c r="Q23" s="473"/>
      <c r="R23" s="538"/>
      <c r="S23" s="539"/>
      <c r="T23" s="540"/>
      <c r="U23" s="477"/>
      <c r="V23" s="1418">
        <f t="shared" si="1"/>
        <v>0</v>
      </c>
      <c r="AB23" s="479"/>
    </row>
    <row r="24" spans="1:36" s="77" customFormat="1" ht="15.6" hidden="1">
      <c r="A24" s="370"/>
      <c r="B24" s="499"/>
      <c r="C24" s="37"/>
      <c r="D24" s="1929" t="s">
        <v>1520</v>
      </c>
      <c r="E24" s="1930"/>
      <c r="F24" s="1930"/>
      <c r="G24" s="1930"/>
      <c r="H24" s="1930"/>
      <c r="I24" s="1931"/>
      <c r="J24" s="1932">
        <f>VLOOKUP(A26,'11 - FINANCEIRA'!_xlnm.Print_Area,6,FALSE)</f>
        <v>50</v>
      </c>
      <c r="K24" s="1933"/>
      <c r="L24" s="1343" t="str">
        <f>VLOOKUP(A26,'11 - FINANCEIRA'!_xlnm.Print_Area,4,FALSE)</f>
        <v>m</v>
      </c>
      <c r="M24" s="1934" t="s">
        <v>1521</v>
      </c>
      <c r="N24" s="1935"/>
      <c r="O24" s="1935"/>
      <c r="P24" s="1935"/>
      <c r="Q24" s="1936"/>
      <c r="R24" s="726">
        <f>SUM(R20:R23)</f>
        <v>50</v>
      </c>
      <c r="S24" s="1344" t="str">
        <f>L24</f>
        <v>m</v>
      </c>
      <c r="T24" s="373"/>
      <c r="U24" s="486"/>
      <c r="V24" s="1418">
        <f t="shared" si="1"/>
        <v>0</v>
      </c>
      <c r="AB24" s="15"/>
    </row>
    <row r="25" spans="1:36" s="77" customFormat="1" ht="15.6" hidden="1">
      <c r="A25" s="370"/>
      <c r="B25" s="499"/>
      <c r="C25" s="725"/>
      <c r="D25" s="1937" t="s">
        <v>1522</v>
      </c>
      <c r="E25" s="1938"/>
      <c r="F25" s="1938"/>
      <c r="G25" s="1938"/>
      <c r="H25" s="1938"/>
      <c r="I25" s="1939"/>
      <c r="J25" s="1943">
        <f>R24/J24</f>
        <v>1</v>
      </c>
      <c r="K25" s="1944"/>
      <c r="L25" s="1947"/>
      <c r="M25" s="1934" t="s">
        <v>1523</v>
      </c>
      <c r="N25" s="1935"/>
      <c r="O25" s="1935"/>
      <c r="P25" s="1935"/>
      <c r="Q25" s="1936"/>
      <c r="R25" s="726">
        <f>VLOOKUP(A26,'11 - FINANCEIRA'!_xlnm.Print_Area,8,FALSE)</f>
        <v>50</v>
      </c>
      <c r="S25" s="727" t="str">
        <f>L24</f>
        <v>m</v>
      </c>
      <c r="T25" s="373"/>
      <c r="U25" s="486"/>
      <c r="V25" s="1418">
        <f t="shared" si="1"/>
        <v>0</v>
      </c>
      <c r="AB25" s="15"/>
    </row>
    <row r="26" spans="1:36" s="77" customFormat="1" ht="15.6" hidden="1">
      <c r="A26" s="364" t="s">
        <v>348</v>
      </c>
      <c r="B26" s="499"/>
      <c r="C26" s="37"/>
      <c r="D26" s="2013"/>
      <c r="E26" s="2014"/>
      <c r="F26" s="2014"/>
      <c r="G26" s="2014"/>
      <c r="H26" s="2014"/>
      <c r="I26" s="2015"/>
      <c r="J26" s="2016"/>
      <c r="K26" s="2017"/>
      <c r="L26" s="1962"/>
      <c r="M26" s="2007" t="s">
        <v>1524</v>
      </c>
      <c r="N26" s="2008"/>
      <c r="O26" s="2008"/>
      <c r="P26" s="2008"/>
      <c r="Q26" s="2009"/>
      <c r="R26" s="1345">
        <f>R24-R25</f>
        <v>0</v>
      </c>
      <c r="S26" s="1346" t="str">
        <f>L24</f>
        <v>m</v>
      </c>
      <c r="T26" s="373"/>
      <c r="U26" s="486"/>
      <c r="V26" s="1418">
        <f>R26</f>
        <v>0</v>
      </c>
      <c r="AB26" s="15"/>
    </row>
    <row r="27" spans="1:36" s="77" customFormat="1" ht="15.6" hidden="1">
      <c r="A27" s="370"/>
      <c r="B27" s="1347"/>
      <c r="C27" s="1348"/>
      <c r="D27" s="1349"/>
      <c r="E27" s="1350"/>
      <c r="F27" s="1349"/>
      <c r="G27" s="1349"/>
      <c r="H27" s="1349"/>
      <c r="I27" s="1349"/>
      <c r="J27" s="1351"/>
      <c r="K27" s="1352"/>
      <c r="L27" s="1353"/>
      <c r="M27" s="1354"/>
      <c r="N27" s="1354"/>
      <c r="O27" s="1354"/>
      <c r="P27" s="1354"/>
      <c r="Q27" s="1354"/>
      <c r="R27" s="1355"/>
      <c r="S27" s="1356"/>
      <c r="T27" s="1357"/>
      <c r="U27" s="1358"/>
      <c r="V27" s="1420">
        <f>SUM(V18:V26)</f>
        <v>0</v>
      </c>
      <c r="AB27" s="15"/>
    </row>
    <row r="28" spans="1:36" s="352" customFormat="1" ht="15.6" hidden="1">
      <c r="A28" s="351"/>
      <c r="B28" s="1963" t="str">
        <f>VLOOKUP(A36,'11 - FINANCEIRA'!_xlnm.Print_Area,1,FALSE)</f>
        <v>1.1.3</v>
      </c>
      <c r="C28" s="1965" t="str">
        <f>VLOOKUP(A36,'11 - FINANCEIRA'!_xlnm.Print_Area,3,FALSE)</f>
        <v>Rede de luz, incl. padrão entrada de energia trifás., cabo de ligação até barracões, quadro de distrib., disj. e chave de força (quando necessário), cons. 20m entre padrão entrada e QDG, conf. projeto (1 utilização)</v>
      </c>
      <c r="D28" s="1967" t="s">
        <v>1503</v>
      </c>
      <c r="E28" s="1968"/>
      <c r="F28" s="1968"/>
      <c r="G28" s="1968"/>
      <c r="H28" s="1968"/>
      <c r="I28" s="1969"/>
      <c r="J28" s="1914" t="s">
        <v>1504</v>
      </c>
      <c r="K28" s="1914" t="s">
        <v>1505</v>
      </c>
      <c r="L28" s="1914" t="s">
        <v>1506</v>
      </c>
      <c r="M28" s="1914" t="s">
        <v>1507</v>
      </c>
      <c r="N28" s="1914" t="s">
        <v>1508</v>
      </c>
      <c r="O28" s="1914" t="s">
        <v>1509</v>
      </c>
      <c r="P28" s="1341" t="s">
        <v>1510</v>
      </c>
      <c r="Q28" s="1914" t="s">
        <v>1493</v>
      </c>
      <c r="R28" s="1916" t="s">
        <v>804</v>
      </c>
      <c r="S28" s="1914" t="s">
        <v>1511</v>
      </c>
      <c r="T28" s="1914" t="s">
        <v>1512</v>
      </c>
      <c r="U28" s="1918" t="s">
        <v>1513</v>
      </c>
      <c r="V28" s="1418">
        <f t="shared" ref="V28:V35" si="2">V29</f>
        <v>0</v>
      </c>
      <c r="W28" s="16"/>
      <c r="X28" s="16"/>
      <c r="Y28" s="16"/>
      <c r="Z28" s="17"/>
      <c r="AA28" s="12"/>
      <c r="AB28" s="12"/>
      <c r="AC28" s="12"/>
      <c r="AD28" s="12"/>
      <c r="AE28" s="12"/>
      <c r="AF28" s="12"/>
      <c r="AG28" s="12"/>
      <c r="AH28" s="12"/>
      <c r="AI28" s="12"/>
      <c r="AJ28" s="12"/>
    </row>
    <row r="29" spans="1:36" s="352" customFormat="1" ht="15.6" hidden="1">
      <c r="A29" s="351"/>
      <c r="B29" s="1964" t="e">
        <f>LEFT(#REF!,5)</f>
        <v>#REF!</v>
      </c>
      <c r="C29" s="1966" t="e">
        <f>VLOOKUP(LEFT(#REF!,5),'11 - FINANCEIRA'!_xlnm.Print_Area,2,FALSE)</f>
        <v>#REF!</v>
      </c>
      <c r="D29" s="1920" t="s">
        <v>1514</v>
      </c>
      <c r="E29" s="1921"/>
      <c r="F29" s="1922"/>
      <c r="G29" s="1923" t="s">
        <v>1515</v>
      </c>
      <c r="H29" s="1924"/>
      <c r="I29" s="1925"/>
      <c r="J29" s="1915"/>
      <c r="K29" s="1915"/>
      <c r="L29" s="1915"/>
      <c r="M29" s="1915"/>
      <c r="N29" s="1915"/>
      <c r="O29" s="1915"/>
      <c r="P29" s="353" t="s">
        <v>1516</v>
      </c>
      <c r="Q29" s="1915"/>
      <c r="R29" s="1917"/>
      <c r="S29" s="1915"/>
      <c r="T29" s="1915"/>
      <c r="U29" s="1919"/>
      <c r="V29" s="1418">
        <f t="shared" si="2"/>
        <v>0</v>
      </c>
      <c r="W29" s="16"/>
      <c r="X29" s="16"/>
      <c r="Y29" s="16"/>
      <c r="Z29" s="17"/>
      <c r="AA29" s="12"/>
      <c r="AB29" s="12"/>
      <c r="AC29" s="12"/>
      <c r="AD29" s="12"/>
      <c r="AE29" s="12"/>
      <c r="AF29" s="12"/>
      <c r="AG29" s="12"/>
      <c r="AH29" s="12"/>
      <c r="AI29" s="12"/>
      <c r="AJ29" s="12"/>
    </row>
    <row r="30" spans="1:36" s="361" customFormat="1" ht="15" hidden="1">
      <c r="A30" s="354"/>
      <c r="B30" s="755" t="s">
        <v>1528</v>
      </c>
      <c r="C30" s="28" t="s">
        <v>1529</v>
      </c>
      <c r="D30" s="18"/>
      <c r="E30" s="19"/>
      <c r="F30" s="20"/>
      <c r="G30" s="18"/>
      <c r="H30" s="19"/>
      <c r="I30" s="20"/>
      <c r="J30" s="21"/>
      <c r="K30" s="22"/>
      <c r="L30" s="23"/>
      <c r="M30" s="24"/>
      <c r="N30" s="728"/>
      <c r="O30" s="25"/>
      <c r="P30" s="23"/>
      <c r="Q30" s="729"/>
      <c r="R30" s="1109">
        <v>50</v>
      </c>
      <c r="S30" s="730" t="s">
        <v>809</v>
      </c>
      <c r="T30" s="446" t="s">
        <v>298</v>
      </c>
      <c r="U30" s="44"/>
      <c r="V30" s="1419">
        <f>V31</f>
        <v>0</v>
      </c>
      <c r="W30" s="357"/>
      <c r="X30" s="357"/>
      <c r="Y30" s="357"/>
      <c r="Z30" s="358"/>
      <c r="AA30" s="359"/>
      <c r="AB30" s="360"/>
    </row>
    <row r="31" spans="1:36" s="510" customFormat="1" ht="15" hidden="1">
      <c r="A31" s="504"/>
      <c r="B31" s="511"/>
      <c r="C31" s="467"/>
      <c r="D31" s="515"/>
      <c r="E31" s="516"/>
      <c r="F31" s="517"/>
      <c r="G31" s="515"/>
      <c r="H31" s="516"/>
      <c r="I31" s="517"/>
      <c r="J31" s="468"/>
      <c r="K31" s="469"/>
      <c r="L31" s="470"/>
      <c r="M31" s="471"/>
      <c r="N31" s="480"/>
      <c r="O31" s="472"/>
      <c r="P31" s="470"/>
      <c r="Q31" s="536"/>
      <c r="R31" s="492"/>
      <c r="S31" s="537"/>
      <c r="T31" s="493"/>
      <c r="U31" s="512"/>
      <c r="V31" s="1418">
        <f t="shared" si="2"/>
        <v>0</v>
      </c>
      <c r="W31" s="506"/>
      <c r="X31" s="506"/>
      <c r="Y31" s="506"/>
      <c r="Z31" s="507"/>
      <c r="AA31" s="508"/>
      <c r="AB31" s="509"/>
    </row>
    <row r="32" spans="1:36" s="478" customFormat="1" ht="15" hidden="1">
      <c r="A32" s="465"/>
      <c r="B32" s="511"/>
      <c r="C32" s="467"/>
      <c r="D32" s="515"/>
      <c r="E32" s="516"/>
      <c r="F32" s="517"/>
      <c r="G32" s="515"/>
      <c r="H32" s="516"/>
      <c r="I32" s="517"/>
      <c r="J32" s="468"/>
      <c r="K32" s="469"/>
      <c r="L32" s="470"/>
      <c r="M32" s="471"/>
      <c r="N32" s="472"/>
      <c r="O32" s="472"/>
      <c r="P32" s="470"/>
      <c r="Q32" s="473"/>
      <c r="R32" s="474"/>
      <c r="S32" s="475"/>
      <c r="T32" s="493"/>
      <c r="U32" s="512"/>
      <c r="V32" s="1418">
        <f t="shared" si="2"/>
        <v>0</v>
      </c>
      <c r="W32" s="513"/>
      <c r="X32" s="513"/>
      <c r="Y32" s="513"/>
      <c r="Z32" s="514"/>
    </row>
    <row r="33" spans="1:36" s="478" customFormat="1" ht="15" hidden="1">
      <c r="A33" s="465"/>
      <c r="B33" s="501"/>
      <c r="C33" s="502"/>
      <c r="D33" s="515"/>
      <c r="E33" s="516"/>
      <c r="F33" s="517"/>
      <c r="G33" s="515"/>
      <c r="H33" s="516"/>
      <c r="I33" s="517"/>
      <c r="J33" s="468"/>
      <c r="K33" s="469"/>
      <c r="L33" s="470"/>
      <c r="M33" s="471"/>
      <c r="N33" s="472"/>
      <c r="O33" s="472"/>
      <c r="P33" s="470"/>
      <c r="Q33" s="473"/>
      <c r="R33" s="538"/>
      <c r="S33" s="539"/>
      <c r="T33" s="540"/>
      <c r="U33" s="477"/>
      <c r="V33" s="1418">
        <f t="shared" si="2"/>
        <v>0</v>
      </c>
      <c r="AB33" s="479"/>
    </row>
    <row r="34" spans="1:36" s="77" customFormat="1" ht="15.6" hidden="1">
      <c r="A34" s="370"/>
      <c r="B34" s="499"/>
      <c r="C34" s="37"/>
      <c r="D34" s="1929" t="s">
        <v>1520</v>
      </c>
      <c r="E34" s="1930"/>
      <c r="F34" s="1930"/>
      <c r="G34" s="1930"/>
      <c r="H34" s="1930"/>
      <c r="I34" s="1931"/>
      <c r="J34" s="1932">
        <f>VLOOKUP(A36,'11 - FINANCEIRA'!_xlnm.Print_Area,6,FALSE)</f>
        <v>50</v>
      </c>
      <c r="K34" s="1933"/>
      <c r="L34" s="1343" t="str">
        <f>VLOOKUP(A36,'11 - FINANCEIRA'!_xlnm.Print_Area,4,FALSE)</f>
        <v>m</v>
      </c>
      <c r="M34" s="1934" t="s">
        <v>1521</v>
      </c>
      <c r="N34" s="1935"/>
      <c r="O34" s="1935"/>
      <c r="P34" s="1935"/>
      <c r="Q34" s="1936"/>
      <c r="R34" s="726">
        <f>SUM(R30:R33)</f>
        <v>50</v>
      </c>
      <c r="S34" s="1344" t="str">
        <f>L34</f>
        <v>m</v>
      </c>
      <c r="T34" s="373"/>
      <c r="U34" s="486"/>
      <c r="V34" s="1418">
        <f t="shared" si="2"/>
        <v>0</v>
      </c>
      <c r="AB34" s="15"/>
    </row>
    <row r="35" spans="1:36" s="77" customFormat="1" ht="15.6" hidden="1">
      <c r="A35" s="370"/>
      <c r="B35" s="499"/>
      <c r="C35" s="725"/>
      <c r="D35" s="1937" t="s">
        <v>1522</v>
      </c>
      <c r="E35" s="1938"/>
      <c r="F35" s="1938"/>
      <c r="G35" s="1938"/>
      <c r="H35" s="1938"/>
      <c r="I35" s="1939"/>
      <c r="J35" s="1943">
        <f>R34/J34</f>
        <v>1</v>
      </c>
      <c r="K35" s="1944"/>
      <c r="L35" s="1947"/>
      <c r="M35" s="1934" t="s">
        <v>1523</v>
      </c>
      <c r="N35" s="1935"/>
      <c r="O35" s="1935"/>
      <c r="P35" s="1935"/>
      <c r="Q35" s="1936"/>
      <c r="R35" s="726">
        <f>VLOOKUP(A36,'11 - FINANCEIRA'!_xlnm.Print_Area,8,FALSE)</f>
        <v>50</v>
      </c>
      <c r="S35" s="727" t="str">
        <f>L34</f>
        <v>m</v>
      </c>
      <c r="T35" s="373"/>
      <c r="U35" s="486"/>
      <c r="V35" s="1418">
        <f t="shared" si="2"/>
        <v>0</v>
      </c>
      <c r="AB35" s="15"/>
    </row>
    <row r="36" spans="1:36" s="77" customFormat="1" ht="15.6" hidden="1">
      <c r="A36" s="364" t="s">
        <v>349</v>
      </c>
      <c r="B36" s="499"/>
      <c r="C36" s="37"/>
      <c r="D36" s="2013"/>
      <c r="E36" s="2014"/>
      <c r="F36" s="2014"/>
      <c r="G36" s="2014"/>
      <c r="H36" s="2014"/>
      <c r="I36" s="2015"/>
      <c r="J36" s="2016"/>
      <c r="K36" s="2017"/>
      <c r="L36" s="1962"/>
      <c r="M36" s="2007" t="s">
        <v>1524</v>
      </c>
      <c r="N36" s="2008"/>
      <c r="O36" s="2008"/>
      <c r="P36" s="2008"/>
      <c r="Q36" s="2009"/>
      <c r="R36" s="1345">
        <f>R34-R35</f>
        <v>0</v>
      </c>
      <c r="S36" s="1346" t="str">
        <f>L34</f>
        <v>m</v>
      </c>
      <c r="T36" s="373"/>
      <c r="U36" s="486"/>
      <c r="V36" s="1418">
        <f>R36</f>
        <v>0</v>
      </c>
      <c r="AB36" s="15"/>
    </row>
    <row r="37" spans="1:36" s="77" customFormat="1" ht="15.6" hidden="1">
      <c r="A37" s="370"/>
      <c r="B37" s="1347"/>
      <c r="C37" s="1348"/>
      <c r="D37" s="1349"/>
      <c r="E37" s="1350"/>
      <c r="F37" s="1349"/>
      <c r="G37" s="1349"/>
      <c r="H37" s="1349"/>
      <c r="I37" s="1349"/>
      <c r="J37" s="1351"/>
      <c r="K37" s="1352"/>
      <c r="L37" s="1353"/>
      <c r="M37" s="1354"/>
      <c r="N37" s="1354"/>
      <c r="O37" s="1354"/>
      <c r="P37" s="1354"/>
      <c r="Q37" s="1354"/>
      <c r="R37" s="1355"/>
      <c r="S37" s="1356"/>
      <c r="T37" s="1357"/>
      <c r="U37" s="1358"/>
      <c r="V37" s="1420">
        <f>SUM(V28:V36)</f>
        <v>0</v>
      </c>
      <c r="AB37" s="15"/>
    </row>
    <row r="38" spans="1:36" s="352" customFormat="1" ht="15.6" hidden="1">
      <c r="A38" s="351"/>
      <c r="B38" s="1963" t="str">
        <f>VLOOKUP(A46,'11 - FINANCEIRA'!_xlnm.Print_Area,1,FALSE)</f>
        <v>1.1.4</v>
      </c>
      <c r="C38" s="1965" t="str">
        <f>VLOOKUP(A46,'11 - FINANCEIRA'!_xlnm.Print_Area,3,FALSE)</f>
        <v>Reservatório de poliestileno de 1000 L, incl. suporte em madeira de 7x12cm e 8x7cm, elevado de 4m, conf. projeto (1 utilização)</v>
      </c>
      <c r="D38" s="1967" t="s">
        <v>1503</v>
      </c>
      <c r="E38" s="1968"/>
      <c r="F38" s="1968"/>
      <c r="G38" s="1968"/>
      <c r="H38" s="1968"/>
      <c r="I38" s="1969"/>
      <c r="J38" s="1914" t="s">
        <v>1504</v>
      </c>
      <c r="K38" s="1914" t="s">
        <v>1505</v>
      </c>
      <c r="L38" s="1914" t="s">
        <v>1506</v>
      </c>
      <c r="M38" s="1914" t="s">
        <v>1507</v>
      </c>
      <c r="N38" s="1914" t="s">
        <v>1508</v>
      </c>
      <c r="O38" s="1914" t="s">
        <v>1509</v>
      </c>
      <c r="P38" s="1341" t="s">
        <v>1510</v>
      </c>
      <c r="Q38" s="1914" t="s">
        <v>804</v>
      </c>
      <c r="R38" s="1916" t="s">
        <v>804</v>
      </c>
      <c r="S38" s="1914" t="s">
        <v>1511</v>
      </c>
      <c r="T38" s="1914" t="s">
        <v>1512</v>
      </c>
      <c r="U38" s="1918" t="s">
        <v>1513</v>
      </c>
      <c r="V38" s="1418">
        <f t="shared" ref="V38:V45" si="3">V39</f>
        <v>0</v>
      </c>
      <c r="W38" s="16"/>
      <c r="X38" s="16"/>
      <c r="Y38" s="16"/>
      <c r="Z38" s="17"/>
      <c r="AA38" s="12"/>
      <c r="AB38" s="12"/>
      <c r="AC38" s="12"/>
      <c r="AD38" s="12"/>
      <c r="AE38" s="12"/>
      <c r="AF38" s="12"/>
      <c r="AG38" s="12"/>
      <c r="AH38" s="12"/>
      <c r="AI38" s="12"/>
      <c r="AJ38" s="12"/>
    </row>
    <row r="39" spans="1:36" s="352" customFormat="1" ht="15.6" hidden="1">
      <c r="A39" s="351"/>
      <c r="B39" s="1964" t="e">
        <f>LEFT(#REF!,5)</f>
        <v>#REF!</v>
      </c>
      <c r="C39" s="1966" t="e">
        <f>VLOOKUP(LEFT(#REF!,5),'11 - FINANCEIRA'!_xlnm.Print_Area,2,FALSE)</f>
        <v>#REF!</v>
      </c>
      <c r="D39" s="1920" t="s">
        <v>1514</v>
      </c>
      <c r="E39" s="1921"/>
      <c r="F39" s="1922"/>
      <c r="G39" s="1923" t="s">
        <v>1515</v>
      </c>
      <c r="H39" s="1924"/>
      <c r="I39" s="1925"/>
      <c r="J39" s="1915"/>
      <c r="K39" s="1915"/>
      <c r="L39" s="1915"/>
      <c r="M39" s="1915"/>
      <c r="N39" s="1915"/>
      <c r="O39" s="1915"/>
      <c r="P39" s="353" t="s">
        <v>1516</v>
      </c>
      <c r="Q39" s="1915"/>
      <c r="R39" s="1917"/>
      <c r="S39" s="1915"/>
      <c r="T39" s="1915"/>
      <c r="U39" s="1919"/>
      <c r="V39" s="1418">
        <f t="shared" si="3"/>
        <v>0</v>
      </c>
      <c r="W39" s="16"/>
      <c r="X39" s="16"/>
      <c r="Y39" s="16"/>
      <c r="Z39" s="17"/>
      <c r="AA39" s="12"/>
      <c r="AB39" s="12"/>
      <c r="AC39" s="12"/>
      <c r="AD39" s="12"/>
      <c r="AE39" s="12"/>
      <c r="AF39" s="12"/>
      <c r="AG39" s="12"/>
      <c r="AH39" s="12"/>
      <c r="AI39" s="12"/>
      <c r="AJ39" s="12"/>
    </row>
    <row r="40" spans="1:36" s="361" customFormat="1" ht="15" hidden="1">
      <c r="A40" s="354"/>
      <c r="B40" s="755" t="s">
        <v>1530</v>
      </c>
      <c r="C40" s="28" t="s">
        <v>1531</v>
      </c>
      <c r="D40" s="18"/>
      <c r="E40" s="19"/>
      <c r="F40" s="20"/>
      <c r="G40" s="18"/>
      <c r="H40" s="19"/>
      <c r="I40" s="20"/>
      <c r="J40" s="21"/>
      <c r="K40" s="22"/>
      <c r="L40" s="23"/>
      <c r="M40" s="24"/>
      <c r="N40" s="728"/>
      <c r="O40" s="25"/>
      <c r="P40" s="23"/>
      <c r="Q40" s="729"/>
      <c r="R40" s="1109">
        <v>1</v>
      </c>
      <c r="S40" s="730" t="s">
        <v>816</v>
      </c>
      <c r="T40" s="446" t="s">
        <v>298</v>
      </c>
      <c r="U40" s="44"/>
      <c r="V40" s="1419">
        <f>V41</f>
        <v>0</v>
      </c>
      <c r="W40" s="357"/>
      <c r="X40" s="357"/>
      <c r="Y40" s="357"/>
      <c r="Z40" s="358"/>
      <c r="AA40" s="359"/>
      <c r="AB40" s="360"/>
    </row>
    <row r="41" spans="1:36" s="510" customFormat="1" ht="15" hidden="1">
      <c r="A41" s="504"/>
      <c r="B41" s="511"/>
      <c r="C41" s="467"/>
      <c r="D41" s="515"/>
      <c r="E41" s="516"/>
      <c r="F41" s="517"/>
      <c r="G41" s="515"/>
      <c r="H41" s="516"/>
      <c r="I41" s="517"/>
      <c r="J41" s="468"/>
      <c r="K41" s="469"/>
      <c r="L41" s="470"/>
      <c r="M41" s="471"/>
      <c r="N41" s="480"/>
      <c r="O41" s="472"/>
      <c r="P41" s="470"/>
      <c r="Q41" s="536"/>
      <c r="R41" s="492"/>
      <c r="S41" s="537"/>
      <c r="T41" s="493"/>
      <c r="U41" s="512"/>
      <c r="V41" s="1418">
        <f t="shared" si="3"/>
        <v>0</v>
      </c>
      <c r="W41" s="506"/>
      <c r="X41" s="506"/>
      <c r="Y41" s="506"/>
      <c r="Z41" s="507"/>
      <c r="AA41" s="508"/>
      <c r="AB41" s="509"/>
    </row>
    <row r="42" spans="1:36" s="478" customFormat="1" ht="15" hidden="1">
      <c r="A42" s="465"/>
      <c r="B42" s="511"/>
      <c r="C42" s="467"/>
      <c r="D42" s="515"/>
      <c r="E42" s="516"/>
      <c r="F42" s="517"/>
      <c r="G42" s="515"/>
      <c r="H42" s="516"/>
      <c r="I42" s="517"/>
      <c r="J42" s="468"/>
      <c r="K42" s="469"/>
      <c r="L42" s="470"/>
      <c r="M42" s="471"/>
      <c r="N42" s="472"/>
      <c r="O42" s="472"/>
      <c r="P42" s="470"/>
      <c r="Q42" s="473"/>
      <c r="R42" s="474"/>
      <c r="S42" s="475"/>
      <c r="T42" s="493"/>
      <c r="U42" s="512"/>
      <c r="V42" s="1418">
        <f t="shared" si="3"/>
        <v>0</v>
      </c>
      <c r="W42" s="513"/>
      <c r="X42" s="513"/>
      <c r="Y42" s="513"/>
      <c r="Z42" s="514"/>
    </row>
    <row r="43" spans="1:36" s="478" customFormat="1" ht="15" hidden="1">
      <c r="A43" s="465"/>
      <c r="B43" s="501"/>
      <c r="C43" s="502"/>
      <c r="D43" s="515"/>
      <c r="E43" s="516"/>
      <c r="F43" s="517"/>
      <c r="G43" s="515"/>
      <c r="H43" s="516"/>
      <c r="I43" s="517"/>
      <c r="J43" s="468"/>
      <c r="K43" s="469"/>
      <c r="L43" s="470"/>
      <c r="M43" s="471"/>
      <c r="N43" s="472"/>
      <c r="O43" s="472"/>
      <c r="P43" s="470"/>
      <c r="Q43" s="473"/>
      <c r="R43" s="538"/>
      <c r="S43" s="539"/>
      <c r="T43" s="540"/>
      <c r="U43" s="477"/>
      <c r="V43" s="1418">
        <f t="shared" si="3"/>
        <v>0</v>
      </c>
      <c r="AB43" s="479"/>
    </row>
    <row r="44" spans="1:36" s="77" customFormat="1" ht="15.6" hidden="1">
      <c r="A44" s="370"/>
      <c r="B44" s="499"/>
      <c r="C44" s="37"/>
      <c r="D44" s="1929" t="s">
        <v>1520</v>
      </c>
      <c r="E44" s="1930"/>
      <c r="F44" s="1930"/>
      <c r="G44" s="1930"/>
      <c r="H44" s="1930"/>
      <c r="I44" s="1931"/>
      <c r="J44" s="1932">
        <f>VLOOKUP(A46,'11 - FINANCEIRA'!_xlnm.Print_Area,6,FALSE)</f>
        <v>1</v>
      </c>
      <c r="K44" s="1933"/>
      <c r="L44" s="1343" t="str">
        <f>VLOOKUP(A46,'11 - FINANCEIRA'!_xlnm.Print_Area,4,FALSE)</f>
        <v>und</v>
      </c>
      <c r="M44" s="1934" t="s">
        <v>1521</v>
      </c>
      <c r="N44" s="1935"/>
      <c r="O44" s="1935"/>
      <c r="P44" s="1935"/>
      <c r="Q44" s="1936"/>
      <c r="R44" s="726">
        <f>SUM(R40:R43)</f>
        <v>1</v>
      </c>
      <c r="S44" s="1344" t="str">
        <f>L44</f>
        <v>und</v>
      </c>
      <c r="T44" s="373"/>
      <c r="U44" s="486"/>
      <c r="V44" s="1418">
        <f t="shared" si="3"/>
        <v>0</v>
      </c>
      <c r="AB44" s="15"/>
    </row>
    <row r="45" spans="1:36" s="77" customFormat="1" ht="15.6" hidden="1">
      <c r="A45" s="370"/>
      <c r="B45" s="499"/>
      <c r="C45" s="725"/>
      <c r="D45" s="1937" t="s">
        <v>1522</v>
      </c>
      <c r="E45" s="1938"/>
      <c r="F45" s="1938"/>
      <c r="G45" s="1938"/>
      <c r="H45" s="1938"/>
      <c r="I45" s="1939"/>
      <c r="J45" s="1943">
        <f>R44/J44</f>
        <v>1</v>
      </c>
      <c r="K45" s="1944"/>
      <c r="L45" s="1947"/>
      <c r="M45" s="1934" t="s">
        <v>1523</v>
      </c>
      <c r="N45" s="1935"/>
      <c r="O45" s="1935"/>
      <c r="P45" s="1935"/>
      <c r="Q45" s="1936"/>
      <c r="R45" s="726">
        <f>VLOOKUP(A46,'11 - FINANCEIRA'!_xlnm.Print_Area,8,FALSE)</f>
        <v>1</v>
      </c>
      <c r="S45" s="727" t="str">
        <f>L44</f>
        <v>und</v>
      </c>
      <c r="T45" s="373"/>
      <c r="U45" s="486"/>
      <c r="V45" s="1418">
        <f t="shared" si="3"/>
        <v>0</v>
      </c>
      <c r="AB45" s="15"/>
    </row>
    <row r="46" spans="1:36" s="77" customFormat="1" ht="15.6" hidden="1">
      <c r="A46" s="364" t="s">
        <v>350</v>
      </c>
      <c r="B46" s="499"/>
      <c r="C46" s="37"/>
      <c r="D46" s="2013"/>
      <c r="E46" s="2014"/>
      <c r="F46" s="2014"/>
      <c r="G46" s="2014"/>
      <c r="H46" s="2014"/>
      <c r="I46" s="2015"/>
      <c r="J46" s="2016"/>
      <c r="K46" s="2017"/>
      <c r="L46" s="1962"/>
      <c r="M46" s="2007" t="s">
        <v>1524</v>
      </c>
      <c r="N46" s="2008"/>
      <c r="O46" s="2008"/>
      <c r="P46" s="2008"/>
      <c r="Q46" s="2009"/>
      <c r="R46" s="1345">
        <f>R44-R45</f>
        <v>0</v>
      </c>
      <c r="S46" s="1346" t="str">
        <f>L44</f>
        <v>und</v>
      </c>
      <c r="T46" s="373"/>
      <c r="U46" s="486"/>
      <c r="V46" s="1418">
        <f>R46</f>
        <v>0</v>
      </c>
      <c r="AB46" s="15"/>
    </row>
    <row r="47" spans="1:36" s="77" customFormat="1" ht="15.6" hidden="1">
      <c r="A47" s="370"/>
      <c r="B47" s="1347"/>
      <c r="C47" s="1348"/>
      <c r="D47" s="1349"/>
      <c r="E47" s="1350"/>
      <c r="F47" s="1349"/>
      <c r="G47" s="1349"/>
      <c r="H47" s="1349"/>
      <c r="I47" s="1349"/>
      <c r="J47" s="1351"/>
      <c r="K47" s="1352"/>
      <c r="L47" s="1353"/>
      <c r="M47" s="1354"/>
      <c r="N47" s="1354"/>
      <c r="O47" s="1354"/>
      <c r="P47" s="1354"/>
      <c r="Q47" s="1354"/>
      <c r="R47" s="1355"/>
      <c r="S47" s="1356"/>
      <c r="T47" s="1357"/>
      <c r="U47" s="1358"/>
      <c r="V47" s="1420">
        <f>SUM(V38:V46)</f>
        <v>0</v>
      </c>
      <c r="AB47" s="15"/>
    </row>
    <row r="48" spans="1:36" s="352" customFormat="1" ht="15.6" hidden="1">
      <c r="A48" s="351"/>
      <c r="B48" s="1963" t="str">
        <f>VLOOKUP(A56,'11 - FINANCEIRA'!_xlnm.Print_Area,1,FALSE)</f>
        <v>1.1.5</v>
      </c>
      <c r="C48" s="1965" t="str">
        <f>VLOOKUP(A56,'11 - FINANCEIRA'!_xlnm.Print_Area,3,FALSE)</f>
        <v>Tapume Telha Metálica Ondulada 0,50mm Branca h=2,20m, incl. montagem estr. mad. 8"x8", c/adesivo "SEDURB" 60x60cm a cada 10m, incl. faixas pint. esmalte sint. cores azul c/ h=30cm e rosa c/ h=10cm (Reaproveitamento 2x)</v>
      </c>
      <c r="D48" s="1967" t="s">
        <v>1503</v>
      </c>
      <c r="E48" s="1968"/>
      <c r="F48" s="1968"/>
      <c r="G48" s="1968"/>
      <c r="H48" s="1968"/>
      <c r="I48" s="1969"/>
      <c r="J48" s="1914" t="s">
        <v>1504</v>
      </c>
      <c r="K48" s="1914" t="s">
        <v>1505</v>
      </c>
      <c r="L48" s="1914" t="s">
        <v>1506</v>
      </c>
      <c r="M48" s="1914" t="s">
        <v>1507</v>
      </c>
      <c r="N48" s="1914" t="s">
        <v>1508</v>
      </c>
      <c r="O48" s="1914" t="s">
        <v>1509</v>
      </c>
      <c r="P48" s="1341" t="s">
        <v>1510</v>
      </c>
      <c r="Q48" s="1914" t="s">
        <v>1493</v>
      </c>
      <c r="R48" s="1916" t="s">
        <v>804</v>
      </c>
      <c r="S48" s="1914" t="s">
        <v>1511</v>
      </c>
      <c r="T48" s="1914" t="s">
        <v>1512</v>
      </c>
      <c r="U48" s="1918" t="s">
        <v>1513</v>
      </c>
      <c r="V48" s="1418">
        <f t="shared" ref="V48:V55" si="4">V49</f>
        <v>0</v>
      </c>
      <c r="W48" s="16"/>
      <c r="X48" s="16"/>
      <c r="Y48" s="16"/>
      <c r="Z48" s="17"/>
      <c r="AA48" s="12"/>
      <c r="AB48" s="12"/>
      <c r="AC48" s="12"/>
      <c r="AD48" s="12"/>
      <c r="AE48" s="12"/>
      <c r="AF48" s="12"/>
      <c r="AG48" s="12"/>
      <c r="AH48" s="12"/>
      <c r="AI48" s="12"/>
      <c r="AJ48" s="12"/>
    </row>
    <row r="49" spans="1:36" s="352" customFormat="1" ht="15.6" hidden="1">
      <c r="A49" s="351"/>
      <c r="B49" s="1964" t="e">
        <f>LEFT(#REF!,5)</f>
        <v>#REF!</v>
      </c>
      <c r="C49" s="1966" t="e">
        <f>VLOOKUP(LEFT(#REF!,5),'11 - FINANCEIRA'!_xlnm.Print_Area,2,FALSE)</f>
        <v>#REF!</v>
      </c>
      <c r="D49" s="1920" t="s">
        <v>1514</v>
      </c>
      <c r="E49" s="1921"/>
      <c r="F49" s="1922"/>
      <c r="G49" s="1923" t="s">
        <v>1515</v>
      </c>
      <c r="H49" s="1924"/>
      <c r="I49" s="1925"/>
      <c r="J49" s="1915"/>
      <c r="K49" s="1915"/>
      <c r="L49" s="1915"/>
      <c r="M49" s="1915"/>
      <c r="N49" s="1915"/>
      <c r="O49" s="1915"/>
      <c r="P49" s="353" t="s">
        <v>1516</v>
      </c>
      <c r="Q49" s="1915"/>
      <c r="R49" s="1917"/>
      <c r="S49" s="1915"/>
      <c r="T49" s="1915"/>
      <c r="U49" s="1919"/>
      <c r="V49" s="1418">
        <f t="shared" si="4"/>
        <v>0</v>
      </c>
      <c r="W49" s="16"/>
      <c r="X49" s="16"/>
      <c r="Y49" s="16"/>
      <c r="Z49" s="17"/>
      <c r="AA49" s="12"/>
      <c r="AB49" s="12"/>
      <c r="AC49" s="12"/>
      <c r="AD49" s="12"/>
      <c r="AE49" s="12"/>
      <c r="AF49" s="12"/>
      <c r="AG49" s="12"/>
      <c r="AH49" s="12"/>
      <c r="AI49" s="12"/>
      <c r="AJ49" s="12"/>
    </row>
    <row r="50" spans="1:36" s="361" customFormat="1" ht="15" hidden="1">
      <c r="A50" s="354"/>
      <c r="B50" s="755" t="s">
        <v>1532</v>
      </c>
      <c r="C50" s="28" t="s">
        <v>1533</v>
      </c>
      <c r="D50" s="18"/>
      <c r="E50" s="19"/>
      <c r="F50" s="20"/>
      <c r="G50" s="18"/>
      <c r="H50" s="19"/>
      <c r="I50" s="20"/>
      <c r="J50" s="21"/>
      <c r="K50" s="22"/>
      <c r="L50" s="23"/>
      <c r="M50" s="24"/>
      <c r="N50" s="728"/>
      <c r="O50" s="25"/>
      <c r="P50" s="23"/>
      <c r="Q50" s="729"/>
      <c r="R50" s="1109">
        <v>200</v>
      </c>
      <c r="S50" s="730" t="s">
        <v>809</v>
      </c>
      <c r="T50" s="446" t="s">
        <v>298</v>
      </c>
      <c r="U50" s="44"/>
      <c r="V50" s="1419">
        <f>V51</f>
        <v>0</v>
      </c>
      <c r="W50" s="357"/>
      <c r="X50" s="357"/>
      <c r="Y50" s="357"/>
      <c r="Z50" s="358"/>
      <c r="AA50" s="359"/>
      <c r="AB50" s="360"/>
    </row>
    <row r="51" spans="1:36" s="361" customFormat="1" ht="15" hidden="1">
      <c r="A51" s="354"/>
      <c r="B51" s="355"/>
      <c r="C51" s="32"/>
      <c r="D51" s="33"/>
      <c r="E51" s="34"/>
      <c r="F51" s="35"/>
      <c r="G51" s="33"/>
      <c r="H51" s="34"/>
      <c r="I51" s="35"/>
      <c r="J51" s="43"/>
      <c r="K51" s="42"/>
      <c r="L51" s="39"/>
      <c r="M51" s="41"/>
      <c r="N51" s="356"/>
      <c r="O51" s="40"/>
      <c r="P51" s="39"/>
      <c r="Q51" s="45"/>
      <c r="R51" s="362"/>
      <c r="S51" s="363"/>
      <c r="T51" s="46"/>
      <c r="U51" s="44"/>
      <c r="V51" s="1418">
        <f t="shared" si="4"/>
        <v>0</v>
      </c>
      <c r="W51" s="357"/>
      <c r="X51" s="357"/>
      <c r="Y51" s="357"/>
      <c r="Z51" s="358"/>
      <c r="AA51" s="359"/>
      <c r="AB51" s="360"/>
    </row>
    <row r="52" spans="1:36" s="369" customFormat="1" ht="15" hidden="1">
      <c r="A52" s="364"/>
      <c r="B52" s="355"/>
      <c r="C52" s="32"/>
      <c r="D52" s="33"/>
      <c r="E52" s="34"/>
      <c r="F52" s="35"/>
      <c r="G52" s="33"/>
      <c r="H52" s="34"/>
      <c r="I52" s="35"/>
      <c r="J52" s="43"/>
      <c r="K52" s="42"/>
      <c r="L52" s="39"/>
      <c r="M52" s="41"/>
      <c r="N52" s="40"/>
      <c r="O52" s="40"/>
      <c r="P52" s="39"/>
      <c r="Q52" s="38"/>
      <c r="R52" s="365"/>
      <c r="S52" s="366"/>
      <c r="T52" s="46"/>
      <c r="U52" s="44"/>
      <c r="V52" s="1418">
        <f t="shared" si="4"/>
        <v>0</v>
      </c>
      <c r="W52" s="367"/>
      <c r="X52" s="367"/>
      <c r="Y52" s="367"/>
      <c r="Z52" s="368"/>
    </row>
    <row r="53" spans="1:36" s="77" customFormat="1" ht="15" hidden="1">
      <c r="A53" s="370"/>
      <c r="B53" s="29"/>
      <c r="C53" s="30"/>
      <c r="D53" s="18"/>
      <c r="E53" s="19"/>
      <c r="F53" s="20"/>
      <c r="G53" s="18"/>
      <c r="H53" s="19"/>
      <c r="I53" s="20"/>
      <c r="J53" s="21"/>
      <c r="K53" s="22"/>
      <c r="L53" s="23"/>
      <c r="M53" s="24"/>
      <c r="N53" s="25"/>
      <c r="O53" s="25"/>
      <c r="P53" s="23"/>
      <c r="Q53" s="26"/>
      <c r="R53" s="371"/>
      <c r="S53" s="27"/>
      <c r="T53" s="372"/>
      <c r="U53" s="31"/>
      <c r="V53" s="1418">
        <f t="shared" si="4"/>
        <v>0</v>
      </c>
      <c r="AB53" s="15"/>
    </row>
    <row r="54" spans="1:36" s="77" customFormat="1" ht="15.6" hidden="1">
      <c r="A54" s="370"/>
      <c r="B54" s="499"/>
      <c r="C54" s="37"/>
      <c r="D54" s="1929" t="s">
        <v>1520</v>
      </c>
      <c r="E54" s="1930"/>
      <c r="F54" s="1930"/>
      <c r="G54" s="1930"/>
      <c r="H54" s="1930"/>
      <c r="I54" s="1931"/>
      <c r="J54" s="1932">
        <f>VLOOKUP(A56,'11 - FINANCEIRA'!_xlnm.Print_Area,6,FALSE)</f>
        <v>200</v>
      </c>
      <c r="K54" s="1933"/>
      <c r="L54" s="1343" t="str">
        <f>VLOOKUP(A56,'11 - FINANCEIRA'!_xlnm.Print_Area,4,FALSE)</f>
        <v>m</v>
      </c>
      <c r="M54" s="1934" t="s">
        <v>1521</v>
      </c>
      <c r="N54" s="1935"/>
      <c r="O54" s="1935"/>
      <c r="P54" s="1935"/>
      <c r="Q54" s="1936"/>
      <c r="R54" s="726">
        <f>SUM(R50:R53)</f>
        <v>200</v>
      </c>
      <c r="S54" s="1344" t="str">
        <f>L54</f>
        <v>m</v>
      </c>
      <c r="T54" s="373"/>
      <c r="U54" s="486"/>
      <c r="V54" s="1418">
        <f t="shared" si="4"/>
        <v>0</v>
      </c>
      <c r="AB54" s="15"/>
    </row>
    <row r="55" spans="1:36" s="77" customFormat="1" ht="15.6" hidden="1">
      <c r="A55" s="370"/>
      <c r="B55" s="499"/>
      <c r="C55" s="725"/>
      <c r="D55" s="1937" t="s">
        <v>1522</v>
      </c>
      <c r="E55" s="1938"/>
      <c r="F55" s="1938"/>
      <c r="G55" s="1938"/>
      <c r="H55" s="1938"/>
      <c r="I55" s="1939"/>
      <c r="J55" s="1943">
        <f>R54/J54</f>
        <v>1</v>
      </c>
      <c r="K55" s="1944"/>
      <c r="L55" s="1947"/>
      <c r="M55" s="1934" t="s">
        <v>1523</v>
      </c>
      <c r="N55" s="1935"/>
      <c r="O55" s="1935"/>
      <c r="P55" s="1935"/>
      <c r="Q55" s="1936"/>
      <c r="R55" s="726">
        <f>VLOOKUP(A56,'11 - FINANCEIRA'!_xlnm.Print_Area,8,FALSE)</f>
        <v>200</v>
      </c>
      <c r="S55" s="727" t="str">
        <f>L54</f>
        <v>m</v>
      </c>
      <c r="T55" s="373"/>
      <c r="U55" s="486"/>
      <c r="V55" s="1418">
        <f t="shared" si="4"/>
        <v>0</v>
      </c>
      <c r="AB55" s="15"/>
    </row>
    <row r="56" spans="1:36" s="77" customFormat="1" ht="15.6" hidden="1">
      <c r="A56" s="364" t="s">
        <v>351</v>
      </c>
      <c r="B56" s="499"/>
      <c r="C56" s="37"/>
      <c r="D56" s="2013"/>
      <c r="E56" s="2014"/>
      <c r="F56" s="2014"/>
      <c r="G56" s="2014"/>
      <c r="H56" s="2014"/>
      <c r="I56" s="2015"/>
      <c r="J56" s="2016"/>
      <c r="K56" s="2017"/>
      <c r="L56" s="1962"/>
      <c r="M56" s="2007" t="s">
        <v>1524</v>
      </c>
      <c r="N56" s="2008"/>
      <c r="O56" s="2008"/>
      <c r="P56" s="2008"/>
      <c r="Q56" s="2009"/>
      <c r="R56" s="1345">
        <f>R54-R55</f>
        <v>0</v>
      </c>
      <c r="S56" s="1346" t="str">
        <f>L54</f>
        <v>m</v>
      </c>
      <c r="T56" s="373"/>
      <c r="U56" s="486"/>
      <c r="V56" s="1418">
        <f>R56</f>
        <v>0</v>
      </c>
      <c r="AB56" s="15"/>
    </row>
    <row r="57" spans="1:36" s="77" customFormat="1" ht="15.6" hidden="1">
      <c r="A57" s="370"/>
      <c r="B57" s="1347"/>
      <c r="C57" s="1348"/>
      <c r="D57" s="1349"/>
      <c r="E57" s="1350"/>
      <c r="F57" s="1349"/>
      <c r="G57" s="1349"/>
      <c r="H57" s="1349"/>
      <c r="I57" s="1349"/>
      <c r="J57" s="1351"/>
      <c r="K57" s="1352"/>
      <c r="L57" s="1353"/>
      <c r="M57" s="1354"/>
      <c r="N57" s="1354"/>
      <c r="O57" s="1354"/>
      <c r="P57" s="1354"/>
      <c r="Q57" s="1354"/>
      <c r="R57" s="1355"/>
      <c r="S57" s="1356"/>
      <c r="T57" s="1357"/>
      <c r="U57" s="1358"/>
      <c r="V57" s="1420">
        <f>SUM(V48:V56)</f>
        <v>0</v>
      </c>
      <c r="AB57" s="15"/>
    </row>
    <row r="58" spans="1:36" s="352" customFormat="1" ht="15.6" hidden="1">
      <c r="A58" s="351"/>
      <c r="B58" s="1963" t="str">
        <f>VLOOKUP(A66,'11 - FINANCEIRA'!_xlnm.Print_Area,1,FALSE)</f>
        <v>1.1.6</v>
      </c>
      <c r="C58" s="1965" t="str">
        <f>VLOOKUP(A66,'11 - FINANCEIRA'!_xlnm.Print_Area,3,FALSE)</f>
        <v>Placa de obra nas dimensões de 2.0 x 4.0 m, padrão IOPES</v>
      </c>
      <c r="D58" s="1967" t="s">
        <v>1503</v>
      </c>
      <c r="E58" s="1968"/>
      <c r="F58" s="1968"/>
      <c r="G58" s="1968"/>
      <c r="H58" s="1968"/>
      <c r="I58" s="1969"/>
      <c r="J58" s="1914" t="s">
        <v>1504</v>
      </c>
      <c r="K58" s="1914" t="s">
        <v>1505</v>
      </c>
      <c r="L58" s="1914" t="s">
        <v>1506</v>
      </c>
      <c r="M58" s="1914" t="s">
        <v>1507</v>
      </c>
      <c r="N58" s="1914" t="s">
        <v>1508</v>
      </c>
      <c r="O58" s="1914" t="s">
        <v>1509</v>
      </c>
      <c r="P58" s="1341" t="s">
        <v>1510</v>
      </c>
      <c r="Q58" s="1914" t="s">
        <v>1493</v>
      </c>
      <c r="R58" s="1916" t="s">
        <v>804</v>
      </c>
      <c r="S58" s="1914" t="s">
        <v>1511</v>
      </c>
      <c r="T58" s="1914" t="s">
        <v>1512</v>
      </c>
      <c r="U58" s="1918" t="s">
        <v>1513</v>
      </c>
      <c r="V58" s="1418">
        <f t="shared" ref="V58:V65" si="5">V59</f>
        <v>0</v>
      </c>
      <c r="W58" s="16"/>
      <c r="X58" s="16"/>
      <c r="Y58" s="16"/>
      <c r="Z58" s="17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36" s="352" customFormat="1" ht="15.6" hidden="1">
      <c r="A59" s="351"/>
      <c r="B59" s="1964" t="e">
        <f>LEFT(#REF!,5)</f>
        <v>#REF!</v>
      </c>
      <c r="C59" s="1966" t="e">
        <f>VLOOKUP(LEFT(#REF!,5),'11 - FINANCEIRA'!_xlnm.Print_Area,2,FALSE)</f>
        <v>#REF!</v>
      </c>
      <c r="D59" s="1920" t="s">
        <v>1514</v>
      </c>
      <c r="E59" s="1921"/>
      <c r="F59" s="1922"/>
      <c r="G59" s="1923" t="s">
        <v>1515</v>
      </c>
      <c r="H59" s="1924"/>
      <c r="I59" s="1925"/>
      <c r="J59" s="1915"/>
      <c r="K59" s="1915"/>
      <c r="L59" s="1915"/>
      <c r="M59" s="1915"/>
      <c r="N59" s="1915"/>
      <c r="O59" s="1915"/>
      <c r="P59" s="353" t="s">
        <v>1516</v>
      </c>
      <c r="Q59" s="1915"/>
      <c r="R59" s="1917"/>
      <c r="S59" s="1915"/>
      <c r="T59" s="1915"/>
      <c r="U59" s="1919"/>
      <c r="V59" s="1418">
        <f t="shared" si="5"/>
        <v>0</v>
      </c>
      <c r="W59" s="16"/>
      <c r="X59" s="16"/>
      <c r="Y59" s="16"/>
      <c r="Z59" s="17"/>
      <c r="AA59" s="12"/>
      <c r="AB59" s="12"/>
      <c r="AC59" s="12"/>
      <c r="AD59" s="12"/>
      <c r="AE59" s="12"/>
      <c r="AF59" s="12"/>
      <c r="AG59" s="12"/>
      <c r="AH59" s="12"/>
      <c r="AI59" s="12"/>
      <c r="AJ59" s="12"/>
    </row>
    <row r="60" spans="1:36" s="361" customFormat="1" ht="15" hidden="1">
      <c r="A60" s="354"/>
      <c r="B60" s="755" t="s">
        <v>1534</v>
      </c>
      <c r="C60" s="28" t="s">
        <v>820</v>
      </c>
      <c r="D60" s="18"/>
      <c r="E60" s="19"/>
      <c r="F60" s="20"/>
      <c r="G60" s="18"/>
      <c r="H60" s="19"/>
      <c r="I60" s="20"/>
      <c r="J60" s="21"/>
      <c r="K60" s="22"/>
      <c r="L60" s="23">
        <v>4</v>
      </c>
      <c r="M60" s="24">
        <v>2</v>
      </c>
      <c r="N60" s="728">
        <v>8</v>
      </c>
      <c r="O60" s="25"/>
      <c r="P60" s="23"/>
      <c r="Q60" s="729"/>
      <c r="R60" s="1109">
        <v>8</v>
      </c>
      <c r="S60" s="730" t="s">
        <v>821</v>
      </c>
      <c r="T60" s="446" t="s">
        <v>298</v>
      </c>
      <c r="U60" s="44"/>
      <c r="V60" s="1419">
        <f t="shared" si="5"/>
        <v>0</v>
      </c>
      <c r="W60" s="357"/>
      <c r="X60" s="357"/>
      <c r="Y60" s="357"/>
      <c r="Z60" s="358"/>
      <c r="AA60" s="359"/>
      <c r="AB60" s="360"/>
    </row>
    <row r="61" spans="1:36" s="361" customFormat="1" ht="15" hidden="1">
      <c r="A61" s="354"/>
      <c r="B61" s="755" t="s">
        <v>1535</v>
      </c>
      <c r="C61" s="28" t="s">
        <v>1536</v>
      </c>
      <c r="D61" s="18"/>
      <c r="E61" s="19"/>
      <c r="F61" s="20"/>
      <c r="G61" s="18"/>
      <c r="H61" s="19"/>
      <c r="I61" s="20"/>
      <c r="J61" s="21"/>
      <c r="K61" s="22"/>
      <c r="L61" s="23"/>
      <c r="M61" s="24"/>
      <c r="N61" s="728"/>
      <c r="O61" s="25"/>
      <c r="P61" s="23"/>
      <c r="Q61" s="729"/>
      <c r="R61" s="445">
        <v>10.96</v>
      </c>
      <c r="S61" s="792" t="s">
        <v>821</v>
      </c>
      <c r="T61" s="446" t="s">
        <v>308</v>
      </c>
      <c r="U61" s="44"/>
      <c r="V61" s="1418">
        <f t="shared" si="5"/>
        <v>0</v>
      </c>
      <c r="W61" s="357"/>
      <c r="X61" s="357"/>
      <c r="Y61" s="357"/>
      <c r="Z61" s="358"/>
      <c r="AA61" s="359"/>
      <c r="AB61" s="360"/>
    </row>
    <row r="62" spans="1:36" s="369" customFormat="1" ht="15" hidden="1">
      <c r="A62" s="364"/>
      <c r="B62" s="355"/>
      <c r="C62" s="32"/>
      <c r="D62" s="33"/>
      <c r="E62" s="34"/>
      <c r="F62" s="35"/>
      <c r="G62" s="33"/>
      <c r="H62" s="34"/>
      <c r="I62" s="35"/>
      <c r="J62" s="43"/>
      <c r="K62" s="42"/>
      <c r="L62" s="39"/>
      <c r="M62" s="41"/>
      <c r="N62" s="40"/>
      <c r="O62" s="40"/>
      <c r="P62" s="39"/>
      <c r="Q62" s="38"/>
      <c r="R62" s="365"/>
      <c r="S62" s="366"/>
      <c r="T62" s="46"/>
      <c r="U62" s="44"/>
      <c r="V62" s="1418">
        <f t="shared" si="5"/>
        <v>0</v>
      </c>
      <c r="W62" s="367"/>
      <c r="X62" s="367"/>
      <c r="Y62" s="367"/>
      <c r="Z62" s="368"/>
    </row>
    <row r="63" spans="1:36" s="77" customFormat="1" ht="15" hidden="1">
      <c r="A63" s="370"/>
      <c r="B63" s="29"/>
      <c r="C63" s="30"/>
      <c r="D63" s="18"/>
      <c r="E63" s="19"/>
      <c r="F63" s="20"/>
      <c r="G63" s="18"/>
      <c r="H63" s="19"/>
      <c r="I63" s="20"/>
      <c r="J63" s="21"/>
      <c r="K63" s="22"/>
      <c r="L63" s="23"/>
      <c r="M63" s="24"/>
      <c r="N63" s="25"/>
      <c r="O63" s="25"/>
      <c r="P63" s="23"/>
      <c r="Q63" s="26"/>
      <c r="R63" s="371"/>
      <c r="S63" s="27"/>
      <c r="T63" s="372"/>
      <c r="U63" s="31"/>
      <c r="V63" s="1418">
        <f t="shared" si="5"/>
        <v>0</v>
      </c>
      <c r="AB63" s="15"/>
    </row>
    <row r="64" spans="1:36" s="77" customFormat="1" ht="15.6" hidden="1">
      <c r="A64" s="370"/>
      <c r="B64" s="499"/>
      <c r="C64" s="37"/>
      <c r="D64" s="1929" t="s">
        <v>1520</v>
      </c>
      <c r="E64" s="1930"/>
      <c r="F64" s="1930"/>
      <c r="G64" s="1930"/>
      <c r="H64" s="1930"/>
      <c r="I64" s="1931"/>
      <c r="J64" s="1932">
        <f>VLOOKUP(A66,'11 - FINANCEIRA'!_xlnm.Print_Area,6,FALSE)</f>
        <v>18.96</v>
      </c>
      <c r="K64" s="1933"/>
      <c r="L64" s="1343" t="str">
        <f>VLOOKUP(A66,'11 - FINANCEIRA'!_xlnm.Print_Area,4,FALSE)</f>
        <v>m²</v>
      </c>
      <c r="M64" s="1934" t="s">
        <v>1521</v>
      </c>
      <c r="N64" s="1935"/>
      <c r="O64" s="1935"/>
      <c r="P64" s="1935"/>
      <c r="Q64" s="1936"/>
      <c r="R64" s="726">
        <f>SUM(R60:R63)</f>
        <v>18.96</v>
      </c>
      <c r="S64" s="1344" t="str">
        <f>L64</f>
        <v>m²</v>
      </c>
      <c r="T64" s="373"/>
      <c r="U64" s="486"/>
      <c r="V64" s="1418">
        <f t="shared" si="5"/>
        <v>0</v>
      </c>
      <c r="AB64" s="15"/>
    </row>
    <row r="65" spans="1:36" s="77" customFormat="1" ht="15.6" hidden="1">
      <c r="A65" s="370"/>
      <c r="B65" s="499"/>
      <c r="C65" s="725"/>
      <c r="D65" s="1937" t="s">
        <v>1522</v>
      </c>
      <c r="E65" s="1938"/>
      <c r="F65" s="1938"/>
      <c r="G65" s="1938"/>
      <c r="H65" s="1938"/>
      <c r="I65" s="1939"/>
      <c r="J65" s="1943">
        <f>R64/J64</f>
        <v>1</v>
      </c>
      <c r="K65" s="1944"/>
      <c r="L65" s="1947"/>
      <c r="M65" s="1934" t="s">
        <v>1523</v>
      </c>
      <c r="N65" s="1935"/>
      <c r="O65" s="1935"/>
      <c r="P65" s="1935"/>
      <c r="Q65" s="1936"/>
      <c r="R65" s="726">
        <f>VLOOKUP(A66,'11 - FINANCEIRA'!_xlnm.Print_Area,8,FALSE)</f>
        <v>18.96</v>
      </c>
      <c r="S65" s="727" t="str">
        <f>L64</f>
        <v>m²</v>
      </c>
      <c r="T65" s="373"/>
      <c r="U65" s="486"/>
      <c r="V65" s="1418">
        <f t="shared" si="5"/>
        <v>0</v>
      </c>
      <c r="AB65" s="15"/>
    </row>
    <row r="66" spans="1:36" s="77" customFormat="1" ht="15.6" hidden="1">
      <c r="A66" s="364" t="s">
        <v>352</v>
      </c>
      <c r="B66" s="499"/>
      <c r="C66" s="37"/>
      <c r="D66" s="2013"/>
      <c r="E66" s="2014"/>
      <c r="F66" s="2014"/>
      <c r="G66" s="2014"/>
      <c r="H66" s="2014"/>
      <c r="I66" s="2015"/>
      <c r="J66" s="2016"/>
      <c r="K66" s="2017"/>
      <c r="L66" s="1962"/>
      <c r="M66" s="2007" t="s">
        <v>1524</v>
      </c>
      <c r="N66" s="2008"/>
      <c r="O66" s="2008"/>
      <c r="P66" s="2008"/>
      <c r="Q66" s="2009"/>
      <c r="R66" s="1345">
        <f>R64-R65</f>
        <v>0</v>
      </c>
      <c r="S66" s="1346" t="str">
        <f>L64</f>
        <v>m²</v>
      </c>
      <c r="T66" s="373"/>
      <c r="U66" s="486"/>
      <c r="V66" s="1418">
        <f>R66</f>
        <v>0</v>
      </c>
      <c r="AB66" s="15"/>
    </row>
    <row r="67" spans="1:36" s="77" customFormat="1" ht="15.6" hidden="1">
      <c r="A67" s="370"/>
      <c r="B67" s="1347"/>
      <c r="C67" s="1348"/>
      <c r="D67" s="1349"/>
      <c r="E67" s="1350"/>
      <c r="F67" s="1349"/>
      <c r="G67" s="1349"/>
      <c r="H67" s="1349"/>
      <c r="I67" s="1349"/>
      <c r="J67" s="1351"/>
      <c r="K67" s="1352"/>
      <c r="L67" s="1353"/>
      <c r="M67" s="1354"/>
      <c r="N67" s="1354"/>
      <c r="O67" s="1354"/>
      <c r="P67" s="1354"/>
      <c r="Q67" s="1354"/>
      <c r="R67" s="1355"/>
      <c r="S67" s="1356"/>
      <c r="T67" s="1357"/>
      <c r="U67" s="1358"/>
      <c r="V67" s="1420">
        <f>SUM(V58:V66)</f>
        <v>0</v>
      </c>
      <c r="AB67" s="15"/>
    </row>
    <row r="68" spans="1:36" s="352" customFormat="1" ht="15.6" hidden="1">
      <c r="A68" s="351"/>
      <c r="B68" s="1963" t="str">
        <f>VLOOKUP(A76,'11 - FINANCEIRA'!_xlnm.Print_Area,1,FALSE)</f>
        <v>1.1.7</v>
      </c>
      <c r="C68" s="1965" t="str">
        <f>VLOOKUP(A76,'11 - FINANCEIRA'!_xlnm.Print_Area,3,FALSE)</f>
        <v>Placa para inauguração de obra em alumínio polido e=4mm, dimensões 40 x 50 cm, gravação em baixo relevo, inclusive pintura e fixação</v>
      </c>
      <c r="D68" s="1967" t="s">
        <v>1503</v>
      </c>
      <c r="E68" s="1968"/>
      <c r="F68" s="1968"/>
      <c r="G68" s="1968"/>
      <c r="H68" s="1968"/>
      <c r="I68" s="1969"/>
      <c r="J68" s="1914" t="s">
        <v>1504</v>
      </c>
      <c r="K68" s="1914" t="s">
        <v>1505</v>
      </c>
      <c r="L68" s="1914" t="s">
        <v>1506</v>
      </c>
      <c r="M68" s="1914" t="s">
        <v>1507</v>
      </c>
      <c r="N68" s="1914" t="s">
        <v>1508</v>
      </c>
      <c r="O68" s="1914" t="s">
        <v>1509</v>
      </c>
      <c r="P68" s="1341" t="s">
        <v>1510</v>
      </c>
      <c r="Q68" s="1914" t="s">
        <v>1493</v>
      </c>
      <c r="R68" s="1916" t="s">
        <v>804</v>
      </c>
      <c r="S68" s="1914" t="s">
        <v>1511</v>
      </c>
      <c r="T68" s="1914" t="s">
        <v>1512</v>
      </c>
      <c r="U68" s="1918" t="s">
        <v>1513</v>
      </c>
      <c r="V68" s="1418">
        <f t="shared" ref="V68:V75" si="6">V69</f>
        <v>0</v>
      </c>
      <c r="W68" s="16"/>
      <c r="X68" s="16"/>
      <c r="Y68" s="16"/>
      <c r="Z68" s="17"/>
      <c r="AA68" s="12"/>
      <c r="AB68" s="12"/>
      <c r="AC68" s="12"/>
      <c r="AD68" s="12"/>
      <c r="AE68" s="12"/>
      <c r="AF68" s="12"/>
      <c r="AG68" s="12"/>
      <c r="AH68" s="12"/>
      <c r="AI68" s="12"/>
      <c r="AJ68" s="12"/>
    </row>
    <row r="69" spans="1:36" s="352" customFormat="1" ht="15.6" hidden="1">
      <c r="A69" s="351"/>
      <c r="B69" s="1964" t="e">
        <f>LEFT(#REF!,5)</f>
        <v>#REF!</v>
      </c>
      <c r="C69" s="1966" t="e">
        <f>VLOOKUP(LEFT(#REF!,5),'11 - FINANCEIRA'!_xlnm.Print_Area,2,FALSE)</f>
        <v>#REF!</v>
      </c>
      <c r="D69" s="1920" t="s">
        <v>1514</v>
      </c>
      <c r="E69" s="1921"/>
      <c r="F69" s="1922"/>
      <c r="G69" s="1923" t="s">
        <v>1515</v>
      </c>
      <c r="H69" s="1924"/>
      <c r="I69" s="1925"/>
      <c r="J69" s="1915"/>
      <c r="K69" s="1915"/>
      <c r="L69" s="1915"/>
      <c r="M69" s="1915"/>
      <c r="N69" s="1915"/>
      <c r="O69" s="1915"/>
      <c r="P69" s="353" t="s">
        <v>1516</v>
      </c>
      <c r="Q69" s="1915"/>
      <c r="R69" s="1917"/>
      <c r="S69" s="1915"/>
      <c r="T69" s="1915"/>
      <c r="U69" s="1919"/>
      <c r="V69" s="1418">
        <f t="shared" si="6"/>
        <v>0</v>
      </c>
      <c r="W69" s="16"/>
      <c r="X69" s="16"/>
      <c r="Y69" s="16"/>
      <c r="Z69" s="17"/>
      <c r="AA69" s="12"/>
      <c r="AB69" s="12"/>
      <c r="AC69" s="12"/>
      <c r="AD69" s="12"/>
      <c r="AE69" s="12"/>
      <c r="AF69" s="12"/>
      <c r="AG69" s="12"/>
      <c r="AH69" s="12"/>
      <c r="AI69" s="12"/>
      <c r="AJ69" s="12"/>
    </row>
    <row r="70" spans="1:36" s="361" customFormat="1" ht="30" hidden="1">
      <c r="A70" s="354"/>
      <c r="B70" s="755" t="s">
        <v>1537</v>
      </c>
      <c r="C70" s="32" t="s">
        <v>823</v>
      </c>
      <c r="D70" s="33"/>
      <c r="E70" s="34"/>
      <c r="F70" s="35"/>
      <c r="G70" s="33"/>
      <c r="H70" s="34"/>
      <c r="I70" s="35"/>
      <c r="J70" s="43"/>
      <c r="K70" s="42"/>
      <c r="L70" s="39"/>
      <c r="M70" s="41"/>
      <c r="N70" s="356"/>
      <c r="O70" s="40"/>
      <c r="P70" s="39"/>
      <c r="Q70" s="45"/>
      <c r="R70" s="1359">
        <v>1</v>
      </c>
      <c r="S70" s="1265" t="s">
        <v>816</v>
      </c>
      <c r="T70" s="46" t="s">
        <v>330</v>
      </c>
      <c r="U70" s="44"/>
      <c r="V70" s="1418">
        <f t="shared" si="6"/>
        <v>0</v>
      </c>
      <c r="W70" s="357"/>
      <c r="X70" s="357"/>
      <c r="Y70" s="357"/>
      <c r="Z70" s="358"/>
      <c r="AA70" s="359"/>
      <c r="AB70" s="360"/>
    </row>
    <row r="71" spans="1:36" s="361" customFormat="1" ht="15" hidden="1" customHeight="1">
      <c r="A71" s="354"/>
      <c r="B71" s="355"/>
      <c r="C71" s="32"/>
      <c r="D71" s="33"/>
      <c r="E71" s="34"/>
      <c r="F71" s="35"/>
      <c r="G71" s="33"/>
      <c r="H71" s="34"/>
      <c r="I71" s="35"/>
      <c r="J71" s="43"/>
      <c r="K71" s="42"/>
      <c r="L71" s="39"/>
      <c r="M71" s="41"/>
      <c r="N71" s="356"/>
      <c r="O71" s="40"/>
      <c r="P71" s="39"/>
      <c r="Q71" s="45"/>
      <c r="R71" s="362"/>
      <c r="S71" s="363"/>
      <c r="T71" s="46"/>
      <c r="U71" s="44"/>
      <c r="V71" s="1418">
        <f t="shared" si="6"/>
        <v>0</v>
      </c>
      <c r="W71" s="357"/>
      <c r="X71" s="357"/>
      <c r="Y71" s="357"/>
      <c r="Z71" s="358"/>
      <c r="AA71" s="359"/>
      <c r="AB71" s="360"/>
    </row>
    <row r="72" spans="1:36" s="369" customFormat="1" ht="15" hidden="1">
      <c r="A72" s="364"/>
      <c r="B72" s="355"/>
      <c r="C72" s="32"/>
      <c r="D72" s="33"/>
      <c r="E72" s="34"/>
      <c r="F72" s="35"/>
      <c r="G72" s="33"/>
      <c r="H72" s="34"/>
      <c r="I72" s="35"/>
      <c r="J72" s="43"/>
      <c r="K72" s="42"/>
      <c r="L72" s="39"/>
      <c r="M72" s="41"/>
      <c r="N72" s="40"/>
      <c r="O72" s="40"/>
      <c r="P72" s="39"/>
      <c r="Q72" s="38"/>
      <c r="R72" s="365"/>
      <c r="S72" s="366"/>
      <c r="T72" s="46"/>
      <c r="U72" s="44"/>
      <c r="V72" s="1418">
        <f t="shared" si="6"/>
        <v>0</v>
      </c>
      <c r="W72" s="367"/>
      <c r="X72" s="367"/>
      <c r="Y72" s="367"/>
      <c r="Z72" s="368"/>
    </row>
    <row r="73" spans="1:36" s="77" customFormat="1" ht="15" hidden="1">
      <c r="A73" s="370"/>
      <c r="B73" s="29"/>
      <c r="C73" s="30"/>
      <c r="D73" s="18"/>
      <c r="E73" s="19"/>
      <c r="F73" s="20"/>
      <c r="G73" s="18"/>
      <c r="H73" s="19"/>
      <c r="I73" s="20"/>
      <c r="J73" s="21"/>
      <c r="K73" s="22"/>
      <c r="L73" s="23"/>
      <c r="M73" s="24"/>
      <c r="N73" s="25"/>
      <c r="O73" s="25"/>
      <c r="P73" s="23"/>
      <c r="Q73" s="26"/>
      <c r="R73" s="371"/>
      <c r="S73" s="27"/>
      <c r="T73" s="372"/>
      <c r="U73" s="31"/>
      <c r="V73" s="1418">
        <f t="shared" si="6"/>
        <v>0</v>
      </c>
      <c r="AB73" s="15"/>
    </row>
    <row r="74" spans="1:36" s="77" customFormat="1" ht="15.6" hidden="1">
      <c r="A74" s="370"/>
      <c r="B74" s="499"/>
      <c r="C74" s="37"/>
      <c r="D74" s="1929" t="s">
        <v>1520</v>
      </c>
      <c r="E74" s="1930"/>
      <c r="F74" s="1930"/>
      <c r="G74" s="1930"/>
      <c r="H74" s="1930"/>
      <c r="I74" s="1931"/>
      <c r="J74" s="1932">
        <f>VLOOKUP(A76,'11 - FINANCEIRA'!_xlnm.Print_Area,6,FALSE)</f>
        <v>1</v>
      </c>
      <c r="K74" s="1933"/>
      <c r="L74" s="1343" t="str">
        <f>VLOOKUP(A76,'11 - FINANCEIRA'!_xlnm.Print_Area,4,FALSE)</f>
        <v>und</v>
      </c>
      <c r="M74" s="1934" t="s">
        <v>1521</v>
      </c>
      <c r="N74" s="1935"/>
      <c r="O74" s="1935"/>
      <c r="P74" s="1935"/>
      <c r="Q74" s="1936"/>
      <c r="R74" s="726">
        <f>SUM(R70:R73)</f>
        <v>1</v>
      </c>
      <c r="S74" s="1344" t="str">
        <f>L74</f>
        <v>und</v>
      </c>
      <c r="T74" s="373"/>
      <c r="U74" s="486"/>
      <c r="V74" s="1418">
        <f t="shared" si="6"/>
        <v>0</v>
      </c>
      <c r="AB74" s="15"/>
    </row>
    <row r="75" spans="1:36" s="77" customFormat="1" ht="15.6" hidden="1">
      <c r="A75" s="370"/>
      <c r="B75" s="499"/>
      <c r="C75" s="725"/>
      <c r="D75" s="1937" t="s">
        <v>1522</v>
      </c>
      <c r="E75" s="1938"/>
      <c r="F75" s="1938"/>
      <c r="G75" s="1938"/>
      <c r="H75" s="1938"/>
      <c r="I75" s="1939"/>
      <c r="J75" s="1943">
        <f>R74/J74</f>
        <v>1</v>
      </c>
      <c r="K75" s="1944"/>
      <c r="L75" s="1947"/>
      <c r="M75" s="1934" t="s">
        <v>1523</v>
      </c>
      <c r="N75" s="1935"/>
      <c r="O75" s="1935"/>
      <c r="P75" s="1935"/>
      <c r="Q75" s="1936"/>
      <c r="R75" s="726">
        <f>VLOOKUP(A76,'11 - FINANCEIRA'!_xlnm.Print_Area,8,FALSE)</f>
        <v>1</v>
      </c>
      <c r="S75" s="727" t="str">
        <f>L74</f>
        <v>und</v>
      </c>
      <c r="T75" s="373"/>
      <c r="U75" s="486"/>
      <c r="V75" s="1418">
        <f t="shared" si="6"/>
        <v>0</v>
      </c>
      <c r="AB75" s="15"/>
    </row>
    <row r="76" spans="1:36" s="77" customFormat="1" ht="15.6" hidden="1">
      <c r="A76" s="364" t="s">
        <v>353</v>
      </c>
      <c r="B76" s="499"/>
      <c r="C76" s="37"/>
      <c r="D76" s="2013"/>
      <c r="E76" s="2014"/>
      <c r="F76" s="2014"/>
      <c r="G76" s="2014"/>
      <c r="H76" s="2014"/>
      <c r="I76" s="2015"/>
      <c r="J76" s="2016"/>
      <c r="K76" s="2017"/>
      <c r="L76" s="1962"/>
      <c r="M76" s="2007" t="s">
        <v>1524</v>
      </c>
      <c r="N76" s="2008"/>
      <c r="O76" s="2008"/>
      <c r="P76" s="2008"/>
      <c r="Q76" s="2009"/>
      <c r="R76" s="1345">
        <f>R74-R75</f>
        <v>0</v>
      </c>
      <c r="S76" s="1346" t="str">
        <f>L74</f>
        <v>und</v>
      </c>
      <c r="T76" s="373"/>
      <c r="U76" s="486"/>
      <c r="V76" s="1418">
        <f>R76</f>
        <v>0</v>
      </c>
      <c r="AB76" s="15"/>
    </row>
    <row r="77" spans="1:36" s="77" customFormat="1" ht="15.6" hidden="1">
      <c r="A77" s="370"/>
      <c r="B77" s="1360"/>
      <c r="C77" s="1361"/>
      <c r="D77" s="1362"/>
      <c r="E77" s="1363"/>
      <c r="F77" s="1362"/>
      <c r="G77" s="1362"/>
      <c r="H77" s="1362"/>
      <c r="I77" s="1362"/>
      <c r="J77" s="1364"/>
      <c r="K77" s="1365"/>
      <c r="L77" s="1366"/>
      <c r="M77" s="1367"/>
      <c r="N77" s="1367"/>
      <c r="O77" s="1367"/>
      <c r="P77" s="1367"/>
      <c r="Q77" s="1367"/>
      <c r="R77" s="1368"/>
      <c r="S77" s="1369"/>
      <c r="T77" s="1370"/>
      <c r="U77" s="1371"/>
      <c r="V77" s="1420">
        <f>SUM(V68:V76)</f>
        <v>0</v>
      </c>
      <c r="AB77" s="15"/>
    </row>
    <row r="78" spans="1:36" s="632" customFormat="1" ht="15.6" hidden="1">
      <c r="A78" s="630"/>
      <c r="B78" s="1333" t="str">
        <f>LEFT(A87,3)</f>
        <v>1.2</v>
      </c>
      <c r="C78" s="1334" t="str">
        <f>VLOOKUP(LEFT(A87,3),'11 - FINANCEIRA'!_xlnm.Print_Area,2,FALSE)</f>
        <v>CANTEIRO DE OBRAS</v>
      </c>
      <c r="D78" s="1334"/>
      <c r="E78" s="1335"/>
      <c r="F78" s="1334"/>
      <c r="G78" s="2071"/>
      <c r="H78" s="2072"/>
      <c r="I78" s="2072"/>
      <c r="J78" s="2072"/>
      <c r="K78" s="2072"/>
      <c r="L78" s="2072"/>
      <c r="M78" s="1338"/>
      <c r="N78" s="1339"/>
      <c r="O78" s="2072"/>
      <c r="P78" s="2072"/>
      <c r="Q78" s="2072"/>
      <c r="R78" s="2082"/>
      <c r="S78" s="1372"/>
      <c r="T78" s="1373"/>
      <c r="U78" s="1374"/>
      <c r="V78" s="631">
        <f>SUM(V79:V244)</f>
        <v>0</v>
      </c>
    </row>
    <row r="79" spans="1:36" s="352" customFormat="1" ht="15.6" hidden="1">
      <c r="A79" s="351"/>
      <c r="B79" s="1963" t="str">
        <f>VLOOKUP(A87,'11 - FINANCEIRA'!_xlnm.Print_Area,1,FALSE)</f>
        <v>1.2.1</v>
      </c>
      <c r="C79" s="1965" t="str">
        <f>VLOOKUP(A87,'11 - FINANCEIRA'!_xlnm.Print_Area,3,FALSE)</f>
        <v>Mobilização e desmobilização de conteiner locado para barracão de obra</v>
      </c>
      <c r="D79" s="1967" t="s">
        <v>1503</v>
      </c>
      <c r="E79" s="1968"/>
      <c r="F79" s="1968"/>
      <c r="G79" s="1968"/>
      <c r="H79" s="1968"/>
      <c r="I79" s="1969"/>
      <c r="J79" s="1914" t="s">
        <v>1504</v>
      </c>
      <c r="K79" s="1914" t="s">
        <v>1505</v>
      </c>
      <c r="L79" s="1914" t="s">
        <v>1506</v>
      </c>
      <c r="M79" s="1914" t="s">
        <v>1507</v>
      </c>
      <c r="N79" s="1914" t="s">
        <v>1508</v>
      </c>
      <c r="O79" s="1914" t="s">
        <v>1509</v>
      </c>
      <c r="P79" s="1341" t="s">
        <v>1510</v>
      </c>
      <c r="Q79" s="1914" t="s">
        <v>1493</v>
      </c>
      <c r="R79" s="1916" t="s">
        <v>804</v>
      </c>
      <c r="S79" s="1914" t="s">
        <v>1511</v>
      </c>
      <c r="T79" s="1914" t="s">
        <v>1512</v>
      </c>
      <c r="U79" s="1918" t="s">
        <v>1513</v>
      </c>
      <c r="V79" s="1418">
        <f>V80</f>
        <v>0</v>
      </c>
      <c r="W79" s="16"/>
      <c r="X79" s="16"/>
      <c r="Y79" s="16"/>
      <c r="Z79" s="17"/>
      <c r="AA79" s="12"/>
      <c r="AB79" s="12"/>
      <c r="AC79" s="12"/>
      <c r="AD79" s="12"/>
      <c r="AE79" s="12"/>
      <c r="AF79" s="12"/>
      <c r="AG79" s="12"/>
      <c r="AH79" s="12"/>
      <c r="AI79" s="12"/>
      <c r="AJ79" s="12"/>
    </row>
    <row r="80" spans="1:36" s="352" customFormat="1" ht="15.6" hidden="1">
      <c r="A80" s="351"/>
      <c r="B80" s="1964" t="e">
        <f>LEFT(#REF!,5)</f>
        <v>#REF!</v>
      </c>
      <c r="C80" s="1966" t="e">
        <f>VLOOKUP(LEFT(#REF!,5),'11 - FINANCEIRA'!_xlnm.Print_Area,2,FALSE)</f>
        <v>#REF!</v>
      </c>
      <c r="D80" s="1920" t="s">
        <v>1514</v>
      </c>
      <c r="E80" s="1921"/>
      <c r="F80" s="1922"/>
      <c r="G80" s="1923" t="s">
        <v>1515</v>
      </c>
      <c r="H80" s="1924"/>
      <c r="I80" s="1925"/>
      <c r="J80" s="1915"/>
      <c r="K80" s="1915"/>
      <c r="L80" s="1915"/>
      <c r="M80" s="1915"/>
      <c r="N80" s="1915"/>
      <c r="O80" s="1915"/>
      <c r="P80" s="353" t="s">
        <v>1516</v>
      </c>
      <c r="Q80" s="1915"/>
      <c r="R80" s="1917"/>
      <c r="S80" s="1915"/>
      <c r="T80" s="1915"/>
      <c r="U80" s="1919"/>
      <c r="V80" s="1418">
        <f t="shared" ref="V80:V86" si="7">V81</f>
        <v>0</v>
      </c>
      <c r="W80" s="16"/>
      <c r="X80" s="16"/>
      <c r="Y80" s="16"/>
      <c r="Z80" s="17"/>
      <c r="AA80" s="12"/>
      <c r="AB80" s="12"/>
      <c r="AC80" s="12"/>
      <c r="AD80" s="12"/>
      <c r="AE80" s="12"/>
      <c r="AF80" s="12"/>
      <c r="AG80" s="12"/>
      <c r="AH80" s="12"/>
      <c r="AI80" s="12"/>
      <c r="AJ80" s="12"/>
    </row>
    <row r="81" spans="1:36" s="361" customFormat="1" ht="15" hidden="1">
      <c r="A81" s="354"/>
      <c r="B81" s="535" t="s">
        <v>1538</v>
      </c>
      <c r="C81" s="28" t="s">
        <v>1539</v>
      </c>
      <c r="D81" s="18"/>
      <c r="E81" s="19"/>
      <c r="F81" s="20"/>
      <c r="G81" s="18"/>
      <c r="H81" s="19"/>
      <c r="I81" s="20"/>
      <c r="J81" s="21"/>
      <c r="K81" s="22"/>
      <c r="L81" s="23"/>
      <c r="M81" s="24"/>
      <c r="N81" s="728"/>
      <c r="O81" s="25"/>
      <c r="P81" s="23"/>
      <c r="Q81" s="729"/>
      <c r="R81" s="1109">
        <v>2.5</v>
      </c>
      <c r="S81" s="730" t="s">
        <v>816</v>
      </c>
      <c r="T81" s="446" t="s">
        <v>298</v>
      </c>
      <c r="U81" s="793"/>
      <c r="V81" s="1419">
        <f t="shared" si="7"/>
        <v>0</v>
      </c>
      <c r="W81" s="357"/>
      <c r="X81" s="357"/>
      <c r="Y81" s="357"/>
      <c r="Z81" s="358"/>
      <c r="AA81" s="359"/>
      <c r="AB81" s="360"/>
    </row>
    <row r="82" spans="1:36" s="361" customFormat="1" ht="15" hidden="1">
      <c r="A82" s="354"/>
      <c r="B82" s="355"/>
      <c r="C82" s="32" t="s">
        <v>1540</v>
      </c>
      <c r="D82" s="33"/>
      <c r="E82" s="34"/>
      <c r="F82" s="35"/>
      <c r="G82" s="33"/>
      <c r="H82" s="34"/>
      <c r="I82" s="35"/>
      <c r="J82" s="43"/>
      <c r="K82" s="42"/>
      <c r="L82" s="39"/>
      <c r="M82" s="41"/>
      <c r="N82" s="356"/>
      <c r="O82" s="40"/>
      <c r="P82" s="39"/>
      <c r="Q82" s="45"/>
      <c r="R82" s="362">
        <v>2.5</v>
      </c>
      <c r="S82" s="363" t="s">
        <v>816</v>
      </c>
      <c r="T82" s="46" t="s">
        <v>330</v>
      </c>
      <c r="U82" s="44"/>
      <c r="V82" s="1418">
        <f t="shared" si="7"/>
        <v>0</v>
      </c>
      <c r="W82" s="357"/>
      <c r="X82" s="357"/>
      <c r="Y82" s="357"/>
      <c r="Z82" s="358"/>
      <c r="AA82" s="359"/>
      <c r="AB82" s="360"/>
    </row>
    <row r="83" spans="1:36" s="369" customFormat="1" ht="15" hidden="1">
      <c r="A83" s="364"/>
      <c r="B83" s="355"/>
      <c r="C83" s="32"/>
      <c r="D83" s="33"/>
      <c r="E83" s="34"/>
      <c r="F83" s="35"/>
      <c r="G83" s="33"/>
      <c r="H83" s="34"/>
      <c r="I83" s="35"/>
      <c r="J83" s="43"/>
      <c r="K83" s="42"/>
      <c r="L83" s="39"/>
      <c r="M83" s="41"/>
      <c r="N83" s="40"/>
      <c r="O83" s="40"/>
      <c r="P83" s="39"/>
      <c r="Q83" s="38"/>
      <c r="R83" s="365"/>
      <c r="S83" s="366"/>
      <c r="T83" s="46"/>
      <c r="U83" s="44"/>
      <c r="V83" s="1418">
        <f t="shared" si="7"/>
        <v>0</v>
      </c>
      <c r="W83" s="367"/>
      <c r="X83" s="367"/>
      <c r="Y83" s="367"/>
      <c r="Z83" s="368"/>
    </row>
    <row r="84" spans="1:36" s="77" customFormat="1" ht="15" hidden="1">
      <c r="A84" s="370"/>
      <c r="B84" s="29"/>
      <c r="C84" s="30"/>
      <c r="D84" s="18"/>
      <c r="E84" s="19"/>
      <c r="F84" s="20"/>
      <c r="G84" s="18"/>
      <c r="H84" s="19"/>
      <c r="I84" s="20"/>
      <c r="J84" s="21"/>
      <c r="K84" s="22"/>
      <c r="L84" s="23"/>
      <c r="M84" s="24"/>
      <c r="N84" s="25"/>
      <c r="O84" s="25"/>
      <c r="P84" s="23"/>
      <c r="Q84" s="26"/>
      <c r="R84" s="371"/>
      <c r="S84" s="27"/>
      <c r="T84" s="372"/>
      <c r="U84" s="31"/>
      <c r="V84" s="1418">
        <f t="shared" si="7"/>
        <v>0</v>
      </c>
      <c r="AB84" s="15"/>
    </row>
    <row r="85" spans="1:36" s="77" customFormat="1" ht="15.6" hidden="1">
      <c r="A85" s="370"/>
      <c r="B85" s="499"/>
      <c r="C85" s="37"/>
      <c r="D85" s="1929" t="s">
        <v>1520</v>
      </c>
      <c r="E85" s="1930"/>
      <c r="F85" s="1930"/>
      <c r="G85" s="1930"/>
      <c r="H85" s="1930"/>
      <c r="I85" s="1931"/>
      <c r="J85" s="1932">
        <f>VLOOKUP(A87,'11 - FINANCEIRA'!_xlnm.Print_Area,6,FALSE)</f>
        <v>5</v>
      </c>
      <c r="K85" s="1933"/>
      <c r="L85" s="1343" t="str">
        <f>VLOOKUP(A87,'11 - FINANCEIRA'!_xlnm.Print_Area,4,FALSE)</f>
        <v>und</v>
      </c>
      <c r="M85" s="1934" t="s">
        <v>1521</v>
      </c>
      <c r="N85" s="1935"/>
      <c r="O85" s="1935"/>
      <c r="P85" s="1935"/>
      <c r="Q85" s="1936"/>
      <c r="R85" s="726">
        <f>SUM(R81:R84)</f>
        <v>5</v>
      </c>
      <c r="S85" s="1344" t="str">
        <f>L85</f>
        <v>und</v>
      </c>
      <c r="T85" s="373"/>
      <c r="U85" s="486"/>
      <c r="V85" s="1418">
        <f t="shared" si="7"/>
        <v>0</v>
      </c>
      <c r="AB85" s="15"/>
    </row>
    <row r="86" spans="1:36" s="77" customFormat="1" ht="15.6" hidden="1">
      <c r="A86" s="370"/>
      <c r="B86" s="499"/>
      <c r="C86" s="725"/>
      <c r="D86" s="1937" t="s">
        <v>1522</v>
      </c>
      <c r="E86" s="1938"/>
      <c r="F86" s="1938"/>
      <c r="G86" s="1938"/>
      <c r="H86" s="1938"/>
      <c r="I86" s="1939"/>
      <c r="J86" s="1943">
        <f>R85/J85</f>
        <v>1</v>
      </c>
      <c r="K86" s="1944"/>
      <c r="L86" s="1947"/>
      <c r="M86" s="1934" t="s">
        <v>1523</v>
      </c>
      <c r="N86" s="1935"/>
      <c r="O86" s="1935"/>
      <c r="P86" s="1935"/>
      <c r="Q86" s="1936"/>
      <c r="R86" s="726">
        <f>VLOOKUP(A87,'11 - FINANCEIRA'!_xlnm.Print_Area,8,FALSE)</f>
        <v>5</v>
      </c>
      <c r="S86" s="727" t="str">
        <f>L85</f>
        <v>und</v>
      </c>
      <c r="T86" s="373"/>
      <c r="U86" s="486"/>
      <c r="V86" s="1418">
        <f t="shared" si="7"/>
        <v>0</v>
      </c>
      <c r="AB86" s="15"/>
    </row>
    <row r="87" spans="1:36" s="77" customFormat="1" ht="15.6" hidden="1">
      <c r="A87" s="364" t="s">
        <v>354</v>
      </c>
      <c r="B87" s="499"/>
      <c r="C87" s="37"/>
      <c r="D87" s="2013"/>
      <c r="E87" s="2014"/>
      <c r="F87" s="2014"/>
      <c r="G87" s="2014"/>
      <c r="H87" s="2014"/>
      <c r="I87" s="2015"/>
      <c r="J87" s="2016"/>
      <c r="K87" s="2017"/>
      <c r="L87" s="1962"/>
      <c r="M87" s="2007" t="s">
        <v>1524</v>
      </c>
      <c r="N87" s="2008"/>
      <c r="O87" s="2008"/>
      <c r="P87" s="2008"/>
      <c r="Q87" s="2009"/>
      <c r="R87" s="1345">
        <f>R85-R86</f>
        <v>0</v>
      </c>
      <c r="S87" s="1346" t="str">
        <f>L85</f>
        <v>und</v>
      </c>
      <c r="T87" s="373"/>
      <c r="U87" s="486"/>
      <c r="V87" s="1418">
        <f>R87</f>
        <v>0</v>
      </c>
      <c r="AB87" s="15"/>
    </row>
    <row r="88" spans="1:36" s="77" customFormat="1" ht="15.6" hidden="1">
      <c r="A88" s="370"/>
      <c r="B88" s="1360"/>
      <c r="C88" s="1361"/>
      <c r="D88" s="1362"/>
      <c r="E88" s="1363"/>
      <c r="F88" s="1362"/>
      <c r="G88" s="1362"/>
      <c r="H88" s="1362"/>
      <c r="I88" s="1362"/>
      <c r="J88" s="1364"/>
      <c r="K88" s="1365"/>
      <c r="L88" s="1366"/>
      <c r="M88" s="1367"/>
      <c r="N88" s="1367"/>
      <c r="O88" s="1367"/>
      <c r="P88" s="1367"/>
      <c r="Q88" s="1367"/>
      <c r="R88" s="1368"/>
      <c r="S88" s="1369"/>
      <c r="T88" s="1370"/>
      <c r="U88" s="1371"/>
      <c r="V88" s="1420">
        <f>SUM(V79:V87)</f>
        <v>0</v>
      </c>
      <c r="AB88" s="15"/>
    </row>
    <row r="89" spans="1:36" s="352" customFormat="1" ht="15.6" hidden="1">
      <c r="A89" s="351"/>
      <c r="B89" s="1963" t="str">
        <f>VLOOKUP(A126,'11 - FINANCEIRA'!_xlnm.Print_Area,1,FALSE)</f>
        <v>1.2.2</v>
      </c>
      <c r="C89" s="1965" t="str">
        <f>VLOOKUP(A126,'11 - FINANCEIRA'!_xlnm.Print_Area,3,FALSE)</f>
        <v>Aluguel mensal container para refeitorio, incl. porta, 2 janelas, abert p/ ar cond., 2 pt iluminação, 2 tomadas elét. e 1 tomada telef. Isolamento térmico (paredes e teto), piso em comp. Naval pintado, cert. NR18, incl. laudo descontaminação.</v>
      </c>
      <c r="D89" s="1967" t="s">
        <v>205</v>
      </c>
      <c r="E89" s="1968"/>
      <c r="F89" s="1968"/>
      <c r="G89" s="1968"/>
      <c r="H89" s="1968"/>
      <c r="I89" s="1969"/>
      <c r="J89" s="1914" t="s">
        <v>145</v>
      </c>
      <c r="K89" s="1914" t="s">
        <v>1505</v>
      </c>
      <c r="L89" s="1914" t="s">
        <v>1506</v>
      </c>
      <c r="M89" s="1914" t="s">
        <v>1507</v>
      </c>
      <c r="N89" s="1914" t="s">
        <v>1508</v>
      </c>
      <c r="O89" s="1914" t="s">
        <v>1509</v>
      </c>
      <c r="P89" s="1341" t="s">
        <v>1510</v>
      </c>
      <c r="Q89" s="1914" t="s">
        <v>1493</v>
      </c>
      <c r="R89" s="1916" t="s">
        <v>804</v>
      </c>
      <c r="S89" s="1914" t="s">
        <v>1511</v>
      </c>
      <c r="T89" s="1914" t="s">
        <v>1512</v>
      </c>
      <c r="U89" s="1918" t="s">
        <v>1513</v>
      </c>
      <c r="V89" s="1418">
        <f t="shared" ref="V89:V125" si="8">V90</f>
        <v>0</v>
      </c>
      <c r="W89" s="16"/>
      <c r="X89" s="16"/>
      <c r="Y89" s="16"/>
      <c r="Z89" s="17"/>
      <c r="AA89" s="12"/>
      <c r="AB89" s="12"/>
      <c r="AC89" s="12"/>
      <c r="AD89" s="12"/>
      <c r="AE89" s="12"/>
      <c r="AF89" s="12"/>
      <c r="AG89" s="12"/>
      <c r="AH89" s="12"/>
      <c r="AI89" s="12"/>
      <c r="AJ89" s="12"/>
    </row>
    <row r="90" spans="1:36" s="352" customFormat="1" ht="15.6" hidden="1">
      <c r="A90" s="351"/>
      <c r="B90" s="1964" t="e">
        <f>LEFT(#REF!,5)</f>
        <v>#REF!</v>
      </c>
      <c r="C90" s="1966" t="e">
        <f>VLOOKUP(LEFT(#REF!,5),'11 - FINANCEIRA'!_xlnm.Print_Area,2,FALSE)</f>
        <v>#REF!</v>
      </c>
      <c r="D90" s="1920" t="s">
        <v>1514</v>
      </c>
      <c r="E90" s="1921"/>
      <c r="F90" s="1922"/>
      <c r="G90" s="1923" t="s">
        <v>1515</v>
      </c>
      <c r="H90" s="1924"/>
      <c r="I90" s="1925"/>
      <c r="J90" s="1915"/>
      <c r="K90" s="1915"/>
      <c r="L90" s="1915"/>
      <c r="M90" s="1915"/>
      <c r="N90" s="1915"/>
      <c r="O90" s="1915"/>
      <c r="P90" s="353" t="s">
        <v>1516</v>
      </c>
      <c r="Q90" s="1915"/>
      <c r="R90" s="1917"/>
      <c r="S90" s="1915"/>
      <c r="T90" s="1915"/>
      <c r="U90" s="1919"/>
      <c r="V90" s="1418">
        <f t="shared" si="8"/>
        <v>0</v>
      </c>
      <c r="W90" s="16"/>
      <c r="X90" s="16"/>
      <c r="Y90" s="16"/>
      <c r="Z90" s="17"/>
      <c r="AA90" s="12"/>
      <c r="AB90" s="12"/>
      <c r="AC90" s="12"/>
      <c r="AD90" s="12"/>
      <c r="AE90" s="12"/>
      <c r="AF90" s="12"/>
      <c r="AG90" s="12"/>
      <c r="AH90" s="12"/>
      <c r="AI90" s="12"/>
      <c r="AJ90" s="12"/>
    </row>
    <row r="91" spans="1:36" s="361" customFormat="1" ht="15" hidden="1" customHeight="1">
      <c r="A91" s="354"/>
      <c r="B91" s="535"/>
      <c r="C91" s="464" t="s">
        <v>1541</v>
      </c>
      <c r="D91" s="2068">
        <v>44378</v>
      </c>
      <c r="E91" s="2069"/>
      <c r="F91" s="2070"/>
      <c r="G91" s="2068">
        <v>44408</v>
      </c>
      <c r="H91" s="2069"/>
      <c r="I91" s="2070"/>
      <c r="J91" s="21">
        <f>DAY(DATE(YEAR(D91),MONTH(D91)+1,0))</f>
        <v>31</v>
      </c>
      <c r="K91" s="654"/>
      <c r="L91" s="654"/>
      <c r="M91" s="654"/>
      <c r="N91" s="654"/>
      <c r="O91" s="558"/>
      <c r="P91" s="654"/>
      <c r="Q91" s="559"/>
      <c r="R91" s="489">
        <v>1</v>
      </c>
      <c r="S91" s="488" t="s">
        <v>828</v>
      </c>
      <c r="T91" s="490" t="s">
        <v>298</v>
      </c>
      <c r="U91" s="491"/>
      <c r="V91" s="1419">
        <f t="shared" si="8"/>
        <v>0</v>
      </c>
      <c r="W91" s="357"/>
      <c r="X91" s="357"/>
      <c r="Y91" s="357"/>
      <c r="Z91" s="358"/>
      <c r="AA91" s="359"/>
      <c r="AB91" s="360"/>
    </row>
    <row r="92" spans="1:36" s="361" customFormat="1" ht="15" hidden="1" customHeight="1">
      <c r="A92" s="354"/>
      <c r="B92" s="755"/>
      <c r="C92" s="710" t="s">
        <v>1541</v>
      </c>
      <c r="D92" s="1949">
        <v>44409</v>
      </c>
      <c r="E92" s="1950"/>
      <c r="F92" s="1951"/>
      <c r="G92" s="1960">
        <v>44439</v>
      </c>
      <c r="H92" s="1960"/>
      <c r="I92" s="1960"/>
      <c r="J92" s="21">
        <f>DAY(DATE(YEAR(D92),MONTH(D92)+1,0))</f>
        <v>31</v>
      </c>
      <c r="K92" s="23"/>
      <c r="L92" s="23"/>
      <c r="M92" s="23"/>
      <c r="N92" s="23"/>
      <c r="O92" s="447"/>
      <c r="P92" s="23"/>
      <c r="Q92" s="445"/>
      <c r="R92" s="445">
        <v>1</v>
      </c>
      <c r="S92" s="447" t="s">
        <v>828</v>
      </c>
      <c r="T92" s="446" t="s">
        <v>299</v>
      </c>
      <c r="U92" s="44"/>
      <c r="V92" s="1418">
        <f t="shared" si="8"/>
        <v>0</v>
      </c>
      <c r="W92" s="357"/>
      <c r="X92" s="357"/>
      <c r="Y92" s="357"/>
      <c r="Z92" s="358"/>
      <c r="AA92" s="359"/>
      <c r="AB92" s="360"/>
    </row>
    <row r="93" spans="1:36" s="369" customFormat="1" ht="15" hidden="1" customHeight="1">
      <c r="A93" s="364"/>
      <c r="B93" s="755"/>
      <c r="C93" s="710" t="s">
        <v>1541</v>
      </c>
      <c r="D93" s="1949">
        <v>44440</v>
      </c>
      <c r="E93" s="1950"/>
      <c r="F93" s="1951"/>
      <c r="G93" s="1949">
        <v>44469</v>
      </c>
      <c r="H93" s="1950"/>
      <c r="I93" s="1951"/>
      <c r="J93" s="21">
        <f>DAY(DATE(YEAR(D93),MONTH(D93)+1,0))</f>
        <v>30</v>
      </c>
      <c r="K93" s="23"/>
      <c r="L93" s="23"/>
      <c r="M93" s="23"/>
      <c r="N93" s="447"/>
      <c r="O93" s="447"/>
      <c r="P93" s="23"/>
      <c r="Q93" s="445"/>
      <c r="R93" s="445">
        <v>1</v>
      </c>
      <c r="S93" s="447" t="s">
        <v>828</v>
      </c>
      <c r="T93" s="446" t="s">
        <v>300</v>
      </c>
      <c r="U93" s="44"/>
      <c r="V93" s="1418">
        <f t="shared" si="8"/>
        <v>0</v>
      </c>
      <c r="W93" s="367"/>
      <c r="X93" s="367"/>
      <c r="Y93" s="367"/>
      <c r="Z93" s="368"/>
    </row>
    <row r="94" spans="1:36" s="478" customFormat="1" ht="15" hidden="1" customHeight="1">
      <c r="A94" s="465"/>
      <c r="B94" s="755"/>
      <c r="C94" s="710" t="s">
        <v>1541</v>
      </c>
      <c r="D94" s="1949">
        <v>44470</v>
      </c>
      <c r="E94" s="1950"/>
      <c r="F94" s="1951"/>
      <c r="G94" s="1949">
        <v>44500</v>
      </c>
      <c r="H94" s="1950"/>
      <c r="I94" s="1951"/>
      <c r="J94" s="21">
        <f>DAY(DATE(YEAR(D94),MONTH(D94)+1,0))</f>
        <v>31</v>
      </c>
      <c r="K94" s="23"/>
      <c r="L94" s="23"/>
      <c r="M94" s="23"/>
      <c r="N94" s="447"/>
      <c r="O94" s="447"/>
      <c r="P94" s="23"/>
      <c r="Q94" s="445"/>
      <c r="R94" s="445">
        <v>1</v>
      </c>
      <c r="S94" s="447" t="s">
        <v>828</v>
      </c>
      <c r="T94" s="446" t="s">
        <v>301</v>
      </c>
      <c r="U94" s="494"/>
      <c r="V94" s="1418">
        <f t="shared" si="8"/>
        <v>0</v>
      </c>
      <c r="AB94" s="479"/>
    </row>
    <row r="95" spans="1:36" s="77" customFormat="1" ht="15" hidden="1" customHeight="1">
      <c r="A95" s="370"/>
      <c r="B95" s="755"/>
      <c r="C95" s="710" t="s">
        <v>1541</v>
      </c>
      <c r="D95" s="1949">
        <v>44501</v>
      </c>
      <c r="E95" s="1950"/>
      <c r="F95" s="1951"/>
      <c r="G95" s="1949">
        <v>44571</v>
      </c>
      <c r="H95" s="1950"/>
      <c r="I95" s="1951"/>
      <c r="J95" s="21">
        <f>G95-D95+2</f>
        <v>72</v>
      </c>
      <c r="K95" s="23"/>
      <c r="L95" s="23"/>
      <c r="M95" s="23"/>
      <c r="N95" s="447"/>
      <c r="O95" s="447"/>
      <c r="P95" s="23"/>
      <c r="Q95" s="445"/>
      <c r="R95" s="445">
        <v>2.3330000000000002</v>
      </c>
      <c r="S95" s="447" t="s">
        <v>828</v>
      </c>
      <c r="T95" s="446" t="s">
        <v>302</v>
      </c>
      <c r="U95" s="498"/>
      <c r="V95" s="1418">
        <f>V99</f>
        <v>0</v>
      </c>
      <c r="AB95" s="15"/>
    </row>
    <row r="96" spans="1:36" s="77" customFormat="1" ht="15" hidden="1" customHeight="1">
      <c r="A96" s="370"/>
      <c r="B96" s="755"/>
      <c r="C96" s="710" t="s">
        <v>1541</v>
      </c>
      <c r="D96" s="1949">
        <v>44571</v>
      </c>
      <c r="E96" s="1950"/>
      <c r="F96" s="1951"/>
      <c r="G96" s="1949">
        <v>44592</v>
      </c>
      <c r="H96" s="1950"/>
      <c r="I96" s="1951"/>
      <c r="J96" s="21">
        <f>G96-D96</f>
        <v>21</v>
      </c>
      <c r="K96" s="23"/>
      <c r="L96" s="23"/>
      <c r="M96" s="23"/>
      <c r="N96" s="447"/>
      <c r="O96" s="447"/>
      <c r="P96" s="23"/>
      <c r="Q96" s="445"/>
      <c r="R96" s="445">
        <v>0.66700000000000004</v>
      </c>
      <c r="S96" s="447" t="s">
        <v>828</v>
      </c>
      <c r="T96" s="446" t="s">
        <v>303</v>
      </c>
      <c r="U96" s="794"/>
      <c r="V96" s="1418">
        <f>V124</f>
        <v>0</v>
      </c>
      <c r="AB96" s="15"/>
    </row>
    <row r="97" spans="1:28" s="77" customFormat="1" ht="15" hidden="1" customHeight="1">
      <c r="A97" s="370"/>
      <c r="B97" s="755"/>
      <c r="C97" s="710" t="s">
        <v>1541</v>
      </c>
      <c r="D97" s="1949">
        <v>44593</v>
      </c>
      <c r="E97" s="1950"/>
      <c r="F97" s="1951"/>
      <c r="G97" s="1949">
        <v>44620</v>
      </c>
      <c r="H97" s="1950"/>
      <c r="I97" s="1951"/>
      <c r="J97" s="21">
        <f>DAY(DATE(YEAR(D97),MONTH(D97)+1,0))</f>
        <v>28</v>
      </c>
      <c r="K97" s="23"/>
      <c r="L97" s="23"/>
      <c r="M97" s="23"/>
      <c r="N97" s="447"/>
      <c r="O97" s="447"/>
      <c r="P97" s="23"/>
      <c r="Q97" s="445"/>
      <c r="R97" s="445">
        <v>1</v>
      </c>
      <c r="S97" s="447" t="s">
        <v>828</v>
      </c>
      <c r="T97" s="446" t="s">
        <v>304</v>
      </c>
      <c r="U97" s="794"/>
      <c r="V97" s="1418">
        <f>V99</f>
        <v>0</v>
      </c>
      <c r="AB97" s="15"/>
    </row>
    <row r="98" spans="1:28" s="77" customFormat="1" ht="15" hidden="1" customHeight="1">
      <c r="A98" s="370"/>
      <c r="B98" s="755"/>
      <c r="C98" s="710" t="s">
        <v>1541</v>
      </c>
      <c r="D98" s="1949">
        <v>44621</v>
      </c>
      <c r="E98" s="1950"/>
      <c r="F98" s="1951"/>
      <c r="G98" s="1949">
        <v>44651</v>
      </c>
      <c r="H98" s="1950"/>
      <c r="I98" s="1951"/>
      <c r="J98" s="21">
        <f>DAY(DATE(YEAR(D98),MONTH(D98)+1,0))</f>
        <v>31</v>
      </c>
      <c r="K98" s="23"/>
      <c r="L98" s="23"/>
      <c r="M98" s="23"/>
      <c r="N98" s="447"/>
      <c r="O98" s="447"/>
      <c r="P98" s="23"/>
      <c r="Q98" s="445"/>
      <c r="R98" s="445">
        <v>1</v>
      </c>
      <c r="S98" s="447" t="s">
        <v>828</v>
      </c>
      <c r="T98" s="446" t="s">
        <v>305</v>
      </c>
      <c r="U98" s="794"/>
      <c r="V98" s="1418">
        <f t="shared" si="8"/>
        <v>0</v>
      </c>
      <c r="AB98" s="15"/>
    </row>
    <row r="99" spans="1:28" s="77" customFormat="1" ht="15" hidden="1" customHeight="1">
      <c r="A99" s="370"/>
      <c r="B99" s="755"/>
      <c r="C99" s="710" t="s">
        <v>1541</v>
      </c>
      <c r="D99" s="1949">
        <v>44652</v>
      </c>
      <c r="E99" s="1950"/>
      <c r="F99" s="1951"/>
      <c r="G99" s="1949">
        <v>44712</v>
      </c>
      <c r="H99" s="1950"/>
      <c r="I99" s="1951"/>
      <c r="J99" s="21">
        <v>61</v>
      </c>
      <c r="K99" s="23"/>
      <c r="L99" s="23"/>
      <c r="M99" s="23"/>
      <c r="N99" s="447"/>
      <c r="O99" s="447"/>
      <c r="P99" s="23"/>
      <c r="Q99" s="445"/>
      <c r="R99" s="445">
        <v>2</v>
      </c>
      <c r="S99" s="447" t="s">
        <v>828</v>
      </c>
      <c r="T99" s="446" t="s">
        <v>56</v>
      </c>
      <c r="U99" s="794"/>
      <c r="V99" s="1418">
        <f t="shared" si="8"/>
        <v>0</v>
      </c>
      <c r="AB99" s="15"/>
    </row>
    <row r="100" spans="1:28" s="77" customFormat="1" ht="15" hidden="1" customHeight="1">
      <c r="A100" s="370"/>
      <c r="B100" s="755"/>
      <c r="C100" s="710" t="s">
        <v>1541</v>
      </c>
      <c r="D100" s="1949">
        <v>44713</v>
      </c>
      <c r="E100" s="1950"/>
      <c r="F100" s="1951"/>
      <c r="G100" s="1949">
        <v>44742</v>
      </c>
      <c r="H100" s="1950"/>
      <c r="I100" s="1951"/>
      <c r="J100" s="21">
        <f>DAY(DATE(YEAR(D100),MONTH(D100)+1,0))</f>
        <v>30</v>
      </c>
      <c r="K100" s="23"/>
      <c r="L100" s="23"/>
      <c r="M100" s="23"/>
      <c r="N100" s="447"/>
      <c r="O100" s="447"/>
      <c r="P100" s="23"/>
      <c r="Q100" s="445"/>
      <c r="R100" s="445">
        <v>1</v>
      </c>
      <c r="S100" s="447" t="s">
        <v>828</v>
      </c>
      <c r="T100" s="446" t="s">
        <v>306</v>
      </c>
      <c r="U100" s="794"/>
      <c r="V100" s="1418">
        <f t="shared" si="8"/>
        <v>0</v>
      </c>
      <c r="AB100" s="15"/>
    </row>
    <row r="101" spans="1:28" s="77" customFormat="1" ht="15" hidden="1" customHeight="1">
      <c r="A101" s="370"/>
      <c r="B101" s="755"/>
      <c r="C101" s="710" t="s">
        <v>1541</v>
      </c>
      <c r="D101" s="1949">
        <v>44743</v>
      </c>
      <c r="E101" s="1950"/>
      <c r="F101" s="1951"/>
      <c r="G101" s="1949">
        <v>44772</v>
      </c>
      <c r="H101" s="1950"/>
      <c r="I101" s="1951"/>
      <c r="J101" s="21">
        <f>DAY(DATE(YEAR(D101),MONTH(D101)+1,0))</f>
        <v>31</v>
      </c>
      <c r="K101" s="23"/>
      <c r="L101" s="23"/>
      <c r="M101" s="23"/>
      <c r="N101" s="447"/>
      <c r="O101" s="447"/>
      <c r="P101" s="23"/>
      <c r="Q101" s="445"/>
      <c r="R101" s="445">
        <v>1</v>
      </c>
      <c r="S101" s="447" t="s">
        <v>828</v>
      </c>
      <c r="T101" s="446" t="s">
        <v>307</v>
      </c>
      <c r="U101" s="794"/>
      <c r="V101" s="1418">
        <f t="shared" si="8"/>
        <v>0</v>
      </c>
      <c r="AB101" s="15"/>
    </row>
    <row r="102" spans="1:28" s="77" customFormat="1" ht="15" hidden="1" customHeight="1">
      <c r="A102" s="370"/>
      <c r="B102" s="755"/>
      <c r="C102" s="710" t="s">
        <v>1541</v>
      </c>
      <c r="D102" s="1949">
        <v>44774</v>
      </c>
      <c r="E102" s="1950"/>
      <c r="F102" s="1951"/>
      <c r="G102" s="1949">
        <v>44804</v>
      </c>
      <c r="H102" s="1950"/>
      <c r="I102" s="1951"/>
      <c r="J102" s="21">
        <f>DAY(DATE(YEAR(D102),MONTH(D102)+1,0))</f>
        <v>31</v>
      </c>
      <c r="K102" s="23"/>
      <c r="L102" s="23"/>
      <c r="M102" s="23"/>
      <c r="N102" s="447"/>
      <c r="O102" s="447"/>
      <c r="P102" s="23"/>
      <c r="Q102" s="445"/>
      <c r="R102" s="445">
        <v>1</v>
      </c>
      <c r="S102" s="447" t="s">
        <v>828</v>
      </c>
      <c r="T102" s="446" t="s">
        <v>308</v>
      </c>
      <c r="U102" s="794"/>
      <c r="V102" s="1418">
        <f t="shared" si="8"/>
        <v>0</v>
      </c>
      <c r="AB102" s="15"/>
    </row>
    <row r="103" spans="1:28" s="77" customFormat="1" ht="15" hidden="1" customHeight="1">
      <c r="A103" s="370"/>
      <c r="B103" s="755"/>
      <c r="C103" s="710" t="s">
        <v>1541</v>
      </c>
      <c r="D103" s="1949">
        <v>44805</v>
      </c>
      <c r="E103" s="1950"/>
      <c r="F103" s="1951"/>
      <c r="G103" s="1949">
        <v>44834</v>
      </c>
      <c r="H103" s="1950"/>
      <c r="I103" s="1951"/>
      <c r="J103" s="21">
        <f>DAY(DATE(YEAR(D103),MONTH(D103)+1,0))</f>
        <v>30</v>
      </c>
      <c r="K103" s="23"/>
      <c r="L103" s="23"/>
      <c r="M103" s="23"/>
      <c r="N103" s="447"/>
      <c r="O103" s="447"/>
      <c r="P103" s="23"/>
      <c r="Q103" s="445"/>
      <c r="R103" s="445">
        <v>1</v>
      </c>
      <c r="S103" s="447" t="s">
        <v>828</v>
      </c>
      <c r="T103" s="446" t="s">
        <v>309</v>
      </c>
      <c r="U103" s="794"/>
      <c r="V103" s="1418">
        <f t="shared" si="8"/>
        <v>0</v>
      </c>
      <c r="AB103" s="15"/>
    </row>
    <row r="104" spans="1:28" s="77" customFormat="1" ht="15" hidden="1" customHeight="1">
      <c r="A104" s="370"/>
      <c r="B104" s="755"/>
      <c r="C104" s="710" t="s">
        <v>1541</v>
      </c>
      <c r="D104" s="1949">
        <v>44835</v>
      </c>
      <c r="E104" s="1950"/>
      <c r="F104" s="1951"/>
      <c r="G104" s="1949">
        <v>44926</v>
      </c>
      <c r="H104" s="1950"/>
      <c r="I104" s="1951"/>
      <c r="J104" s="21">
        <v>92</v>
      </c>
      <c r="K104" s="23"/>
      <c r="L104" s="23"/>
      <c r="M104" s="23"/>
      <c r="N104" s="447"/>
      <c r="O104" s="447"/>
      <c r="P104" s="23"/>
      <c r="Q104" s="445"/>
      <c r="R104" s="445">
        <v>3</v>
      </c>
      <c r="S104" s="447" t="s">
        <v>828</v>
      </c>
      <c r="T104" s="446" t="s">
        <v>312</v>
      </c>
      <c r="U104" s="794"/>
      <c r="V104" s="1418">
        <f t="shared" si="8"/>
        <v>0</v>
      </c>
      <c r="AB104" s="15"/>
    </row>
    <row r="105" spans="1:28" s="77" customFormat="1" ht="15" hidden="1" customHeight="1">
      <c r="A105" s="370"/>
      <c r="B105" s="831"/>
      <c r="C105" s="710" t="s">
        <v>1541</v>
      </c>
      <c r="D105" s="1949">
        <v>44927</v>
      </c>
      <c r="E105" s="1950"/>
      <c r="F105" s="1951"/>
      <c r="G105" s="1949">
        <v>44957</v>
      </c>
      <c r="H105" s="1950"/>
      <c r="I105" s="1951"/>
      <c r="J105" s="21">
        <f>DAY(DATE(YEAR(D105),MONTH(D105)+1,0))</f>
        <v>31</v>
      </c>
      <c r="K105" s="23"/>
      <c r="L105" s="23"/>
      <c r="M105" s="23"/>
      <c r="N105" s="447"/>
      <c r="O105" s="447"/>
      <c r="P105" s="23"/>
      <c r="Q105" s="445"/>
      <c r="R105" s="445">
        <v>1</v>
      </c>
      <c r="S105" s="447" t="s">
        <v>828</v>
      </c>
      <c r="T105" s="446" t="s">
        <v>313</v>
      </c>
      <c r="U105" s="794"/>
      <c r="V105" s="1418">
        <f t="shared" si="8"/>
        <v>0</v>
      </c>
      <c r="AB105" s="15"/>
    </row>
    <row r="106" spans="1:28" s="77" customFormat="1" ht="15" hidden="1" customHeight="1">
      <c r="A106" s="370"/>
      <c r="B106" s="831"/>
      <c r="C106" s="710" t="s">
        <v>1541</v>
      </c>
      <c r="D106" s="1949">
        <v>44958</v>
      </c>
      <c r="E106" s="1950"/>
      <c r="F106" s="1951"/>
      <c r="G106" s="1949">
        <v>44985</v>
      </c>
      <c r="H106" s="1950"/>
      <c r="I106" s="1951"/>
      <c r="J106" s="21">
        <f>DAY(DATE(YEAR(D106),MONTH(D106)+1,0))</f>
        <v>28</v>
      </c>
      <c r="K106" s="23"/>
      <c r="L106" s="23"/>
      <c r="M106" s="23"/>
      <c r="N106" s="447"/>
      <c r="O106" s="447"/>
      <c r="P106" s="23"/>
      <c r="Q106" s="445"/>
      <c r="R106" s="445">
        <v>1</v>
      </c>
      <c r="S106" s="447" t="s">
        <v>828</v>
      </c>
      <c r="T106" s="446" t="s">
        <v>314</v>
      </c>
      <c r="U106" s="794"/>
      <c r="V106" s="1418">
        <f t="shared" si="8"/>
        <v>0</v>
      </c>
      <c r="AB106" s="15"/>
    </row>
    <row r="107" spans="1:28" s="77" customFormat="1" ht="15" hidden="1" customHeight="1">
      <c r="A107" s="370"/>
      <c r="B107" s="831"/>
      <c r="C107" s="960" t="s">
        <v>1541</v>
      </c>
      <c r="D107" s="1949">
        <v>44986</v>
      </c>
      <c r="E107" s="1950"/>
      <c r="F107" s="1951"/>
      <c r="G107" s="1949">
        <v>45016</v>
      </c>
      <c r="H107" s="1950"/>
      <c r="I107" s="1951"/>
      <c r="J107" s="832">
        <f>DAY(DATE(YEAR(D107),MONTH(D107)+1,0))</f>
        <v>31</v>
      </c>
      <c r="K107" s="833"/>
      <c r="L107" s="833"/>
      <c r="M107" s="833"/>
      <c r="N107" s="792"/>
      <c r="O107" s="792"/>
      <c r="P107" s="833"/>
      <c r="Q107" s="834"/>
      <c r="R107" s="834">
        <v>1</v>
      </c>
      <c r="S107" s="792" t="s">
        <v>828</v>
      </c>
      <c r="T107" s="835" t="s">
        <v>315</v>
      </c>
      <c r="U107" s="794"/>
      <c r="V107" s="1418">
        <f t="shared" si="8"/>
        <v>0</v>
      </c>
      <c r="AB107" s="15"/>
    </row>
    <row r="108" spans="1:28" s="77" customFormat="1" ht="15" hidden="1" customHeight="1">
      <c r="A108" s="370"/>
      <c r="B108" s="831"/>
      <c r="C108" s="960" t="s">
        <v>1541</v>
      </c>
      <c r="D108" s="2004">
        <v>45017</v>
      </c>
      <c r="E108" s="2005"/>
      <c r="F108" s="2006"/>
      <c r="G108" s="2004">
        <v>45046</v>
      </c>
      <c r="H108" s="2005"/>
      <c r="I108" s="2006"/>
      <c r="J108" s="832">
        <v>30</v>
      </c>
      <c r="K108" s="833"/>
      <c r="L108" s="833"/>
      <c r="M108" s="833"/>
      <c r="N108" s="792"/>
      <c r="O108" s="792"/>
      <c r="P108" s="833"/>
      <c r="Q108" s="834"/>
      <c r="R108" s="834">
        <v>1</v>
      </c>
      <c r="S108" s="792" t="s">
        <v>828</v>
      </c>
      <c r="T108" s="835" t="s">
        <v>316</v>
      </c>
      <c r="U108" s="794"/>
      <c r="V108" s="1418">
        <f t="shared" si="8"/>
        <v>0</v>
      </c>
      <c r="AB108" s="15"/>
    </row>
    <row r="109" spans="1:28" s="77" customFormat="1" ht="15" hidden="1" customHeight="1">
      <c r="A109" s="370"/>
      <c r="B109" s="831"/>
      <c r="C109" s="960" t="s">
        <v>1541</v>
      </c>
      <c r="D109" s="2004">
        <v>45047</v>
      </c>
      <c r="E109" s="2005"/>
      <c r="F109" s="2006"/>
      <c r="G109" s="2004">
        <v>45077</v>
      </c>
      <c r="H109" s="2005"/>
      <c r="I109" s="2006"/>
      <c r="J109" s="832">
        <v>31</v>
      </c>
      <c r="K109" s="833"/>
      <c r="L109" s="839"/>
      <c r="M109" s="837"/>
      <c r="N109" s="841"/>
      <c r="O109" s="841"/>
      <c r="P109" s="837"/>
      <c r="Q109" s="834"/>
      <c r="R109" s="834">
        <v>1</v>
      </c>
      <c r="S109" s="861" t="s">
        <v>828</v>
      </c>
      <c r="T109" s="1099" t="s">
        <v>317</v>
      </c>
      <c r="U109" s="794"/>
      <c r="V109" s="1418">
        <f t="shared" si="8"/>
        <v>0</v>
      </c>
      <c r="AB109" s="15"/>
    </row>
    <row r="110" spans="1:28" s="77" customFormat="1" ht="15" hidden="1" customHeight="1">
      <c r="A110" s="370"/>
      <c r="B110" s="831"/>
      <c r="C110" s="960" t="s">
        <v>1541</v>
      </c>
      <c r="D110" s="2004">
        <v>45078</v>
      </c>
      <c r="E110" s="2005"/>
      <c r="F110" s="2006"/>
      <c r="G110" s="2004">
        <v>45148</v>
      </c>
      <c r="H110" s="2005"/>
      <c r="I110" s="2006"/>
      <c r="J110" s="832">
        <v>71</v>
      </c>
      <c r="K110" s="833"/>
      <c r="L110" s="839"/>
      <c r="M110" s="837"/>
      <c r="N110" s="841"/>
      <c r="O110" s="841"/>
      <c r="P110" s="837"/>
      <c r="Q110" s="834"/>
      <c r="R110" s="834">
        <f>TRUNC(1+1+(10/31),3)</f>
        <v>2.3220000000000001</v>
      </c>
      <c r="S110" s="861" t="s">
        <v>828</v>
      </c>
      <c r="T110" s="1099" t="s">
        <v>318</v>
      </c>
      <c r="U110" s="794"/>
      <c r="V110" s="1418">
        <f t="shared" si="8"/>
        <v>0</v>
      </c>
      <c r="AB110" s="15"/>
    </row>
    <row r="111" spans="1:28" s="77" customFormat="1" ht="15" hidden="1">
      <c r="A111" s="370"/>
      <c r="B111" s="831"/>
      <c r="C111" s="960" t="s">
        <v>1541</v>
      </c>
      <c r="D111" s="2004">
        <v>45149</v>
      </c>
      <c r="E111" s="2005"/>
      <c r="F111" s="2006"/>
      <c r="G111" s="2004">
        <v>45169</v>
      </c>
      <c r="H111" s="2005"/>
      <c r="I111" s="2006"/>
      <c r="J111" s="832">
        <v>21</v>
      </c>
      <c r="K111" s="833"/>
      <c r="L111" s="839"/>
      <c r="M111" s="837"/>
      <c r="N111" s="841"/>
      <c r="O111" s="841"/>
      <c r="P111" s="837"/>
      <c r="Q111" s="834"/>
      <c r="R111" s="834">
        <v>0.67799999999999994</v>
      </c>
      <c r="S111" s="861" t="s">
        <v>828</v>
      </c>
      <c r="T111" s="1099" t="s">
        <v>319</v>
      </c>
      <c r="U111" s="794"/>
      <c r="V111" s="1418">
        <f t="shared" si="8"/>
        <v>0</v>
      </c>
      <c r="AB111" s="15"/>
    </row>
    <row r="112" spans="1:28" s="77" customFormat="1" ht="15" hidden="1">
      <c r="A112" s="370"/>
      <c r="B112" s="831"/>
      <c r="C112" s="960" t="s">
        <v>1541</v>
      </c>
      <c r="D112" s="2004">
        <v>45170</v>
      </c>
      <c r="E112" s="2005"/>
      <c r="F112" s="2006"/>
      <c r="G112" s="2004">
        <v>45199</v>
      </c>
      <c r="H112" s="2005"/>
      <c r="I112" s="2006"/>
      <c r="J112" s="832">
        <v>30</v>
      </c>
      <c r="K112" s="833"/>
      <c r="L112" s="839"/>
      <c r="M112" s="837"/>
      <c r="N112" s="841"/>
      <c r="O112" s="841"/>
      <c r="P112" s="837"/>
      <c r="Q112" s="834"/>
      <c r="R112" s="834">
        <v>1</v>
      </c>
      <c r="S112" s="861" t="s">
        <v>828</v>
      </c>
      <c r="T112" s="1099" t="s">
        <v>320</v>
      </c>
      <c r="U112" s="794"/>
      <c r="V112" s="1418">
        <f t="shared" si="8"/>
        <v>0</v>
      </c>
      <c r="AB112" s="15"/>
    </row>
    <row r="113" spans="1:36" s="77" customFormat="1" ht="15" hidden="1">
      <c r="A113" s="370"/>
      <c r="B113" s="831"/>
      <c r="C113" s="960" t="s">
        <v>1541</v>
      </c>
      <c r="D113" s="1949">
        <v>45200</v>
      </c>
      <c r="E113" s="1950"/>
      <c r="F113" s="1951"/>
      <c r="G113" s="1949">
        <v>45230</v>
      </c>
      <c r="H113" s="1950"/>
      <c r="I113" s="1951"/>
      <c r="J113" s="832">
        <v>31</v>
      </c>
      <c r="K113" s="833"/>
      <c r="L113" s="839"/>
      <c r="M113" s="837"/>
      <c r="N113" s="841"/>
      <c r="O113" s="841"/>
      <c r="P113" s="837"/>
      <c r="Q113" s="834"/>
      <c r="R113" s="834">
        <v>1</v>
      </c>
      <c r="S113" s="861" t="s">
        <v>828</v>
      </c>
      <c r="T113" s="1099" t="s">
        <v>321</v>
      </c>
      <c r="U113" s="794"/>
      <c r="V113" s="1418">
        <f t="shared" si="8"/>
        <v>0</v>
      </c>
      <c r="AB113" s="15"/>
    </row>
    <row r="114" spans="1:36" s="77" customFormat="1" ht="15" hidden="1">
      <c r="A114" s="370"/>
      <c r="B114" s="831"/>
      <c r="C114" s="960" t="s">
        <v>1541</v>
      </c>
      <c r="D114" s="1949">
        <v>45231</v>
      </c>
      <c r="E114" s="1950"/>
      <c r="F114" s="1951"/>
      <c r="G114" s="1949">
        <v>45260</v>
      </c>
      <c r="H114" s="1950"/>
      <c r="I114" s="1951"/>
      <c r="J114" s="832">
        <v>30</v>
      </c>
      <c r="K114" s="833"/>
      <c r="L114" s="839"/>
      <c r="M114" s="837"/>
      <c r="N114" s="841"/>
      <c r="O114" s="841"/>
      <c r="P114" s="837"/>
      <c r="Q114" s="834"/>
      <c r="R114" s="834">
        <v>1</v>
      </c>
      <c r="S114" s="861" t="s">
        <v>828</v>
      </c>
      <c r="T114" s="1099" t="s">
        <v>322</v>
      </c>
      <c r="U114" s="794"/>
      <c r="V114" s="1418">
        <f t="shared" si="8"/>
        <v>0</v>
      </c>
      <c r="AB114" s="15"/>
    </row>
    <row r="115" spans="1:36" s="77" customFormat="1" ht="15" hidden="1">
      <c r="A115" s="370"/>
      <c r="B115" s="831"/>
      <c r="C115" s="960" t="s">
        <v>1541</v>
      </c>
      <c r="D115" s="1949">
        <v>45261</v>
      </c>
      <c r="E115" s="1950"/>
      <c r="F115" s="1951"/>
      <c r="G115" s="1949">
        <v>45291</v>
      </c>
      <c r="H115" s="1950"/>
      <c r="I115" s="1951"/>
      <c r="J115" s="832">
        <v>31</v>
      </c>
      <c r="K115" s="833"/>
      <c r="L115" s="839"/>
      <c r="M115" s="837"/>
      <c r="N115" s="841"/>
      <c r="O115" s="841"/>
      <c r="P115" s="837"/>
      <c r="Q115" s="834"/>
      <c r="R115" s="834">
        <v>1</v>
      </c>
      <c r="S115" s="861" t="s">
        <v>828</v>
      </c>
      <c r="T115" s="1099" t="s">
        <v>323</v>
      </c>
      <c r="U115" s="794"/>
      <c r="V115" s="1418">
        <f t="shared" si="8"/>
        <v>0</v>
      </c>
      <c r="AB115" s="15"/>
    </row>
    <row r="116" spans="1:36" s="77" customFormat="1" ht="15" hidden="1">
      <c r="A116" s="370"/>
      <c r="B116" s="831"/>
      <c r="C116" s="960" t="s">
        <v>1541</v>
      </c>
      <c r="D116" s="1949">
        <v>45292</v>
      </c>
      <c r="E116" s="1950"/>
      <c r="F116" s="1951"/>
      <c r="G116" s="1949">
        <v>45321</v>
      </c>
      <c r="H116" s="1950"/>
      <c r="I116" s="1951"/>
      <c r="J116" s="832">
        <v>30</v>
      </c>
      <c r="K116" s="833"/>
      <c r="L116" s="839"/>
      <c r="M116" s="837"/>
      <c r="N116" s="841"/>
      <c r="O116" s="841"/>
      <c r="P116" s="837"/>
      <c r="Q116" s="834"/>
      <c r="R116" s="834">
        <v>1</v>
      </c>
      <c r="S116" s="861" t="s">
        <v>828</v>
      </c>
      <c r="T116" s="1099" t="s">
        <v>324</v>
      </c>
      <c r="U116" s="794"/>
      <c r="V116" s="1418">
        <f t="shared" si="8"/>
        <v>0</v>
      </c>
      <c r="AB116" s="15"/>
    </row>
    <row r="117" spans="1:36" s="77" customFormat="1" ht="15" hidden="1">
      <c r="A117" s="370"/>
      <c r="B117" s="831"/>
      <c r="C117" s="960" t="s">
        <v>1541</v>
      </c>
      <c r="D117" s="1949">
        <v>45323</v>
      </c>
      <c r="E117" s="1950"/>
      <c r="F117" s="1951"/>
      <c r="G117" s="1949">
        <v>45351</v>
      </c>
      <c r="H117" s="1950"/>
      <c r="I117" s="1951"/>
      <c r="J117" s="832">
        <v>29</v>
      </c>
      <c r="K117" s="833"/>
      <c r="L117" s="839"/>
      <c r="M117" s="837"/>
      <c r="N117" s="841"/>
      <c r="O117" s="841"/>
      <c r="P117" s="837"/>
      <c r="Q117" s="834"/>
      <c r="R117" s="834">
        <v>1</v>
      </c>
      <c r="S117" s="861" t="s">
        <v>828</v>
      </c>
      <c r="T117" s="1099" t="s">
        <v>325</v>
      </c>
      <c r="U117" s="794"/>
      <c r="V117" s="1418">
        <f t="shared" si="8"/>
        <v>0</v>
      </c>
      <c r="AB117" s="15"/>
    </row>
    <row r="118" spans="1:36" s="77" customFormat="1" ht="15" hidden="1">
      <c r="A118" s="370"/>
      <c r="B118" s="831"/>
      <c r="C118" s="960" t="s">
        <v>1541</v>
      </c>
      <c r="D118" s="1949">
        <v>45352</v>
      </c>
      <c r="E118" s="1950"/>
      <c r="F118" s="1951"/>
      <c r="G118" s="1949">
        <v>45382</v>
      </c>
      <c r="H118" s="1950"/>
      <c r="I118" s="1951"/>
      <c r="J118" s="832">
        <v>31</v>
      </c>
      <c r="K118" s="833"/>
      <c r="L118" s="839"/>
      <c r="M118" s="837"/>
      <c r="N118" s="841"/>
      <c r="O118" s="841"/>
      <c r="P118" s="837"/>
      <c r="Q118" s="834"/>
      <c r="R118" s="834">
        <v>1</v>
      </c>
      <c r="S118" s="861" t="s">
        <v>828</v>
      </c>
      <c r="T118" s="1099" t="s">
        <v>326</v>
      </c>
      <c r="U118" s="794"/>
      <c r="V118" s="1418">
        <f t="shared" si="8"/>
        <v>0</v>
      </c>
      <c r="AB118" s="15"/>
    </row>
    <row r="119" spans="1:36" s="77" customFormat="1" ht="15" hidden="1">
      <c r="A119" s="370"/>
      <c r="B119" s="831"/>
      <c r="C119" s="960" t="s">
        <v>1541</v>
      </c>
      <c r="D119" s="1949">
        <v>45383</v>
      </c>
      <c r="E119" s="1950"/>
      <c r="F119" s="1951"/>
      <c r="G119" s="1949">
        <v>45412</v>
      </c>
      <c r="H119" s="1950"/>
      <c r="I119" s="1951"/>
      <c r="J119" s="832">
        <v>30</v>
      </c>
      <c r="K119" s="833"/>
      <c r="L119" s="839"/>
      <c r="M119" s="837"/>
      <c r="N119" s="841"/>
      <c r="O119" s="841"/>
      <c r="P119" s="837"/>
      <c r="Q119" s="834"/>
      <c r="R119" s="834">
        <v>1</v>
      </c>
      <c r="S119" s="861" t="s">
        <v>828</v>
      </c>
      <c r="T119" s="1099" t="s">
        <v>327</v>
      </c>
      <c r="U119" s="794"/>
      <c r="V119" s="1418">
        <f>V123</f>
        <v>0</v>
      </c>
      <c r="AB119" s="15"/>
    </row>
    <row r="120" spans="1:36" s="77" customFormat="1" ht="15" hidden="1">
      <c r="A120" s="370"/>
      <c r="B120" s="831"/>
      <c r="C120" s="960" t="s">
        <v>1541</v>
      </c>
      <c r="D120" s="1949">
        <v>45413</v>
      </c>
      <c r="E120" s="1950"/>
      <c r="F120" s="1951"/>
      <c r="G120" s="1949">
        <v>45443</v>
      </c>
      <c r="H120" s="1950"/>
      <c r="I120" s="1951"/>
      <c r="J120" s="832">
        <v>31</v>
      </c>
      <c r="K120" s="833"/>
      <c r="L120" s="839"/>
      <c r="M120" s="837"/>
      <c r="N120" s="841"/>
      <c r="O120" s="841"/>
      <c r="P120" s="837"/>
      <c r="Q120" s="834"/>
      <c r="R120" s="834">
        <v>1</v>
      </c>
      <c r="S120" s="861" t="s">
        <v>828</v>
      </c>
      <c r="T120" s="1099" t="s">
        <v>328</v>
      </c>
      <c r="U120" s="794"/>
      <c r="V120" s="1418">
        <f t="shared" si="8"/>
        <v>0</v>
      </c>
      <c r="AB120" s="15"/>
    </row>
    <row r="121" spans="1:36" s="77" customFormat="1" ht="15" hidden="1">
      <c r="A121" s="370"/>
      <c r="B121" s="831"/>
      <c r="C121" s="1177" t="s">
        <v>1541</v>
      </c>
      <c r="D121" s="1952">
        <v>45444</v>
      </c>
      <c r="E121" s="1953"/>
      <c r="F121" s="1954"/>
      <c r="G121" s="1952">
        <v>45473</v>
      </c>
      <c r="H121" s="1953"/>
      <c r="I121" s="1954"/>
      <c r="J121" s="1235">
        <v>31</v>
      </c>
      <c r="K121" s="1237"/>
      <c r="L121" s="1250"/>
      <c r="M121" s="1236"/>
      <c r="N121" s="1245"/>
      <c r="O121" s="1245"/>
      <c r="P121" s="1236"/>
      <c r="Q121" s="1190"/>
      <c r="R121" s="1190">
        <v>1</v>
      </c>
      <c r="S121" s="1251" t="s">
        <v>828</v>
      </c>
      <c r="T121" s="1252" t="s">
        <v>330</v>
      </c>
      <c r="U121" s="794"/>
      <c r="V121" s="1418">
        <f t="shared" si="8"/>
        <v>0</v>
      </c>
      <c r="AB121" s="15"/>
    </row>
    <row r="122" spans="1:36" s="77" customFormat="1" ht="15" hidden="1">
      <c r="A122" s="370"/>
      <c r="B122" s="831"/>
      <c r="C122" s="1177" t="s">
        <v>1541</v>
      </c>
      <c r="D122" s="1952">
        <v>45474</v>
      </c>
      <c r="E122" s="1953"/>
      <c r="F122" s="1954"/>
      <c r="G122" s="1952">
        <v>45504</v>
      </c>
      <c r="H122" s="1953"/>
      <c r="I122" s="1954"/>
      <c r="J122" s="1235">
        <v>31</v>
      </c>
      <c r="K122" s="1237"/>
      <c r="L122" s="1250"/>
      <c r="M122" s="1236"/>
      <c r="N122" s="1245"/>
      <c r="O122" s="1245"/>
      <c r="P122" s="1236"/>
      <c r="Q122" s="1190"/>
      <c r="R122" s="1190">
        <v>1</v>
      </c>
      <c r="S122" s="1251" t="s">
        <v>828</v>
      </c>
      <c r="T122" s="1252" t="s">
        <v>330</v>
      </c>
      <c r="U122" s="794"/>
      <c r="V122" s="1418">
        <f t="shared" si="8"/>
        <v>0</v>
      </c>
      <c r="AB122" s="15"/>
    </row>
    <row r="123" spans="1:36" s="77" customFormat="1" ht="15" hidden="1" customHeight="1">
      <c r="A123" s="370"/>
      <c r="B123" s="766"/>
      <c r="C123" s="962" t="s">
        <v>1541</v>
      </c>
      <c r="D123" s="2073">
        <v>45505</v>
      </c>
      <c r="E123" s="2074"/>
      <c r="F123" s="2075"/>
      <c r="G123" s="2073">
        <v>45535</v>
      </c>
      <c r="H123" s="2074"/>
      <c r="I123" s="2075"/>
      <c r="J123" s="482">
        <f>G123-D123+1</f>
        <v>31</v>
      </c>
      <c r="K123" s="495"/>
      <c r="L123" s="743"/>
      <c r="M123" s="798"/>
      <c r="N123" s="744"/>
      <c r="O123" s="744"/>
      <c r="P123" s="798"/>
      <c r="Q123" s="497"/>
      <c r="R123" s="497">
        <v>1</v>
      </c>
      <c r="S123" s="745" t="s">
        <v>828</v>
      </c>
      <c r="T123" s="1101" t="s">
        <v>330</v>
      </c>
      <c r="U123" s="31"/>
      <c r="V123" s="1418">
        <f t="shared" si="8"/>
        <v>0</v>
      </c>
      <c r="AB123" s="15"/>
    </row>
    <row r="124" spans="1:36" s="77" customFormat="1" ht="15.6" hidden="1" customHeight="1">
      <c r="A124" s="370"/>
      <c r="B124" s="499"/>
      <c r="C124" s="500"/>
      <c r="D124" s="1929" t="s">
        <v>1520</v>
      </c>
      <c r="E124" s="1930"/>
      <c r="F124" s="1930"/>
      <c r="G124" s="1930"/>
      <c r="H124" s="1930"/>
      <c r="I124" s="1931"/>
      <c r="J124" s="1932">
        <f>VLOOKUP(A126,'11 - FINANCEIRA'!_xlnm.Print_Area,6,FALSE)</f>
        <v>38</v>
      </c>
      <c r="K124" s="1933"/>
      <c r="L124" s="483" t="str">
        <f>VLOOKUP(A126,'11 - FINANCEIRA'!_xlnm.Print_Area,4,FALSE)</f>
        <v>ms</v>
      </c>
      <c r="M124" s="1934" t="s">
        <v>1521</v>
      </c>
      <c r="N124" s="1935"/>
      <c r="O124" s="1935"/>
      <c r="P124" s="1935"/>
      <c r="Q124" s="1936"/>
      <c r="R124" s="484">
        <f>SUM(R91:R123)</f>
        <v>38</v>
      </c>
      <c r="S124" s="485" t="str">
        <f>L124</f>
        <v>ms</v>
      </c>
      <c r="T124" s="373"/>
      <c r="U124" s="486"/>
      <c r="V124" s="1418">
        <f t="shared" si="8"/>
        <v>0</v>
      </c>
      <c r="AB124" s="15"/>
    </row>
    <row r="125" spans="1:36" s="77" customFormat="1" ht="15.6" hidden="1">
      <c r="A125" s="370"/>
      <c r="B125" s="499"/>
      <c r="C125" s="725"/>
      <c r="D125" s="1937" t="s">
        <v>1522</v>
      </c>
      <c r="E125" s="1938"/>
      <c r="F125" s="1938"/>
      <c r="G125" s="1938"/>
      <c r="H125" s="1938"/>
      <c r="I125" s="1939"/>
      <c r="J125" s="1943">
        <f>R124/J124</f>
        <v>1</v>
      </c>
      <c r="K125" s="1944"/>
      <c r="L125" s="1947"/>
      <c r="M125" s="1934" t="s">
        <v>1523</v>
      </c>
      <c r="N125" s="1935"/>
      <c r="O125" s="1935"/>
      <c r="P125" s="1935"/>
      <c r="Q125" s="1936"/>
      <c r="R125" s="726">
        <f>VLOOKUP(A126,'11 - FINANCEIRA'!_xlnm.Print_Area,8,FALSE)</f>
        <v>38</v>
      </c>
      <c r="S125" s="727" t="str">
        <f>L124</f>
        <v>ms</v>
      </c>
      <c r="T125" s="373"/>
      <c r="U125" s="486"/>
      <c r="V125" s="1418">
        <f t="shared" si="8"/>
        <v>0</v>
      </c>
      <c r="AB125" s="15"/>
    </row>
    <row r="126" spans="1:36" s="77" customFormat="1" ht="15.6" hidden="1">
      <c r="A126" s="364" t="s">
        <v>355</v>
      </c>
      <c r="B126" s="499"/>
      <c r="C126" s="37"/>
      <c r="D126" s="2013"/>
      <c r="E126" s="2014"/>
      <c r="F126" s="2014"/>
      <c r="G126" s="2014"/>
      <c r="H126" s="2014"/>
      <c r="I126" s="2015"/>
      <c r="J126" s="2016"/>
      <c r="K126" s="2017"/>
      <c r="L126" s="1962"/>
      <c r="M126" s="2007" t="s">
        <v>1524</v>
      </c>
      <c r="N126" s="2008"/>
      <c r="O126" s="2008"/>
      <c r="P126" s="2008"/>
      <c r="Q126" s="2009"/>
      <c r="R126" s="1345">
        <f>R124-R125</f>
        <v>0</v>
      </c>
      <c r="S126" s="1346" t="str">
        <f>L124</f>
        <v>ms</v>
      </c>
      <c r="T126" s="373"/>
      <c r="U126" s="486"/>
      <c r="V126" s="1418">
        <f>R126</f>
        <v>0</v>
      </c>
      <c r="AB126" s="15"/>
    </row>
    <row r="127" spans="1:36" s="77" customFormat="1" ht="15.6" hidden="1">
      <c r="A127" s="370"/>
      <c r="B127" s="1347"/>
      <c r="C127" s="1348"/>
      <c r="D127" s="1349"/>
      <c r="E127" s="1350"/>
      <c r="F127" s="1349"/>
      <c r="G127" s="1349"/>
      <c r="H127" s="1349"/>
      <c r="I127" s="1349"/>
      <c r="J127" s="1351"/>
      <c r="K127" s="1352"/>
      <c r="L127" s="1353"/>
      <c r="M127" s="1354"/>
      <c r="N127" s="1354"/>
      <c r="O127" s="1354"/>
      <c r="P127" s="1354"/>
      <c r="Q127" s="1354"/>
      <c r="R127" s="1355"/>
      <c r="S127" s="1356"/>
      <c r="T127" s="1357"/>
      <c r="U127" s="1358"/>
      <c r="V127" s="1420">
        <f>SUM(V89:V126)</f>
        <v>0</v>
      </c>
      <c r="AB127" s="15"/>
    </row>
    <row r="128" spans="1:36" s="352" customFormat="1" ht="15.6" hidden="1">
      <c r="A128" s="351"/>
      <c r="B128" s="1963" t="str">
        <f>VLOOKUP(A165,'11 - FINANCEIRA'!_xlnm.Print_Area,1,FALSE)</f>
        <v>1.2.3</v>
      </c>
      <c r="C128" s="1965" t="str">
        <f>VLOOKUP(A165,'11 - FINANCEIRA'!_xlnm.Print_Area,3,FALSE)</f>
        <v>Aluguel mensal container sanitário, incl porta, básc, 2 ptos luz, 1 pto aterram., 3vasos, 3lavatórios, calha mictório, 6 chuveiros (1 eletrico), torn.,registros, piso comp. Naval pintado, cert NR18 e laudo descontaminação</v>
      </c>
      <c r="D128" s="1967" t="s">
        <v>205</v>
      </c>
      <c r="E128" s="1968"/>
      <c r="F128" s="1968"/>
      <c r="G128" s="1968"/>
      <c r="H128" s="1968"/>
      <c r="I128" s="1969"/>
      <c r="J128" s="1914" t="s">
        <v>145</v>
      </c>
      <c r="K128" s="1914" t="s">
        <v>1505</v>
      </c>
      <c r="L128" s="1914" t="s">
        <v>1506</v>
      </c>
      <c r="M128" s="1914" t="s">
        <v>1507</v>
      </c>
      <c r="N128" s="1914" t="s">
        <v>1508</v>
      </c>
      <c r="O128" s="1914" t="s">
        <v>1509</v>
      </c>
      <c r="P128" s="1341" t="s">
        <v>1510</v>
      </c>
      <c r="Q128" s="1914" t="s">
        <v>1493</v>
      </c>
      <c r="R128" s="1916" t="s">
        <v>804</v>
      </c>
      <c r="S128" s="1914" t="s">
        <v>1511</v>
      </c>
      <c r="T128" s="1914" t="s">
        <v>1512</v>
      </c>
      <c r="U128" s="1918" t="s">
        <v>1513</v>
      </c>
      <c r="V128" s="1418">
        <f t="shared" ref="V128:V164" si="9">V129</f>
        <v>0</v>
      </c>
      <c r="W128" s="16"/>
      <c r="X128" s="16"/>
      <c r="Y128" s="16"/>
      <c r="Z128" s="17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</row>
    <row r="129" spans="1:36" s="352" customFormat="1" ht="15.6" hidden="1">
      <c r="A129" s="351"/>
      <c r="B129" s="1964" t="e">
        <f>LEFT(#REF!,5)</f>
        <v>#REF!</v>
      </c>
      <c r="C129" s="1966" t="e">
        <f>VLOOKUP(LEFT(#REF!,5),'11 - FINANCEIRA'!_xlnm.Print_Area,2,FALSE)</f>
        <v>#REF!</v>
      </c>
      <c r="D129" s="1920" t="s">
        <v>1514</v>
      </c>
      <c r="E129" s="1921"/>
      <c r="F129" s="1922"/>
      <c r="G129" s="1923" t="s">
        <v>1515</v>
      </c>
      <c r="H129" s="1924"/>
      <c r="I129" s="1925"/>
      <c r="J129" s="1915"/>
      <c r="K129" s="1915"/>
      <c r="L129" s="1915"/>
      <c r="M129" s="1915"/>
      <c r="N129" s="1915"/>
      <c r="O129" s="1915"/>
      <c r="P129" s="353" t="s">
        <v>1516</v>
      </c>
      <c r="Q129" s="1915"/>
      <c r="R129" s="1917"/>
      <c r="S129" s="1915"/>
      <c r="T129" s="1915"/>
      <c r="U129" s="1919"/>
      <c r="V129" s="1418">
        <f t="shared" si="9"/>
        <v>0</v>
      </c>
      <c r="W129" s="16"/>
      <c r="X129" s="16"/>
      <c r="Y129" s="16"/>
      <c r="Z129" s="17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</row>
    <row r="130" spans="1:36" s="361" customFormat="1" ht="15" hidden="1" customHeight="1">
      <c r="A130" s="354"/>
      <c r="B130" s="535"/>
      <c r="C130" s="28" t="s">
        <v>1542</v>
      </c>
      <c r="D130" s="2068">
        <v>44378</v>
      </c>
      <c r="E130" s="2069"/>
      <c r="F130" s="2070"/>
      <c r="G130" s="2068">
        <v>44408</v>
      </c>
      <c r="H130" s="2069"/>
      <c r="I130" s="2070"/>
      <c r="J130" s="21">
        <f>DAY(DATE(YEAR(D130),MONTH(D130)+1,0))</f>
        <v>31</v>
      </c>
      <c r="K130" s="654"/>
      <c r="L130" s="654"/>
      <c r="M130" s="654"/>
      <c r="N130" s="654"/>
      <c r="O130" s="558"/>
      <c r="P130" s="654"/>
      <c r="Q130" s="559"/>
      <c r="R130" s="489">
        <v>1</v>
      </c>
      <c r="S130" s="488" t="s">
        <v>828</v>
      </c>
      <c r="T130" s="490" t="s">
        <v>298</v>
      </c>
      <c r="U130" s="491"/>
      <c r="V130" s="1419">
        <f t="shared" si="9"/>
        <v>0</v>
      </c>
      <c r="W130" s="357"/>
      <c r="X130" s="357"/>
      <c r="Y130" s="357"/>
      <c r="Z130" s="358"/>
      <c r="AA130" s="359"/>
      <c r="AB130" s="360"/>
    </row>
    <row r="131" spans="1:36" s="361" customFormat="1" ht="15" hidden="1" customHeight="1">
      <c r="A131" s="354"/>
      <c r="B131" s="755"/>
      <c r="C131" s="710" t="s">
        <v>1542</v>
      </c>
      <c r="D131" s="1949">
        <v>44409</v>
      </c>
      <c r="E131" s="1950"/>
      <c r="F131" s="1951"/>
      <c r="G131" s="1960">
        <v>44439</v>
      </c>
      <c r="H131" s="1960"/>
      <c r="I131" s="1960"/>
      <c r="J131" s="21">
        <f>DAY(DATE(YEAR(D131),MONTH(D131)+1,0))</f>
        <v>31</v>
      </c>
      <c r="K131" s="23"/>
      <c r="L131" s="23"/>
      <c r="M131" s="23"/>
      <c r="N131" s="23"/>
      <c r="O131" s="447"/>
      <c r="P131" s="23"/>
      <c r="Q131" s="445"/>
      <c r="R131" s="445">
        <v>1</v>
      </c>
      <c r="S131" s="447" t="s">
        <v>828</v>
      </c>
      <c r="T131" s="446" t="s">
        <v>299</v>
      </c>
      <c r="U131" s="44"/>
      <c r="V131" s="1418">
        <f t="shared" si="9"/>
        <v>0</v>
      </c>
      <c r="W131" s="357"/>
      <c r="X131" s="357"/>
      <c r="Y131" s="357"/>
      <c r="Z131" s="358"/>
      <c r="AA131" s="359"/>
      <c r="AB131" s="360"/>
    </row>
    <row r="132" spans="1:36" s="369" customFormat="1" ht="15" hidden="1" customHeight="1">
      <c r="A132" s="364"/>
      <c r="B132" s="755"/>
      <c r="C132" s="710" t="s">
        <v>1542</v>
      </c>
      <c r="D132" s="1949">
        <v>44440</v>
      </c>
      <c r="E132" s="1950"/>
      <c r="F132" s="1951"/>
      <c r="G132" s="1949">
        <v>44469</v>
      </c>
      <c r="H132" s="1950"/>
      <c r="I132" s="1951"/>
      <c r="J132" s="21">
        <f>DAY(DATE(YEAR(D132),MONTH(D132)+1,0))</f>
        <v>30</v>
      </c>
      <c r="K132" s="23"/>
      <c r="L132" s="23"/>
      <c r="M132" s="23"/>
      <c r="N132" s="447"/>
      <c r="O132" s="447"/>
      <c r="P132" s="23"/>
      <c r="Q132" s="445"/>
      <c r="R132" s="445">
        <v>1</v>
      </c>
      <c r="S132" s="447" t="s">
        <v>828</v>
      </c>
      <c r="T132" s="446" t="s">
        <v>300</v>
      </c>
      <c r="U132" s="44"/>
      <c r="V132" s="1418">
        <f>V133</f>
        <v>0</v>
      </c>
      <c r="W132" s="367"/>
      <c r="X132" s="367"/>
      <c r="Y132" s="367"/>
      <c r="Z132" s="368"/>
    </row>
    <row r="133" spans="1:36" s="478" customFormat="1" ht="15" hidden="1" customHeight="1">
      <c r="A133" s="465"/>
      <c r="B133" s="755"/>
      <c r="C133" s="710" t="s">
        <v>1542</v>
      </c>
      <c r="D133" s="1949">
        <v>44470</v>
      </c>
      <c r="E133" s="1950"/>
      <c r="F133" s="1951"/>
      <c r="G133" s="1949">
        <v>44500</v>
      </c>
      <c r="H133" s="1950"/>
      <c r="I133" s="1951"/>
      <c r="J133" s="21">
        <f>DAY(DATE(YEAR(D133),MONTH(D133)+1,0))</f>
        <v>31</v>
      </c>
      <c r="K133" s="23"/>
      <c r="L133" s="23"/>
      <c r="M133" s="23"/>
      <c r="N133" s="447"/>
      <c r="O133" s="447"/>
      <c r="P133" s="23"/>
      <c r="Q133" s="445"/>
      <c r="R133" s="445">
        <v>1</v>
      </c>
      <c r="S133" s="447" t="s">
        <v>828</v>
      </c>
      <c r="T133" s="446" t="s">
        <v>301</v>
      </c>
      <c r="U133" s="494"/>
      <c r="V133" s="1418">
        <f>V134</f>
        <v>0</v>
      </c>
      <c r="AB133" s="479"/>
    </row>
    <row r="134" spans="1:36" s="77" customFormat="1" ht="15" hidden="1" customHeight="1">
      <c r="A134" s="370"/>
      <c r="B134" s="755"/>
      <c r="C134" s="710" t="s">
        <v>1542</v>
      </c>
      <c r="D134" s="1949">
        <v>44501</v>
      </c>
      <c r="E134" s="1950"/>
      <c r="F134" s="1951"/>
      <c r="G134" s="1949">
        <v>44571</v>
      </c>
      <c r="H134" s="1950"/>
      <c r="I134" s="1951"/>
      <c r="J134" s="21">
        <f>G134-D134+2</f>
        <v>72</v>
      </c>
      <c r="K134" s="23"/>
      <c r="L134" s="23"/>
      <c r="M134" s="23"/>
      <c r="N134" s="447"/>
      <c r="O134" s="447"/>
      <c r="P134" s="23"/>
      <c r="Q134" s="445"/>
      <c r="R134" s="445">
        <v>2.3330000000000002</v>
      </c>
      <c r="S134" s="447" t="s">
        <v>828</v>
      </c>
      <c r="T134" s="446" t="s">
        <v>302</v>
      </c>
      <c r="U134" s="498"/>
      <c r="V134" s="1418">
        <f>V138</f>
        <v>0</v>
      </c>
      <c r="AB134" s="15"/>
    </row>
    <row r="135" spans="1:36" s="77" customFormat="1" ht="15" hidden="1" customHeight="1">
      <c r="A135" s="370"/>
      <c r="B135" s="755"/>
      <c r="C135" s="710" t="s">
        <v>1542</v>
      </c>
      <c r="D135" s="1949">
        <v>44571</v>
      </c>
      <c r="E135" s="1950"/>
      <c r="F135" s="1951"/>
      <c r="G135" s="1949">
        <v>44592</v>
      </c>
      <c r="H135" s="1950"/>
      <c r="I135" s="1951"/>
      <c r="J135" s="21">
        <f>G135-D135</f>
        <v>21</v>
      </c>
      <c r="K135" s="23"/>
      <c r="L135" s="23"/>
      <c r="M135" s="23"/>
      <c r="N135" s="447"/>
      <c r="O135" s="447"/>
      <c r="P135" s="23"/>
      <c r="Q135" s="445"/>
      <c r="R135" s="445">
        <v>0.66700000000000004</v>
      </c>
      <c r="S135" s="447" t="s">
        <v>828</v>
      </c>
      <c r="T135" s="446" t="s">
        <v>303</v>
      </c>
      <c r="U135" s="794"/>
      <c r="V135" s="1418">
        <f>V163</f>
        <v>0</v>
      </c>
      <c r="AB135" s="15"/>
    </row>
    <row r="136" spans="1:36" s="77" customFormat="1" ht="15" hidden="1" customHeight="1">
      <c r="A136" s="370"/>
      <c r="B136" s="755"/>
      <c r="C136" s="710" t="s">
        <v>1542</v>
      </c>
      <c r="D136" s="1949">
        <v>44593</v>
      </c>
      <c r="E136" s="1950"/>
      <c r="F136" s="1951"/>
      <c r="G136" s="1949">
        <v>44620</v>
      </c>
      <c r="H136" s="1950"/>
      <c r="I136" s="1951"/>
      <c r="J136" s="21">
        <f>DAY(DATE(YEAR(D136),MONTH(D136)+1,0))</f>
        <v>28</v>
      </c>
      <c r="K136" s="23"/>
      <c r="L136" s="23"/>
      <c r="M136" s="23"/>
      <c r="N136" s="447"/>
      <c r="O136" s="447"/>
      <c r="P136" s="23"/>
      <c r="Q136" s="445"/>
      <c r="R136" s="445">
        <v>1</v>
      </c>
      <c r="S136" s="447" t="s">
        <v>828</v>
      </c>
      <c r="T136" s="446" t="s">
        <v>304</v>
      </c>
      <c r="U136" s="794"/>
      <c r="V136" s="1418">
        <f>V138</f>
        <v>0</v>
      </c>
      <c r="AB136" s="15"/>
    </row>
    <row r="137" spans="1:36" s="77" customFormat="1" ht="15" hidden="1" customHeight="1">
      <c r="A137" s="370"/>
      <c r="B137" s="755"/>
      <c r="C137" s="710" t="s">
        <v>1542</v>
      </c>
      <c r="D137" s="1949">
        <v>44621</v>
      </c>
      <c r="E137" s="1950"/>
      <c r="F137" s="1951"/>
      <c r="G137" s="1949">
        <v>44651</v>
      </c>
      <c r="H137" s="1950"/>
      <c r="I137" s="1951"/>
      <c r="J137" s="21">
        <f>DAY(DATE(YEAR(D137),MONTH(D137)+1,0))</f>
        <v>31</v>
      </c>
      <c r="K137" s="23"/>
      <c r="L137" s="23"/>
      <c r="M137" s="23"/>
      <c r="N137" s="447"/>
      <c r="O137" s="447"/>
      <c r="P137" s="23"/>
      <c r="Q137" s="445"/>
      <c r="R137" s="445">
        <v>1</v>
      </c>
      <c r="S137" s="447" t="s">
        <v>828</v>
      </c>
      <c r="T137" s="446" t="s">
        <v>305</v>
      </c>
      <c r="U137" s="794"/>
      <c r="V137" s="1418">
        <f>V138</f>
        <v>0</v>
      </c>
      <c r="AB137" s="15"/>
    </row>
    <row r="138" spans="1:36" s="77" customFormat="1" ht="15" hidden="1" customHeight="1">
      <c r="A138" s="370"/>
      <c r="B138" s="755"/>
      <c r="C138" s="710" t="s">
        <v>1542</v>
      </c>
      <c r="D138" s="1949">
        <v>44652</v>
      </c>
      <c r="E138" s="1950"/>
      <c r="F138" s="1951"/>
      <c r="G138" s="1949">
        <v>44712</v>
      </c>
      <c r="H138" s="1950"/>
      <c r="I138" s="1951"/>
      <c r="J138" s="21">
        <v>61</v>
      </c>
      <c r="K138" s="23"/>
      <c r="L138" s="23"/>
      <c r="M138" s="23"/>
      <c r="N138" s="447"/>
      <c r="O138" s="447"/>
      <c r="P138" s="23"/>
      <c r="Q138" s="445"/>
      <c r="R138" s="445">
        <v>2</v>
      </c>
      <c r="S138" s="447" t="s">
        <v>828</v>
      </c>
      <c r="T138" s="446" t="s">
        <v>56</v>
      </c>
      <c r="U138" s="794"/>
      <c r="V138" s="1418">
        <f t="shared" si="9"/>
        <v>0</v>
      </c>
      <c r="AB138" s="15"/>
    </row>
    <row r="139" spans="1:36" s="77" customFormat="1" ht="15" hidden="1" customHeight="1">
      <c r="A139" s="370"/>
      <c r="B139" s="755"/>
      <c r="C139" s="710" t="s">
        <v>1542</v>
      </c>
      <c r="D139" s="1949">
        <v>44713</v>
      </c>
      <c r="E139" s="1950"/>
      <c r="F139" s="1951"/>
      <c r="G139" s="1949">
        <v>44742</v>
      </c>
      <c r="H139" s="1950"/>
      <c r="I139" s="1951"/>
      <c r="J139" s="21">
        <f>DAY(DATE(YEAR(D139),MONTH(D139)+1,0))</f>
        <v>30</v>
      </c>
      <c r="K139" s="23"/>
      <c r="L139" s="23"/>
      <c r="M139" s="23"/>
      <c r="N139" s="447"/>
      <c r="O139" s="447"/>
      <c r="P139" s="23"/>
      <c r="Q139" s="445"/>
      <c r="R139" s="445">
        <v>1</v>
      </c>
      <c r="S139" s="447" t="s">
        <v>828</v>
      </c>
      <c r="T139" s="446" t="s">
        <v>306</v>
      </c>
      <c r="U139" s="794"/>
      <c r="V139" s="1418">
        <f t="shared" si="9"/>
        <v>0</v>
      </c>
      <c r="AB139" s="15"/>
    </row>
    <row r="140" spans="1:36" s="77" customFormat="1" ht="15" hidden="1" customHeight="1">
      <c r="A140" s="370"/>
      <c r="B140" s="755"/>
      <c r="C140" s="710" t="s">
        <v>1542</v>
      </c>
      <c r="D140" s="1949">
        <v>44743</v>
      </c>
      <c r="E140" s="1950"/>
      <c r="F140" s="1951"/>
      <c r="G140" s="1949">
        <v>44773</v>
      </c>
      <c r="H140" s="1950"/>
      <c r="I140" s="1951"/>
      <c r="J140" s="21">
        <f>DAY(DATE(YEAR(D140),MONTH(D140)+1,0))</f>
        <v>31</v>
      </c>
      <c r="K140" s="23"/>
      <c r="L140" s="23"/>
      <c r="M140" s="23"/>
      <c r="N140" s="447"/>
      <c r="O140" s="447"/>
      <c r="P140" s="23"/>
      <c r="Q140" s="445"/>
      <c r="R140" s="445">
        <v>1</v>
      </c>
      <c r="S140" s="447" t="s">
        <v>828</v>
      </c>
      <c r="T140" s="446" t="s">
        <v>307</v>
      </c>
      <c r="U140" s="794"/>
      <c r="V140" s="1418">
        <f t="shared" si="9"/>
        <v>0</v>
      </c>
      <c r="AB140" s="15"/>
    </row>
    <row r="141" spans="1:36" s="77" customFormat="1" ht="15" hidden="1" customHeight="1">
      <c r="A141" s="370"/>
      <c r="B141" s="755"/>
      <c r="C141" s="710" t="s">
        <v>1542</v>
      </c>
      <c r="D141" s="1949">
        <v>44774</v>
      </c>
      <c r="E141" s="1950"/>
      <c r="F141" s="1951"/>
      <c r="G141" s="1949">
        <v>44804</v>
      </c>
      <c r="H141" s="1950"/>
      <c r="I141" s="1951"/>
      <c r="J141" s="21">
        <f>DAY(DATE(YEAR(D141),MONTH(D141)+1,0))</f>
        <v>31</v>
      </c>
      <c r="K141" s="23"/>
      <c r="L141" s="23"/>
      <c r="M141" s="23"/>
      <c r="N141" s="447"/>
      <c r="O141" s="447"/>
      <c r="P141" s="23"/>
      <c r="Q141" s="445"/>
      <c r="R141" s="445">
        <v>1</v>
      </c>
      <c r="S141" s="447" t="s">
        <v>828</v>
      </c>
      <c r="T141" s="446" t="s">
        <v>308</v>
      </c>
      <c r="U141" s="794"/>
      <c r="V141" s="1418">
        <f t="shared" si="9"/>
        <v>0</v>
      </c>
      <c r="AB141" s="15"/>
    </row>
    <row r="142" spans="1:36" s="77" customFormat="1" ht="15" hidden="1" customHeight="1">
      <c r="A142" s="370"/>
      <c r="B142" s="755"/>
      <c r="C142" s="710" t="s">
        <v>1542</v>
      </c>
      <c r="D142" s="1949">
        <v>44805</v>
      </c>
      <c r="E142" s="1950"/>
      <c r="F142" s="1951"/>
      <c r="G142" s="1949">
        <v>44834</v>
      </c>
      <c r="H142" s="1950"/>
      <c r="I142" s="1951"/>
      <c r="J142" s="21">
        <f>DAY(DATE(YEAR(D142),MONTH(D142)+1,0))</f>
        <v>30</v>
      </c>
      <c r="K142" s="23"/>
      <c r="L142" s="23"/>
      <c r="M142" s="23"/>
      <c r="N142" s="447"/>
      <c r="O142" s="447"/>
      <c r="P142" s="23"/>
      <c r="Q142" s="445"/>
      <c r="R142" s="445">
        <v>1</v>
      </c>
      <c r="S142" s="447" t="s">
        <v>828</v>
      </c>
      <c r="T142" s="446" t="s">
        <v>309</v>
      </c>
      <c r="U142" s="794"/>
      <c r="V142" s="1418">
        <f t="shared" si="9"/>
        <v>0</v>
      </c>
      <c r="AB142" s="15"/>
    </row>
    <row r="143" spans="1:36" s="77" customFormat="1" ht="15" hidden="1" customHeight="1">
      <c r="A143" s="370"/>
      <c r="B143" s="755"/>
      <c r="C143" s="710" t="s">
        <v>1542</v>
      </c>
      <c r="D143" s="1949">
        <v>44835</v>
      </c>
      <c r="E143" s="1950"/>
      <c r="F143" s="1951"/>
      <c r="G143" s="1949">
        <v>44926</v>
      </c>
      <c r="H143" s="1950"/>
      <c r="I143" s="1951"/>
      <c r="J143" s="21">
        <v>92</v>
      </c>
      <c r="K143" s="23"/>
      <c r="L143" s="23"/>
      <c r="M143" s="23"/>
      <c r="N143" s="447"/>
      <c r="O143" s="447"/>
      <c r="P143" s="23"/>
      <c r="Q143" s="445"/>
      <c r="R143" s="445">
        <v>3</v>
      </c>
      <c r="S143" s="447" t="s">
        <v>828</v>
      </c>
      <c r="T143" s="446" t="s">
        <v>312</v>
      </c>
      <c r="U143" s="794"/>
      <c r="V143" s="1418">
        <f t="shared" si="9"/>
        <v>0</v>
      </c>
      <c r="AB143" s="15"/>
    </row>
    <row r="144" spans="1:36" s="77" customFormat="1" ht="15" hidden="1" customHeight="1">
      <c r="A144" s="370"/>
      <c r="B144" s="831"/>
      <c r="C144" s="710" t="s">
        <v>1542</v>
      </c>
      <c r="D144" s="1949">
        <v>44927</v>
      </c>
      <c r="E144" s="1950"/>
      <c r="F144" s="1951"/>
      <c r="G144" s="1949">
        <v>44957</v>
      </c>
      <c r="H144" s="1950"/>
      <c r="I144" s="1951"/>
      <c r="J144" s="21">
        <f>DAY(DATE(YEAR(D144),MONTH(D144)+1,0))</f>
        <v>31</v>
      </c>
      <c r="K144" s="23"/>
      <c r="L144" s="23"/>
      <c r="M144" s="23"/>
      <c r="N144" s="447"/>
      <c r="O144" s="447"/>
      <c r="P144" s="23"/>
      <c r="Q144" s="445"/>
      <c r="R144" s="445">
        <v>1</v>
      </c>
      <c r="S144" s="447" t="s">
        <v>828</v>
      </c>
      <c r="T144" s="446" t="s">
        <v>313</v>
      </c>
      <c r="U144" s="794"/>
      <c r="V144" s="1418">
        <f t="shared" si="9"/>
        <v>0</v>
      </c>
      <c r="AB144" s="15"/>
    </row>
    <row r="145" spans="1:28" s="77" customFormat="1" ht="15" hidden="1" customHeight="1">
      <c r="A145" s="370"/>
      <c r="B145" s="831"/>
      <c r="C145" s="710" t="s">
        <v>1542</v>
      </c>
      <c r="D145" s="1949">
        <v>44958</v>
      </c>
      <c r="E145" s="1950"/>
      <c r="F145" s="1951"/>
      <c r="G145" s="1949">
        <v>44985</v>
      </c>
      <c r="H145" s="1950"/>
      <c r="I145" s="1951"/>
      <c r="J145" s="21">
        <f>DAY(DATE(YEAR(D145),MONTH(D145)+1,0))</f>
        <v>28</v>
      </c>
      <c r="K145" s="23"/>
      <c r="L145" s="23"/>
      <c r="M145" s="23"/>
      <c r="N145" s="447"/>
      <c r="O145" s="447"/>
      <c r="P145" s="23"/>
      <c r="Q145" s="445"/>
      <c r="R145" s="445">
        <v>1</v>
      </c>
      <c r="S145" s="447" t="s">
        <v>828</v>
      </c>
      <c r="T145" s="446" t="s">
        <v>314</v>
      </c>
      <c r="U145" s="794"/>
      <c r="V145" s="1418">
        <f t="shared" si="9"/>
        <v>0</v>
      </c>
      <c r="AB145" s="15"/>
    </row>
    <row r="146" spans="1:28" s="77" customFormat="1" ht="15" hidden="1" customHeight="1">
      <c r="A146" s="370"/>
      <c r="B146" s="831"/>
      <c r="C146" s="960" t="s">
        <v>1542</v>
      </c>
      <c r="D146" s="1949">
        <v>44986</v>
      </c>
      <c r="E146" s="1950"/>
      <c r="F146" s="1951"/>
      <c r="G146" s="1949">
        <v>45016</v>
      </c>
      <c r="H146" s="1950"/>
      <c r="I146" s="1951"/>
      <c r="J146" s="832">
        <v>31</v>
      </c>
      <c r="K146" s="833"/>
      <c r="L146" s="833"/>
      <c r="M146" s="833"/>
      <c r="N146" s="792"/>
      <c r="O146" s="792"/>
      <c r="P146" s="833"/>
      <c r="Q146" s="834"/>
      <c r="R146" s="834">
        <v>1</v>
      </c>
      <c r="S146" s="792" t="s">
        <v>828</v>
      </c>
      <c r="T146" s="835" t="s">
        <v>315</v>
      </c>
      <c r="U146" s="794"/>
      <c r="V146" s="1418">
        <f t="shared" si="9"/>
        <v>0</v>
      </c>
      <c r="AB146" s="15"/>
    </row>
    <row r="147" spans="1:28" s="77" customFormat="1" ht="15" hidden="1" customHeight="1">
      <c r="A147" s="370"/>
      <c r="B147" s="831"/>
      <c r="C147" s="960" t="s">
        <v>1542</v>
      </c>
      <c r="D147" s="2004">
        <v>45017</v>
      </c>
      <c r="E147" s="2005"/>
      <c r="F147" s="2006"/>
      <c r="G147" s="2004">
        <v>45046</v>
      </c>
      <c r="H147" s="2005"/>
      <c r="I147" s="2006"/>
      <c r="J147" s="832">
        <f>DAY(DATE(YEAR(D147),MONTH(D147)+1,0))</f>
        <v>30</v>
      </c>
      <c r="K147" s="833"/>
      <c r="L147" s="833"/>
      <c r="M147" s="833"/>
      <c r="N147" s="792"/>
      <c r="O147" s="792"/>
      <c r="P147" s="833"/>
      <c r="Q147" s="834"/>
      <c r="R147" s="834">
        <v>1</v>
      </c>
      <c r="S147" s="792" t="s">
        <v>828</v>
      </c>
      <c r="T147" s="835" t="s">
        <v>316</v>
      </c>
      <c r="U147" s="794"/>
      <c r="V147" s="1418">
        <f t="shared" si="9"/>
        <v>0</v>
      </c>
      <c r="AB147" s="15"/>
    </row>
    <row r="148" spans="1:28" s="77" customFormat="1" ht="15" hidden="1" customHeight="1">
      <c r="A148" s="370"/>
      <c r="B148" s="831"/>
      <c r="C148" s="960" t="s">
        <v>1542</v>
      </c>
      <c r="D148" s="2004">
        <v>45047</v>
      </c>
      <c r="E148" s="2005"/>
      <c r="F148" s="2006"/>
      <c r="G148" s="2004">
        <v>45077</v>
      </c>
      <c r="H148" s="2005"/>
      <c r="I148" s="2006"/>
      <c r="J148" s="832">
        <v>31</v>
      </c>
      <c r="K148" s="833"/>
      <c r="L148" s="839"/>
      <c r="M148" s="837"/>
      <c r="N148" s="841"/>
      <c r="O148" s="841"/>
      <c r="P148" s="837"/>
      <c r="Q148" s="834"/>
      <c r="R148" s="834">
        <v>1</v>
      </c>
      <c r="S148" s="861" t="s">
        <v>828</v>
      </c>
      <c r="T148" s="1099" t="s">
        <v>317</v>
      </c>
      <c r="U148" s="794"/>
      <c r="V148" s="1418">
        <f t="shared" si="9"/>
        <v>0</v>
      </c>
      <c r="AB148" s="15"/>
    </row>
    <row r="149" spans="1:28" s="77" customFormat="1" ht="15" hidden="1" customHeight="1">
      <c r="A149" s="370"/>
      <c r="B149" s="831"/>
      <c r="C149" s="960" t="s">
        <v>1542</v>
      </c>
      <c r="D149" s="2004">
        <v>45078</v>
      </c>
      <c r="E149" s="2005"/>
      <c r="F149" s="2006"/>
      <c r="G149" s="2004">
        <v>45148</v>
      </c>
      <c r="H149" s="2005"/>
      <c r="I149" s="2006"/>
      <c r="J149" s="832">
        <v>71</v>
      </c>
      <c r="K149" s="833"/>
      <c r="L149" s="839"/>
      <c r="M149" s="837"/>
      <c r="N149" s="841"/>
      <c r="O149" s="841"/>
      <c r="P149" s="837"/>
      <c r="Q149" s="834"/>
      <c r="R149" s="834">
        <f>TRUNC(1+1+(10/31),3)</f>
        <v>2.3220000000000001</v>
      </c>
      <c r="S149" s="861" t="s">
        <v>828</v>
      </c>
      <c r="T149" s="1099" t="s">
        <v>318</v>
      </c>
      <c r="U149" s="794"/>
      <c r="V149" s="1418">
        <f t="shared" si="9"/>
        <v>0</v>
      </c>
      <c r="AB149" s="15"/>
    </row>
    <row r="150" spans="1:28" s="77" customFormat="1" ht="15" hidden="1">
      <c r="A150" s="370"/>
      <c r="B150" s="831"/>
      <c r="C150" s="960" t="s">
        <v>1542</v>
      </c>
      <c r="D150" s="2004">
        <v>45149</v>
      </c>
      <c r="E150" s="2005"/>
      <c r="F150" s="2006"/>
      <c r="G150" s="2004">
        <v>45169</v>
      </c>
      <c r="H150" s="2005"/>
      <c r="I150" s="2006"/>
      <c r="J150" s="832">
        <v>21</v>
      </c>
      <c r="K150" s="833"/>
      <c r="L150" s="839"/>
      <c r="M150" s="837"/>
      <c r="N150" s="841"/>
      <c r="O150" s="841"/>
      <c r="P150" s="837"/>
      <c r="Q150" s="834"/>
      <c r="R150" s="834">
        <v>0.67799999999999994</v>
      </c>
      <c r="S150" s="861" t="s">
        <v>828</v>
      </c>
      <c r="T150" s="1099" t="s">
        <v>319</v>
      </c>
      <c r="U150" s="794"/>
      <c r="V150" s="1418">
        <f t="shared" si="9"/>
        <v>0</v>
      </c>
      <c r="AB150" s="15"/>
    </row>
    <row r="151" spans="1:28" s="77" customFormat="1" ht="15" hidden="1">
      <c r="A151" s="370"/>
      <c r="B151" s="831"/>
      <c r="C151" s="960" t="s">
        <v>1542</v>
      </c>
      <c r="D151" s="2004">
        <v>45170</v>
      </c>
      <c r="E151" s="2005"/>
      <c r="F151" s="2006"/>
      <c r="G151" s="2004">
        <v>45199</v>
      </c>
      <c r="H151" s="2005"/>
      <c r="I151" s="2006"/>
      <c r="J151" s="832">
        <v>30</v>
      </c>
      <c r="K151" s="833"/>
      <c r="L151" s="839"/>
      <c r="M151" s="837"/>
      <c r="N151" s="841"/>
      <c r="O151" s="841"/>
      <c r="P151" s="837"/>
      <c r="Q151" s="834"/>
      <c r="R151" s="834">
        <v>1</v>
      </c>
      <c r="S151" s="861" t="s">
        <v>828</v>
      </c>
      <c r="T151" s="1099" t="s">
        <v>320</v>
      </c>
      <c r="U151" s="794"/>
      <c r="V151" s="1418">
        <f t="shared" si="9"/>
        <v>0</v>
      </c>
      <c r="AB151" s="15"/>
    </row>
    <row r="152" spans="1:28" s="77" customFormat="1" ht="15" hidden="1">
      <c r="A152" s="370"/>
      <c r="B152" s="831"/>
      <c r="C152" s="960" t="s">
        <v>1542</v>
      </c>
      <c r="D152" s="1949">
        <v>45200</v>
      </c>
      <c r="E152" s="1950"/>
      <c r="F152" s="1951"/>
      <c r="G152" s="1949">
        <v>45230</v>
      </c>
      <c r="H152" s="1950"/>
      <c r="I152" s="1951"/>
      <c r="J152" s="832">
        <v>31</v>
      </c>
      <c r="K152" s="833"/>
      <c r="L152" s="839"/>
      <c r="M152" s="837"/>
      <c r="N152" s="841"/>
      <c r="O152" s="841"/>
      <c r="P152" s="837"/>
      <c r="Q152" s="834"/>
      <c r="R152" s="834">
        <v>1</v>
      </c>
      <c r="S152" s="861" t="s">
        <v>828</v>
      </c>
      <c r="T152" s="1099" t="s">
        <v>321</v>
      </c>
      <c r="U152" s="794"/>
      <c r="V152" s="1418">
        <f t="shared" si="9"/>
        <v>0</v>
      </c>
      <c r="AB152" s="15"/>
    </row>
    <row r="153" spans="1:28" s="77" customFormat="1" ht="15" hidden="1">
      <c r="A153" s="370"/>
      <c r="B153" s="831"/>
      <c r="C153" s="960" t="s">
        <v>1542</v>
      </c>
      <c r="D153" s="1949">
        <v>45231</v>
      </c>
      <c r="E153" s="1950"/>
      <c r="F153" s="1951"/>
      <c r="G153" s="1949">
        <v>45260</v>
      </c>
      <c r="H153" s="1950"/>
      <c r="I153" s="1951"/>
      <c r="J153" s="832">
        <v>30</v>
      </c>
      <c r="K153" s="833"/>
      <c r="L153" s="839"/>
      <c r="M153" s="837"/>
      <c r="N153" s="841"/>
      <c r="O153" s="841"/>
      <c r="P153" s="837"/>
      <c r="Q153" s="834"/>
      <c r="R153" s="834">
        <v>1</v>
      </c>
      <c r="S153" s="861" t="s">
        <v>828</v>
      </c>
      <c r="T153" s="1099" t="s">
        <v>322</v>
      </c>
      <c r="U153" s="794"/>
      <c r="V153" s="1418">
        <f t="shared" si="9"/>
        <v>0</v>
      </c>
      <c r="AB153" s="15"/>
    </row>
    <row r="154" spans="1:28" s="77" customFormat="1" ht="15" hidden="1">
      <c r="A154" s="370"/>
      <c r="B154" s="831"/>
      <c r="C154" s="960" t="s">
        <v>1542</v>
      </c>
      <c r="D154" s="1949">
        <v>45261</v>
      </c>
      <c r="E154" s="1950"/>
      <c r="F154" s="1951"/>
      <c r="G154" s="1949">
        <v>45291</v>
      </c>
      <c r="H154" s="1950"/>
      <c r="I154" s="1951"/>
      <c r="J154" s="832">
        <v>31</v>
      </c>
      <c r="K154" s="833"/>
      <c r="L154" s="839"/>
      <c r="M154" s="837"/>
      <c r="N154" s="841"/>
      <c r="O154" s="841"/>
      <c r="P154" s="837"/>
      <c r="Q154" s="834"/>
      <c r="R154" s="834">
        <v>1</v>
      </c>
      <c r="S154" s="861" t="s">
        <v>828</v>
      </c>
      <c r="T154" s="1099" t="s">
        <v>323</v>
      </c>
      <c r="U154" s="794"/>
      <c r="V154" s="1418">
        <f t="shared" si="9"/>
        <v>0</v>
      </c>
      <c r="AB154" s="15"/>
    </row>
    <row r="155" spans="1:28" s="77" customFormat="1" ht="15" hidden="1">
      <c r="A155" s="370"/>
      <c r="B155" s="831"/>
      <c r="C155" s="960" t="s">
        <v>1542</v>
      </c>
      <c r="D155" s="1949">
        <v>45292</v>
      </c>
      <c r="E155" s="1950"/>
      <c r="F155" s="1951"/>
      <c r="G155" s="1949">
        <v>45321</v>
      </c>
      <c r="H155" s="1950"/>
      <c r="I155" s="1951"/>
      <c r="J155" s="832">
        <v>30</v>
      </c>
      <c r="K155" s="833"/>
      <c r="L155" s="839"/>
      <c r="M155" s="837"/>
      <c r="N155" s="841"/>
      <c r="O155" s="841"/>
      <c r="P155" s="837"/>
      <c r="Q155" s="834"/>
      <c r="R155" s="834">
        <v>1</v>
      </c>
      <c r="S155" s="861" t="s">
        <v>828</v>
      </c>
      <c r="T155" s="1099" t="s">
        <v>324</v>
      </c>
      <c r="U155" s="794"/>
      <c r="V155" s="1418">
        <f t="shared" si="9"/>
        <v>0</v>
      </c>
      <c r="AB155" s="15"/>
    </row>
    <row r="156" spans="1:28" s="77" customFormat="1" ht="15" hidden="1">
      <c r="A156" s="370"/>
      <c r="B156" s="831"/>
      <c r="C156" s="960" t="s">
        <v>1542</v>
      </c>
      <c r="D156" s="1949">
        <v>45323</v>
      </c>
      <c r="E156" s="1950"/>
      <c r="F156" s="1951"/>
      <c r="G156" s="1949">
        <v>45351</v>
      </c>
      <c r="H156" s="1950"/>
      <c r="I156" s="1951"/>
      <c r="J156" s="832">
        <v>29</v>
      </c>
      <c r="K156" s="839"/>
      <c r="L156" s="839"/>
      <c r="M156" s="840"/>
      <c r="N156" s="841"/>
      <c r="O156" s="841"/>
      <c r="P156" s="837"/>
      <c r="Q156" s="834"/>
      <c r="R156" s="860">
        <v>1</v>
      </c>
      <c r="S156" s="861" t="s">
        <v>1543</v>
      </c>
      <c r="T156" s="1099" t="s">
        <v>325</v>
      </c>
      <c r="U156" s="794"/>
      <c r="V156" s="1418">
        <f t="shared" si="9"/>
        <v>0</v>
      </c>
      <c r="AB156" s="15"/>
    </row>
    <row r="157" spans="1:28" s="77" customFormat="1" ht="15" hidden="1">
      <c r="A157" s="370"/>
      <c r="B157" s="831"/>
      <c r="C157" s="960" t="s">
        <v>1542</v>
      </c>
      <c r="D157" s="1949">
        <v>45352</v>
      </c>
      <c r="E157" s="1950"/>
      <c r="F157" s="1951"/>
      <c r="G157" s="1949">
        <v>45382</v>
      </c>
      <c r="H157" s="1950"/>
      <c r="I157" s="1951"/>
      <c r="J157" s="832">
        <v>31</v>
      </c>
      <c r="K157" s="839"/>
      <c r="L157" s="839"/>
      <c r="M157" s="840"/>
      <c r="N157" s="841"/>
      <c r="O157" s="841"/>
      <c r="P157" s="837"/>
      <c r="Q157" s="834"/>
      <c r="R157" s="860">
        <v>1</v>
      </c>
      <c r="S157" s="861" t="s">
        <v>828</v>
      </c>
      <c r="T157" s="1099" t="s">
        <v>326</v>
      </c>
      <c r="U157" s="794"/>
      <c r="V157" s="1418">
        <f t="shared" si="9"/>
        <v>0</v>
      </c>
      <c r="AB157" s="15"/>
    </row>
    <row r="158" spans="1:28" s="77" customFormat="1" ht="15" hidden="1">
      <c r="A158" s="370"/>
      <c r="B158" s="831"/>
      <c r="C158" s="960" t="s">
        <v>1542</v>
      </c>
      <c r="D158" s="1949">
        <v>45383</v>
      </c>
      <c r="E158" s="1950"/>
      <c r="F158" s="1951"/>
      <c r="G158" s="1949">
        <v>45412</v>
      </c>
      <c r="H158" s="1950"/>
      <c r="I158" s="1951"/>
      <c r="J158" s="832">
        <v>30</v>
      </c>
      <c r="K158" s="839"/>
      <c r="L158" s="839"/>
      <c r="M158" s="840"/>
      <c r="N158" s="841"/>
      <c r="O158" s="841"/>
      <c r="P158" s="837"/>
      <c r="Q158" s="834"/>
      <c r="R158" s="860">
        <v>1</v>
      </c>
      <c r="S158" s="861" t="s">
        <v>828</v>
      </c>
      <c r="T158" s="1099" t="s">
        <v>327</v>
      </c>
      <c r="U158" s="794"/>
      <c r="V158" s="1418">
        <f t="shared" si="9"/>
        <v>0</v>
      </c>
      <c r="AB158" s="15"/>
    </row>
    <row r="159" spans="1:28" s="77" customFormat="1" ht="15" hidden="1">
      <c r="A159" s="370"/>
      <c r="B159" s="831"/>
      <c r="C159" s="960" t="s">
        <v>1542</v>
      </c>
      <c r="D159" s="1949">
        <v>45413</v>
      </c>
      <c r="E159" s="1950"/>
      <c r="F159" s="1951"/>
      <c r="G159" s="1949">
        <v>45443</v>
      </c>
      <c r="H159" s="1950"/>
      <c r="I159" s="1951"/>
      <c r="J159" s="832">
        <v>31</v>
      </c>
      <c r="K159" s="839"/>
      <c r="L159" s="839"/>
      <c r="M159" s="840"/>
      <c r="N159" s="841"/>
      <c r="O159" s="841"/>
      <c r="P159" s="837"/>
      <c r="Q159" s="834"/>
      <c r="R159" s="860">
        <v>1</v>
      </c>
      <c r="S159" s="861" t="s">
        <v>828</v>
      </c>
      <c r="T159" s="1099" t="s">
        <v>328</v>
      </c>
      <c r="U159" s="794"/>
      <c r="V159" s="1418">
        <f t="shared" si="9"/>
        <v>0</v>
      </c>
      <c r="AB159" s="15"/>
    </row>
    <row r="160" spans="1:28" s="77" customFormat="1" ht="15" hidden="1">
      <c r="A160" s="370"/>
      <c r="B160" s="831"/>
      <c r="C160" s="1177" t="s">
        <v>1542</v>
      </c>
      <c r="D160" s="1952">
        <v>45444</v>
      </c>
      <c r="E160" s="1953"/>
      <c r="F160" s="1954"/>
      <c r="G160" s="1952">
        <v>45473</v>
      </c>
      <c r="H160" s="1953"/>
      <c r="I160" s="1954"/>
      <c r="J160" s="1235">
        <v>31</v>
      </c>
      <c r="K160" s="1237"/>
      <c r="L160" s="1250"/>
      <c r="M160" s="1236"/>
      <c r="N160" s="1245"/>
      <c r="O160" s="1245"/>
      <c r="P160" s="1236"/>
      <c r="Q160" s="1190"/>
      <c r="R160" s="1190">
        <v>1</v>
      </c>
      <c r="S160" s="1251" t="s">
        <v>828</v>
      </c>
      <c r="T160" s="1252" t="s">
        <v>330</v>
      </c>
      <c r="U160" s="794"/>
      <c r="V160" s="1418">
        <f t="shared" si="9"/>
        <v>0</v>
      </c>
      <c r="AB160" s="15"/>
    </row>
    <row r="161" spans="1:36" s="77" customFormat="1" ht="15" hidden="1">
      <c r="A161" s="370"/>
      <c r="B161" s="831"/>
      <c r="C161" s="1177" t="s">
        <v>1542</v>
      </c>
      <c r="D161" s="1952">
        <v>45474</v>
      </c>
      <c r="E161" s="1953"/>
      <c r="F161" s="1954"/>
      <c r="G161" s="1952">
        <v>45504</v>
      </c>
      <c r="H161" s="1953"/>
      <c r="I161" s="1954"/>
      <c r="J161" s="1235">
        <v>31</v>
      </c>
      <c r="K161" s="1237"/>
      <c r="L161" s="1250"/>
      <c r="M161" s="1236"/>
      <c r="N161" s="1245"/>
      <c r="O161" s="1245"/>
      <c r="P161" s="1236"/>
      <c r="Q161" s="1190"/>
      <c r="R161" s="1190">
        <v>1</v>
      </c>
      <c r="S161" s="1251" t="s">
        <v>828</v>
      </c>
      <c r="T161" s="1252" t="s">
        <v>330</v>
      </c>
      <c r="U161" s="794"/>
      <c r="V161" s="1418">
        <f t="shared" si="9"/>
        <v>0</v>
      </c>
      <c r="AB161" s="15"/>
    </row>
    <row r="162" spans="1:36" s="77" customFormat="1" ht="15" hidden="1" customHeight="1">
      <c r="A162" s="370"/>
      <c r="B162" s="766"/>
      <c r="C162" s="962" t="s">
        <v>1542</v>
      </c>
      <c r="D162" s="2073">
        <v>45505</v>
      </c>
      <c r="E162" s="2074"/>
      <c r="F162" s="2075"/>
      <c r="G162" s="2073">
        <v>45535</v>
      </c>
      <c r="H162" s="2074"/>
      <c r="I162" s="2075"/>
      <c r="J162" s="482">
        <f>G162-D162+1</f>
        <v>31</v>
      </c>
      <c r="K162" s="495"/>
      <c r="L162" s="743"/>
      <c r="M162" s="798"/>
      <c r="N162" s="744"/>
      <c r="O162" s="744"/>
      <c r="P162" s="798"/>
      <c r="Q162" s="497"/>
      <c r="R162" s="497">
        <v>1</v>
      </c>
      <c r="S162" s="745" t="s">
        <v>828</v>
      </c>
      <c r="T162" s="1101" t="s">
        <v>330</v>
      </c>
      <c r="U162" s="31"/>
      <c r="V162" s="1418">
        <f t="shared" si="9"/>
        <v>0</v>
      </c>
      <c r="AB162" s="15"/>
    </row>
    <row r="163" spans="1:36" s="77" customFormat="1" ht="15.6" hidden="1">
      <c r="A163" s="370"/>
      <c r="B163" s="499"/>
      <c r="C163" s="500"/>
      <c r="D163" s="1940" t="s">
        <v>1520</v>
      </c>
      <c r="E163" s="1941"/>
      <c r="F163" s="1941"/>
      <c r="G163" s="1941"/>
      <c r="H163" s="1941"/>
      <c r="I163" s="1942"/>
      <c r="J163" s="1955">
        <f>VLOOKUP(A165,'11 - FINANCEIRA'!_xlnm.Print_Area,6,FALSE)</f>
        <v>38</v>
      </c>
      <c r="K163" s="1956"/>
      <c r="L163" s="483" t="str">
        <f>VLOOKUP(A165,'11 - FINANCEIRA'!_xlnm.Print_Area,4,FALSE)</f>
        <v>ms</v>
      </c>
      <c r="M163" s="1957" t="s">
        <v>1521</v>
      </c>
      <c r="N163" s="1958"/>
      <c r="O163" s="1958"/>
      <c r="P163" s="1958"/>
      <c r="Q163" s="1959"/>
      <c r="R163" s="484">
        <f>SUM(R130:R162)</f>
        <v>38</v>
      </c>
      <c r="S163" s="485" t="str">
        <f>L163</f>
        <v>ms</v>
      </c>
      <c r="T163" s="373"/>
      <c r="U163" s="486"/>
      <c r="V163" s="1418">
        <f t="shared" si="9"/>
        <v>0</v>
      </c>
      <c r="AB163" s="15"/>
    </row>
    <row r="164" spans="1:36" s="77" customFormat="1" ht="15.6" hidden="1">
      <c r="A164" s="370"/>
      <c r="B164" s="499"/>
      <c r="C164" s="725"/>
      <c r="D164" s="1937" t="s">
        <v>1522</v>
      </c>
      <c r="E164" s="1938"/>
      <c r="F164" s="1938"/>
      <c r="G164" s="1938"/>
      <c r="H164" s="1938"/>
      <c r="I164" s="1939"/>
      <c r="J164" s="1943">
        <f>R163/J163</f>
        <v>1</v>
      </c>
      <c r="K164" s="1944"/>
      <c r="L164" s="1947"/>
      <c r="M164" s="1934" t="s">
        <v>1523</v>
      </c>
      <c r="N164" s="1935"/>
      <c r="O164" s="1935"/>
      <c r="P164" s="1935"/>
      <c r="Q164" s="1936"/>
      <c r="R164" s="726">
        <f>VLOOKUP(A165,'11 - FINANCEIRA'!_xlnm.Print_Area,8,FALSE)</f>
        <v>38</v>
      </c>
      <c r="S164" s="727" t="str">
        <f>L163</f>
        <v>ms</v>
      </c>
      <c r="T164" s="373"/>
      <c r="U164" s="486"/>
      <c r="V164" s="1418">
        <f t="shared" si="9"/>
        <v>0</v>
      </c>
      <c r="AB164" s="15"/>
    </row>
    <row r="165" spans="1:36" s="77" customFormat="1" ht="15.6" hidden="1">
      <c r="A165" s="364" t="s">
        <v>356</v>
      </c>
      <c r="B165" s="499"/>
      <c r="C165" s="37"/>
      <c r="D165" s="2013"/>
      <c r="E165" s="2014"/>
      <c r="F165" s="2014"/>
      <c r="G165" s="2014"/>
      <c r="H165" s="2014"/>
      <c r="I165" s="2015"/>
      <c r="J165" s="2016"/>
      <c r="K165" s="2017"/>
      <c r="L165" s="1962"/>
      <c r="M165" s="2007" t="s">
        <v>1524</v>
      </c>
      <c r="N165" s="2008"/>
      <c r="O165" s="2008"/>
      <c r="P165" s="2008"/>
      <c r="Q165" s="2009"/>
      <c r="R165" s="1345">
        <f>R163-R164</f>
        <v>0</v>
      </c>
      <c r="S165" s="1346" t="str">
        <f>L163</f>
        <v>ms</v>
      </c>
      <c r="T165" s="373"/>
      <c r="U165" s="486"/>
      <c r="V165" s="1418">
        <f>R165</f>
        <v>0</v>
      </c>
      <c r="AB165" s="15"/>
    </row>
    <row r="166" spans="1:36" s="77" customFormat="1" ht="15.6" hidden="1">
      <c r="A166" s="370"/>
      <c r="B166" s="1347"/>
      <c r="C166" s="1348"/>
      <c r="D166" s="1349"/>
      <c r="E166" s="1350"/>
      <c r="F166" s="1349"/>
      <c r="G166" s="1349"/>
      <c r="H166" s="1349"/>
      <c r="I166" s="1349"/>
      <c r="J166" s="1351"/>
      <c r="K166" s="1352"/>
      <c r="L166" s="1353"/>
      <c r="M166" s="1354"/>
      <c r="N166" s="1354"/>
      <c r="O166" s="1354"/>
      <c r="P166" s="1354"/>
      <c r="Q166" s="1354"/>
      <c r="R166" s="1355"/>
      <c r="S166" s="1356"/>
      <c r="T166" s="1357"/>
      <c r="U166" s="1358"/>
      <c r="V166" s="1420">
        <f>SUM(V128:V165)</f>
        <v>0</v>
      </c>
      <c r="AB166" s="15"/>
    </row>
    <row r="167" spans="1:36" s="352" customFormat="1" ht="15.6" hidden="1">
      <c r="A167" s="351"/>
      <c r="B167" s="1963" t="str">
        <f>VLOOKUP(A204,'11 - FINANCEIRA'!_xlnm.Print_Area,1,FALSE)</f>
        <v>1.2.4</v>
      </c>
      <c r="C167" s="1965" t="str">
        <f>VLOOKUP(A204,'11 - FINANCEIRA'!_xlnm.Print_Area,3,FALSE)</f>
        <v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v>
      </c>
      <c r="D167" s="1967" t="s">
        <v>205</v>
      </c>
      <c r="E167" s="1968"/>
      <c r="F167" s="1968"/>
      <c r="G167" s="1968"/>
      <c r="H167" s="1968"/>
      <c r="I167" s="1969"/>
      <c r="J167" s="1914" t="s">
        <v>145</v>
      </c>
      <c r="K167" s="1914" t="s">
        <v>1505</v>
      </c>
      <c r="L167" s="1914" t="s">
        <v>1506</v>
      </c>
      <c r="M167" s="1914" t="s">
        <v>1507</v>
      </c>
      <c r="N167" s="1914" t="s">
        <v>1508</v>
      </c>
      <c r="O167" s="1914" t="s">
        <v>1509</v>
      </c>
      <c r="P167" s="1341" t="s">
        <v>1510</v>
      </c>
      <c r="Q167" s="1914" t="s">
        <v>1493</v>
      </c>
      <c r="R167" s="1916" t="s">
        <v>804</v>
      </c>
      <c r="S167" s="1914" t="s">
        <v>1511</v>
      </c>
      <c r="T167" s="1914" t="s">
        <v>1512</v>
      </c>
      <c r="U167" s="1918" t="s">
        <v>1513</v>
      </c>
      <c r="V167" s="1418">
        <f>V168</f>
        <v>0</v>
      </c>
      <c r="W167" s="16"/>
      <c r="X167" s="16"/>
      <c r="Y167" s="16"/>
      <c r="Z167" s="17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</row>
    <row r="168" spans="1:36" s="352" customFormat="1" ht="15.6" hidden="1">
      <c r="A168" s="351"/>
      <c r="B168" s="1964" t="e">
        <f>LEFT(#REF!,5)</f>
        <v>#REF!</v>
      </c>
      <c r="C168" s="1966" t="e">
        <f>VLOOKUP(LEFT(#REF!,5),'11 - FINANCEIRA'!_xlnm.Print_Area,2,FALSE)</f>
        <v>#REF!</v>
      </c>
      <c r="D168" s="1920" t="s">
        <v>1514</v>
      </c>
      <c r="E168" s="1921"/>
      <c r="F168" s="1922"/>
      <c r="G168" s="1923" t="s">
        <v>1515</v>
      </c>
      <c r="H168" s="1924"/>
      <c r="I168" s="1925"/>
      <c r="J168" s="1915"/>
      <c r="K168" s="1915"/>
      <c r="L168" s="1915"/>
      <c r="M168" s="1915"/>
      <c r="N168" s="1915"/>
      <c r="O168" s="1915"/>
      <c r="P168" s="353" t="s">
        <v>1516</v>
      </c>
      <c r="Q168" s="1915"/>
      <c r="R168" s="1917"/>
      <c r="S168" s="1915"/>
      <c r="T168" s="1915"/>
      <c r="U168" s="1919"/>
      <c r="V168" s="1418">
        <f>V169</f>
        <v>0</v>
      </c>
      <c r="W168" s="16"/>
      <c r="X168" s="16"/>
      <c r="Y168" s="16"/>
      <c r="Z168" s="17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</row>
    <row r="169" spans="1:36" s="361" customFormat="1" ht="15" hidden="1" customHeight="1">
      <c r="A169" s="354"/>
      <c r="B169" s="535"/>
      <c r="C169" s="28" t="s">
        <v>1544</v>
      </c>
      <c r="D169" s="2068">
        <v>44378</v>
      </c>
      <c r="E169" s="2069"/>
      <c r="F169" s="2070"/>
      <c r="G169" s="2068">
        <v>44408</v>
      </c>
      <c r="H169" s="2069"/>
      <c r="I169" s="2070"/>
      <c r="J169" s="21">
        <f>DAY(DATE(YEAR(D169),MONTH(D169)+1,0))</f>
        <v>31</v>
      </c>
      <c r="K169" s="654"/>
      <c r="L169" s="654"/>
      <c r="M169" s="654"/>
      <c r="N169" s="654"/>
      <c r="O169" s="558"/>
      <c r="P169" s="654"/>
      <c r="Q169" s="559"/>
      <c r="R169" s="489">
        <v>2</v>
      </c>
      <c r="S169" s="488" t="s">
        <v>828</v>
      </c>
      <c r="T169" s="490" t="s">
        <v>298</v>
      </c>
      <c r="U169" s="491"/>
      <c r="V169" s="1419">
        <f>V170</f>
        <v>0</v>
      </c>
      <c r="W169" s="357"/>
      <c r="X169" s="357"/>
      <c r="Y169" s="357"/>
      <c r="Z169" s="358"/>
      <c r="AA169" s="359"/>
      <c r="AB169" s="360"/>
    </row>
    <row r="170" spans="1:36" s="361" customFormat="1" ht="15" hidden="1" customHeight="1">
      <c r="A170" s="354"/>
      <c r="B170" s="755"/>
      <c r="C170" s="710" t="s">
        <v>1544</v>
      </c>
      <c r="D170" s="1949">
        <v>44409</v>
      </c>
      <c r="E170" s="1950"/>
      <c r="F170" s="1951"/>
      <c r="G170" s="1960">
        <v>44439</v>
      </c>
      <c r="H170" s="1960"/>
      <c r="I170" s="1960"/>
      <c r="J170" s="21">
        <f>DAY(DATE(YEAR(D170),MONTH(D170)+1,0))</f>
        <v>31</v>
      </c>
      <c r="K170" s="23"/>
      <c r="L170" s="23"/>
      <c r="M170" s="23"/>
      <c r="N170" s="23"/>
      <c r="O170" s="447"/>
      <c r="P170" s="23"/>
      <c r="Q170" s="445"/>
      <c r="R170" s="445">
        <v>2</v>
      </c>
      <c r="S170" s="447" t="s">
        <v>828</v>
      </c>
      <c r="T170" s="446" t="s">
        <v>299</v>
      </c>
      <c r="U170" s="44"/>
      <c r="V170" s="1418">
        <f t="shared" ref="V170:V203" si="10">V171</f>
        <v>0</v>
      </c>
      <c r="W170" s="357"/>
      <c r="X170" s="357"/>
      <c r="Y170" s="357"/>
      <c r="Z170" s="358"/>
      <c r="AA170" s="359"/>
      <c r="AB170" s="360"/>
    </row>
    <row r="171" spans="1:36" s="369" customFormat="1" ht="15" hidden="1" customHeight="1">
      <c r="A171" s="364"/>
      <c r="B171" s="755"/>
      <c r="C171" s="710" t="s">
        <v>1544</v>
      </c>
      <c r="D171" s="1949">
        <v>44440</v>
      </c>
      <c r="E171" s="1950"/>
      <c r="F171" s="1951"/>
      <c r="G171" s="1949">
        <v>44469</v>
      </c>
      <c r="H171" s="1950"/>
      <c r="I171" s="1951"/>
      <c r="J171" s="21">
        <f>DAY(DATE(YEAR(D171),MONTH(D171)+1,0))</f>
        <v>30</v>
      </c>
      <c r="K171" s="23"/>
      <c r="L171" s="23"/>
      <c r="M171" s="23"/>
      <c r="N171" s="447"/>
      <c r="O171" s="447"/>
      <c r="P171" s="23"/>
      <c r="Q171" s="445"/>
      <c r="R171" s="445">
        <v>2</v>
      </c>
      <c r="S171" s="447" t="s">
        <v>828</v>
      </c>
      <c r="T171" s="446" t="s">
        <v>300</v>
      </c>
      <c r="U171" s="44"/>
      <c r="V171" s="1418">
        <f t="shared" si="10"/>
        <v>0</v>
      </c>
      <c r="W171" s="367"/>
      <c r="X171" s="367"/>
      <c r="Y171" s="367"/>
      <c r="Z171" s="368"/>
    </row>
    <row r="172" spans="1:36" s="478" customFormat="1" ht="15" hidden="1" customHeight="1">
      <c r="A172" s="465"/>
      <c r="B172" s="755"/>
      <c r="C172" s="710" t="s">
        <v>1544</v>
      </c>
      <c r="D172" s="1949">
        <v>44470</v>
      </c>
      <c r="E172" s="1950"/>
      <c r="F172" s="1951"/>
      <c r="G172" s="1949">
        <v>44500</v>
      </c>
      <c r="H172" s="1950"/>
      <c r="I172" s="1951"/>
      <c r="J172" s="21">
        <f>DAY(DATE(YEAR(D172),MONTH(D172)+1,0))</f>
        <v>31</v>
      </c>
      <c r="K172" s="23"/>
      <c r="L172" s="23"/>
      <c r="M172" s="23"/>
      <c r="N172" s="447"/>
      <c r="O172" s="447"/>
      <c r="P172" s="23"/>
      <c r="Q172" s="445"/>
      <c r="R172" s="445">
        <v>2</v>
      </c>
      <c r="S172" s="447" t="s">
        <v>828</v>
      </c>
      <c r="T172" s="446" t="s">
        <v>301</v>
      </c>
      <c r="U172" s="494"/>
      <c r="V172" s="1418">
        <f t="shared" si="10"/>
        <v>0</v>
      </c>
      <c r="AB172" s="479"/>
    </row>
    <row r="173" spans="1:36" s="77" customFormat="1" ht="15" hidden="1" customHeight="1">
      <c r="A173" s="370"/>
      <c r="B173" s="755"/>
      <c r="C173" s="710" t="s">
        <v>1544</v>
      </c>
      <c r="D173" s="1949">
        <v>44501</v>
      </c>
      <c r="E173" s="1950"/>
      <c r="F173" s="1951"/>
      <c r="G173" s="1949">
        <v>44571</v>
      </c>
      <c r="H173" s="1950"/>
      <c r="I173" s="1951"/>
      <c r="J173" s="21">
        <f>G173-D173+2</f>
        <v>72</v>
      </c>
      <c r="K173" s="23"/>
      <c r="L173" s="23"/>
      <c r="M173" s="23"/>
      <c r="N173" s="447"/>
      <c r="O173" s="447"/>
      <c r="P173" s="23"/>
      <c r="Q173" s="445"/>
      <c r="R173" s="445">
        <f>TRUNC((4 +2/3),3)</f>
        <v>4.6660000000000004</v>
      </c>
      <c r="S173" s="447" t="s">
        <v>828</v>
      </c>
      <c r="T173" s="446" t="s">
        <v>302</v>
      </c>
      <c r="U173" s="451"/>
      <c r="V173" s="1418">
        <f>V201</f>
        <v>0</v>
      </c>
      <c r="AB173" s="15"/>
    </row>
    <row r="174" spans="1:36" s="77" customFormat="1" ht="15" hidden="1" customHeight="1">
      <c r="A174" s="370"/>
      <c r="B174" s="755"/>
      <c r="C174" s="710" t="s">
        <v>1544</v>
      </c>
      <c r="D174" s="1949">
        <v>44571</v>
      </c>
      <c r="E174" s="1950"/>
      <c r="F174" s="1951"/>
      <c r="G174" s="1949">
        <v>44592</v>
      </c>
      <c r="H174" s="1950"/>
      <c r="I174" s="1951"/>
      <c r="J174" s="21">
        <f>G174-D174</f>
        <v>21</v>
      </c>
      <c r="K174" s="23"/>
      <c r="L174" s="23"/>
      <c r="M174" s="23"/>
      <c r="N174" s="447"/>
      <c r="O174" s="447"/>
      <c r="P174" s="23"/>
      <c r="Q174" s="445"/>
      <c r="R174" s="445">
        <f>6-R173</f>
        <v>1.3339999999999996</v>
      </c>
      <c r="S174" s="447" t="s">
        <v>828</v>
      </c>
      <c r="T174" s="446" t="s">
        <v>303</v>
      </c>
      <c r="U174" s="795"/>
      <c r="V174" s="1418">
        <f>V202</f>
        <v>0</v>
      </c>
      <c r="AB174" s="15"/>
    </row>
    <row r="175" spans="1:36" s="77" customFormat="1" ht="15" hidden="1" customHeight="1">
      <c r="A175" s="370"/>
      <c r="B175" s="755"/>
      <c r="C175" s="710" t="s">
        <v>1544</v>
      </c>
      <c r="D175" s="1949">
        <v>44593</v>
      </c>
      <c r="E175" s="1950"/>
      <c r="F175" s="1951"/>
      <c r="G175" s="1949">
        <v>44620</v>
      </c>
      <c r="H175" s="1950"/>
      <c r="I175" s="1951"/>
      <c r="J175" s="21">
        <f>DAY(DATE(YEAR(D175),MONTH(D175)+1,0))</f>
        <v>28</v>
      </c>
      <c r="K175" s="23"/>
      <c r="L175" s="23"/>
      <c r="M175" s="23"/>
      <c r="N175" s="447"/>
      <c r="O175" s="447"/>
      <c r="P175" s="23"/>
      <c r="Q175" s="445"/>
      <c r="R175" s="445">
        <v>2</v>
      </c>
      <c r="S175" s="447" t="s">
        <v>828</v>
      </c>
      <c r="T175" s="446" t="s">
        <v>304</v>
      </c>
      <c r="U175" s="795"/>
      <c r="V175" s="1418">
        <f>V201</f>
        <v>0</v>
      </c>
      <c r="AB175" s="15"/>
    </row>
    <row r="176" spans="1:36" s="77" customFormat="1" ht="15" hidden="1" customHeight="1">
      <c r="A176" s="370"/>
      <c r="B176" s="755"/>
      <c r="C176" s="710" t="s">
        <v>1544</v>
      </c>
      <c r="D176" s="1949">
        <v>44621</v>
      </c>
      <c r="E176" s="1950"/>
      <c r="F176" s="1951"/>
      <c r="G176" s="1949">
        <v>44651</v>
      </c>
      <c r="H176" s="1950"/>
      <c r="I176" s="1951"/>
      <c r="J176" s="21">
        <f>DAY(DATE(YEAR(D176),MONTH(D176)+1,0))</f>
        <v>31</v>
      </c>
      <c r="K176" s="23"/>
      <c r="L176" s="23"/>
      <c r="M176" s="23"/>
      <c r="N176" s="447"/>
      <c r="O176" s="447"/>
      <c r="P176" s="23"/>
      <c r="Q176" s="445"/>
      <c r="R176" s="445">
        <v>2</v>
      </c>
      <c r="S176" s="447" t="s">
        <v>828</v>
      </c>
      <c r="T176" s="446" t="s">
        <v>305</v>
      </c>
      <c r="U176" s="794"/>
      <c r="V176" s="1418">
        <f>V201</f>
        <v>0</v>
      </c>
      <c r="AB176" s="15"/>
    </row>
    <row r="177" spans="1:28" s="77" customFormat="1" ht="15" hidden="1" customHeight="1">
      <c r="A177" s="370"/>
      <c r="B177" s="755"/>
      <c r="C177" s="710" t="s">
        <v>1544</v>
      </c>
      <c r="D177" s="1949">
        <v>44652</v>
      </c>
      <c r="E177" s="1950"/>
      <c r="F177" s="1951"/>
      <c r="G177" s="1949">
        <v>44712</v>
      </c>
      <c r="H177" s="1950"/>
      <c r="I177" s="1951"/>
      <c r="J177" s="21">
        <v>61</v>
      </c>
      <c r="K177" s="23"/>
      <c r="L177" s="23"/>
      <c r="M177" s="23"/>
      <c r="N177" s="447"/>
      <c r="O177" s="447"/>
      <c r="P177" s="23"/>
      <c r="Q177" s="445"/>
      <c r="R177" s="445">
        <v>4</v>
      </c>
      <c r="S177" s="447" t="s">
        <v>828</v>
      </c>
      <c r="T177" s="446" t="s">
        <v>56</v>
      </c>
      <c r="U177" s="794"/>
      <c r="V177" s="1418">
        <f t="shared" si="10"/>
        <v>0</v>
      </c>
      <c r="AB177" s="15"/>
    </row>
    <row r="178" spans="1:28" s="77" customFormat="1" ht="15" hidden="1" customHeight="1">
      <c r="A178" s="370"/>
      <c r="B178" s="755"/>
      <c r="C178" s="710" t="s">
        <v>1544</v>
      </c>
      <c r="D178" s="1949">
        <v>44713</v>
      </c>
      <c r="E178" s="1950"/>
      <c r="F178" s="1951"/>
      <c r="G178" s="1949">
        <v>44742</v>
      </c>
      <c r="H178" s="1950"/>
      <c r="I178" s="1951"/>
      <c r="J178" s="21">
        <f>DAY(DATE(YEAR(D178),MONTH(D178)+1,0))</f>
        <v>30</v>
      </c>
      <c r="K178" s="23"/>
      <c r="L178" s="23"/>
      <c r="M178" s="23"/>
      <c r="N178" s="447"/>
      <c r="O178" s="447"/>
      <c r="P178" s="23"/>
      <c r="Q178" s="445"/>
      <c r="R178" s="445">
        <v>2</v>
      </c>
      <c r="S178" s="447" t="s">
        <v>828</v>
      </c>
      <c r="T178" s="446" t="s">
        <v>306</v>
      </c>
      <c r="U178" s="794"/>
      <c r="V178" s="1418">
        <f t="shared" si="10"/>
        <v>0</v>
      </c>
      <c r="AB178" s="15"/>
    </row>
    <row r="179" spans="1:28" s="77" customFormat="1" ht="15" hidden="1" customHeight="1">
      <c r="A179" s="370"/>
      <c r="B179" s="755"/>
      <c r="C179" s="710" t="s">
        <v>1544</v>
      </c>
      <c r="D179" s="1949">
        <v>44743</v>
      </c>
      <c r="E179" s="1950"/>
      <c r="F179" s="1951"/>
      <c r="G179" s="1949">
        <v>44773</v>
      </c>
      <c r="H179" s="1950"/>
      <c r="I179" s="1951"/>
      <c r="J179" s="21">
        <f>DAY(DATE(YEAR(D179),MONTH(D179)+1,0))</f>
        <v>31</v>
      </c>
      <c r="K179" s="23"/>
      <c r="L179" s="23"/>
      <c r="M179" s="23"/>
      <c r="N179" s="447"/>
      <c r="O179" s="447"/>
      <c r="P179" s="23"/>
      <c r="Q179" s="445"/>
      <c r="R179" s="445">
        <v>2</v>
      </c>
      <c r="S179" s="447" t="s">
        <v>828</v>
      </c>
      <c r="T179" s="446" t="s">
        <v>307</v>
      </c>
      <c r="U179" s="794"/>
      <c r="V179" s="1418">
        <f t="shared" si="10"/>
        <v>0</v>
      </c>
      <c r="AB179" s="15"/>
    </row>
    <row r="180" spans="1:28" s="77" customFormat="1" ht="15" hidden="1" customHeight="1">
      <c r="A180" s="370"/>
      <c r="B180" s="755"/>
      <c r="C180" s="710" t="s">
        <v>1544</v>
      </c>
      <c r="D180" s="1949">
        <v>44774</v>
      </c>
      <c r="E180" s="1950"/>
      <c r="F180" s="1951"/>
      <c r="G180" s="1949">
        <v>44804</v>
      </c>
      <c r="H180" s="1950"/>
      <c r="I180" s="1951"/>
      <c r="J180" s="21">
        <f>DAY(DATE(YEAR(D180),MONTH(D180)+1,0))</f>
        <v>31</v>
      </c>
      <c r="K180" s="23"/>
      <c r="L180" s="23"/>
      <c r="M180" s="23"/>
      <c r="N180" s="447"/>
      <c r="O180" s="447"/>
      <c r="P180" s="23"/>
      <c r="Q180" s="445"/>
      <c r="R180" s="445">
        <v>2</v>
      </c>
      <c r="S180" s="447" t="s">
        <v>828</v>
      </c>
      <c r="T180" s="446" t="s">
        <v>308</v>
      </c>
      <c r="U180" s="794"/>
      <c r="V180" s="1418">
        <f t="shared" si="10"/>
        <v>0</v>
      </c>
      <c r="AB180" s="15"/>
    </row>
    <row r="181" spans="1:28" s="77" customFormat="1" ht="15" hidden="1" customHeight="1">
      <c r="A181" s="370"/>
      <c r="B181" s="755"/>
      <c r="C181" s="710" t="s">
        <v>1544</v>
      </c>
      <c r="D181" s="1949">
        <v>44805</v>
      </c>
      <c r="E181" s="1950"/>
      <c r="F181" s="1951"/>
      <c r="G181" s="1949">
        <v>44834</v>
      </c>
      <c r="H181" s="1950"/>
      <c r="I181" s="1951"/>
      <c r="J181" s="21">
        <f>DAY(DATE(YEAR(D181),MONTH(D181)+1,0))</f>
        <v>30</v>
      </c>
      <c r="K181" s="23"/>
      <c r="L181" s="23"/>
      <c r="M181" s="23"/>
      <c r="N181" s="447"/>
      <c r="O181" s="447"/>
      <c r="P181" s="23"/>
      <c r="Q181" s="445"/>
      <c r="R181" s="445">
        <v>2</v>
      </c>
      <c r="S181" s="447" t="s">
        <v>828</v>
      </c>
      <c r="T181" s="446" t="s">
        <v>309</v>
      </c>
      <c r="U181" s="794"/>
      <c r="V181" s="1418">
        <f t="shared" si="10"/>
        <v>0</v>
      </c>
      <c r="AB181" s="15"/>
    </row>
    <row r="182" spans="1:28" s="77" customFormat="1" ht="15" hidden="1" customHeight="1">
      <c r="A182" s="370"/>
      <c r="B182" s="755"/>
      <c r="C182" s="710" t="s">
        <v>1544</v>
      </c>
      <c r="D182" s="1949">
        <v>44835</v>
      </c>
      <c r="E182" s="1950"/>
      <c r="F182" s="1951"/>
      <c r="G182" s="1949">
        <v>44926</v>
      </c>
      <c r="H182" s="1950"/>
      <c r="I182" s="1951"/>
      <c r="J182" s="21">
        <v>92</v>
      </c>
      <c r="K182" s="23"/>
      <c r="L182" s="23"/>
      <c r="M182" s="23"/>
      <c r="N182" s="447"/>
      <c r="O182" s="447"/>
      <c r="P182" s="23"/>
      <c r="Q182" s="445"/>
      <c r="R182" s="445">
        <v>6</v>
      </c>
      <c r="S182" s="447" t="s">
        <v>828</v>
      </c>
      <c r="T182" s="446" t="s">
        <v>312</v>
      </c>
      <c r="U182" s="794"/>
      <c r="V182" s="1418">
        <f t="shared" si="10"/>
        <v>0</v>
      </c>
      <c r="AB182" s="15"/>
    </row>
    <row r="183" spans="1:28" s="77" customFormat="1" ht="15" hidden="1" customHeight="1">
      <c r="A183" s="370"/>
      <c r="B183" s="755"/>
      <c r="C183" s="710" t="s">
        <v>1544</v>
      </c>
      <c r="D183" s="1949">
        <v>44927</v>
      </c>
      <c r="E183" s="1950"/>
      <c r="F183" s="1951"/>
      <c r="G183" s="1949">
        <v>44957</v>
      </c>
      <c r="H183" s="1950"/>
      <c r="I183" s="1951"/>
      <c r="J183" s="21">
        <f>DAY(DATE(YEAR(D183),MONTH(D183)+1,0))</f>
        <v>31</v>
      </c>
      <c r="K183" s="23"/>
      <c r="L183" s="23"/>
      <c r="M183" s="23"/>
      <c r="N183" s="447"/>
      <c r="O183" s="447"/>
      <c r="P183" s="23"/>
      <c r="Q183" s="445"/>
      <c r="R183" s="445">
        <v>2</v>
      </c>
      <c r="S183" s="447" t="s">
        <v>828</v>
      </c>
      <c r="T183" s="446" t="s">
        <v>313</v>
      </c>
      <c r="U183" s="794"/>
      <c r="V183" s="1418">
        <f t="shared" si="10"/>
        <v>0</v>
      </c>
      <c r="AB183" s="15"/>
    </row>
    <row r="184" spans="1:28" s="77" customFormat="1" ht="15" hidden="1" customHeight="1">
      <c r="A184" s="370"/>
      <c r="B184" s="831"/>
      <c r="C184" s="710" t="s">
        <v>1544</v>
      </c>
      <c r="D184" s="1949">
        <v>44958</v>
      </c>
      <c r="E184" s="1950"/>
      <c r="F184" s="1951"/>
      <c r="G184" s="1949">
        <v>44985</v>
      </c>
      <c r="H184" s="1950"/>
      <c r="I184" s="1951"/>
      <c r="J184" s="21">
        <f>DAY(DATE(YEAR(D184),MONTH(D184)+1,0))</f>
        <v>28</v>
      </c>
      <c r="K184" s="23"/>
      <c r="L184" s="23"/>
      <c r="M184" s="23"/>
      <c r="N184" s="447"/>
      <c r="O184" s="447"/>
      <c r="P184" s="23"/>
      <c r="Q184" s="445"/>
      <c r="R184" s="445">
        <v>2</v>
      </c>
      <c r="S184" s="447" t="s">
        <v>828</v>
      </c>
      <c r="T184" s="446" t="s">
        <v>314</v>
      </c>
      <c r="U184" s="794"/>
      <c r="V184" s="1418">
        <f t="shared" si="10"/>
        <v>0</v>
      </c>
      <c r="AB184" s="15"/>
    </row>
    <row r="185" spans="1:28" s="77" customFormat="1" ht="15" hidden="1" customHeight="1">
      <c r="A185" s="370"/>
      <c r="B185" s="831"/>
      <c r="C185" s="960" t="s">
        <v>1544</v>
      </c>
      <c r="D185" s="1949">
        <v>44986</v>
      </c>
      <c r="E185" s="1950"/>
      <c r="F185" s="1951"/>
      <c r="G185" s="1949">
        <v>45016</v>
      </c>
      <c r="H185" s="1950"/>
      <c r="I185" s="1951"/>
      <c r="J185" s="832">
        <v>31</v>
      </c>
      <c r="K185" s="833"/>
      <c r="L185" s="833"/>
      <c r="M185" s="833"/>
      <c r="N185" s="792"/>
      <c r="O185" s="792"/>
      <c r="P185" s="833"/>
      <c r="Q185" s="834"/>
      <c r="R185" s="834">
        <v>2</v>
      </c>
      <c r="S185" s="792" t="s">
        <v>828</v>
      </c>
      <c r="T185" s="835" t="s">
        <v>315</v>
      </c>
      <c r="U185" s="794"/>
      <c r="V185" s="1418">
        <f t="shared" si="10"/>
        <v>0</v>
      </c>
      <c r="AB185" s="15"/>
    </row>
    <row r="186" spans="1:28" s="77" customFormat="1" ht="15" hidden="1" customHeight="1">
      <c r="A186" s="370"/>
      <c r="B186" s="831"/>
      <c r="C186" s="960" t="s">
        <v>1544</v>
      </c>
      <c r="D186" s="2004">
        <v>45017</v>
      </c>
      <c r="E186" s="2005"/>
      <c r="F186" s="2006"/>
      <c r="G186" s="2004">
        <v>45046</v>
      </c>
      <c r="H186" s="2005"/>
      <c r="I186" s="2006"/>
      <c r="J186" s="832">
        <f>DAY(DATE(YEAR(D186),MONTH(D186)+1,0))</f>
        <v>30</v>
      </c>
      <c r="K186" s="833"/>
      <c r="L186" s="833"/>
      <c r="M186" s="833"/>
      <c r="N186" s="792"/>
      <c r="O186" s="792"/>
      <c r="P186" s="833"/>
      <c r="Q186" s="834"/>
      <c r="R186" s="834">
        <v>2</v>
      </c>
      <c r="S186" s="792" t="s">
        <v>828</v>
      </c>
      <c r="T186" s="835" t="s">
        <v>316</v>
      </c>
      <c r="U186" s="794"/>
      <c r="V186" s="1418">
        <f t="shared" si="10"/>
        <v>0</v>
      </c>
      <c r="AB186" s="15"/>
    </row>
    <row r="187" spans="1:28" s="77" customFormat="1" ht="15" hidden="1" customHeight="1">
      <c r="A187" s="370"/>
      <c r="B187" s="831"/>
      <c r="C187" s="1102" t="s">
        <v>1544</v>
      </c>
      <c r="D187" s="2004">
        <v>45047</v>
      </c>
      <c r="E187" s="2005"/>
      <c r="F187" s="2006"/>
      <c r="G187" s="2004">
        <v>45077</v>
      </c>
      <c r="H187" s="2005"/>
      <c r="I187" s="2006"/>
      <c r="J187" s="1103">
        <v>31</v>
      </c>
      <c r="K187" s="833"/>
      <c r="L187" s="839"/>
      <c r="M187" s="837"/>
      <c r="N187" s="841"/>
      <c r="O187" s="841"/>
      <c r="P187" s="837"/>
      <c r="Q187" s="834"/>
      <c r="R187" s="834">
        <v>2</v>
      </c>
      <c r="S187" s="861" t="s">
        <v>828</v>
      </c>
      <c r="T187" s="1099" t="s">
        <v>317</v>
      </c>
      <c r="U187" s="794"/>
      <c r="V187" s="1418">
        <f t="shared" si="10"/>
        <v>0</v>
      </c>
      <c r="AB187" s="15"/>
    </row>
    <row r="188" spans="1:28" s="77" customFormat="1" ht="15" hidden="1" customHeight="1">
      <c r="A188" s="370"/>
      <c r="B188" s="831"/>
      <c r="C188" s="1102" t="s">
        <v>1544</v>
      </c>
      <c r="D188" s="2004">
        <v>45078</v>
      </c>
      <c r="E188" s="2005"/>
      <c r="F188" s="2006"/>
      <c r="G188" s="2004">
        <v>45148</v>
      </c>
      <c r="H188" s="2005"/>
      <c r="I188" s="2006"/>
      <c r="J188" s="1103">
        <v>71</v>
      </c>
      <c r="K188" s="833"/>
      <c r="L188" s="839"/>
      <c r="M188" s="837"/>
      <c r="N188" s="841"/>
      <c r="O188" s="841"/>
      <c r="P188" s="837"/>
      <c r="Q188" s="834"/>
      <c r="R188" s="834">
        <f>TRUNC(2+2+((10/31)*2),3)</f>
        <v>4.6449999999999996</v>
      </c>
      <c r="S188" s="861" t="s">
        <v>828</v>
      </c>
      <c r="T188" s="1099" t="s">
        <v>318</v>
      </c>
      <c r="U188" s="794"/>
      <c r="V188" s="1418">
        <f t="shared" si="10"/>
        <v>0</v>
      </c>
      <c r="AB188" s="15"/>
    </row>
    <row r="189" spans="1:28" s="77" customFormat="1" ht="15" hidden="1">
      <c r="A189" s="370"/>
      <c r="B189" s="831"/>
      <c r="C189" s="1102" t="s">
        <v>1544</v>
      </c>
      <c r="D189" s="2004">
        <v>45149</v>
      </c>
      <c r="E189" s="2005"/>
      <c r="F189" s="2006"/>
      <c r="G189" s="2004">
        <v>45169</v>
      </c>
      <c r="H189" s="2005"/>
      <c r="I189" s="2006"/>
      <c r="J189" s="1103">
        <v>21</v>
      </c>
      <c r="K189" s="833"/>
      <c r="L189" s="839"/>
      <c r="M189" s="837"/>
      <c r="N189" s="841"/>
      <c r="O189" s="841"/>
      <c r="P189" s="837"/>
      <c r="Q189" s="834"/>
      <c r="R189" s="834">
        <v>1.3550000000000004</v>
      </c>
      <c r="S189" s="861" t="s">
        <v>828</v>
      </c>
      <c r="T189" s="1099" t="s">
        <v>319</v>
      </c>
      <c r="U189" s="794"/>
      <c r="V189" s="1418">
        <f t="shared" si="10"/>
        <v>0</v>
      </c>
      <c r="AB189" s="15"/>
    </row>
    <row r="190" spans="1:28" s="77" customFormat="1" ht="15" hidden="1">
      <c r="A190" s="370"/>
      <c r="B190" s="831"/>
      <c r="C190" s="1102" t="s">
        <v>1544</v>
      </c>
      <c r="D190" s="2004">
        <v>45170</v>
      </c>
      <c r="E190" s="2005"/>
      <c r="F190" s="2006"/>
      <c r="G190" s="2004">
        <v>45199</v>
      </c>
      <c r="H190" s="2005"/>
      <c r="I190" s="2006"/>
      <c r="J190" s="1103">
        <v>30</v>
      </c>
      <c r="K190" s="833"/>
      <c r="L190" s="839"/>
      <c r="M190" s="837"/>
      <c r="N190" s="841"/>
      <c r="O190" s="841"/>
      <c r="P190" s="837"/>
      <c r="Q190" s="834"/>
      <c r="R190" s="834">
        <v>2</v>
      </c>
      <c r="S190" s="861" t="s">
        <v>828</v>
      </c>
      <c r="T190" s="1099" t="s">
        <v>320</v>
      </c>
      <c r="U190" s="794"/>
      <c r="V190" s="1418">
        <f t="shared" si="10"/>
        <v>0</v>
      </c>
      <c r="AB190" s="15"/>
    </row>
    <row r="191" spans="1:28" s="77" customFormat="1" ht="15" hidden="1">
      <c r="A191" s="370"/>
      <c r="B191" s="831"/>
      <c r="C191" s="1102" t="s">
        <v>1544</v>
      </c>
      <c r="D191" s="1949">
        <v>45200</v>
      </c>
      <c r="E191" s="1950"/>
      <c r="F191" s="1951"/>
      <c r="G191" s="1949">
        <v>45230</v>
      </c>
      <c r="H191" s="1950"/>
      <c r="I191" s="1951"/>
      <c r="J191" s="1103">
        <v>31</v>
      </c>
      <c r="K191" s="833"/>
      <c r="L191" s="839"/>
      <c r="M191" s="837"/>
      <c r="N191" s="841"/>
      <c r="O191" s="841"/>
      <c r="P191" s="837"/>
      <c r="Q191" s="834"/>
      <c r="R191" s="834">
        <v>2</v>
      </c>
      <c r="S191" s="861" t="s">
        <v>828</v>
      </c>
      <c r="T191" s="1099" t="s">
        <v>321</v>
      </c>
      <c r="U191" s="794"/>
      <c r="V191" s="1418">
        <f t="shared" si="10"/>
        <v>0</v>
      </c>
      <c r="AB191" s="15"/>
    </row>
    <row r="192" spans="1:28" s="77" customFormat="1" ht="15" hidden="1">
      <c r="A192" s="370"/>
      <c r="B192" s="831"/>
      <c r="C192" s="1102" t="s">
        <v>1544</v>
      </c>
      <c r="D192" s="1949">
        <v>45231</v>
      </c>
      <c r="E192" s="1950"/>
      <c r="F192" s="1951"/>
      <c r="G192" s="1949">
        <v>45260</v>
      </c>
      <c r="H192" s="1950"/>
      <c r="I192" s="1951"/>
      <c r="J192" s="1103">
        <v>30</v>
      </c>
      <c r="K192" s="833"/>
      <c r="L192" s="839"/>
      <c r="M192" s="837"/>
      <c r="N192" s="841"/>
      <c r="O192" s="841"/>
      <c r="P192" s="837"/>
      <c r="Q192" s="834"/>
      <c r="R192" s="834">
        <v>2</v>
      </c>
      <c r="S192" s="861" t="s">
        <v>828</v>
      </c>
      <c r="T192" s="1099" t="s">
        <v>322</v>
      </c>
      <c r="U192" s="794"/>
      <c r="V192" s="1418">
        <f t="shared" si="10"/>
        <v>0</v>
      </c>
      <c r="AB192" s="15"/>
    </row>
    <row r="193" spans="1:36" s="77" customFormat="1" ht="15" hidden="1">
      <c r="A193" s="370"/>
      <c r="B193" s="831"/>
      <c r="C193" s="1102" t="s">
        <v>1544</v>
      </c>
      <c r="D193" s="1949">
        <v>45261</v>
      </c>
      <c r="E193" s="1950"/>
      <c r="F193" s="1951"/>
      <c r="G193" s="1949">
        <v>45291</v>
      </c>
      <c r="H193" s="1950"/>
      <c r="I193" s="1951"/>
      <c r="J193" s="1103">
        <v>31</v>
      </c>
      <c r="K193" s="833"/>
      <c r="L193" s="839"/>
      <c r="M193" s="837"/>
      <c r="N193" s="841"/>
      <c r="O193" s="841"/>
      <c r="P193" s="837"/>
      <c r="Q193" s="834"/>
      <c r="R193" s="834">
        <v>2</v>
      </c>
      <c r="S193" s="861" t="s">
        <v>828</v>
      </c>
      <c r="T193" s="1099" t="s">
        <v>323</v>
      </c>
      <c r="U193" s="794"/>
      <c r="V193" s="1418">
        <f t="shared" si="10"/>
        <v>0</v>
      </c>
      <c r="AB193" s="15"/>
    </row>
    <row r="194" spans="1:36" s="77" customFormat="1" ht="15" hidden="1">
      <c r="A194" s="370"/>
      <c r="B194" s="831"/>
      <c r="C194" s="1102" t="s">
        <v>1544</v>
      </c>
      <c r="D194" s="1949">
        <v>45292</v>
      </c>
      <c r="E194" s="1950"/>
      <c r="F194" s="1951"/>
      <c r="G194" s="1949">
        <v>45321</v>
      </c>
      <c r="H194" s="1950"/>
      <c r="I194" s="1951"/>
      <c r="J194" s="1103">
        <v>30</v>
      </c>
      <c r="K194" s="833"/>
      <c r="L194" s="839"/>
      <c r="M194" s="837"/>
      <c r="N194" s="841"/>
      <c r="O194" s="841"/>
      <c r="P194" s="837"/>
      <c r="Q194" s="834"/>
      <c r="R194" s="834">
        <v>2</v>
      </c>
      <c r="S194" s="861" t="s">
        <v>828</v>
      </c>
      <c r="T194" s="1099" t="s">
        <v>324</v>
      </c>
      <c r="U194" s="794"/>
      <c r="V194" s="1418">
        <f t="shared" si="10"/>
        <v>0</v>
      </c>
      <c r="AB194" s="15"/>
    </row>
    <row r="195" spans="1:36" s="77" customFormat="1" ht="15" hidden="1">
      <c r="A195" s="370"/>
      <c r="B195" s="831"/>
      <c r="C195" s="1102" t="s">
        <v>1544</v>
      </c>
      <c r="D195" s="1949">
        <v>45323</v>
      </c>
      <c r="E195" s="1950"/>
      <c r="F195" s="1951"/>
      <c r="G195" s="1949">
        <v>45351</v>
      </c>
      <c r="H195" s="1950"/>
      <c r="I195" s="1951"/>
      <c r="J195" s="832">
        <v>29</v>
      </c>
      <c r="K195" s="839"/>
      <c r="L195" s="839"/>
      <c r="M195" s="840"/>
      <c r="N195" s="841"/>
      <c r="O195" s="841"/>
      <c r="P195" s="837"/>
      <c r="Q195" s="834"/>
      <c r="R195" s="860">
        <v>2</v>
      </c>
      <c r="S195" s="861" t="s">
        <v>1543</v>
      </c>
      <c r="T195" s="1099" t="s">
        <v>325</v>
      </c>
      <c r="U195" s="794"/>
      <c r="V195" s="1418">
        <f t="shared" si="10"/>
        <v>0</v>
      </c>
      <c r="AB195" s="15"/>
    </row>
    <row r="196" spans="1:36" s="77" customFormat="1" ht="15" hidden="1">
      <c r="A196" s="370"/>
      <c r="B196" s="831"/>
      <c r="C196" s="1102" t="s">
        <v>1544</v>
      </c>
      <c r="D196" s="1949">
        <v>45352</v>
      </c>
      <c r="E196" s="1950"/>
      <c r="F196" s="1951"/>
      <c r="G196" s="1949">
        <v>45382</v>
      </c>
      <c r="H196" s="1950"/>
      <c r="I196" s="1951"/>
      <c r="J196" s="832">
        <v>31</v>
      </c>
      <c r="K196" s="839"/>
      <c r="L196" s="839"/>
      <c r="M196" s="840"/>
      <c r="N196" s="841"/>
      <c r="O196" s="841"/>
      <c r="P196" s="837"/>
      <c r="Q196" s="834"/>
      <c r="R196" s="860">
        <v>1</v>
      </c>
      <c r="S196" s="861" t="s">
        <v>828</v>
      </c>
      <c r="T196" s="1099" t="s">
        <v>326</v>
      </c>
      <c r="U196" s="794"/>
      <c r="V196" s="1418">
        <f t="shared" si="10"/>
        <v>0</v>
      </c>
      <c r="AB196" s="15"/>
    </row>
    <row r="197" spans="1:36" s="77" customFormat="1" ht="15" hidden="1">
      <c r="A197" s="370"/>
      <c r="B197" s="831"/>
      <c r="C197" s="1102" t="s">
        <v>1544</v>
      </c>
      <c r="D197" s="1949">
        <v>45383</v>
      </c>
      <c r="E197" s="1950"/>
      <c r="F197" s="1951"/>
      <c r="G197" s="1949">
        <v>45412</v>
      </c>
      <c r="H197" s="1950"/>
      <c r="I197" s="1951"/>
      <c r="J197" s="832">
        <v>30</v>
      </c>
      <c r="K197" s="839"/>
      <c r="L197" s="839"/>
      <c r="M197" s="840"/>
      <c r="N197" s="841"/>
      <c r="O197" s="841"/>
      <c r="P197" s="837"/>
      <c r="Q197" s="834"/>
      <c r="R197" s="860">
        <v>1</v>
      </c>
      <c r="S197" s="861" t="s">
        <v>828</v>
      </c>
      <c r="T197" s="1099" t="s">
        <v>327</v>
      </c>
      <c r="U197" s="794"/>
      <c r="V197" s="1418">
        <f t="shared" si="10"/>
        <v>0</v>
      </c>
      <c r="AB197" s="15"/>
    </row>
    <row r="198" spans="1:36" s="77" customFormat="1" ht="15" hidden="1">
      <c r="A198" s="370"/>
      <c r="B198" s="831"/>
      <c r="C198" s="1102" t="s">
        <v>1544</v>
      </c>
      <c r="D198" s="1949">
        <v>45413</v>
      </c>
      <c r="E198" s="1950"/>
      <c r="F198" s="1951"/>
      <c r="G198" s="1949">
        <v>45443</v>
      </c>
      <c r="H198" s="1950"/>
      <c r="I198" s="1951"/>
      <c r="J198" s="832">
        <v>31</v>
      </c>
      <c r="K198" s="839"/>
      <c r="L198" s="839"/>
      <c r="M198" s="840"/>
      <c r="N198" s="841"/>
      <c r="O198" s="841"/>
      <c r="P198" s="837"/>
      <c r="Q198" s="834"/>
      <c r="R198" s="860">
        <v>1</v>
      </c>
      <c r="S198" s="861" t="s">
        <v>828</v>
      </c>
      <c r="T198" s="1099" t="s">
        <v>328</v>
      </c>
      <c r="U198" s="794"/>
      <c r="V198" s="1418">
        <f t="shared" si="10"/>
        <v>0</v>
      </c>
      <c r="AB198" s="15"/>
    </row>
    <row r="199" spans="1:36" s="77" customFormat="1" ht="15" hidden="1">
      <c r="A199" s="370"/>
      <c r="B199" s="831"/>
      <c r="C199" s="1253" t="s">
        <v>1544</v>
      </c>
      <c r="D199" s="1952">
        <v>45444</v>
      </c>
      <c r="E199" s="1953"/>
      <c r="F199" s="1954"/>
      <c r="G199" s="1952">
        <v>45473</v>
      </c>
      <c r="H199" s="1953"/>
      <c r="I199" s="1954"/>
      <c r="J199" s="1235">
        <v>31</v>
      </c>
      <c r="K199" s="1237"/>
      <c r="L199" s="1250"/>
      <c r="M199" s="1236"/>
      <c r="N199" s="1245"/>
      <c r="O199" s="1245"/>
      <c r="P199" s="1236"/>
      <c r="Q199" s="1190"/>
      <c r="R199" s="1190">
        <v>1</v>
      </c>
      <c r="S199" s="1251" t="s">
        <v>828</v>
      </c>
      <c r="T199" s="1252" t="s">
        <v>330</v>
      </c>
      <c r="U199" s="794"/>
      <c r="V199" s="1418">
        <f t="shared" si="10"/>
        <v>0</v>
      </c>
      <c r="AB199" s="15"/>
    </row>
    <row r="200" spans="1:36" s="77" customFormat="1" ht="15" hidden="1">
      <c r="A200" s="370"/>
      <c r="B200" s="831"/>
      <c r="C200" s="1253" t="s">
        <v>1544</v>
      </c>
      <c r="D200" s="1952">
        <v>45474</v>
      </c>
      <c r="E200" s="1953"/>
      <c r="F200" s="1954"/>
      <c r="G200" s="1952">
        <v>45504</v>
      </c>
      <c r="H200" s="1953"/>
      <c r="I200" s="1954"/>
      <c r="J200" s="1235">
        <v>31</v>
      </c>
      <c r="K200" s="1237"/>
      <c r="L200" s="1250"/>
      <c r="M200" s="1236"/>
      <c r="N200" s="1245"/>
      <c r="O200" s="1245"/>
      <c r="P200" s="1236"/>
      <c r="Q200" s="1190"/>
      <c r="R200" s="1190">
        <v>1</v>
      </c>
      <c r="S200" s="1251" t="s">
        <v>828</v>
      </c>
      <c r="T200" s="1252" t="s">
        <v>330</v>
      </c>
      <c r="U200" s="794"/>
      <c r="V200" s="1418">
        <f t="shared" si="10"/>
        <v>0</v>
      </c>
      <c r="AB200" s="15"/>
    </row>
    <row r="201" spans="1:36" s="77" customFormat="1" ht="15" hidden="1" customHeight="1">
      <c r="A201" s="370"/>
      <c r="B201" s="766"/>
      <c r="C201" s="962" t="s">
        <v>1544</v>
      </c>
      <c r="D201" s="2073">
        <v>45505</v>
      </c>
      <c r="E201" s="2074"/>
      <c r="F201" s="2075"/>
      <c r="G201" s="2073">
        <v>45535</v>
      </c>
      <c r="H201" s="2074"/>
      <c r="I201" s="2075"/>
      <c r="J201" s="482">
        <f>G201-D201+1</f>
        <v>31</v>
      </c>
      <c r="K201" s="495"/>
      <c r="L201" s="743"/>
      <c r="M201" s="798"/>
      <c r="N201" s="744"/>
      <c r="O201" s="744"/>
      <c r="P201" s="798"/>
      <c r="Q201" s="497"/>
      <c r="R201" s="497">
        <v>1</v>
      </c>
      <c r="S201" s="745" t="s">
        <v>828</v>
      </c>
      <c r="T201" s="1101" t="s">
        <v>330</v>
      </c>
      <c r="U201" s="31"/>
      <c r="V201" s="1418">
        <f t="shared" si="10"/>
        <v>0</v>
      </c>
      <c r="AB201" s="15"/>
    </row>
    <row r="202" spans="1:36" s="77" customFormat="1" ht="15.6" hidden="1">
      <c r="A202" s="370"/>
      <c r="B202" s="499"/>
      <c r="C202" s="37"/>
      <c r="D202" s="1940" t="s">
        <v>1520</v>
      </c>
      <c r="E202" s="1941"/>
      <c r="F202" s="1941"/>
      <c r="G202" s="1941"/>
      <c r="H202" s="1941"/>
      <c r="I202" s="1942"/>
      <c r="J202" s="1955">
        <f>VLOOKUP(A204,'11 - FINANCEIRA'!_xlnm.Print_Area,6,FALSE)</f>
        <v>70</v>
      </c>
      <c r="K202" s="1956"/>
      <c r="L202" s="483" t="str">
        <f>VLOOKUP(A204,'11 - FINANCEIRA'!_xlnm.Print_Area,4,FALSE)</f>
        <v>ms</v>
      </c>
      <c r="M202" s="1957" t="s">
        <v>1521</v>
      </c>
      <c r="N202" s="1958"/>
      <c r="O202" s="1958"/>
      <c r="P202" s="1958"/>
      <c r="Q202" s="1959"/>
      <c r="R202" s="484">
        <f>SUM(R169:R201)</f>
        <v>70</v>
      </c>
      <c r="S202" s="485" t="str">
        <f>L202</f>
        <v>ms</v>
      </c>
      <c r="T202" s="373"/>
      <c r="U202" s="486"/>
      <c r="V202" s="1418">
        <f t="shared" si="10"/>
        <v>0</v>
      </c>
      <c r="AB202" s="15"/>
    </row>
    <row r="203" spans="1:36" s="77" customFormat="1" ht="15.6" hidden="1">
      <c r="A203" s="370"/>
      <c r="B203" s="499"/>
      <c r="C203" s="725"/>
      <c r="D203" s="1937" t="s">
        <v>1522</v>
      </c>
      <c r="E203" s="1938"/>
      <c r="F203" s="1938"/>
      <c r="G203" s="1938"/>
      <c r="H203" s="1938"/>
      <c r="I203" s="1939"/>
      <c r="J203" s="1943">
        <f>R202/J202</f>
        <v>1</v>
      </c>
      <c r="K203" s="1944"/>
      <c r="L203" s="1947"/>
      <c r="M203" s="1934" t="s">
        <v>1523</v>
      </c>
      <c r="N203" s="1935"/>
      <c r="O203" s="1935"/>
      <c r="P203" s="1935"/>
      <c r="Q203" s="1936"/>
      <c r="R203" s="726">
        <f>VLOOKUP(A204,'11 - FINANCEIRA'!_xlnm.Print_Area,8,FALSE)</f>
        <v>70</v>
      </c>
      <c r="S203" s="727" t="str">
        <f>L202</f>
        <v>ms</v>
      </c>
      <c r="T203" s="373"/>
      <c r="U203" s="486"/>
      <c r="V203" s="1418">
        <f t="shared" si="10"/>
        <v>0</v>
      </c>
      <c r="AB203" s="15"/>
    </row>
    <row r="204" spans="1:36" s="77" customFormat="1" ht="15.6" hidden="1">
      <c r="A204" s="364" t="s">
        <v>357</v>
      </c>
      <c r="B204" s="499"/>
      <c r="C204" s="37"/>
      <c r="D204" s="2013"/>
      <c r="E204" s="2014"/>
      <c r="F204" s="2014"/>
      <c r="G204" s="2014"/>
      <c r="H204" s="2014"/>
      <c r="I204" s="2015"/>
      <c r="J204" s="2016"/>
      <c r="K204" s="2017"/>
      <c r="L204" s="1962"/>
      <c r="M204" s="2007" t="s">
        <v>1524</v>
      </c>
      <c r="N204" s="2008"/>
      <c r="O204" s="2008"/>
      <c r="P204" s="2008"/>
      <c r="Q204" s="2009"/>
      <c r="R204" s="1345">
        <f>R202-R203</f>
        <v>0</v>
      </c>
      <c r="S204" s="1346" t="str">
        <f>L202</f>
        <v>ms</v>
      </c>
      <c r="T204" s="373"/>
      <c r="U204" s="486"/>
      <c r="V204" s="1418">
        <f>R204</f>
        <v>0</v>
      </c>
      <c r="AB204" s="15"/>
    </row>
    <row r="205" spans="1:36" s="77" customFormat="1" ht="15.6" hidden="1">
      <c r="A205" s="370"/>
      <c r="B205" s="1347"/>
      <c r="C205" s="1348"/>
      <c r="D205" s="1349"/>
      <c r="E205" s="1350"/>
      <c r="F205" s="1349"/>
      <c r="G205" s="1349"/>
      <c r="H205" s="1349"/>
      <c r="I205" s="1349"/>
      <c r="J205" s="1351"/>
      <c r="K205" s="1352"/>
      <c r="L205" s="1353"/>
      <c r="M205" s="1354"/>
      <c r="N205" s="1354"/>
      <c r="O205" s="1354"/>
      <c r="P205" s="1354"/>
      <c r="Q205" s="1354"/>
      <c r="R205" s="1355"/>
      <c r="S205" s="1356"/>
      <c r="T205" s="1357"/>
      <c r="U205" s="1358"/>
      <c r="V205" s="1420">
        <f>SUM(V167:V204)</f>
        <v>0</v>
      </c>
      <c r="AB205" s="15"/>
    </row>
    <row r="206" spans="1:36" s="352" customFormat="1" ht="15.6" hidden="1">
      <c r="A206" s="351"/>
      <c r="B206" s="1963" t="str">
        <f>VLOOKUP(A243,'11 - FINANCEIRA'!_xlnm.Print_Area,1,FALSE)</f>
        <v>1.2.5</v>
      </c>
      <c r="C206" s="1965" t="str">
        <f>VLOOKUP(A243,'11 - FINANCEIRA'!_xlnm.Print_Area,3,FALSE)</f>
        <v>Aluguel mensal container para almoxarifado, incl. porta, 2 janelas, 1 pt iluminação, Isolamento térmico (teto), piso em comp. Naval pintado, cert. NR18, incl. laudo descontaminação.</v>
      </c>
      <c r="D206" s="1967" t="s">
        <v>205</v>
      </c>
      <c r="E206" s="1968"/>
      <c r="F206" s="1968"/>
      <c r="G206" s="1968"/>
      <c r="H206" s="1968"/>
      <c r="I206" s="1969"/>
      <c r="J206" s="1914" t="s">
        <v>145</v>
      </c>
      <c r="K206" s="1914" t="s">
        <v>1505</v>
      </c>
      <c r="L206" s="1914" t="s">
        <v>1506</v>
      </c>
      <c r="M206" s="1914" t="s">
        <v>1507</v>
      </c>
      <c r="N206" s="1914" t="s">
        <v>1508</v>
      </c>
      <c r="O206" s="1914" t="s">
        <v>1509</v>
      </c>
      <c r="P206" s="1341" t="s">
        <v>1510</v>
      </c>
      <c r="Q206" s="1914" t="s">
        <v>1493</v>
      </c>
      <c r="R206" s="1916" t="s">
        <v>804</v>
      </c>
      <c r="S206" s="1914" t="s">
        <v>1511</v>
      </c>
      <c r="T206" s="1914" t="s">
        <v>1512</v>
      </c>
      <c r="U206" s="1918" t="s">
        <v>1513</v>
      </c>
      <c r="V206" s="1418">
        <f t="shared" ref="V206:V211" si="11">V207</f>
        <v>0</v>
      </c>
      <c r="W206" s="16"/>
      <c r="X206" s="16"/>
      <c r="Y206" s="16"/>
      <c r="Z206" s="17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1:36" s="352" customFormat="1" ht="15.6" hidden="1">
      <c r="A207" s="351"/>
      <c r="B207" s="1964" t="e">
        <f>LEFT(#REF!,5)</f>
        <v>#REF!</v>
      </c>
      <c r="C207" s="1966" t="e">
        <f>VLOOKUP(LEFT(#REF!,5),'11 - FINANCEIRA'!_xlnm.Print_Area,2,FALSE)</f>
        <v>#REF!</v>
      </c>
      <c r="D207" s="1920" t="s">
        <v>1514</v>
      </c>
      <c r="E207" s="1921"/>
      <c r="F207" s="1922"/>
      <c r="G207" s="1923" t="s">
        <v>1515</v>
      </c>
      <c r="H207" s="1924"/>
      <c r="I207" s="1925"/>
      <c r="J207" s="1915"/>
      <c r="K207" s="1915"/>
      <c r="L207" s="1915"/>
      <c r="M207" s="1915"/>
      <c r="N207" s="1915"/>
      <c r="O207" s="1915"/>
      <c r="P207" s="353" t="s">
        <v>1516</v>
      </c>
      <c r="Q207" s="1915"/>
      <c r="R207" s="1917"/>
      <c r="S207" s="1915"/>
      <c r="T207" s="1915"/>
      <c r="U207" s="1919"/>
      <c r="V207" s="1418">
        <f t="shared" si="11"/>
        <v>0</v>
      </c>
      <c r="W207" s="16"/>
      <c r="X207" s="16"/>
      <c r="Y207" s="16"/>
      <c r="Z207" s="17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1:36" s="361" customFormat="1" ht="15" hidden="1">
      <c r="A208" s="354"/>
      <c r="B208" s="535"/>
      <c r="C208" s="464" t="s">
        <v>1545</v>
      </c>
      <c r="D208" s="2068">
        <v>44378</v>
      </c>
      <c r="E208" s="2069"/>
      <c r="F208" s="2070"/>
      <c r="G208" s="2068">
        <v>44408</v>
      </c>
      <c r="H208" s="2069"/>
      <c r="I208" s="2070"/>
      <c r="J208" s="21">
        <f>DAY(DATE(YEAR(D208),MONTH(D208)+1,0))</f>
        <v>31</v>
      </c>
      <c r="K208" s="487"/>
      <c r="L208" s="487"/>
      <c r="M208" s="487"/>
      <c r="N208" s="487"/>
      <c r="O208" s="488"/>
      <c r="P208" s="487"/>
      <c r="Q208" s="489"/>
      <c r="R208" s="489">
        <v>1</v>
      </c>
      <c r="S208" s="488" t="s">
        <v>828</v>
      </c>
      <c r="T208" s="490" t="s">
        <v>298</v>
      </c>
      <c r="U208" s="491"/>
      <c r="V208" s="1419">
        <f t="shared" si="11"/>
        <v>0</v>
      </c>
      <c r="W208" s="357"/>
      <c r="X208" s="357"/>
      <c r="Y208" s="357"/>
      <c r="Z208" s="358"/>
      <c r="AA208" s="359"/>
      <c r="AB208" s="360"/>
    </row>
    <row r="209" spans="1:28" s="361" customFormat="1" ht="15" hidden="1">
      <c r="A209" s="354"/>
      <c r="B209" s="755"/>
      <c r="C209" s="710" t="s">
        <v>1545</v>
      </c>
      <c r="D209" s="1949">
        <v>44409</v>
      </c>
      <c r="E209" s="1950"/>
      <c r="F209" s="1951"/>
      <c r="G209" s="1960">
        <v>44439</v>
      </c>
      <c r="H209" s="1960"/>
      <c r="I209" s="1960"/>
      <c r="J209" s="21">
        <f>DAY(DATE(YEAR(D209),MONTH(D209)+1,0))</f>
        <v>31</v>
      </c>
      <c r="K209" s="23"/>
      <c r="L209" s="23"/>
      <c r="M209" s="23"/>
      <c r="N209" s="23"/>
      <c r="O209" s="447"/>
      <c r="P209" s="23"/>
      <c r="Q209" s="445"/>
      <c r="R209" s="445">
        <v>1</v>
      </c>
      <c r="S209" s="447" t="s">
        <v>828</v>
      </c>
      <c r="T209" s="446" t="s">
        <v>299</v>
      </c>
      <c r="U209" s="44"/>
      <c r="V209" s="1418">
        <f t="shared" si="11"/>
        <v>0</v>
      </c>
      <c r="W209" s="357"/>
      <c r="X209" s="357"/>
      <c r="Y209" s="357"/>
      <c r="Z209" s="358"/>
      <c r="AA209" s="359"/>
      <c r="AB209" s="360"/>
    </row>
    <row r="210" spans="1:28" s="369" customFormat="1" ht="15" hidden="1">
      <c r="A210" s="364"/>
      <c r="B210" s="755"/>
      <c r="C210" s="710" t="s">
        <v>1545</v>
      </c>
      <c r="D210" s="1949">
        <v>44440</v>
      </c>
      <c r="E210" s="1950"/>
      <c r="F210" s="1951"/>
      <c r="G210" s="1949">
        <v>44469</v>
      </c>
      <c r="H210" s="1950"/>
      <c r="I210" s="1951"/>
      <c r="J210" s="21">
        <f>DAY(DATE(YEAR(D210),MONTH(D210)+1,0))</f>
        <v>30</v>
      </c>
      <c r="K210" s="23"/>
      <c r="L210" s="23"/>
      <c r="M210" s="23"/>
      <c r="N210" s="447"/>
      <c r="O210" s="447"/>
      <c r="P210" s="23"/>
      <c r="Q210" s="445"/>
      <c r="R210" s="445">
        <v>1</v>
      </c>
      <c r="S210" s="447" t="s">
        <v>828</v>
      </c>
      <c r="T210" s="446" t="s">
        <v>300</v>
      </c>
      <c r="U210" s="44"/>
      <c r="V210" s="1418">
        <f t="shared" si="11"/>
        <v>0</v>
      </c>
      <c r="W210" s="367"/>
      <c r="X210" s="367"/>
      <c r="Y210" s="367"/>
      <c r="Z210" s="368"/>
    </row>
    <row r="211" spans="1:28" s="478" customFormat="1" ht="15" hidden="1">
      <c r="A211" s="465"/>
      <c r="B211" s="755"/>
      <c r="C211" s="710" t="s">
        <v>1545</v>
      </c>
      <c r="D211" s="1949">
        <v>44470</v>
      </c>
      <c r="E211" s="1950"/>
      <c r="F211" s="1951"/>
      <c r="G211" s="1949">
        <v>44500</v>
      </c>
      <c r="H211" s="1950"/>
      <c r="I211" s="1951"/>
      <c r="J211" s="21">
        <f>DAY(DATE(YEAR(D211),MONTH(D211)+1,0))</f>
        <v>31</v>
      </c>
      <c r="K211" s="23"/>
      <c r="L211" s="23"/>
      <c r="M211" s="23"/>
      <c r="N211" s="447"/>
      <c r="O211" s="447"/>
      <c r="P211" s="23"/>
      <c r="Q211" s="445"/>
      <c r="R211" s="445">
        <v>1</v>
      </c>
      <c r="S211" s="447" t="s">
        <v>828</v>
      </c>
      <c r="T211" s="446" t="s">
        <v>301</v>
      </c>
      <c r="U211" s="494"/>
      <c r="V211" s="1418">
        <f t="shared" si="11"/>
        <v>0</v>
      </c>
      <c r="AB211" s="479"/>
    </row>
    <row r="212" spans="1:28" s="77" customFormat="1" ht="15" hidden="1">
      <c r="A212" s="370"/>
      <c r="B212" s="755"/>
      <c r="C212" s="710" t="s">
        <v>1545</v>
      </c>
      <c r="D212" s="1949">
        <v>44501</v>
      </c>
      <c r="E212" s="1950"/>
      <c r="F212" s="1951"/>
      <c r="G212" s="1949">
        <v>44571</v>
      </c>
      <c r="H212" s="1950"/>
      <c r="I212" s="1951"/>
      <c r="J212" s="21">
        <f>G212-D212+2</f>
        <v>72</v>
      </c>
      <c r="K212" s="23"/>
      <c r="L212" s="23"/>
      <c r="M212" s="23"/>
      <c r="N212" s="447"/>
      <c r="O212" s="447"/>
      <c r="P212" s="23"/>
      <c r="Q212" s="445"/>
      <c r="R212" s="445">
        <v>2.3330000000000002</v>
      </c>
      <c r="S212" s="447" t="s">
        <v>828</v>
      </c>
      <c r="T212" s="446" t="s">
        <v>302</v>
      </c>
      <c r="U212" s="451"/>
      <c r="V212" s="1418">
        <f>V241</f>
        <v>0</v>
      </c>
      <c r="AB212" s="15"/>
    </row>
    <row r="213" spans="1:28" s="77" customFormat="1" ht="15" hidden="1">
      <c r="A213" s="370"/>
      <c r="B213" s="755"/>
      <c r="C213" s="710" t="s">
        <v>1545</v>
      </c>
      <c r="D213" s="1949">
        <v>44571</v>
      </c>
      <c r="E213" s="1950"/>
      <c r="F213" s="1951"/>
      <c r="G213" s="1949">
        <v>44592</v>
      </c>
      <c r="H213" s="1950"/>
      <c r="I213" s="1951"/>
      <c r="J213" s="21">
        <f>G213-D213</f>
        <v>21</v>
      </c>
      <c r="K213" s="23"/>
      <c r="L213" s="23"/>
      <c r="M213" s="23"/>
      <c r="N213" s="447"/>
      <c r="O213" s="447"/>
      <c r="P213" s="23"/>
      <c r="Q213" s="445"/>
      <c r="R213" s="445">
        <v>0.66700000000000004</v>
      </c>
      <c r="S213" s="447" t="s">
        <v>828</v>
      </c>
      <c r="T213" s="446" t="s">
        <v>303</v>
      </c>
      <c r="U213" s="451"/>
      <c r="V213" s="1418">
        <f>V240</f>
        <v>0</v>
      </c>
      <c r="AB213" s="15"/>
    </row>
    <row r="214" spans="1:28" s="77" customFormat="1" ht="15" hidden="1">
      <c r="A214" s="370"/>
      <c r="B214" s="755"/>
      <c r="C214" s="710" t="s">
        <v>1545</v>
      </c>
      <c r="D214" s="1949">
        <v>44593</v>
      </c>
      <c r="E214" s="1950"/>
      <c r="F214" s="1951"/>
      <c r="G214" s="1949">
        <v>44620</v>
      </c>
      <c r="H214" s="1950"/>
      <c r="I214" s="1951"/>
      <c r="J214" s="21">
        <f>DAY(DATE(YEAR(D214),MONTH(D214)+1,0))</f>
        <v>28</v>
      </c>
      <c r="K214" s="23"/>
      <c r="L214" s="23"/>
      <c r="M214" s="23"/>
      <c r="N214" s="447"/>
      <c r="O214" s="447"/>
      <c r="P214" s="23"/>
      <c r="Q214" s="445"/>
      <c r="R214" s="445">
        <v>1</v>
      </c>
      <c r="S214" s="447" t="s">
        <v>828</v>
      </c>
      <c r="T214" s="446" t="s">
        <v>304</v>
      </c>
      <c r="U214" s="795"/>
      <c r="V214" s="1418">
        <f>V241</f>
        <v>0</v>
      </c>
      <c r="AB214" s="15"/>
    </row>
    <row r="215" spans="1:28" s="77" customFormat="1" ht="15" hidden="1">
      <c r="A215" s="370"/>
      <c r="B215" s="755"/>
      <c r="C215" s="710" t="s">
        <v>1545</v>
      </c>
      <c r="D215" s="1949">
        <v>44621</v>
      </c>
      <c r="E215" s="1950"/>
      <c r="F215" s="1951"/>
      <c r="G215" s="1949">
        <v>44651</v>
      </c>
      <c r="H215" s="1950"/>
      <c r="I215" s="1951"/>
      <c r="J215" s="21">
        <f>DAY(DATE(YEAR(D215),MONTH(D215)+1,0))</f>
        <v>31</v>
      </c>
      <c r="K215" s="23"/>
      <c r="L215" s="23"/>
      <c r="M215" s="23"/>
      <c r="N215" s="447"/>
      <c r="O215" s="447"/>
      <c r="P215" s="23"/>
      <c r="Q215" s="445"/>
      <c r="R215" s="445">
        <v>1</v>
      </c>
      <c r="S215" s="447" t="s">
        <v>828</v>
      </c>
      <c r="T215" s="446" t="s">
        <v>305</v>
      </c>
      <c r="U215" s="794"/>
      <c r="V215" s="1418">
        <f>V241</f>
        <v>0</v>
      </c>
      <c r="AB215" s="15"/>
    </row>
    <row r="216" spans="1:28" s="77" customFormat="1" ht="15" hidden="1">
      <c r="A216" s="370"/>
      <c r="B216" s="755"/>
      <c r="C216" s="710" t="s">
        <v>1545</v>
      </c>
      <c r="D216" s="1949">
        <v>44652</v>
      </c>
      <c r="E216" s="1950"/>
      <c r="F216" s="1951"/>
      <c r="G216" s="1949">
        <v>44712</v>
      </c>
      <c r="H216" s="1950"/>
      <c r="I216" s="1951"/>
      <c r="J216" s="21">
        <v>61</v>
      </c>
      <c r="K216" s="23"/>
      <c r="L216" s="23"/>
      <c r="M216" s="23"/>
      <c r="N216" s="447"/>
      <c r="O216" s="447"/>
      <c r="P216" s="23"/>
      <c r="Q216" s="445"/>
      <c r="R216" s="445">
        <v>2</v>
      </c>
      <c r="S216" s="447" t="s">
        <v>828</v>
      </c>
      <c r="T216" s="446" t="s">
        <v>56</v>
      </c>
      <c r="U216" s="794"/>
      <c r="V216" s="1418">
        <f>V241</f>
        <v>0</v>
      </c>
      <c r="AB216" s="15"/>
    </row>
    <row r="217" spans="1:28" s="77" customFormat="1" ht="15" hidden="1">
      <c r="A217" s="370"/>
      <c r="B217" s="755"/>
      <c r="C217" s="710" t="s">
        <v>1545</v>
      </c>
      <c r="D217" s="1949">
        <v>44713</v>
      </c>
      <c r="E217" s="1950"/>
      <c r="F217" s="1951"/>
      <c r="G217" s="1949">
        <v>44742</v>
      </c>
      <c r="H217" s="1950"/>
      <c r="I217" s="1951"/>
      <c r="J217" s="21">
        <f>DAY(DATE(YEAR(D217),MONTH(D217)+1,0))</f>
        <v>30</v>
      </c>
      <c r="K217" s="23"/>
      <c r="L217" s="23"/>
      <c r="M217" s="23"/>
      <c r="N217" s="447"/>
      <c r="O217" s="447"/>
      <c r="P217" s="23"/>
      <c r="Q217" s="445"/>
      <c r="R217" s="445">
        <v>1</v>
      </c>
      <c r="S217" s="447" t="s">
        <v>828</v>
      </c>
      <c r="T217" s="446" t="s">
        <v>306</v>
      </c>
      <c r="U217" s="794"/>
      <c r="V217" s="1418">
        <f t="shared" ref="V217:V241" si="12">V218</f>
        <v>0</v>
      </c>
      <c r="AB217" s="15"/>
    </row>
    <row r="218" spans="1:28" s="77" customFormat="1" ht="15" hidden="1">
      <c r="A218" s="370"/>
      <c r="B218" s="755"/>
      <c r="C218" s="710" t="s">
        <v>1545</v>
      </c>
      <c r="D218" s="1949">
        <v>44743</v>
      </c>
      <c r="E218" s="1950"/>
      <c r="F218" s="1951"/>
      <c r="G218" s="1949">
        <v>44773</v>
      </c>
      <c r="H218" s="1950"/>
      <c r="I218" s="1951"/>
      <c r="J218" s="21">
        <f>DAY(DATE(YEAR(D218),MONTH(D218)+1,0))</f>
        <v>31</v>
      </c>
      <c r="K218" s="23"/>
      <c r="L218" s="23"/>
      <c r="M218" s="23"/>
      <c r="N218" s="447"/>
      <c r="O218" s="447"/>
      <c r="P218" s="23"/>
      <c r="Q218" s="445"/>
      <c r="R218" s="445">
        <v>1</v>
      </c>
      <c r="S218" s="447" t="s">
        <v>828</v>
      </c>
      <c r="T218" s="446" t="s">
        <v>307</v>
      </c>
      <c r="U218" s="794"/>
      <c r="V218" s="1418">
        <f t="shared" si="12"/>
        <v>0</v>
      </c>
      <c r="AB218" s="15"/>
    </row>
    <row r="219" spans="1:28" s="77" customFormat="1" ht="15" hidden="1">
      <c r="A219" s="370"/>
      <c r="B219" s="755"/>
      <c r="C219" s="710" t="s">
        <v>1545</v>
      </c>
      <c r="D219" s="1949">
        <v>44774</v>
      </c>
      <c r="E219" s="1950"/>
      <c r="F219" s="1951"/>
      <c r="G219" s="1949">
        <v>44804</v>
      </c>
      <c r="H219" s="1950"/>
      <c r="I219" s="1951"/>
      <c r="J219" s="21">
        <f>DAY(DATE(YEAR(D219),MONTH(D219)+1,0))</f>
        <v>31</v>
      </c>
      <c r="K219" s="23"/>
      <c r="L219" s="23"/>
      <c r="M219" s="23"/>
      <c r="N219" s="447"/>
      <c r="O219" s="447"/>
      <c r="P219" s="23"/>
      <c r="Q219" s="445"/>
      <c r="R219" s="445">
        <v>1</v>
      </c>
      <c r="S219" s="447" t="s">
        <v>828</v>
      </c>
      <c r="T219" s="446" t="s">
        <v>308</v>
      </c>
      <c r="U219" s="794"/>
      <c r="V219" s="1418">
        <f t="shared" si="12"/>
        <v>0</v>
      </c>
      <c r="AB219" s="15"/>
    </row>
    <row r="220" spans="1:28" s="77" customFormat="1" ht="15" hidden="1">
      <c r="A220" s="370"/>
      <c r="B220" s="755"/>
      <c r="C220" s="710" t="s">
        <v>1545</v>
      </c>
      <c r="D220" s="1949">
        <v>44805</v>
      </c>
      <c r="E220" s="1950"/>
      <c r="F220" s="1951"/>
      <c r="G220" s="1949">
        <v>44834</v>
      </c>
      <c r="H220" s="1950"/>
      <c r="I220" s="1951"/>
      <c r="J220" s="21">
        <f>DAY(DATE(YEAR(D220),MONTH(D220)+1,0))</f>
        <v>30</v>
      </c>
      <c r="K220" s="23"/>
      <c r="L220" s="23"/>
      <c r="M220" s="23"/>
      <c r="N220" s="447"/>
      <c r="O220" s="447"/>
      <c r="P220" s="23"/>
      <c r="Q220" s="445"/>
      <c r="R220" s="445">
        <v>1</v>
      </c>
      <c r="S220" s="447" t="s">
        <v>828</v>
      </c>
      <c r="T220" s="446" t="s">
        <v>309</v>
      </c>
      <c r="U220" s="794"/>
      <c r="V220" s="1418">
        <f t="shared" si="12"/>
        <v>0</v>
      </c>
      <c r="AB220" s="15"/>
    </row>
    <row r="221" spans="1:28" s="77" customFormat="1" ht="15" hidden="1">
      <c r="A221" s="370"/>
      <c r="B221" s="755"/>
      <c r="C221" s="710" t="s">
        <v>1545</v>
      </c>
      <c r="D221" s="1949">
        <v>44835</v>
      </c>
      <c r="E221" s="1950"/>
      <c r="F221" s="1951"/>
      <c r="G221" s="1949">
        <v>44926</v>
      </c>
      <c r="H221" s="1950"/>
      <c r="I221" s="1951"/>
      <c r="J221" s="21">
        <v>92</v>
      </c>
      <c r="K221" s="23"/>
      <c r="L221" s="23"/>
      <c r="M221" s="23"/>
      <c r="N221" s="447"/>
      <c r="O221" s="447"/>
      <c r="P221" s="23"/>
      <c r="Q221" s="445"/>
      <c r="R221" s="445">
        <v>3</v>
      </c>
      <c r="S221" s="447" t="s">
        <v>828</v>
      </c>
      <c r="T221" s="446" t="s">
        <v>312</v>
      </c>
      <c r="U221" s="794"/>
      <c r="V221" s="1418">
        <f t="shared" si="12"/>
        <v>0</v>
      </c>
      <c r="AB221" s="15"/>
    </row>
    <row r="222" spans="1:28" s="77" customFormat="1" ht="15" hidden="1">
      <c r="A222" s="370"/>
      <c r="B222" s="755"/>
      <c r="C222" s="710" t="s">
        <v>1545</v>
      </c>
      <c r="D222" s="1949">
        <v>44927</v>
      </c>
      <c r="E222" s="1950"/>
      <c r="F222" s="1951"/>
      <c r="G222" s="1949">
        <v>44957</v>
      </c>
      <c r="H222" s="1950"/>
      <c r="I222" s="1951"/>
      <c r="J222" s="21">
        <f>DAY(DATE(YEAR(D222),MONTH(D222)+1,0))</f>
        <v>31</v>
      </c>
      <c r="K222" s="23"/>
      <c r="L222" s="23"/>
      <c r="M222" s="23"/>
      <c r="N222" s="447"/>
      <c r="O222" s="447"/>
      <c r="P222" s="23"/>
      <c r="Q222" s="445"/>
      <c r="R222" s="445">
        <v>1</v>
      </c>
      <c r="S222" s="447" t="s">
        <v>828</v>
      </c>
      <c r="T222" s="446" t="s">
        <v>313</v>
      </c>
      <c r="U222" s="794"/>
      <c r="V222" s="1418">
        <f t="shared" si="12"/>
        <v>0</v>
      </c>
      <c r="AB222" s="15"/>
    </row>
    <row r="223" spans="1:28" s="77" customFormat="1" ht="15" hidden="1" customHeight="1">
      <c r="A223" s="370"/>
      <c r="B223" s="831"/>
      <c r="C223" s="710" t="s">
        <v>1545</v>
      </c>
      <c r="D223" s="1949">
        <v>44958</v>
      </c>
      <c r="E223" s="1950"/>
      <c r="F223" s="1951"/>
      <c r="G223" s="1949">
        <v>44985</v>
      </c>
      <c r="H223" s="1950"/>
      <c r="I223" s="1951"/>
      <c r="J223" s="21">
        <f>DAY(DATE(YEAR(D223),MONTH(D223)+1,0))</f>
        <v>28</v>
      </c>
      <c r="K223" s="23"/>
      <c r="L223" s="23"/>
      <c r="M223" s="23"/>
      <c r="N223" s="447"/>
      <c r="O223" s="447"/>
      <c r="P223" s="23"/>
      <c r="Q223" s="445"/>
      <c r="R223" s="445">
        <v>1</v>
      </c>
      <c r="S223" s="447" t="s">
        <v>828</v>
      </c>
      <c r="T223" s="446" t="s">
        <v>314</v>
      </c>
      <c r="U223" s="794"/>
      <c r="V223" s="1418">
        <f t="shared" si="12"/>
        <v>0</v>
      </c>
      <c r="AB223" s="15"/>
    </row>
    <row r="224" spans="1:28" s="77" customFormat="1" ht="15" hidden="1" customHeight="1">
      <c r="A224" s="370"/>
      <c r="B224" s="831"/>
      <c r="C224" s="710" t="s">
        <v>1545</v>
      </c>
      <c r="D224" s="1949">
        <v>44986</v>
      </c>
      <c r="E224" s="1950"/>
      <c r="F224" s="1951"/>
      <c r="G224" s="1949">
        <v>45016</v>
      </c>
      <c r="H224" s="1950"/>
      <c r="I224" s="1951"/>
      <c r="J224" s="21">
        <f>DAY(DATE(YEAR(D224),MONTH(D224)+1,0))</f>
        <v>31</v>
      </c>
      <c r="K224" s="23"/>
      <c r="L224" s="23"/>
      <c r="M224" s="23"/>
      <c r="N224" s="447"/>
      <c r="O224" s="447"/>
      <c r="P224" s="23"/>
      <c r="Q224" s="445"/>
      <c r="R224" s="445">
        <v>1</v>
      </c>
      <c r="S224" s="447" t="s">
        <v>828</v>
      </c>
      <c r="T224" s="446" t="s">
        <v>315</v>
      </c>
      <c r="U224" s="794"/>
      <c r="V224" s="1418">
        <f t="shared" si="12"/>
        <v>0</v>
      </c>
      <c r="AB224" s="15"/>
    </row>
    <row r="225" spans="1:28" s="77" customFormat="1" ht="15" hidden="1" customHeight="1">
      <c r="A225" s="370"/>
      <c r="B225" s="831"/>
      <c r="C225" s="931" t="s">
        <v>1545</v>
      </c>
      <c r="D225" s="2065">
        <v>45017</v>
      </c>
      <c r="E225" s="2066"/>
      <c r="F225" s="2067"/>
      <c r="G225" s="2065">
        <v>45046</v>
      </c>
      <c r="H225" s="2066"/>
      <c r="I225" s="2067"/>
      <c r="J225" s="1086">
        <f>DAY(DATE(YEAR(D225),MONTH(D225)+1,0))</f>
        <v>30</v>
      </c>
      <c r="K225" s="1104"/>
      <c r="L225" s="1104"/>
      <c r="M225" s="1104"/>
      <c r="N225" s="730"/>
      <c r="O225" s="730"/>
      <c r="P225" s="1104"/>
      <c r="Q225" s="963"/>
      <c r="R225" s="963">
        <v>1</v>
      </c>
      <c r="S225" s="730" t="s">
        <v>828</v>
      </c>
      <c r="T225" s="1092" t="s">
        <v>316</v>
      </c>
      <c r="U225" s="794"/>
      <c r="V225" s="1418">
        <f t="shared" si="12"/>
        <v>0</v>
      </c>
      <c r="AB225" s="15"/>
    </row>
    <row r="226" spans="1:28" s="77" customFormat="1" ht="15" hidden="1" customHeight="1">
      <c r="A226" s="370"/>
      <c r="B226" s="831"/>
      <c r="C226" s="1102" t="s">
        <v>1545</v>
      </c>
      <c r="D226" s="2004">
        <v>45047</v>
      </c>
      <c r="E226" s="2005"/>
      <c r="F226" s="2006"/>
      <c r="G226" s="2004">
        <v>45077</v>
      </c>
      <c r="H226" s="2005"/>
      <c r="I226" s="2006"/>
      <c r="J226" s="1103">
        <f>DAY(DATE(YEAR(D226),MONTH(D226)+1,0))</f>
        <v>31</v>
      </c>
      <c r="K226" s="833"/>
      <c r="L226" s="839"/>
      <c r="M226" s="837"/>
      <c r="N226" s="841"/>
      <c r="O226" s="841"/>
      <c r="P226" s="837"/>
      <c r="Q226" s="834"/>
      <c r="R226" s="834">
        <v>1</v>
      </c>
      <c r="S226" s="861" t="s">
        <v>828</v>
      </c>
      <c r="T226" s="1099" t="s">
        <v>317</v>
      </c>
      <c r="U226" s="794"/>
      <c r="V226" s="1418">
        <f t="shared" si="12"/>
        <v>0</v>
      </c>
      <c r="AB226" s="15"/>
    </row>
    <row r="227" spans="1:28" s="77" customFormat="1" ht="15" hidden="1" customHeight="1">
      <c r="A227" s="370"/>
      <c r="B227" s="831"/>
      <c r="C227" s="1102" t="s">
        <v>1545</v>
      </c>
      <c r="D227" s="2004">
        <v>45078</v>
      </c>
      <c r="E227" s="2005"/>
      <c r="F227" s="2006"/>
      <c r="G227" s="2004">
        <v>45148</v>
      </c>
      <c r="H227" s="2005"/>
      <c r="I227" s="2006"/>
      <c r="J227" s="1103">
        <v>71</v>
      </c>
      <c r="K227" s="833"/>
      <c r="L227" s="839"/>
      <c r="M227" s="837"/>
      <c r="N227" s="841"/>
      <c r="O227" s="841"/>
      <c r="P227" s="837"/>
      <c r="Q227" s="834"/>
      <c r="R227" s="834">
        <f>TRUNC(1+1+(10/31),3)</f>
        <v>2.3220000000000001</v>
      </c>
      <c r="S227" s="861" t="s">
        <v>828</v>
      </c>
      <c r="T227" s="1099" t="s">
        <v>318</v>
      </c>
      <c r="U227" s="794"/>
      <c r="V227" s="1418">
        <f t="shared" si="12"/>
        <v>0</v>
      </c>
      <c r="AB227" s="15"/>
    </row>
    <row r="228" spans="1:28" s="77" customFormat="1" ht="15" hidden="1">
      <c r="A228" s="370"/>
      <c r="B228" s="831"/>
      <c r="C228" s="1102" t="s">
        <v>1545</v>
      </c>
      <c r="D228" s="2004">
        <v>45149</v>
      </c>
      <c r="E228" s="2005"/>
      <c r="F228" s="2006"/>
      <c r="G228" s="2004">
        <v>45169</v>
      </c>
      <c r="H228" s="2005"/>
      <c r="I228" s="2006"/>
      <c r="J228" s="1103">
        <v>21</v>
      </c>
      <c r="K228" s="833"/>
      <c r="L228" s="839"/>
      <c r="M228" s="837"/>
      <c r="N228" s="841"/>
      <c r="O228" s="841"/>
      <c r="P228" s="837"/>
      <c r="Q228" s="834"/>
      <c r="R228" s="834">
        <v>0.67799999999999994</v>
      </c>
      <c r="S228" s="861" t="s">
        <v>828</v>
      </c>
      <c r="T228" s="1099" t="s">
        <v>319</v>
      </c>
      <c r="U228" s="794"/>
      <c r="V228" s="1418">
        <f t="shared" si="12"/>
        <v>0</v>
      </c>
      <c r="AB228" s="15"/>
    </row>
    <row r="229" spans="1:28" s="77" customFormat="1" ht="15" hidden="1">
      <c r="A229" s="370"/>
      <c r="B229" s="831"/>
      <c r="C229" s="1102" t="s">
        <v>1545</v>
      </c>
      <c r="D229" s="2004">
        <v>45170</v>
      </c>
      <c r="E229" s="2005"/>
      <c r="F229" s="2006"/>
      <c r="G229" s="2004">
        <v>45199</v>
      </c>
      <c r="H229" s="2005"/>
      <c r="I229" s="2006"/>
      <c r="J229" s="1103">
        <v>30</v>
      </c>
      <c r="K229" s="833"/>
      <c r="L229" s="839"/>
      <c r="M229" s="837"/>
      <c r="N229" s="841"/>
      <c r="O229" s="841"/>
      <c r="P229" s="837"/>
      <c r="Q229" s="834"/>
      <c r="R229" s="834">
        <v>1</v>
      </c>
      <c r="S229" s="861" t="s">
        <v>828</v>
      </c>
      <c r="T229" s="1099" t="s">
        <v>320</v>
      </c>
      <c r="U229" s="794"/>
      <c r="V229" s="1418">
        <f t="shared" si="12"/>
        <v>0</v>
      </c>
      <c r="AB229" s="15"/>
    </row>
    <row r="230" spans="1:28" s="77" customFormat="1" ht="15" hidden="1">
      <c r="A230" s="370"/>
      <c r="B230" s="831"/>
      <c r="C230" s="1102" t="s">
        <v>1545</v>
      </c>
      <c r="D230" s="1949">
        <v>45200</v>
      </c>
      <c r="E230" s="1950"/>
      <c r="F230" s="1951"/>
      <c r="G230" s="1949">
        <v>45230</v>
      </c>
      <c r="H230" s="1950"/>
      <c r="I230" s="1951"/>
      <c r="J230" s="1103">
        <v>31</v>
      </c>
      <c r="K230" s="833"/>
      <c r="L230" s="839"/>
      <c r="M230" s="837"/>
      <c r="N230" s="841"/>
      <c r="O230" s="841"/>
      <c r="P230" s="837"/>
      <c r="Q230" s="834"/>
      <c r="R230" s="834">
        <v>1</v>
      </c>
      <c r="S230" s="861" t="s">
        <v>828</v>
      </c>
      <c r="T230" s="1099" t="s">
        <v>321</v>
      </c>
      <c r="U230" s="794"/>
      <c r="V230" s="1418">
        <f t="shared" si="12"/>
        <v>0</v>
      </c>
      <c r="AB230" s="15"/>
    </row>
    <row r="231" spans="1:28" s="77" customFormat="1" ht="15" hidden="1">
      <c r="A231" s="370"/>
      <c r="B231" s="831"/>
      <c r="C231" s="1102" t="s">
        <v>1545</v>
      </c>
      <c r="D231" s="1949">
        <v>45231</v>
      </c>
      <c r="E231" s="1950"/>
      <c r="F231" s="1951"/>
      <c r="G231" s="1949">
        <v>45260</v>
      </c>
      <c r="H231" s="1950"/>
      <c r="I231" s="1951"/>
      <c r="J231" s="1103">
        <v>30</v>
      </c>
      <c r="K231" s="833"/>
      <c r="L231" s="839"/>
      <c r="M231" s="837"/>
      <c r="N231" s="841"/>
      <c r="O231" s="841"/>
      <c r="P231" s="837"/>
      <c r="Q231" s="834"/>
      <c r="R231" s="834">
        <v>1</v>
      </c>
      <c r="S231" s="861" t="s">
        <v>828</v>
      </c>
      <c r="T231" s="1099" t="s">
        <v>322</v>
      </c>
      <c r="U231" s="794"/>
      <c r="V231" s="1418">
        <f t="shared" si="12"/>
        <v>0</v>
      </c>
      <c r="AB231" s="15"/>
    </row>
    <row r="232" spans="1:28" s="77" customFormat="1" ht="15" hidden="1">
      <c r="A232" s="370"/>
      <c r="B232" s="831"/>
      <c r="C232" s="1102" t="s">
        <v>1545</v>
      </c>
      <c r="D232" s="1949">
        <v>45261</v>
      </c>
      <c r="E232" s="1950"/>
      <c r="F232" s="1951"/>
      <c r="G232" s="1949">
        <v>45291</v>
      </c>
      <c r="H232" s="1950"/>
      <c r="I232" s="1951"/>
      <c r="J232" s="1103">
        <v>31</v>
      </c>
      <c r="K232" s="833"/>
      <c r="L232" s="839"/>
      <c r="M232" s="837"/>
      <c r="N232" s="841"/>
      <c r="O232" s="841"/>
      <c r="P232" s="837"/>
      <c r="Q232" s="834"/>
      <c r="R232" s="834">
        <v>1</v>
      </c>
      <c r="S232" s="861" t="s">
        <v>828</v>
      </c>
      <c r="T232" s="1099" t="s">
        <v>323</v>
      </c>
      <c r="U232" s="794"/>
      <c r="V232" s="1418">
        <f t="shared" si="12"/>
        <v>0</v>
      </c>
      <c r="AB232" s="15"/>
    </row>
    <row r="233" spans="1:28" s="77" customFormat="1" ht="15" hidden="1">
      <c r="A233" s="370"/>
      <c r="B233" s="831"/>
      <c r="C233" s="1102" t="s">
        <v>1545</v>
      </c>
      <c r="D233" s="1949">
        <v>45292</v>
      </c>
      <c r="E233" s="1950"/>
      <c r="F233" s="1951"/>
      <c r="G233" s="1949">
        <v>45321</v>
      </c>
      <c r="H233" s="1950"/>
      <c r="I233" s="1951"/>
      <c r="J233" s="1103">
        <v>30</v>
      </c>
      <c r="K233" s="833"/>
      <c r="L233" s="839"/>
      <c r="M233" s="837"/>
      <c r="N233" s="841"/>
      <c r="O233" s="841"/>
      <c r="P233" s="837"/>
      <c r="Q233" s="834"/>
      <c r="R233" s="834">
        <v>1</v>
      </c>
      <c r="S233" s="861" t="s">
        <v>828</v>
      </c>
      <c r="T233" s="1099" t="s">
        <v>324</v>
      </c>
      <c r="U233" s="794"/>
      <c r="V233" s="1418">
        <f t="shared" si="12"/>
        <v>0</v>
      </c>
      <c r="AB233" s="15"/>
    </row>
    <row r="234" spans="1:28" s="77" customFormat="1" ht="15" hidden="1">
      <c r="A234" s="370"/>
      <c r="B234" s="831"/>
      <c r="C234" s="1102" t="s">
        <v>1545</v>
      </c>
      <c r="D234" s="1949">
        <v>45323</v>
      </c>
      <c r="E234" s="1950"/>
      <c r="F234" s="1951"/>
      <c r="G234" s="1949">
        <v>45351</v>
      </c>
      <c r="H234" s="1950"/>
      <c r="I234" s="1951"/>
      <c r="J234" s="832">
        <v>29</v>
      </c>
      <c r="K234" s="833"/>
      <c r="L234" s="839"/>
      <c r="M234" s="837"/>
      <c r="N234" s="841"/>
      <c r="O234" s="841"/>
      <c r="P234" s="837"/>
      <c r="Q234" s="834"/>
      <c r="R234" s="834">
        <v>1</v>
      </c>
      <c r="S234" s="861" t="s">
        <v>828</v>
      </c>
      <c r="T234" s="1099" t="s">
        <v>325</v>
      </c>
      <c r="U234" s="794"/>
      <c r="V234" s="1418">
        <f t="shared" si="12"/>
        <v>0</v>
      </c>
      <c r="AB234" s="15"/>
    </row>
    <row r="235" spans="1:28" s="77" customFormat="1" ht="15" hidden="1">
      <c r="A235" s="370"/>
      <c r="B235" s="831"/>
      <c r="C235" s="1102" t="s">
        <v>1545</v>
      </c>
      <c r="D235" s="1949">
        <v>45352</v>
      </c>
      <c r="E235" s="1950"/>
      <c r="F235" s="1951"/>
      <c r="G235" s="1949">
        <v>45382</v>
      </c>
      <c r="H235" s="1950"/>
      <c r="I235" s="1951"/>
      <c r="J235" s="832">
        <v>31</v>
      </c>
      <c r="K235" s="833"/>
      <c r="L235" s="839"/>
      <c r="M235" s="837"/>
      <c r="N235" s="841"/>
      <c r="O235" s="841"/>
      <c r="P235" s="837"/>
      <c r="Q235" s="834"/>
      <c r="R235" s="834">
        <v>1</v>
      </c>
      <c r="S235" s="861" t="s">
        <v>828</v>
      </c>
      <c r="T235" s="1099" t="s">
        <v>326</v>
      </c>
      <c r="U235" s="794"/>
      <c r="V235" s="1418">
        <f t="shared" si="12"/>
        <v>0</v>
      </c>
      <c r="AB235" s="15"/>
    </row>
    <row r="236" spans="1:28" s="77" customFormat="1" ht="15" hidden="1">
      <c r="A236" s="370"/>
      <c r="B236" s="831"/>
      <c r="C236" s="1102" t="s">
        <v>1545</v>
      </c>
      <c r="D236" s="1949">
        <v>45383</v>
      </c>
      <c r="E236" s="1950"/>
      <c r="F236" s="1951"/>
      <c r="G236" s="1949">
        <v>45412</v>
      </c>
      <c r="H236" s="1950"/>
      <c r="I236" s="1951"/>
      <c r="J236" s="832">
        <v>30</v>
      </c>
      <c r="K236" s="833"/>
      <c r="L236" s="839"/>
      <c r="M236" s="837"/>
      <c r="N236" s="841"/>
      <c r="O236" s="841"/>
      <c r="P236" s="837"/>
      <c r="Q236" s="834"/>
      <c r="R236" s="834">
        <v>1</v>
      </c>
      <c r="S236" s="861" t="s">
        <v>828</v>
      </c>
      <c r="T236" s="1099" t="s">
        <v>327</v>
      </c>
      <c r="U236" s="794"/>
      <c r="V236" s="1418">
        <f t="shared" si="12"/>
        <v>0</v>
      </c>
      <c r="AB236" s="15"/>
    </row>
    <row r="237" spans="1:28" s="77" customFormat="1" ht="15" hidden="1">
      <c r="A237" s="370"/>
      <c r="B237" s="831"/>
      <c r="C237" s="1102" t="s">
        <v>1545</v>
      </c>
      <c r="D237" s="1949">
        <v>45413</v>
      </c>
      <c r="E237" s="1950"/>
      <c r="F237" s="1951"/>
      <c r="G237" s="1949">
        <v>45443</v>
      </c>
      <c r="H237" s="1950"/>
      <c r="I237" s="1951"/>
      <c r="J237" s="832">
        <v>31</v>
      </c>
      <c r="K237" s="833"/>
      <c r="L237" s="839"/>
      <c r="M237" s="837"/>
      <c r="N237" s="841"/>
      <c r="O237" s="841"/>
      <c r="P237" s="837"/>
      <c r="Q237" s="834"/>
      <c r="R237" s="834">
        <v>1</v>
      </c>
      <c r="S237" s="861" t="s">
        <v>828</v>
      </c>
      <c r="T237" s="1099" t="s">
        <v>328</v>
      </c>
      <c r="U237" s="794"/>
      <c r="V237" s="1418">
        <f t="shared" si="12"/>
        <v>0</v>
      </c>
      <c r="AB237" s="15"/>
    </row>
    <row r="238" spans="1:28" s="77" customFormat="1" ht="15" hidden="1">
      <c r="A238" s="370"/>
      <c r="B238" s="831"/>
      <c r="C238" s="1253" t="s">
        <v>1545</v>
      </c>
      <c r="D238" s="1952">
        <v>45444</v>
      </c>
      <c r="E238" s="1953"/>
      <c r="F238" s="1954"/>
      <c r="G238" s="1952">
        <v>45473</v>
      </c>
      <c r="H238" s="1953"/>
      <c r="I238" s="1954"/>
      <c r="J238" s="1235">
        <v>31</v>
      </c>
      <c r="K238" s="1237"/>
      <c r="L238" s="1250"/>
      <c r="M238" s="1236"/>
      <c r="N238" s="1245"/>
      <c r="O238" s="1245"/>
      <c r="P238" s="1236"/>
      <c r="Q238" s="1190"/>
      <c r="R238" s="1190">
        <v>1</v>
      </c>
      <c r="S238" s="1251" t="s">
        <v>828</v>
      </c>
      <c r="T238" s="1252" t="s">
        <v>330</v>
      </c>
      <c r="U238" s="794"/>
      <c r="V238" s="1418">
        <f t="shared" si="12"/>
        <v>0</v>
      </c>
      <c r="AB238" s="15"/>
    </row>
    <row r="239" spans="1:28" s="77" customFormat="1" ht="15" hidden="1">
      <c r="A239" s="370"/>
      <c r="B239" s="831"/>
      <c r="C239" s="1253" t="s">
        <v>1545</v>
      </c>
      <c r="D239" s="1952">
        <v>45474</v>
      </c>
      <c r="E239" s="1953"/>
      <c r="F239" s="1954"/>
      <c r="G239" s="1952">
        <v>45504</v>
      </c>
      <c r="H239" s="1953"/>
      <c r="I239" s="1954"/>
      <c r="J239" s="1235">
        <v>31</v>
      </c>
      <c r="K239" s="1237"/>
      <c r="L239" s="1250"/>
      <c r="M239" s="1236"/>
      <c r="N239" s="1245"/>
      <c r="O239" s="1245"/>
      <c r="P239" s="1236"/>
      <c r="Q239" s="1190"/>
      <c r="R239" s="1190">
        <v>1</v>
      </c>
      <c r="S239" s="1251" t="s">
        <v>828</v>
      </c>
      <c r="T239" s="1252" t="s">
        <v>330</v>
      </c>
      <c r="U239" s="794"/>
      <c r="V239" s="1418">
        <f t="shared" si="12"/>
        <v>0</v>
      </c>
      <c r="AB239" s="15"/>
    </row>
    <row r="240" spans="1:28" s="77" customFormat="1" ht="15" hidden="1" customHeight="1">
      <c r="A240" s="370"/>
      <c r="B240" s="766"/>
      <c r="C240" s="962" t="s">
        <v>1545</v>
      </c>
      <c r="D240" s="2073">
        <v>45505</v>
      </c>
      <c r="E240" s="2074"/>
      <c r="F240" s="2075"/>
      <c r="G240" s="2073">
        <v>45535</v>
      </c>
      <c r="H240" s="2074"/>
      <c r="I240" s="2075"/>
      <c r="J240" s="482">
        <f>G240-D240+1</f>
        <v>31</v>
      </c>
      <c r="K240" s="495"/>
      <c r="L240" s="743"/>
      <c r="M240" s="798"/>
      <c r="N240" s="744"/>
      <c r="O240" s="744"/>
      <c r="P240" s="798"/>
      <c r="Q240" s="497"/>
      <c r="R240" s="497">
        <v>1</v>
      </c>
      <c r="S240" s="745" t="s">
        <v>828</v>
      </c>
      <c r="T240" s="1101" t="s">
        <v>330</v>
      </c>
      <c r="U240" s="1031"/>
      <c r="V240" s="1418">
        <f t="shared" si="12"/>
        <v>0</v>
      </c>
      <c r="AB240" s="15"/>
    </row>
    <row r="241" spans="1:36" s="77" customFormat="1" ht="15.6" hidden="1">
      <c r="A241" s="370"/>
      <c r="B241" s="499"/>
      <c r="C241" s="37"/>
      <c r="D241" s="1940" t="s">
        <v>1520</v>
      </c>
      <c r="E241" s="1941"/>
      <c r="F241" s="1941"/>
      <c r="G241" s="1941"/>
      <c r="H241" s="1941"/>
      <c r="I241" s="1942"/>
      <c r="J241" s="1955">
        <f>VLOOKUP(A243,'11 - FINANCEIRA'!_xlnm.Print_Area,6,FALSE)</f>
        <v>38</v>
      </c>
      <c r="K241" s="1956"/>
      <c r="L241" s="483" t="str">
        <f>VLOOKUP(A243,'11 - FINANCEIRA'!_xlnm.Print_Area,4,FALSE)</f>
        <v>ms</v>
      </c>
      <c r="M241" s="1957" t="s">
        <v>1521</v>
      </c>
      <c r="N241" s="1958"/>
      <c r="O241" s="1958"/>
      <c r="P241" s="1958"/>
      <c r="Q241" s="1959"/>
      <c r="R241" s="484">
        <f>SUM(R208:R240)</f>
        <v>38</v>
      </c>
      <c r="S241" s="485" t="str">
        <f>L241</f>
        <v>ms</v>
      </c>
      <c r="T241" s="373"/>
      <c r="U241" s="486"/>
      <c r="V241" s="1418">
        <f t="shared" si="12"/>
        <v>0</v>
      </c>
      <c r="AB241" s="15"/>
    </row>
    <row r="242" spans="1:36" s="77" customFormat="1" ht="15.6" hidden="1">
      <c r="A242" s="370"/>
      <c r="B242" s="499"/>
      <c r="C242" s="725"/>
      <c r="D242" s="1937" t="s">
        <v>1522</v>
      </c>
      <c r="E242" s="1938"/>
      <c r="F242" s="1938"/>
      <c r="G242" s="1938"/>
      <c r="H242" s="1938"/>
      <c r="I242" s="1939"/>
      <c r="J242" s="1943">
        <f>R241/J241</f>
        <v>1</v>
      </c>
      <c r="K242" s="1944"/>
      <c r="L242" s="1947"/>
      <c r="M242" s="1934" t="s">
        <v>1523</v>
      </c>
      <c r="N242" s="1935"/>
      <c r="O242" s="1935"/>
      <c r="P242" s="1935"/>
      <c r="Q242" s="1936"/>
      <c r="R242" s="726">
        <f>VLOOKUP(A243,'11 - FINANCEIRA'!_xlnm.Print_Area,8,FALSE)</f>
        <v>38</v>
      </c>
      <c r="S242" s="727" t="str">
        <f>L241</f>
        <v>ms</v>
      </c>
      <c r="T242" s="373"/>
      <c r="U242" s="486"/>
      <c r="V242" s="1418">
        <f>V243</f>
        <v>0</v>
      </c>
      <c r="AB242" s="15"/>
    </row>
    <row r="243" spans="1:36" s="77" customFormat="1" ht="15.6" hidden="1">
      <c r="A243" s="364" t="s">
        <v>358</v>
      </c>
      <c r="B243" s="499"/>
      <c r="C243" s="37"/>
      <c r="D243" s="2013"/>
      <c r="E243" s="2014"/>
      <c r="F243" s="2014"/>
      <c r="G243" s="2014"/>
      <c r="H243" s="2014"/>
      <c r="I243" s="2015"/>
      <c r="J243" s="2016"/>
      <c r="K243" s="2017"/>
      <c r="L243" s="1962"/>
      <c r="M243" s="2007" t="s">
        <v>1524</v>
      </c>
      <c r="N243" s="2008"/>
      <c r="O243" s="2008"/>
      <c r="P243" s="2008"/>
      <c r="Q243" s="2009"/>
      <c r="R243" s="1345">
        <f>R241-R242</f>
        <v>0</v>
      </c>
      <c r="S243" s="1346" t="str">
        <f>L241</f>
        <v>ms</v>
      </c>
      <c r="T243" s="373"/>
      <c r="U243" s="486"/>
      <c r="V243" s="1418">
        <f>R243</f>
        <v>0</v>
      </c>
      <c r="AB243" s="15"/>
    </row>
    <row r="244" spans="1:36" s="77" customFormat="1" ht="15.6" hidden="1">
      <c r="A244" s="370"/>
      <c r="B244" s="1347"/>
      <c r="C244" s="1348"/>
      <c r="D244" s="1349"/>
      <c r="E244" s="1350"/>
      <c r="F244" s="1349"/>
      <c r="G244" s="1349"/>
      <c r="H244" s="1349"/>
      <c r="I244" s="1349"/>
      <c r="J244" s="1351"/>
      <c r="K244" s="1352"/>
      <c r="L244" s="1353"/>
      <c r="M244" s="1354"/>
      <c r="N244" s="1354"/>
      <c r="O244" s="1354"/>
      <c r="P244" s="1354"/>
      <c r="Q244" s="1354"/>
      <c r="R244" s="1355"/>
      <c r="S244" s="1356"/>
      <c r="T244" s="1357"/>
      <c r="U244" s="1358"/>
      <c r="V244" s="1420">
        <f>SUM(V206:V243)</f>
        <v>0</v>
      </c>
      <c r="AB244" s="15"/>
    </row>
    <row r="245" spans="1:36" ht="15.6">
      <c r="B245" s="2079" t="s">
        <v>1546</v>
      </c>
      <c r="C245" s="2080"/>
      <c r="D245" s="2080"/>
      <c r="E245" s="2080"/>
      <c r="F245" s="2080"/>
      <c r="G245" s="2080"/>
      <c r="H245" s="2080"/>
      <c r="I245" s="2080"/>
      <c r="J245" s="2080"/>
      <c r="K245" s="2080"/>
      <c r="L245" s="2080"/>
      <c r="M245" s="2080"/>
      <c r="N245" s="2080"/>
      <c r="O245" s="2080"/>
      <c r="P245" s="2080"/>
      <c r="Q245" s="2080"/>
      <c r="R245" s="2080"/>
      <c r="S245" s="2080"/>
      <c r="T245" s="2080"/>
      <c r="U245" s="2081"/>
      <c r="V245" s="574">
        <f>SUM(V246:V2315)</f>
        <v>53935.616799996213</v>
      </c>
    </row>
    <row r="246" spans="1:36" ht="15.6" hidden="1">
      <c r="B246" s="1333" t="str">
        <f>LEFT(A255,3)</f>
        <v>2.1</v>
      </c>
      <c r="C246" s="1334" t="str">
        <f>VLOOKUP(LEFT(A255,3),'11 - FINANCEIRA'!_xlnm.Print_Area,2,FALSE)</f>
        <v>SERVIÇOS DIVERSOS</v>
      </c>
      <c r="D246" s="1334"/>
      <c r="E246" s="1335"/>
      <c r="F246" s="1334"/>
      <c r="G246" s="2071"/>
      <c r="H246" s="2072"/>
      <c r="I246" s="2072"/>
      <c r="J246" s="2072"/>
      <c r="K246" s="2072"/>
      <c r="L246" s="2072"/>
      <c r="M246" s="1338"/>
      <c r="N246" s="1339"/>
      <c r="O246" s="1339"/>
      <c r="P246" s="1339"/>
      <c r="Q246" s="1339"/>
      <c r="R246" s="1339"/>
      <c r="S246" s="1339"/>
      <c r="T246" s="1339"/>
      <c r="U246" s="1375"/>
      <c r="V246" s="574">
        <f>SUM(V247:V307)</f>
        <v>0</v>
      </c>
    </row>
    <row r="247" spans="1:36" s="632" customFormat="1" ht="15.6" hidden="1">
      <c r="A247" s="630"/>
      <c r="B247" s="1333" t="str">
        <f>LEFT(A255,5)</f>
        <v>2.1.1</v>
      </c>
      <c r="C247" s="1334" t="str">
        <f>VLOOKUP(LEFT(A255,5),'11 - FINANCEIRA'!_xlnm.Print_Area,2,FALSE)</f>
        <v xml:space="preserve">ELEVATÓRIA DE EMERGÊNCIA </v>
      </c>
      <c r="D247" s="1334"/>
      <c r="E247" s="1335"/>
      <c r="F247" s="1334"/>
      <c r="G247" s="2071"/>
      <c r="H247" s="2072"/>
      <c r="I247" s="2072"/>
      <c r="J247" s="2072"/>
      <c r="K247" s="2072"/>
      <c r="L247" s="2072"/>
      <c r="M247" s="1338"/>
      <c r="N247" s="1339"/>
      <c r="O247" s="1339"/>
      <c r="P247" s="1339"/>
      <c r="Q247" s="1339"/>
      <c r="R247" s="1339"/>
      <c r="S247" s="1339"/>
      <c r="T247" s="1339"/>
      <c r="U247" s="1375"/>
      <c r="V247" s="631">
        <f>SUM(V248:V292)</f>
        <v>0</v>
      </c>
    </row>
    <row r="248" spans="1:36" s="352" customFormat="1" ht="15.75" hidden="1" customHeight="1">
      <c r="A248" s="351"/>
      <c r="B248" s="1963" t="str">
        <f>VLOOKUP(A255,'11 - FINANCEIRA'!_xlnm.Print_Area,1,FALSE)</f>
        <v>2.1.1.1</v>
      </c>
      <c r="C248" s="1965" t="str">
        <f>VLOOKUP(A255,'11 - FINANCEIRA'!_xlnm.Print_Area,3,FALSE)</f>
        <v>Motobomba Trash (para água suja) auto escorvante, motor gasolina de 6,41 hp, diâmetros de sucção x recalque: 3" x 3", hm/q = 10 mca / 60 m³/h a 23 mca / 0 m³/h - chp diurno. af_10/2014 (considerado 4 bombas trabalhando até 7 dias no período da obra)</v>
      </c>
      <c r="D248" s="1967" t="s">
        <v>205</v>
      </c>
      <c r="E248" s="1968"/>
      <c r="F248" s="1968"/>
      <c r="G248" s="1968"/>
      <c r="H248" s="1968"/>
      <c r="I248" s="1969"/>
      <c r="J248" s="1914" t="s">
        <v>1547</v>
      </c>
      <c r="K248" s="1914" t="s">
        <v>1548</v>
      </c>
      <c r="L248" s="1914" t="s">
        <v>145</v>
      </c>
      <c r="M248" s="1914" t="s">
        <v>1507</v>
      </c>
      <c r="N248" s="1914" t="s">
        <v>1508</v>
      </c>
      <c r="O248" s="1914" t="s">
        <v>1509</v>
      </c>
      <c r="P248" s="1341" t="s">
        <v>1510</v>
      </c>
      <c r="Q248" s="1914" t="s">
        <v>1493</v>
      </c>
      <c r="R248" s="2087" t="s">
        <v>804</v>
      </c>
      <c r="S248" s="2083" t="s">
        <v>1511</v>
      </c>
      <c r="T248" s="2083" t="s">
        <v>1512</v>
      </c>
      <c r="U248" s="2085" t="s">
        <v>1513</v>
      </c>
      <c r="V248" s="1418">
        <f t="shared" ref="V248:V254" si="13">V249</f>
        <v>0</v>
      </c>
      <c r="W248" s="506"/>
      <c r="X248" s="506"/>
      <c r="Y248" s="16"/>
      <c r="Z248" s="17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1:36" s="352" customFormat="1" ht="15.6" hidden="1">
      <c r="A249" s="351"/>
      <c r="B249" s="1964" t="e">
        <f>LEFT(#REF!,5)</f>
        <v>#REF!</v>
      </c>
      <c r="C249" s="1966" t="e">
        <f>VLOOKUP(LEFT(#REF!,5),'11 - FINANCEIRA'!_xlnm.Print_Area,2,FALSE)</f>
        <v>#REF!</v>
      </c>
      <c r="D249" s="1920" t="s">
        <v>1514</v>
      </c>
      <c r="E249" s="1921"/>
      <c r="F249" s="1922"/>
      <c r="G249" s="1923" t="s">
        <v>1515</v>
      </c>
      <c r="H249" s="1924"/>
      <c r="I249" s="1925"/>
      <c r="J249" s="1915"/>
      <c r="K249" s="1915"/>
      <c r="L249" s="1915"/>
      <c r="M249" s="1915"/>
      <c r="N249" s="1915"/>
      <c r="O249" s="1915"/>
      <c r="P249" s="353" t="s">
        <v>1516</v>
      </c>
      <c r="Q249" s="1915"/>
      <c r="R249" s="2088"/>
      <c r="S249" s="2084"/>
      <c r="T249" s="2084"/>
      <c r="U249" s="2086"/>
      <c r="V249" s="1418">
        <f t="shared" si="13"/>
        <v>0</v>
      </c>
      <c r="W249" s="506"/>
      <c r="X249" s="506"/>
      <c r="Y249" s="16"/>
      <c r="Z249" s="17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1:36" s="361" customFormat="1" ht="15" hidden="1">
      <c r="A250" s="354"/>
      <c r="B250" s="755"/>
      <c r="C250" s="28" t="s">
        <v>1549</v>
      </c>
      <c r="D250" s="2068">
        <v>44420</v>
      </c>
      <c r="E250" s="2069"/>
      <c r="F250" s="2070"/>
      <c r="G250" s="2068">
        <v>44439</v>
      </c>
      <c r="H250" s="2069"/>
      <c r="I250" s="2070"/>
      <c r="J250" s="21">
        <v>1</v>
      </c>
      <c r="K250" s="22">
        <v>12</v>
      </c>
      <c r="L250" s="23">
        <v>19</v>
      </c>
      <c r="M250" s="24"/>
      <c r="N250" s="728"/>
      <c r="O250" s="25"/>
      <c r="P250" s="23"/>
      <c r="Q250" s="729"/>
      <c r="R250" s="489">
        <v>228</v>
      </c>
      <c r="S250" s="730" t="s">
        <v>840</v>
      </c>
      <c r="T250" s="490" t="s">
        <v>299</v>
      </c>
      <c r="U250" s="512"/>
      <c r="V250" s="1418">
        <f t="shared" si="13"/>
        <v>0</v>
      </c>
      <c r="W250" s="506"/>
      <c r="X250" s="506"/>
      <c r="Y250" s="357"/>
      <c r="Z250" s="358"/>
      <c r="AA250" s="359"/>
      <c r="AB250" s="360"/>
    </row>
    <row r="251" spans="1:36" s="361" customFormat="1" ht="15" hidden="1">
      <c r="A251" s="354"/>
      <c r="B251" s="755"/>
      <c r="C251" s="28" t="s">
        <v>1549</v>
      </c>
      <c r="D251" s="1949">
        <v>44440</v>
      </c>
      <c r="E251" s="1950"/>
      <c r="F251" s="1951"/>
      <c r="G251" s="1949">
        <v>44469</v>
      </c>
      <c r="H251" s="1950"/>
      <c r="I251" s="1951"/>
      <c r="J251" s="21">
        <v>1</v>
      </c>
      <c r="K251" s="22">
        <v>12</v>
      </c>
      <c r="L251" s="23">
        <v>30</v>
      </c>
      <c r="M251" s="24"/>
      <c r="N251" s="728"/>
      <c r="O251" s="25"/>
      <c r="P251" s="23"/>
      <c r="Q251" s="729"/>
      <c r="R251" s="445">
        <v>360</v>
      </c>
      <c r="S251" s="447" t="s">
        <v>840</v>
      </c>
      <c r="T251" s="446" t="s">
        <v>300</v>
      </c>
      <c r="U251" s="512"/>
      <c r="V251" s="1418">
        <f t="shared" si="13"/>
        <v>0</v>
      </c>
      <c r="W251" s="506"/>
      <c r="X251" s="506"/>
      <c r="Y251" s="357"/>
      <c r="Z251" s="358"/>
      <c r="AA251" s="359"/>
      <c r="AB251" s="360"/>
    </row>
    <row r="252" spans="1:36" s="369" customFormat="1" ht="15" hidden="1">
      <c r="A252" s="364"/>
      <c r="B252" s="766"/>
      <c r="C252" s="30" t="s">
        <v>1549</v>
      </c>
      <c r="D252" s="2054">
        <v>44470</v>
      </c>
      <c r="E252" s="2055"/>
      <c r="F252" s="2056"/>
      <c r="G252" s="2054">
        <v>44476</v>
      </c>
      <c r="H252" s="2055"/>
      <c r="I252" s="2056"/>
      <c r="J252" s="767">
        <v>1</v>
      </c>
      <c r="K252" s="768">
        <v>12</v>
      </c>
      <c r="L252" s="769">
        <v>7</v>
      </c>
      <c r="M252" s="770"/>
      <c r="N252" s="771"/>
      <c r="O252" s="771"/>
      <c r="P252" s="769"/>
      <c r="Q252" s="772"/>
      <c r="R252" s="503">
        <v>84</v>
      </c>
      <c r="S252" s="773" t="s">
        <v>840</v>
      </c>
      <c r="T252" s="774" t="s">
        <v>301</v>
      </c>
      <c r="U252" s="534"/>
      <c r="V252" s="1418">
        <f t="shared" si="13"/>
        <v>0</v>
      </c>
      <c r="W252" s="513"/>
      <c r="X252" s="513"/>
      <c r="Y252" s="367"/>
      <c r="Z252" s="368"/>
    </row>
    <row r="253" spans="1:36" s="77" customFormat="1" ht="15.6" hidden="1">
      <c r="A253" s="370"/>
      <c r="B253" s="499"/>
      <c r="C253" s="37"/>
      <c r="D253" s="1940" t="s">
        <v>1520</v>
      </c>
      <c r="E253" s="1941"/>
      <c r="F253" s="1941"/>
      <c r="G253" s="1941"/>
      <c r="H253" s="1941"/>
      <c r="I253" s="1942"/>
      <c r="J253" s="1955">
        <f>VLOOKUP(A255,'11 - FINANCEIRA'!_xlnm.Print_Area,6,FALSE)</f>
        <v>672</v>
      </c>
      <c r="K253" s="1956"/>
      <c r="L253" s="483" t="str">
        <f>VLOOKUP(A255,'11 - FINANCEIRA'!_xlnm.Print_Area,4,FALSE)</f>
        <v>CHP</v>
      </c>
      <c r="M253" s="1957" t="s">
        <v>1521</v>
      </c>
      <c r="N253" s="1958"/>
      <c r="O253" s="1958"/>
      <c r="P253" s="1958"/>
      <c r="Q253" s="1959"/>
      <c r="R253" s="484">
        <f>SUM(R250:R252)</f>
        <v>672</v>
      </c>
      <c r="S253" s="485" t="str">
        <f>L253</f>
        <v>CHP</v>
      </c>
      <c r="T253" s="373"/>
      <c r="U253" s="486"/>
      <c r="V253" s="1418">
        <f t="shared" si="13"/>
        <v>0</v>
      </c>
      <c r="AB253" s="15"/>
    </row>
    <row r="254" spans="1:36" s="77" customFormat="1" ht="15.6" hidden="1">
      <c r="A254" s="370"/>
      <c r="B254" s="499"/>
      <c r="C254" s="725"/>
      <c r="D254" s="1937" t="s">
        <v>1522</v>
      </c>
      <c r="E254" s="1938"/>
      <c r="F254" s="1938"/>
      <c r="G254" s="1938"/>
      <c r="H254" s="1938"/>
      <c r="I254" s="1939"/>
      <c r="J254" s="1943">
        <f>R253/J253</f>
        <v>1</v>
      </c>
      <c r="K254" s="1944"/>
      <c r="L254" s="1947"/>
      <c r="M254" s="1934" t="s">
        <v>1523</v>
      </c>
      <c r="N254" s="1935"/>
      <c r="O254" s="1935"/>
      <c r="P254" s="1935"/>
      <c r="Q254" s="1936"/>
      <c r="R254" s="726">
        <f>VLOOKUP(A255,'11 - FINANCEIRA'!_xlnm.Print_Area,8,FALSE)</f>
        <v>672</v>
      </c>
      <c r="S254" s="727" t="str">
        <f>L253</f>
        <v>CHP</v>
      </c>
      <c r="T254" s="373"/>
      <c r="U254" s="486"/>
      <c r="V254" s="1418">
        <f t="shared" si="13"/>
        <v>0</v>
      </c>
      <c r="AB254" s="15"/>
    </row>
    <row r="255" spans="1:36" s="77" customFormat="1" ht="15.6" hidden="1">
      <c r="A255" s="364" t="s">
        <v>360</v>
      </c>
      <c r="B255" s="499"/>
      <c r="C255" s="37"/>
      <c r="D255" s="2013"/>
      <c r="E255" s="2014"/>
      <c r="F255" s="2014"/>
      <c r="G255" s="2014"/>
      <c r="H255" s="2014"/>
      <c r="I255" s="2015"/>
      <c r="J255" s="2016"/>
      <c r="K255" s="2017"/>
      <c r="L255" s="1962"/>
      <c r="M255" s="2007" t="s">
        <v>1524</v>
      </c>
      <c r="N255" s="2008"/>
      <c r="O255" s="2008"/>
      <c r="P255" s="2008"/>
      <c r="Q255" s="2009"/>
      <c r="R255" s="1345">
        <f>R253-R254</f>
        <v>0</v>
      </c>
      <c r="S255" s="1346" t="str">
        <f>L253</f>
        <v>CHP</v>
      </c>
      <c r="T255" s="373"/>
      <c r="U255" s="486"/>
      <c r="V255" s="1418">
        <f>R255</f>
        <v>0</v>
      </c>
      <c r="AB255" s="15"/>
    </row>
    <row r="256" spans="1:36" s="77" customFormat="1" ht="15.6" hidden="1">
      <c r="A256" s="370"/>
      <c r="B256" s="1347"/>
      <c r="C256" s="1348"/>
      <c r="D256" s="1349"/>
      <c r="E256" s="1350"/>
      <c r="F256" s="1349"/>
      <c r="G256" s="1349"/>
      <c r="H256" s="1349"/>
      <c r="I256" s="1349"/>
      <c r="J256" s="1351"/>
      <c r="K256" s="1352"/>
      <c r="L256" s="1353"/>
      <c r="M256" s="1354"/>
      <c r="N256" s="1354"/>
      <c r="O256" s="1354"/>
      <c r="P256" s="1354"/>
      <c r="Q256" s="1354"/>
      <c r="R256" s="1355"/>
      <c r="S256" s="1356"/>
      <c r="T256" s="1357"/>
      <c r="U256" s="1358"/>
      <c r="V256" s="1420">
        <f>SUM(V248:V255)</f>
        <v>0</v>
      </c>
      <c r="AB256" s="15"/>
    </row>
    <row r="257" spans="1:36" s="352" customFormat="1" ht="15.6" hidden="1">
      <c r="A257" s="351"/>
      <c r="B257" s="1963" t="str">
        <f>VLOOKUP(A291,'11 - FINANCEIRA'!_xlnm.Print_Area,1,FALSE)</f>
        <v>2.1.1.2</v>
      </c>
      <c r="C257" s="1965" t="str">
        <f>VLOOKUP(A291,'11 - FINANCEIRA'!_xlnm.Print_Area,3,FALSE)</f>
        <v>Motobomba Trash (para água suja) auto escorvante, motor gasolina de 6,41 hp, diâmetros de sucção x recalque: 3" x 3", hm/q = 10 mca / 60 m³/h a 23 mca / 0 m³/h - chi diurno. af_10/2014 (considerando 4 bombas a disposição durante 9 meses)</v>
      </c>
      <c r="D257" s="1967" t="s">
        <v>205</v>
      </c>
      <c r="E257" s="1968"/>
      <c r="F257" s="1968"/>
      <c r="G257" s="1968"/>
      <c r="H257" s="1968"/>
      <c r="I257" s="1969"/>
      <c r="J257" s="1914" t="s">
        <v>1547</v>
      </c>
      <c r="K257" s="1914" t="s">
        <v>1548</v>
      </c>
      <c r="L257" s="1914" t="s">
        <v>145</v>
      </c>
      <c r="M257" s="1914" t="s">
        <v>1507</v>
      </c>
      <c r="N257" s="1914" t="s">
        <v>1508</v>
      </c>
      <c r="O257" s="1914" t="s">
        <v>1509</v>
      </c>
      <c r="P257" s="1341" t="s">
        <v>1510</v>
      </c>
      <c r="Q257" s="1914" t="s">
        <v>1493</v>
      </c>
      <c r="R257" s="1916" t="s">
        <v>804</v>
      </c>
      <c r="S257" s="1914" t="s">
        <v>1511</v>
      </c>
      <c r="T257" s="1914" t="s">
        <v>1512</v>
      </c>
      <c r="U257" s="1918" t="s">
        <v>1513</v>
      </c>
      <c r="V257" s="1418">
        <f t="shared" ref="V257:V290" si="14">V258</f>
        <v>0</v>
      </c>
      <c r="W257" s="16"/>
      <c r="X257" s="807" t="str">
        <f t="shared" ref="X257:X262" si="15">LOWER(C257)</f>
        <v>motobomba trash (para água suja) auto escorvante, motor gasolina de 6,41 hp, diâmetros de sucção x recalque: 3" x 3", hm/q = 10 mca / 60 m³/h a 23 mca / 0 m³/h - chi diurno. af_10/2014 (considerando 4 bombas a disposição durante 9 meses)</v>
      </c>
      <c r="Y257" s="16"/>
      <c r="Z257" s="17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</row>
    <row r="258" spans="1:36" s="352" customFormat="1" ht="15.6" hidden="1">
      <c r="A258" s="351"/>
      <c r="B258" s="1964" t="e">
        <f>LEFT(#REF!,5)</f>
        <v>#REF!</v>
      </c>
      <c r="C258" s="1966" t="e">
        <f>VLOOKUP(LEFT(#REF!,5),'11 - FINANCEIRA'!_xlnm.Print_Area,2,FALSE)</f>
        <v>#REF!</v>
      </c>
      <c r="D258" s="1920" t="s">
        <v>1514</v>
      </c>
      <c r="E258" s="1921"/>
      <c r="F258" s="1922"/>
      <c r="G258" s="1923" t="s">
        <v>1515</v>
      </c>
      <c r="H258" s="1924"/>
      <c r="I258" s="1925"/>
      <c r="J258" s="1915"/>
      <c r="K258" s="1915"/>
      <c r="L258" s="1915"/>
      <c r="M258" s="1915"/>
      <c r="N258" s="1915"/>
      <c r="O258" s="1915"/>
      <c r="P258" s="353" t="s">
        <v>1516</v>
      </c>
      <c r="Q258" s="1915"/>
      <c r="R258" s="1917"/>
      <c r="S258" s="1915"/>
      <c r="T258" s="1915"/>
      <c r="U258" s="1919"/>
      <c r="V258" s="1418">
        <f t="shared" si="14"/>
        <v>0</v>
      </c>
      <c r="W258" s="16"/>
      <c r="X258" s="807" t="e">
        <f t="shared" si="15"/>
        <v>#REF!</v>
      </c>
      <c r="Y258" s="16"/>
      <c r="Z258" s="17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</row>
    <row r="259" spans="1:36" s="361" customFormat="1" ht="15" hidden="1">
      <c r="A259" s="354"/>
      <c r="B259" s="755" t="s">
        <v>1550</v>
      </c>
      <c r="C259" s="28" t="s">
        <v>1551</v>
      </c>
      <c r="D259" s="2068">
        <v>44420</v>
      </c>
      <c r="E259" s="2069"/>
      <c r="F259" s="2070"/>
      <c r="G259" s="2068">
        <v>44439</v>
      </c>
      <c r="H259" s="2069"/>
      <c r="I259" s="2070"/>
      <c r="J259" s="21">
        <v>1</v>
      </c>
      <c r="K259" s="22">
        <v>24</v>
      </c>
      <c r="L259" s="784">
        <v>19</v>
      </c>
      <c r="M259" s="24"/>
      <c r="N259" s="728"/>
      <c r="O259" s="25"/>
      <c r="P259" s="23"/>
      <c r="Q259" s="488"/>
      <c r="R259" s="489">
        <v>456</v>
      </c>
      <c r="S259" s="730" t="s">
        <v>843</v>
      </c>
      <c r="T259" s="490" t="s">
        <v>299</v>
      </c>
      <c r="U259" s="44"/>
      <c r="V259" s="1418">
        <f t="shared" si="14"/>
        <v>0</v>
      </c>
      <c r="W259" s="357"/>
      <c r="X259" s="806" t="str">
        <f t="shared" si="15"/>
        <v>motobomba trash (para água suja)</v>
      </c>
      <c r="Y259" s="357"/>
      <c r="Z259" s="358"/>
      <c r="AA259" s="359"/>
      <c r="AB259" s="360"/>
    </row>
    <row r="260" spans="1:36" s="361" customFormat="1" ht="15" hidden="1">
      <c r="A260" s="354"/>
      <c r="B260" s="755" t="s">
        <v>1552</v>
      </c>
      <c r="C260" s="28" t="s">
        <v>1551</v>
      </c>
      <c r="D260" s="1949">
        <v>44440</v>
      </c>
      <c r="E260" s="1950"/>
      <c r="F260" s="1951"/>
      <c r="G260" s="1949">
        <v>44469</v>
      </c>
      <c r="H260" s="1950"/>
      <c r="I260" s="1951"/>
      <c r="J260" s="21">
        <v>1</v>
      </c>
      <c r="K260" s="22">
        <v>24</v>
      </c>
      <c r="L260" s="784">
        <v>30</v>
      </c>
      <c r="M260" s="24"/>
      <c r="N260" s="728"/>
      <c r="O260" s="25"/>
      <c r="P260" s="23"/>
      <c r="Q260" s="447"/>
      <c r="R260" s="445">
        <v>720</v>
      </c>
      <c r="S260" s="447" t="s">
        <v>843</v>
      </c>
      <c r="T260" s="446" t="s">
        <v>300</v>
      </c>
      <c r="U260" s="44"/>
      <c r="V260" s="1418">
        <f t="shared" si="14"/>
        <v>0</v>
      </c>
      <c r="W260" s="357"/>
      <c r="X260" s="806" t="str">
        <f t="shared" si="15"/>
        <v>motobomba trash (para água suja)</v>
      </c>
      <c r="Y260" s="357"/>
      <c r="Z260" s="358"/>
      <c r="AA260" s="359"/>
      <c r="AB260" s="360"/>
    </row>
    <row r="261" spans="1:36" s="361" customFormat="1" ht="15" hidden="1">
      <c r="A261" s="354"/>
      <c r="B261" s="755" t="s">
        <v>1553</v>
      </c>
      <c r="C261" s="28" t="s">
        <v>1551</v>
      </c>
      <c r="D261" s="1949">
        <v>44470</v>
      </c>
      <c r="E261" s="1950"/>
      <c r="F261" s="1951"/>
      <c r="G261" s="1949">
        <v>44500</v>
      </c>
      <c r="H261" s="1950"/>
      <c r="I261" s="1951"/>
      <c r="J261" s="21">
        <v>2</v>
      </c>
      <c r="K261" s="22">
        <v>24</v>
      </c>
      <c r="L261" s="784">
        <v>30</v>
      </c>
      <c r="M261" s="24"/>
      <c r="N261" s="728"/>
      <c r="O261" s="25"/>
      <c r="P261" s="23"/>
      <c r="Q261" s="447"/>
      <c r="R261" s="445">
        <f t="shared" ref="R261:R279" si="16">J261*K261*L261</f>
        <v>1440</v>
      </c>
      <c r="S261" s="447" t="s">
        <v>843</v>
      </c>
      <c r="T261" s="446" t="s">
        <v>301</v>
      </c>
      <c r="U261" s="742"/>
      <c r="V261" s="1418">
        <f t="shared" si="14"/>
        <v>0</v>
      </c>
      <c r="W261" s="357"/>
      <c r="X261" s="806" t="str">
        <f t="shared" si="15"/>
        <v>motobomba trash (para água suja)</v>
      </c>
      <c r="Y261" s="357"/>
      <c r="Z261" s="358"/>
      <c r="AA261" s="359"/>
      <c r="AB261" s="360"/>
    </row>
    <row r="262" spans="1:36" s="361" customFormat="1" ht="15" hidden="1">
      <c r="A262" s="354"/>
      <c r="B262" s="831" t="s">
        <v>1554</v>
      </c>
      <c r="C262" s="836" t="s">
        <v>1551</v>
      </c>
      <c r="D262" s="2004">
        <v>44501</v>
      </c>
      <c r="E262" s="2005"/>
      <c r="F262" s="2006"/>
      <c r="G262" s="2004">
        <v>44571</v>
      </c>
      <c r="H262" s="2005"/>
      <c r="I262" s="2006"/>
      <c r="J262" s="832">
        <v>1</v>
      </c>
      <c r="K262" s="837">
        <v>24</v>
      </c>
      <c r="L262" s="838">
        <f>G262-D262</f>
        <v>70</v>
      </c>
      <c r="M262" s="839"/>
      <c r="N262" s="840"/>
      <c r="O262" s="841"/>
      <c r="P262" s="833"/>
      <c r="Q262" s="792"/>
      <c r="R262" s="834">
        <f t="shared" si="16"/>
        <v>1680</v>
      </c>
      <c r="S262" s="792" t="s">
        <v>843</v>
      </c>
      <c r="T262" s="835" t="s">
        <v>302</v>
      </c>
      <c r="U262" s="742"/>
      <c r="V262" s="1418">
        <f t="shared" si="14"/>
        <v>0</v>
      </c>
      <c r="W262" s="357"/>
      <c r="X262" s="806" t="str">
        <f t="shared" si="15"/>
        <v>motobomba trash (para água suja)</v>
      </c>
      <c r="Y262" s="357"/>
      <c r="Z262" s="358"/>
      <c r="AA262" s="359"/>
      <c r="AB262" s="360"/>
    </row>
    <row r="263" spans="1:36" s="361" customFormat="1" ht="15" hidden="1">
      <c r="A263" s="354"/>
      <c r="B263" s="755" t="s">
        <v>1555</v>
      </c>
      <c r="C263" s="28" t="s">
        <v>1551</v>
      </c>
      <c r="D263" s="1949">
        <v>44571</v>
      </c>
      <c r="E263" s="1950"/>
      <c r="F263" s="1951"/>
      <c r="G263" s="1949">
        <v>44592</v>
      </c>
      <c r="H263" s="1950"/>
      <c r="I263" s="1951"/>
      <c r="J263" s="21">
        <v>1</v>
      </c>
      <c r="K263" s="22">
        <v>24</v>
      </c>
      <c r="L263" s="784">
        <v>20</v>
      </c>
      <c r="M263" s="24"/>
      <c r="N263" s="728"/>
      <c r="O263" s="25"/>
      <c r="P263" s="23"/>
      <c r="Q263" s="447"/>
      <c r="R263" s="445">
        <f t="shared" si="16"/>
        <v>480</v>
      </c>
      <c r="S263" s="447" t="s">
        <v>843</v>
      </c>
      <c r="T263" s="446" t="s">
        <v>303</v>
      </c>
      <c r="U263" s="842"/>
      <c r="V263" s="1418">
        <f t="shared" si="14"/>
        <v>0</v>
      </c>
      <c r="W263" s="357"/>
      <c r="X263" s="806"/>
      <c r="Y263" s="357"/>
      <c r="Z263" s="358"/>
      <c r="AA263" s="359"/>
      <c r="AB263" s="360"/>
    </row>
    <row r="264" spans="1:36" s="361" customFormat="1" ht="15" hidden="1">
      <c r="A264" s="354"/>
      <c r="B264" s="755" t="s">
        <v>1556</v>
      </c>
      <c r="C264" s="28" t="s">
        <v>1551</v>
      </c>
      <c r="D264" s="1949">
        <v>44593</v>
      </c>
      <c r="E264" s="1950"/>
      <c r="F264" s="1951"/>
      <c r="G264" s="1949">
        <v>44620</v>
      </c>
      <c r="H264" s="1950"/>
      <c r="I264" s="1951"/>
      <c r="J264" s="21">
        <v>1</v>
      </c>
      <c r="K264" s="22">
        <v>24</v>
      </c>
      <c r="L264" s="784">
        <v>30</v>
      </c>
      <c r="M264" s="24"/>
      <c r="N264" s="728"/>
      <c r="O264" s="25"/>
      <c r="P264" s="23"/>
      <c r="Q264" s="447"/>
      <c r="R264" s="445">
        <f t="shared" si="16"/>
        <v>720</v>
      </c>
      <c r="S264" s="447" t="s">
        <v>843</v>
      </c>
      <c r="T264" s="446" t="s">
        <v>304</v>
      </c>
      <c r="U264" s="842"/>
      <c r="V264" s="1418">
        <f>V288</f>
        <v>0</v>
      </c>
      <c r="W264" s="357"/>
      <c r="X264" s="806"/>
      <c r="Y264" s="357"/>
      <c r="Z264" s="358"/>
      <c r="AA264" s="359"/>
      <c r="AB264" s="360"/>
    </row>
    <row r="265" spans="1:36" s="361" customFormat="1" ht="15" hidden="1">
      <c r="A265" s="354"/>
      <c r="B265" s="755" t="s">
        <v>1557</v>
      </c>
      <c r="C265" s="28" t="s">
        <v>1551</v>
      </c>
      <c r="D265" s="1949">
        <v>44621</v>
      </c>
      <c r="E265" s="1950"/>
      <c r="F265" s="1951"/>
      <c r="G265" s="1949">
        <v>44651</v>
      </c>
      <c r="H265" s="1950"/>
      <c r="I265" s="1951"/>
      <c r="J265" s="21">
        <v>1</v>
      </c>
      <c r="K265" s="22">
        <v>24</v>
      </c>
      <c r="L265" s="784">
        <v>30</v>
      </c>
      <c r="M265" s="24"/>
      <c r="N265" s="728"/>
      <c r="O265" s="25"/>
      <c r="P265" s="23"/>
      <c r="Q265" s="447"/>
      <c r="R265" s="445">
        <f t="shared" si="16"/>
        <v>720</v>
      </c>
      <c r="S265" s="447" t="s">
        <v>843</v>
      </c>
      <c r="T265" s="446" t="s">
        <v>305</v>
      </c>
      <c r="U265" s="842"/>
      <c r="V265" s="1418">
        <f>V290</f>
        <v>0</v>
      </c>
      <c r="W265" s="357"/>
      <c r="X265" s="806"/>
      <c r="Y265" s="357"/>
      <c r="Z265" s="358"/>
      <c r="AA265" s="359"/>
      <c r="AB265" s="360"/>
    </row>
    <row r="266" spans="1:36" s="361" customFormat="1" ht="15" hidden="1">
      <c r="A266" s="354"/>
      <c r="B266" s="755" t="s">
        <v>1558</v>
      </c>
      <c r="C266" s="28" t="s">
        <v>1551</v>
      </c>
      <c r="D266" s="1949">
        <v>44652</v>
      </c>
      <c r="E266" s="1950"/>
      <c r="F266" s="1951"/>
      <c r="G266" s="1949">
        <v>44681</v>
      </c>
      <c r="H266" s="1950"/>
      <c r="I266" s="1951"/>
      <c r="J266" s="21">
        <v>1</v>
      </c>
      <c r="K266" s="22">
        <v>24</v>
      </c>
      <c r="L266" s="784">
        <v>30</v>
      </c>
      <c r="M266" s="24"/>
      <c r="N266" s="728"/>
      <c r="O266" s="25"/>
      <c r="P266" s="23"/>
      <c r="Q266" s="447"/>
      <c r="R266" s="445">
        <f t="shared" si="16"/>
        <v>720</v>
      </c>
      <c r="S266" s="447" t="s">
        <v>843</v>
      </c>
      <c r="T266" s="446" t="s">
        <v>56</v>
      </c>
      <c r="U266" s="888"/>
      <c r="V266" s="1418">
        <f>V290</f>
        <v>0</v>
      </c>
      <c r="W266" s="357"/>
      <c r="X266" s="806"/>
      <c r="Y266" s="357"/>
      <c r="Z266" s="358"/>
      <c r="AA266" s="359"/>
      <c r="AB266" s="360"/>
    </row>
    <row r="267" spans="1:36" s="361" customFormat="1" ht="15" hidden="1">
      <c r="A267" s="354"/>
      <c r="B267" s="755" t="s">
        <v>1558</v>
      </c>
      <c r="C267" s="28" t="s">
        <v>1551</v>
      </c>
      <c r="D267" s="1949">
        <v>44682</v>
      </c>
      <c r="E267" s="1950"/>
      <c r="F267" s="1951"/>
      <c r="G267" s="1949">
        <v>44712</v>
      </c>
      <c r="H267" s="1950"/>
      <c r="I267" s="1951"/>
      <c r="J267" s="21">
        <v>1</v>
      </c>
      <c r="K267" s="22">
        <v>24</v>
      </c>
      <c r="L267" s="784">
        <v>30</v>
      </c>
      <c r="M267" s="24"/>
      <c r="N267" s="728"/>
      <c r="O267" s="25"/>
      <c r="P267" s="23"/>
      <c r="Q267" s="447"/>
      <c r="R267" s="445">
        <f t="shared" si="16"/>
        <v>720</v>
      </c>
      <c r="S267" s="447" t="s">
        <v>843</v>
      </c>
      <c r="T267" s="446" t="s">
        <v>56</v>
      </c>
      <c r="U267" s="888"/>
      <c r="V267" s="1418">
        <f>V290</f>
        <v>0</v>
      </c>
      <c r="W267" s="357"/>
      <c r="X267" s="806"/>
      <c r="Y267" s="357"/>
      <c r="Z267" s="358"/>
      <c r="AA267" s="359"/>
      <c r="AB267" s="360"/>
    </row>
    <row r="268" spans="1:36" s="361" customFormat="1" ht="15" hidden="1">
      <c r="A268" s="354"/>
      <c r="B268" s="755" t="s">
        <v>1559</v>
      </c>
      <c r="C268" s="28" t="s">
        <v>1551</v>
      </c>
      <c r="D268" s="1949">
        <v>44713</v>
      </c>
      <c r="E268" s="1950"/>
      <c r="F268" s="1951"/>
      <c r="G268" s="1949">
        <v>44742</v>
      </c>
      <c r="H268" s="1950"/>
      <c r="I268" s="1951"/>
      <c r="J268" s="21">
        <v>1</v>
      </c>
      <c r="K268" s="22">
        <v>24</v>
      </c>
      <c r="L268" s="784">
        <v>30</v>
      </c>
      <c r="M268" s="24"/>
      <c r="N268" s="728"/>
      <c r="O268" s="25"/>
      <c r="P268" s="23"/>
      <c r="Q268" s="447"/>
      <c r="R268" s="445">
        <f t="shared" si="16"/>
        <v>720</v>
      </c>
      <c r="S268" s="447" t="s">
        <v>843</v>
      </c>
      <c r="T268" s="446" t="s">
        <v>306</v>
      </c>
      <c r="U268" s="888"/>
      <c r="V268" s="1418">
        <f t="shared" ref="V268:V287" si="17">V269</f>
        <v>0</v>
      </c>
      <c r="W268" s="357"/>
      <c r="X268" s="806"/>
      <c r="Y268" s="357"/>
      <c r="Z268" s="358"/>
      <c r="AA268" s="359"/>
      <c r="AB268" s="360"/>
    </row>
    <row r="269" spans="1:36" s="361" customFormat="1" ht="15" hidden="1">
      <c r="A269" s="354"/>
      <c r="B269" s="755" t="s">
        <v>1560</v>
      </c>
      <c r="C269" s="28" t="s">
        <v>1551</v>
      </c>
      <c r="D269" s="1949">
        <v>44743</v>
      </c>
      <c r="E269" s="1950"/>
      <c r="F269" s="1951"/>
      <c r="G269" s="1949">
        <v>44773</v>
      </c>
      <c r="H269" s="1950"/>
      <c r="I269" s="1951"/>
      <c r="J269" s="21">
        <v>1</v>
      </c>
      <c r="K269" s="22">
        <v>24</v>
      </c>
      <c r="L269" s="784">
        <v>30</v>
      </c>
      <c r="M269" s="24"/>
      <c r="N269" s="728"/>
      <c r="O269" s="25"/>
      <c r="P269" s="23"/>
      <c r="Q269" s="447"/>
      <c r="R269" s="445">
        <f t="shared" si="16"/>
        <v>720</v>
      </c>
      <c r="S269" s="447" t="s">
        <v>843</v>
      </c>
      <c r="T269" s="446" t="s">
        <v>307</v>
      </c>
      <c r="U269" s="888"/>
      <c r="V269" s="1418">
        <f t="shared" si="17"/>
        <v>0</v>
      </c>
      <c r="W269" s="357"/>
      <c r="X269" s="806"/>
      <c r="Y269" s="357"/>
      <c r="Z269" s="358"/>
      <c r="AA269" s="359"/>
      <c r="AB269" s="360"/>
    </row>
    <row r="270" spans="1:36" s="361" customFormat="1" ht="15" hidden="1">
      <c r="A270" s="354"/>
      <c r="B270" s="755" t="s">
        <v>1561</v>
      </c>
      <c r="C270" s="28" t="s">
        <v>1551</v>
      </c>
      <c r="D270" s="1949">
        <v>44774</v>
      </c>
      <c r="E270" s="1950"/>
      <c r="F270" s="1951"/>
      <c r="G270" s="1949">
        <v>44804</v>
      </c>
      <c r="H270" s="1950"/>
      <c r="I270" s="1951"/>
      <c r="J270" s="21">
        <v>1</v>
      </c>
      <c r="K270" s="22">
        <v>24</v>
      </c>
      <c r="L270" s="784">
        <v>30</v>
      </c>
      <c r="M270" s="24"/>
      <c r="N270" s="728"/>
      <c r="O270" s="25"/>
      <c r="P270" s="23"/>
      <c r="Q270" s="447"/>
      <c r="R270" s="445">
        <f t="shared" si="16"/>
        <v>720</v>
      </c>
      <c r="S270" s="447" t="s">
        <v>843</v>
      </c>
      <c r="T270" s="446" t="s">
        <v>308</v>
      </c>
      <c r="U270" s="888"/>
      <c r="V270" s="1418">
        <f t="shared" si="17"/>
        <v>0</v>
      </c>
      <c r="W270" s="357"/>
      <c r="X270" s="806"/>
      <c r="Y270" s="357"/>
      <c r="Z270" s="358"/>
      <c r="AA270" s="359"/>
      <c r="AB270" s="360"/>
    </row>
    <row r="271" spans="1:36" s="361" customFormat="1" ht="15" hidden="1" customHeight="1">
      <c r="A271" s="354"/>
      <c r="B271" s="755" t="s">
        <v>1562</v>
      </c>
      <c r="C271" s="28" t="s">
        <v>1551</v>
      </c>
      <c r="D271" s="1949">
        <v>44805</v>
      </c>
      <c r="E271" s="1950"/>
      <c r="F271" s="1951"/>
      <c r="G271" s="1949">
        <v>44834</v>
      </c>
      <c r="H271" s="1950"/>
      <c r="I271" s="1951"/>
      <c r="J271" s="21">
        <v>1</v>
      </c>
      <c r="K271" s="22">
        <v>24</v>
      </c>
      <c r="L271" s="784">
        <v>30</v>
      </c>
      <c r="M271" s="24"/>
      <c r="N271" s="728"/>
      <c r="O271" s="25"/>
      <c r="P271" s="23"/>
      <c r="Q271" s="447"/>
      <c r="R271" s="445">
        <f t="shared" si="16"/>
        <v>720</v>
      </c>
      <c r="S271" s="447" t="s">
        <v>843</v>
      </c>
      <c r="T271" s="446" t="s">
        <v>309</v>
      </c>
      <c r="U271" s="888"/>
      <c r="V271" s="1418">
        <f t="shared" si="17"/>
        <v>0</v>
      </c>
      <c r="W271" s="357"/>
      <c r="X271" s="806"/>
      <c r="Y271" s="357"/>
      <c r="Z271" s="358"/>
      <c r="AA271" s="359"/>
      <c r="AB271" s="360"/>
    </row>
    <row r="272" spans="1:36" s="361" customFormat="1" ht="15" hidden="1" customHeight="1">
      <c r="A272" s="354"/>
      <c r="B272" s="755" t="s">
        <v>1563</v>
      </c>
      <c r="C272" s="28" t="s">
        <v>1551</v>
      </c>
      <c r="D272" s="1949">
        <v>44835</v>
      </c>
      <c r="E272" s="1950"/>
      <c r="F272" s="1951"/>
      <c r="G272" s="1949">
        <v>44865</v>
      </c>
      <c r="H272" s="1950"/>
      <c r="I272" s="1951"/>
      <c r="J272" s="21">
        <v>1</v>
      </c>
      <c r="K272" s="22">
        <v>24</v>
      </c>
      <c r="L272" s="784">
        <v>30</v>
      </c>
      <c r="M272" s="24"/>
      <c r="N272" s="728"/>
      <c r="O272" s="25"/>
      <c r="P272" s="23"/>
      <c r="Q272" s="447"/>
      <c r="R272" s="445">
        <f t="shared" si="16"/>
        <v>720</v>
      </c>
      <c r="S272" s="447" t="s">
        <v>843</v>
      </c>
      <c r="T272" s="446" t="s">
        <v>310</v>
      </c>
      <c r="U272" s="888"/>
      <c r="V272" s="1418">
        <f t="shared" si="17"/>
        <v>0</v>
      </c>
      <c r="W272" s="357"/>
      <c r="X272" s="806"/>
      <c r="Y272" s="357"/>
      <c r="Z272" s="358"/>
      <c r="AA272" s="359"/>
      <c r="AB272" s="360"/>
    </row>
    <row r="273" spans="1:28" s="361" customFormat="1" ht="15" hidden="1" customHeight="1">
      <c r="A273" s="354"/>
      <c r="B273" s="755" t="s">
        <v>1564</v>
      </c>
      <c r="C273" s="28" t="s">
        <v>1551</v>
      </c>
      <c r="D273" s="1949">
        <v>44866</v>
      </c>
      <c r="E273" s="1950"/>
      <c r="F273" s="1951"/>
      <c r="G273" s="1949">
        <v>44895</v>
      </c>
      <c r="H273" s="1950"/>
      <c r="I273" s="1951"/>
      <c r="J273" s="21">
        <v>1</v>
      </c>
      <c r="K273" s="22">
        <v>24</v>
      </c>
      <c r="L273" s="784">
        <v>30</v>
      </c>
      <c r="M273" s="24"/>
      <c r="N273" s="728"/>
      <c r="O273" s="25"/>
      <c r="P273" s="23"/>
      <c r="Q273" s="447"/>
      <c r="R273" s="445">
        <f t="shared" si="16"/>
        <v>720</v>
      </c>
      <c r="S273" s="447" t="s">
        <v>843</v>
      </c>
      <c r="T273" s="446" t="s">
        <v>311</v>
      </c>
      <c r="U273" s="888"/>
      <c r="V273" s="1418">
        <f t="shared" si="17"/>
        <v>0</v>
      </c>
      <c r="W273" s="357"/>
      <c r="X273" s="806"/>
      <c r="Y273" s="357"/>
      <c r="Z273" s="358"/>
      <c r="AA273" s="359"/>
      <c r="AB273" s="360"/>
    </row>
    <row r="274" spans="1:28" s="361" customFormat="1" ht="15" hidden="1" customHeight="1">
      <c r="A274" s="354"/>
      <c r="B274" s="755" t="s">
        <v>1565</v>
      </c>
      <c r="C274" s="28" t="s">
        <v>1551</v>
      </c>
      <c r="D274" s="1949">
        <v>44896</v>
      </c>
      <c r="E274" s="1950"/>
      <c r="F274" s="1951"/>
      <c r="G274" s="1949">
        <v>44926</v>
      </c>
      <c r="H274" s="1950"/>
      <c r="I274" s="1951"/>
      <c r="J274" s="21">
        <v>1</v>
      </c>
      <c r="K274" s="22">
        <v>24</v>
      </c>
      <c r="L274" s="784">
        <v>30</v>
      </c>
      <c r="M274" s="24"/>
      <c r="N274" s="728"/>
      <c r="O274" s="25"/>
      <c r="P274" s="23"/>
      <c r="Q274" s="447"/>
      <c r="R274" s="445">
        <f t="shared" si="16"/>
        <v>720</v>
      </c>
      <c r="S274" s="447" t="s">
        <v>843</v>
      </c>
      <c r="T274" s="446" t="s">
        <v>312</v>
      </c>
      <c r="U274" s="888"/>
      <c r="V274" s="1418">
        <f t="shared" si="17"/>
        <v>0</v>
      </c>
      <c r="W274" s="357"/>
      <c r="X274" s="806"/>
      <c r="Y274" s="357"/>
      <c r="Z274" s="358"/>
      <c r="AA274" s="359"/>
      <c r="AB274" s="360"/>
    </row>
    <row r="275" spans="1:28" s="361" customFormat="1" ht="15" hidden="1" customHeight="1">
      <c r="A275" s="354"/>
      <c r="B275" s="755" t="s">
        <v>1566</v>
      </c>
      <c r="C275" s="28" t="s">
        <v>1551</v>
      </c>
      <c r="D275" s="1949">
        <v>44927</v>
      </c>
      <c r="E275" s="1950"/>
      <c r="F275" s="1951"/>
      <c r="G275" s="1949">
        <v>44957</v>
      </c>
      <c r="H275" s="1950"/>
      <c r="I275" s="1951"/>
      <c r="J275" s="21">
        <v>1</v>
      </c>
      <c r="K275" s="22">
        <v>24</v>
      </c>
      <c r="L275" s="784">
        <v>30</v>
      </c>
      <c r="M275" s="24"/>
      <c r="N275" s="728"/>
      <c r="O275" s="25"/>
      <c r="P275" s="23"/>
      <c r="Q275" s="447"/>
      <c r="R275" s="445">
        <f t="shared" si="16"/>
        <v>720</v>
      </c>
      <c r="S275" s="447" t="s">
        <v>843</v>
      </c>
      <c r="T275" s="446" t="s">
        <v>313</v>
      </c>
      <c r="U275" s="888"/>
      <c r="V275" s="1418">
        <f t="shared" si="17"/>
        <v>0</v>
      </c>
      <c r="W275" s="357"/>
      <c r="X275" s="806"/>
      <c r="Y275" s="357"/>
      <c r="Z275" s="358"/>
      <c r="AA275" s="359"/>
      <c r="AB275" s="360"/>
    </row>
    <row r="276" spans="1:28" s="361" customFormat="1" ht="15" hidden="1" customHeight="1">
      <c r="A276" s="354"/>
      <c r="B276" s="1039"/>
      <c r="C276" s="28" t="s">
        <v>1551</v>
      </c>
      <c r="D276" s="1949">
        <v>44958</v>
      </c>
      <c r="E276" s="1950"/>
      <c r="F276" s="1951"/>
      <c r="G276" s="1949">
        <v>44985</v>
      </c>
      <c r="H276" s="1950"/>
      <c r="I276" s="1951"/>
      <c r="J276" s="21">
        <v>1</v>
      </c>
      <c r="K276" s="22">
        <v>24</v>
      </c>
      <c r="L276" s="784">
        <v>30</v>
      </c>
      <c r="M276" s="24"/>
      <c r="N276" s="728"/>
      <c r="O276" s="25"/>
      <c r="P276" s="23"/>
      <c r="Q276" s="447"/>
      <c r="R276" s="445">
        <f t="shared" si="16"/>
        <v>720</v>
      </c>
      <c r="S276" s="447" t="s">
        <v>843</v>
      </c>
      <c r="T276" s="446" t="s">
        <v>314</v>
      </c>
      <c r="U276" s="742"/>
      <c r="V276" s="1418">
        <f t="shared" si="17"/>
        <v>0</v>
      </c>
      <c r="W276" s="357"/>
      <c r="X276" s="806"/>
      <c r="Y276" s="357"/>
      <c r="Z276" s="358"/>
      <c r="AA276" s="359"/>
      <c r="AB276" s="360"/>
    </row>
    <row r="277" spans="1:28" s="361" customFormat="1" ht="15" hidden="1" customHeight="1">
      <c r="A277" s="354"/>
      <c r="B277" s="831"/>
      <c r="C277" s="28" t="s">
        <v>1551</v>
      </c>
      <c r="D277" s="1949">
        <v>44986</v>
      </c>
      <c r="E277" s="1950"/>
      <c r="F277" s="1951"/>
      <c r="G277" s="1949">
        <v>45016</v>
      </c>
      <c r="H277" s="1950"/>
      <c r="I277" s="1951"/>
      <c r="J277" s="21">
        <v>1</v>
      </c>
      <c r="K277" s="22">
        <v>24</v>
      </c>
      <c r="L277" s="784">
        <v>30</v>
      </c>
      <c r="M277" s="24"/>
      <c r="N277" s="728"/>
      <c r="O277" s="25"/>
      <c r="P277" s="23"/>
      <c r="Q277" s="447"/>
      <c r="R277" s="445">
        <f t="shared" si="16"/>
        <v>720</v>
      </c>
      <c r="S277" s="447" t="s">
        <v>843</v>
      </c>
      <c r="T277" s="446" t="s">
        <v>315</v>
      </c>
      <c r="U277" s="44"/>
      <c r="V277" s="1418">
        <f t="shared" si="17"/>
        <v>0</v>
      </c>
      <c r="W277" s="357"/>
      <c r="X277" s="806"/>
      <c r="Y277" s="357"/>
      <c r="Z277" s="358"/>
      <c r="AA277" s="359"/>
      <c r="AB277" s="360"/>
    </row>
    <row r="278" spans="1:28" s="361" customFormat="1" ht="15" hidden="1" customHeight="1">
      <c r="A278" s="354"/>
      <c r="B278" s="831"/>
      <c r="C278" s="28" t="s">
        <v>1551</v>
      </c>
      <c r="D278" s="1949">
        <v>44593</v>
      </c>
      <c r="E278" s="1950"/>
      <c r="F278" s="1951"/>
      <c r="G278" s="1949">
        <v>44620</v>
      </c>
      <c r="H278" s="1950"/>
      <c r="I278" s="1951"/>
      <c r="J278" s="1086">
        <v>1</v>
      </c>
      <c r="K278" s="1421">
        <v>24</v>
      </c>
      <c r="L278" s="1105">
        <v>-2</v>
      </c>
      <c r="M278" s="853"/>
      <c r="N278" s="1106"/>
      <c r="O278" s="1422"/>
      <c r="P278" s="1104"/>
      <c r="Q278" s="730"/>
      <c r="R278" s="963">
        <f t="shared" si="16"/>
        <v>-48</v>
      </c>
      <c r="S278" s="447" t="s">
        <v>843</v>
      </c>
      <c r="T278" s="1092" t="s">
        <v>316</v>
      </c>
      <c r="U278" s="793" t="s">
        <v>1567</v>
      </c>
      <c r="V278" s="1418">
        <f t="shared" si="17"/>
        <v>0</v>
      </c>
      <c r="W278" s="357"/>
      <c r="X278" s="806"/>
      <c r="Y278" s="357"/>
      <c r="Z278" s="358"/>
      <c r="AA278" s="359"/>
      <c r="AB278" s="360"/>
    </row>
    <row r="279" spans="1:28" s="361" customFormat="1" ht="15" hidden="1" customHeight="1">
      <c r="A279" s="354"/>
      <c r="B279" s="831"/>
      <c r="C279" s="28" t="s">
        <v>1551</v>
      </c>
      <c r="D279" s="1949">
        <v>44958</v>
      </c>
      <c r="E279" s="1950"/>
      <c r="F279" s="1951"/>
      <c r="G279" s="1949">
        <v>44985</v>
      </c>
      <c r="H279" s="1950"/>
      <c r="I279" s="1951"/>
      <c r="J279" s="21">
        <v>1</v>
      </c>
      <c r="K279" s="22">
        <v>24</v>
      </c>
      <c r="L279" s="784">
        <v>-2</v>
      </c>
      <c r="M279" s="24"/>
      <c r="N279" s="728"/>
      <c r="O279" s="25"/>
      <c r="P279" s="23"/>
      <c r="Q279" s="447"/>
      <c r="R279" s="445">
        <f t="shared" si="16"/>
        <v>-48</v>
      </c>
      <c r="S279" s="447" t="s">
        <v>843</v>
      </c>
      <c r="T279" s="446" t="s">
        <v>316</v>
      </c>
      <c r="U279" s="793" t="s">
        <v>1567</v>
      </c>
      <c r="V279" s="1418">
        <f t="shared" si="17"/>
        <v>0</v>
      </c>
      <c r="W279" s="357"/>
      <c r="X279" s="806"/>
      <c r="Y279" s="357"/>
      <c r="Z279" s="358"/>
      <c r="AA279" s="359"/>
      <c r="AB279" s="360"/>
    </row>
    <row r="280" spans="1:28" s="361" customFormat="1" ht="15" hidden="1" customHeight="1">
      <c r="A280" s="354"/>
      <c r="B280" s="831"/>
      <c r="C280" s="909" t="s">
        <v>1551</v>
      </c>
      <c r="D280" s="2065">
        <v>44986</v>
      </c>
      <c r="E280" s="2066"/>
      <c r="F280" s="2067"/>
      <c r="G280" s="2065">
        <v>45016</v>
      </c>
      <c r="H280" s="2066"/>
      <c r="I280" s="2067"/>
      <c r="J280" s="1086">
        <v>1</v>
      </c>
      <c r="K280" s="1421">
        <v>24</v>
      </c>
      <c r="L280" s="1105">
        <v>30</v>
      </c>
      <c r="M280" s="853"/>
      <c r="N280" s="1106"/>
      <c r="O280" s="1422"/>
      <c r="P280" s="1104"/>
      <c r="Q280" s="730"/>
      <c r="R280" s="963">
        <f>J280*K280*L280</f>
        <v>720</v>
      </c>
      <c r="S280" s="730" t="s">
        <v>843</v>
      </c>
      <c r="T280" s="1092" t="s">
        <v>316</v>
      </c>
      <c r="U280" s="843"/>
      <c r="V280" s="1418">
        <f t="shared" si="17"/>
        <v>0</v>
      </c>
      <c r="W280" s="357"/>
      <c r="X280" s="806"/>
      <c r="Y280" s="357"/>
      <c r="Z280" s="358"/>
      <c r="AA280" s="359"/>
      <c r="AB280" s="360"/>
    </row>
    <row r="281" spans="1:28" s="361" customFormat="1" ht="15" hidden="1" customHeight="1">
      <c r="A281" s="354"/>
      <c r="B281" s="831"/>
      <c r="C281" s="1107" t="s">
        <v>1551</v>
      </c>
      <c r="D281" s="2004">
        <v>45047</v>
      </c>
      <c r="E281" s="2005"/>
      <c r="F281" s="2006"/>
      <c r="G281" s="2004">
        <v>45077</v>
      </c>
      <c r="H281" s="2005"/>
      <c r="I281" s="2006"/>
      <c r="J281" s="1103">
        <v>1</v>
      </c>
      <c r="K281" s="837">
        <v>24</v>
      </c>
      <c r="L281" s="838">
        <v>31</v>
      </c>
      <c r="M281" s="840"/>
      <c r="N281" s="837"/>
      <c r="O281" s="841"/>
      <c r="P281" s="837"/>
      <c r="Q281" s="792"/>
      <c r="R281" s="834">
        <f>TRUNC(J281*K281*L281,3)</f>
        <v>744</v>
      </c>
      <c r="S281" s="861" t="s">
        <v>843</v>
      </c>
      <c r="T281" s="1099" t="s">
        <v>317</v>
      </c>
      <c r="U281" s="843"/>
      <c r="V281" s="1418">
        <f t="shared" si="17"/>
        <v>0</v>
      </c>
      <c r="W281" s="357"/>
      <c r="X281" s="806"/>
      <c r="Y281" s="357"/>
      <c r="Z281" s="358"/>
      <c r="AA281" s="359"/>
      <c r="AB281" s="360"/>
    </row>
    <row r="282" spans="1:28" s="361" customFormat="1" ht="15" hidden="1" customHeight="1">
      <c r="A282" s="354"/>
      <c r="B282" s="831"/>
      <c r="C282" s="1107" t="s">
        <v>1551</v>
      </c>
      <c r="D282" s="2004">
        <v>45078</v>
      </c>
      <c r="E282" s="2005"/>
      <c r="F282" s="2006"/>
      <c r="G282" s="2004">
        <v>45148</v>
      </c>
      <c r="H282" s="2005"/>
      <c r="I282" s="2006"/>
      <c r="J282" s="1103">
        <v>1</v>
      </c>
      <c r="K282" s="837">
        <v>24</v>
      </c>
      <c r="L282" s="838">
        <v>71</v>
      </c>
      <c r="M282" s="840"/>
      <c r="N282" s="837"/>
      <c r="O282" s="841"/>
      <c r="P282" s="837"/>
      <c r="Q282" s="792"/>
      <c r="R282" s="834">
        <f>TRUNC(J282*K282*L282,3)</f>
        <v>1704</v>
      </c>
      <c r="S282" s="861" t="s">
        <v>843</v>
      </c>
      <c r="T282" s="1099" t="s">
        <v>318</v>
      </c>
      <c r="U282" s="843"/>
      <c r="V282" s="1418">
        <f t="shared" si="17"/>
        <v>0</v>
      </c>
      <c r="W282" s="357"/>
      <c r="X282" s="806"/>
      <c r="Y282" s="357"/>
      <c r="Z282" s="358"/>
      <c r="AA282" s="359"/>
      <c r="AB282" s="360"/>
    </row>
    <row r="283" spans="1:28" s="361" customFormat="1" ht="15" hidden="1">
      <c r="A283" s="354"/>
      <c r="B283" s="831"/>
      <c r="C283" s="1107" t="s">
        <v>1551</v>
      </c>
      <c r="D283" s="2004">
        <v>45149</v>
      </c>
      <c r="E283" s="2005"/>
      <c r="F283" s="2006"/>
      <c r="G283" s="2004">
        <v>45169</v>
      </c>
      <c r="H283" s="2005"/>
      <c r="I283" s="2006"/>
      <c r="J283" s="1103">
        <v>1</v>
      </c>
      <c r="K283" s="837">
        <v>24</v>
      </c>
      <c r="L283" s="838">
        <v>21</v>
      </c>
      <c r="M283" s="840"/>
      <c r="N283" s="837"/>
      <c r="O283" s="841"/>
      <c r="P283" s="837"/>
      <c r="Q283" s="792"/>
      <c r="R283" s="834">
        <v>504</v>
      </c>
      <c r="S283" s="861" t="s">
        <v>843</v>
      </c>
      <c r="T283" s="1099" t="s">
        <v>319</v>
      </c>
      <c r="U283" s="843"/>
      <c r="V283" s="1418">
        <f t="shared" si="17"/>
        <v>0</v>
      </c>
      <c r="W283" s="357"/>
      <c r="X283" s="806"/>
      <c r="Y283" s="357"/>
      <c r="Z283" s="358"/>
      <c r="AA283" s="359"/>
      <c r="AB283" s="360"/>
    </row>
    <row r="284" spans="1:28" s="361" customFormat="1" ht="15" hidden="1">
      <c r="A284" s="354"/>
      <c r="B284" s="831"/>
      <c r="C284" s="1107" t="s">
        <v>1551</v>
      </c>
      <c r="D284" s="1949">
        <v>45170</v>
      </c>
      <c r="E284" s="1950"/>
      <c r="F284" s="1951"/>
      <c r="G284" s="1949">
        <v>45199</v>
      </c>
      <c r="H284" s="1950"/>
      <c r="I284" s="1951"/>
      <c r="J284" s="1103">
        <v>1</v>
      </c>
      <c r="K284" s="837">
        <v>24</v>
      </c>
      <c r="L284" s="838">
        <v>30</v>
      </c>
      <c r="M284" s="840"/>
      <c r="N284" s="837"/>
      <c r="O284" s="841"/>
      <c r="P284" s="837"/>
      <c r="Q284" s="792"/>
      <c r="R284" s="834">
        <v>720</v>
      </c>
      <c r="S284" s="861" t="s">
        <v>843</v>
      </c>
      <c r="T284" s="1099" t="s">
        <v>320</v>
      </c>
      <c r="U284" s="843"/>
      <c r="V284" s="1418">
        <f t="shared" si="17"/>
        <v>0</v>
      </c>
      <c r="W284" s="357"/>
      <c r="X284" s="806"/>
      <c r="Y284" s="357"/>
      <c r="Z284" s="358"/>
      <c r="AA284" s="359"/>
      <c r="AB284" s="360"/>
    </row>
    <row r="285" spans="1:28" s="361" customFormat="1" ht="15" hidden="1">
      <c r="A285" s="354"/>
      <c r="B285" s="831"/>
      <c r="C285" s="1107" t="s">
        <v>1551</v>
      </c>
      <c r="D285" s="1949">
        <v>45200</v>
      </c>
      <c r="E285" s="1950"/>
      <c r="F285" s="1951"/>
      <c r="G285" s="1949">
        <v>45230</v>
      </c>
      <c r="H285" s="1950"/>
      <c r="I285" s="1951"/>
      <c r="J285" s="1103">
        <v>3</v>
      </c>
      <c r="K285" s="837">
        <v>24</v>
      </c>
      <c r="L285" s="838">
        <v>30</v>
      </c>
      <c r="M285" s="840"/>
      <c r="N285" s="837"/>
      <c r="O285" s="841"/>
      <c r="P285" s="837"/>
      <c r="Q285" s="792"/>
      <c r="R285" s="834">
        <v>2160</v>
      </c>
      <c r="S285" s="861" t="s">
        <v>843</v>
      </c>
      <c r="T285" s="1099" t="s">
        <v>321</v>
      </c>
      <c r="U285" s="843"/>
      <c r="V285" s="1418">
        <f t="shared" si="17"/>
        <v>0</v>
      </c>
      <c r="W285" s="357"/>
      <c r="X285" s="806"/>
      <c r="Y285" s="357"/>
      <c r="Z285" s="358"/>
      <c r="AA285" s="359"/>
      <c r="AB285" s="360"/>
    </row>
    <row r="286" spans="1:28" s="361" customFormat="1" ht="15" hidden="1">
      <c r="A286" s="354"/>
      <c r="B286" s="831"/>
      <c r="C286" s="1107" t="s">
        <v>1551</v>
      </c>
      <c r="D286" s="1949">
        <v>45231</v>
      </c>
      <c r="E286" s="1950"/>
      <c r="F286" s="1951"/>
      <c r="G286" s="1949">
        <v>45260</v>
      </c>
      <c r="H286" s="1950"/>
      <c r="I286" s="1951"/>
      <c r="J286" s="1103">
        <v>3</v>
      </c>
      <c r="K286" s="837">
        <v>24</v>
      </c>
      <c r="L286" s="838">
        <v>30</v>
      </c>
      <c r="M286" s="840"/>
      <c r="N286" s="837"/>
      <c r="O286" s="841"/>
      <c r="P286" s="837"/>
      <c r="Q286" s="792"/>
      <c r="R286" s="834">
        <v>2160</v>
      </c>
      <c r="S286" s="861" t="s">
        <v>843</v>
      </c>
      <c r="T286" s="1099" t="s">
        <v>322</v>
      </c>
      <c r="U286" s="843"/>
      <c r="V286" s="1418">
        <f t="shared" si="17"/>
        <v>0</v>
      </c>
      <c r="W286" s="357"/>
      <c r="X286" s="806"/>
      <c r="Y286" s="357"/>
      <c r="Z286" s="358"/>
      <c r="AA286" s="359"/>
      <c r="AB286" s="360"/>
    </row>
    <row r="287" spans="1:28" s="361" customFormat="1" ht="15" hidden="1">
      <c r="A287" s="354"/>
      <c r="B287" s="831"/>
      <c r="C287" s="1107" t="s">
        <v>1551</v>
      </c>
      <c r="D287" s="1949">
        <v>45261</v>
      </c>
      <c r="E287" s="1950"/>
      <c r="F287" s="1951"/>
      <c r="G287" s="1949">
        <v>45291</v>
      </c>
      <c r="H287" s="1950"/>
      <c r="I287" s="1951"/>
      <c r="J287" s="1103">
        <v>3</v>
      </c>
      <c r="K287" s="837">
        <v>24</v>
      </c>
      <c r="L287" s="838">
        <v>30</v>
      </c>
      <c r="M287" s="840"/>
      <c r="N287" s="837"/>
      <c r="O287" s="841"/>
      <c r="P287" s="837"/>
      <c r="Q287" s="792"/>
      <c r="R287" s="834">
        <v>2160</v>
      </c>
      <c r="S287" s="861" t="s">
        <v>843</v>
      </c>
      <c r="T287" s="1099" t="s">
        <v>323</v>
      </c>
      <c r="U287" s="843"/>
      <c r="V287" s="1418">
        <f t="shared" si="17"/>
        <v>0</v>
      </c>
      <c r="W287" s="357"/>
      <c r="X287" s="806"/>
      <c r="Y287" s="357"/>
      <c r="Z287" s="358"/>
      <c r="AA287" s="359"/>
      <c r="AB287" s="360"/>
    </row>
    <row r="288" spans="1:28" s="361" customFormat="1" ht="15" hidden="1">
      <c r="A288" s="354"/>
      <c r="B288" s="766"/>
      <c r="C288" s="1108" t="s">
        <v>1551</v>
      </c>
      <c r="D288" s="2073">
        <v>45261</v>
      </c>
      <c r="E288" s="2074"/>
      <c r="F288" s="2075"/>
      <c r="G288" s="2073">
        <v>45278</v>
      </c>
      <c r="H288" s="2074"/>
      <c r="I288" s="2075"/>
      <c r="J288" s="1100">
        <v>3</v>
      </c>
      <c r="K288" s="798">
        <v>8</v>
      </c>
      <c r="L288" s="1140">
        <v>12</v>
      </c>
      <c r="M288" s="1139"/>
      <c r="N288" s="798"/>
      <c r="O288" s="744"/>
      <c r="P288" s="798"/>
      <c r="Q288" s="496"/>
      <c r="R288" s="497">
        <f>TRUNC(J288*K288*L288,3)</f>
        <v>288</v>
      </c>
      <c r="S288" s="745" t="s">
        <v>843</v>
      </c>
      <c r="T288" s="1101" t="s">
        <v>323</v>
      </c>
      <c r="U288" s="454"/>
      <c r="V288" s="1418">
        <f>V289</f>
        <v>0</v>
      </c>
      <c r="W288" s="357"/>
      <c r="X288" s="806" t="str">
        <f>LOWER(C288)</f>
        <v>motobomba trash (para água suja)</v>
      </c>
      <c r="Y288" s="357"/>
      <c r="Z288" s="358"/>
      <c r="AA288" s="359"/>
      <c r="AB288" s="360"/>
    </row>
    <row r="289" spans="1:36" s="77" customFormat="1" ht="15.6" hidden="1" customHeight="1">
      <c r="A289" s="370"/>
      <c r="B289" s="499"/>
      <c r="C289" s="37"/>
      <c r="D289" s="1940" t="s">
        <v>1520</v>
      </c>
      <c r="E289" s="1941"/>
      <c r="F289" s="1941"/>
      <c r="G289" s="1941"/>
      <c r="H289" s="1941"/>
      <c r="I289" s="1942"/>
      <c r="J289" s="1955">
        <f>VLOOKUP(A291,'11 - FINANCEIRA'!_xlnm.Print_Area,6,FALSE)</f>
        <v>25920</v>
      </c>
      <c r="K289" s="1956"/>
      <c r="L289" s="483" t="str">
        <f>VLOOKUP(A291,'11 - FINANCEIRA'!_xlnm.Print_Area,4,FALSE)</f>
        <v>CHI</v>
      </c>
      <c r="M289" s="1957" t="s">
        <v>1521</v>
      </c>
      <c r="N289" s="1958"/>
      <c r="O289" s="1958"/>
      <c r="P289" s="1958"/>
      <c r="Q289" s="1959"/>
      <c r="R289" s="484">
        <f>SUM(R259:R288)</f>
        <v>25920</v>
      </c>
      <c r="S289" s="485" t="str">
        <f>L289</f>
        <v>CHI</v>
      </c>
      <c r="T289" s="373"/>
      <c r="U289" s="486"/>
      <c r="V289" s="1418">
        <f t="shared" si="14"/>
        <v>0</v>
      </c>
      <c r="AB289" s="15"/>
    </row>
    <row r="290" spans="1:36" s="77" customFormat="1" ht="15.75" hidden="1" customHeight="1">
      <c r="A290" s="370"/>
      <c r="B290" s="499"/>
      <c r="C290" s="725"/>
      <c r="D290" s="1937" t="s">
        <v>1522</v>
      </c>
      <c r="E290" s="1938"/>
      <c r="F290" s="1938"/>
      <c r="G290" s="1938"/>
      <c r="H290" s="1938"/>
      <c r="I290" s="1939"/>
      <c r="J290" s="1943">
        <f>R289/J289</f>
        <v>1</v>
      </c>
      <c r="K290" s="1944"/>
      <c r="L290" s="1947"/>
      <c r="M290" s="1934" t="s">
        <v>1523</v>
      </c>
      <c r="N290" s="1935"/>
      <c r="O290" s="1935"/>
      <c r="P290" s="1935"/>
      <c r="Q290" s="1936"/>
      <c r="R290" s="726">
        <f>VLOOKUP(A291,'11 - FINANCEIRA'!_xlnm.Print_Area,8,FALSE)</f>
        <v>25920</v>
      </c>
      <c r="S290" s="727" t="str">
        <f>L289</f>
        <v>CHI</v>
      </c>
      <c r="T290" s="373"/>
      <c r="U290" s="486"/>
      <c r="V290" s="1418">
        <f t="shared" si="14"/>
        <v>0</v>
      </c>
      <c r="AB290" s="15"/>
    </row>
    <row r="291" spans="1:36" s="77" customFormat="1" ht="15.75" hidden="1" customHeight="1">
      <c r="A291" s="364" t="s">
        <v>361</v>
      </c>
      <c r="B291" s="499"/>
      <c r="C291" s="37"/>
      <c r="D291" s="2013"/>
      <c r="E291" s="2014"/>
      <c r="F291" s="2014"/>
      <c r="G291" s="2014"/>
      <c r="H291" s="2014"/>
      <c r="I291" s="2015"/>
      <c r="J291" s="2016"/>
      <c r="K291" s="2017"/>
      <c r="L291" s="1962"/>
      <c r="M291" s="2007" t="s">
        <v>1524</v>
      </c>
      <c r="N291" s="2008"/>
      <c r="O291" s="2008"/>
      <c r="P291" s="2008"/>
      <c r="Q291" s="2009"/>
      <c r="R291" s="1345">
        <f>R289-R290</f>
        <v>0</v>
      </c>
      <c r="S291" s="1346" t="str">
        <f>L289</f>
        <v>CHI</v>
      </c>
      <c r="T291" s="373"/>
      <c r="U291" s="486"/>
      <c r="V291" s="1418">
        <f>R291</f>
        <v>0</v>
      </c>
      <c r="AB291" s="15"/>
    </row>
    <row r="292" spans="1:36" s="77" customFormat="1" ht="15.6" hidden="1">
      <c r="A292" s="370"/>
      <c r="B292" s="1347"/>
      <c r="C292" s="1348"/>
      <c r="D292" s="1349"/>
      <c r="E292" s="1350"/>
      <c r="F292" s="1349"/>
      <c r="G292" s="1349"/>
      <c r="H292" s="1349"/>
      <c r="I292" s="1349"/>
      <c r="J292" s="1351"/>
      <c r="K292" s="1352"/>
      <c r="L292" s="1353"/>
      <c r="M292" s="1354"/>
      <c r="N292" s="1354"/>
      <c r="O292" s="1354"/>
      <c r="P292" s="1354"/>
      <c r="Q292" s="1354"/>
      <c r="R292" s="1355"/>
      <c r="S292" s="1356"/>
      <c r="T292" s="1357"/>
      <c r="U292" s="1358"/>
      <c r="V292" s="1420">
        <f>SUM(V257:V291)</f>
        <v>0</v>
      </c>
      <c r="AB292" s="15"/>
    </row>
    <row r="293" spans="1:36" s="632" customFormat="1" ht="15.6" hidden="1">
      <c r="A293" s="630"/>
      <c r="B293" s="1333" t="str">
        <f>LEFT(A299,5)</f>
        <v>2.1.2</v>
      </c>
      <c r="C293" s="1334" t="str">
        <f>VLOOKUP(LEFT(A299,5),'11 - FINANCEIRA'!_xlnm.Print_Area,2,FALSE)</f>
        <v>RETIRADA DE INTERFERÊNCIAS</v>
      </c>
      <c r="D293" s="1334"/>
      <c r="E293" s="1335"/>
      <c r="F293" s="1334"/>
      <c r="G293" s="2071"/>
      <c r="H293" s="2072"/>
      <c r="I293" s="2072"/>
      <c r="J293" s="2072"/>
      <c r="K293" s="2072"/>
      <c r="L293" s="2072"/>
      <c r="M293" s="1338"/>
      <c r="N293" s="1339"/>
      <c r="O293" s="1339"/>
      <c r="P293" s="1339"/>
      <c r="Q293" s="1339"/>
      <c r="R293" s="1339"/>
      <c r="S293" s="1339"/>
      <c r="T293" s="1339"/>
      <c r="U293" s="1339"/>
      <c r="V293" s="631">
        <f>SUM(V295:V307)</f>
        <v>0</v>
      </c>
    </row>
    <row r="294" spans="1:36" s="352" customFormat="1" ht="15.6" hidden="1">
      <c r="A294" s="351"/>
      <c r="B294" s="1963" t="str">
        <f>VLOOKUP(A299,'11 - FINANCEIRA'!_xlnm.Print_Area,1,FALSE)</f>
        <v>2.1.2.1</v>
      </c>
      <c r="C294" s="1965" t="str">
        <f>VLOOKUP(A299,'11 - FINANCEIRA'!_xlnm.Print_Area,3,FALSE)</f>
        <v>Remoção de poste</v>
      </c>
      <c r="D294" s="1967" t="s">
        <v>1503</v>
      </c>
      <c r="E294" s="1968"/>
      <c r="F294" s="1968"/>
      <c r="G294" s="1968"/>
      <c r="H294" s="1968"/>
      <c r="I294" s="1969"/>
      <c r="J294" s="1914" t="s">
        <v>1504</v>
      </c>
      <c r="K294" s="1914" t="s">
        <v>1505</v>
      </c>
      <c r="L294" s="1914" t="s">
        <v>1506</v>
      </c>
      <c r="M294" s="1914" t="s">
        <v>1507</v>
      </c>
      <c r="N294" s="1914" t="s">
        <v>1508</v>
      </c>
      <c r="O294" s="1914" t="s">
        <v>1509</v>
      </c>
      <c r="P294" s="1341" t="s">
        <v>1510</v>
      </c>
      <c r="Q294" s="1914" t="s">
        <v>1493</v>
      </c>
      <c r="R294" s="1916" t="s">
        <v>804</v>
      </c>
      <c r="S294" s="1914" t="s">
        <v>1511</v>
      </c>
      <c r="T294" s="1914" t="s">
        <v>1512</v>
      </c>
      <c r="U294" s="1918" t="s">
        <v>1513</v>
      </c>
      <c r="V294" s="1418">
        <f>V295</f>
        <v>0</v>
      </c>
      <c r="W294" s="16"/>
      <c r="X294" s="16"/>
      <c r="Y294" s="16"/>
      <c r="Z294" s="17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</row>
    <row r="295" spans="1:36" s="352" customFormat="1" ht="15.6" hidden="1">
      <c r="A295" s="351"/>
      <c r="B295" s="1964" t="e">
        <f>LEFT(#REF!,5)</f>
        <v>#REF!</v>
      </c>
      <c r="C295" s="1966" t="e">
        <f>VLOOKUP(LEFT(#REF!,5),'11 - FINANCEIRA'!_xlnm.Print_Area,2,FALSE)</f>
        <v>#REF!</v>
      </c>
      <c r="D295" s="1920" t="s">
        <v>1514</v>
      </c>
      <c r="E295" s="1921"/>
      <c r="F295" s="1922"/>
      <c r="G295" s="1923" t="s">
        <v>1515</v>
      </c>
      <c r="H295" s="1924"/>
      <c r="I295" s="1925"/>
      <c r="J295" s="1915"/>
      <c r="K295" s="1915"/>
      <c r="L295" s="1915"/>
      <c r="M295" s="1915"/>
      <c r="N295" s="1915"/>
      <c r="O295" s="1915"/>
      <c r="P295" s="353" t="s">
        <v>1516</v>
      </c>
      <c r="Q295" s="1915"/>
      <c r="R295" s="1917"/>
      <c r="S295" s="1915"/>
      <c r="T295" s="1915"/>
      <c r="U295" s="1919"/>
      <c r="V295" s="1418">
        <f>V296</f>
        <v>0</v>
      </c>
      <c r="W295" s="16"/>
      <c r="X295" s="16"/>
      <c r="Y295" s="16"/>
      <c r="Z295" s="17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</row>
    <row r="296" spans="1:36" s="361" customFormat="1" ht="15" hidden="1">
      <c r="A296" s="354"/>
      <c r="B296" s="775" t="s">
        <v>1568</v>
      </c>
      <c r="C296" s="776" t="s">
        <v>847</v>
      </c>
      <c r="D296" s="1376"/>
      <c r="E296" s="1377"/>
      <c r="F296" s="1378"/>
      <c r="G296" s="1376"/>
      <c r="H296" s="1377"/>
      <c r="I296" s="1378"/>
      <c r="J296" s="777"/>
      <c r="K296" s="1379"/>
      <c r="L296" s="778"/>
      <c r="M296" s="1380"/>
      <c r="N296" s="1381"/>
      <c r="O296" s="1382"/>
      <c r="P296" s="778"/>
      <c r="Q296" s="1383"/>
      <c r="R296" s="779">
        <v>1</v>
      </c>
      <c r="S296" s="780" t="s">
        <v>840</v>
      </c>
      <c r="T296" s="781" t="s">
        <v>301</v>
      </c>
      <c r="U296" s="754"/>
      <c r="V296" s="1418">
        <f>V297</f>
        <v>0</v>
      </c>
      <c r="W296" s="357"/>
      <c r="X296" s="357"/>
      <c r="Y296" s="357"/>
      <c r="Z296" s="358"/>
      <c r="AA296" s="359"/>
      <c r="AB296" s="360"/>
    </row>
    <row r="297" spans="1:36" s="77" customFormat="1" ht="15.6" hidden="1">
      <c r="A297" s="370"/>
      <c r="B297" s="499"/>
      <c r="C297" s="37"/>
      <c r="D297" s="1940" t="s">
        <v>1520</v>
      </c>
      <c r="E297" s="1941"/>
      <c r="F297" s="1941"/>
      <c r="G297" s="1941"/>
      <c r="H297" s="1941"/>
      <c r="I297" s="1942"/>
      <c r="J297" s="1955">
        <f>VLOOKUP(A299,'11 - FINANCEIRA'!_xlnm.Print_Area,6,FALSE)</f>
        <v>1</v>
      </c>
      <c r="K297" s="1956"/>
      <c r="L297" s="483" t="str">
        <f>VLOOKUP(A299,'11 - FINANCEIRA'!_xlnm.Print_Area,4,FALSE)</f>
        <v>CHP</v>
      </c>
      <c r="M297" s="1957" t="s">
        <v>1521</v>
      </c>
      <c r="N297" s="1958"/>
      <c r="O297" s="1958"/>
      <c r="P297" s="1958"/>
      <c r="Q297" s="1959"/>
      <c r="R297" s="484">
        <f>SUM(R296:R296)</f>
        <v>1</v>
      </c>
      <c r="S297" s="485" t="str">
        <f>L297</f>
        <v>CHP</v>
      </c>
      <c r="T297" s="373"/>
      <c r="U297" s="486"/>
      <c r="V297" s="1418">
        <f>V298</f>
        <v>0</v>
      </c>
      <c r="AB297" s="15"/>
    </row>
    <row r="298" spans="1:36" s="77" customFormat="1" ht="15.6" hidden="1">
      <c r="A298" s="370"/>
      <c r="B298" s="499"/>
      <c r="C298" s="725"/>
      <c r="D298" s="1937" t="s">
        <v>1522</v>
      </c>
      <c r="E298" s="1938"/>
      <c r="F298" s="1938"/>
      <c r="G298" s="1938"/>
      <c r="H298" s="1938"/>
      <c r="I298" s="1939"/>
      <c r="J298" s="1943">
        <f>R297/J297</f>
        <v>1</v>
      </c>
      <c r="K298" s="1944"/>
      <c r="L298" s="1947"/>
      <c r="M298" s="1934" t="s">
        <v>1523</v>
      </c>
      <c r="N298" s="1935"/>
      <c r="O298" s="1935"/>
      <c r="P298" s="1935"/>
      <c r="Q298" s="1936"/>
      <c r="R298" s="726">
        <f>VLOOKUP(A299,'11 - FINANCEIRA'!_xlnm.Print_Area,8,FALSE)</f>
        <v>1</v>
      </c>
      <c r="S298" s="727" t="str">
        <f>L297</f>
        <v>CHP</v>
      </c>
      <c r="T298" s="373"/>
      <c r="U298" s="486"/>
      <c r="V298" s="1418">
        <f>V299</f>
        <v>0</v>
      </c>
      <c r="AB298" s="15"/>
    </row>
    <row r="299" spans="1:36" s="77" customFormat="1" ht="15.6" hidden="1">
      <c r="A299" s="364" t="s">
        <v>363</v>
      </c>
      <c r="B299" s="499"/>
      <c r="C299" s="37"/>
      <c r="D299" s="2013"/>
      <c r="E299" s="2014"/>
      <c r="F299" s="2014"/>
      <c r="G299" s="2014"/>
      <c r="H299" s="2014"/>
      <c r="I299" s="2015"/>
      <c r="J299" s="2016"/>
      <c r="K299" s="2017"/>
      <c r="L299" s="1962"/>
      <c r="M299" s="2007" t="s">
        <v>1524</v>
      </c>
      <c r="N299" s="2008"/>
      <c r="O299" s="2008"/>
      <c r="P299" s="2008"/>
      <c r="Q299" s="2009"/>
      <c r="R299" s="1345">
        <f>R297-R298</f>
        <v>0</v>
      </c>
      <c r="S299" s="1346" t="str">
        <f>L297</f>
        <v>CHP</v>
      </c>
      <c r="T299" s="373"/>
      <c r="U299" s="486"/>
      <c r="V299" s="1418">
        <f>R299</f>
        <v>0</v>
      </c>
      <c r="AB299" s="15"/>
    </row>
    <row r="300" spans="1:36" s="77" customFormat="1" ht="15.6" hidden="1">
      <c r="A300" s="370"/>
      <c r="B300" s="1347"/>
      <c r="C300" s="1348"/>
      <c r="D300" s="1349"/>
      <c r="E300" s="1350"/>
      <c r="F300" s="1349"/>
      <c r="G300" s="1349"/>
      <c r="H300" s="1349"/>
      <c r="I300" s="1349"/>
      <c r="J300" s="1351"/>
      <c r="K300" s="1352"/>
      <c r="L300" s="1353"/>
      <c r="M300" s="1354"/>
      <c r="N300" s="1354"/>
      <c r="O300" s="1354"/>
      <c r="P300" s="1354"/>
      <c r="Q300" s="1354"/>
      <c r="R300" s="1355"/>
      <c r="S300" s="1356"/>
      <c r="T300" s="1357"/>
      <c r="U300" s="1358"/>
      <c r="V300" s="1420">
        <f>SUM(V294:V299)</f>
        <v>0</v>
      </c>
      <c r="AB300" s="15"/>
    </row>
    <row r="301" spans="1:36" s="352" customFormat="1" ht="15.6" hidden="1">
      <c r="A301" s="351"/>
      <c r="B301" s="1963" t="str">
        <f>VLOOKUP(A306,'11 - FINANCEIRA'!_xlnm.Print_Area,1,FALSE)</f>
        <v>2.1.2.2</v>
      </c>
      <c r="C301" s="1965" t="str">
        <f>VLOOKUP(A306,'11 - FINANCEIRA'!_xlnm.Print_Area,3,FALSE)</f>
        <v xml:space="preserve">Assentamento de poste de concreto </v>
      </c>
      <c r="D301" s="1967" t="s">
        <v>1503</v>
      </c>
      <c r="E301" s="1968"/>
      <c r="F301" s="1968"/>
      <c r="G301" s="1968"/>
      <c r="H301" s="1968"/>
      <c r="I301" s="1969"/>
      <c r="J301" s="1914" t="s">
        <v>1504</v>
      </c>
      <c r="K301" s="1914" t="s">
        <v>1505</v>
      </c>
      <c r="L301" s="1914" t="s">
        <v>1506</v>
      </c>
      <c r="M301" s="1914" t="s">
        <v>1507</v>
      </c>
      <c r="N301" s="1914" t="s">
        <v>1508</v>
      </c>
      <c r="O301" s="1914" t="s">
        <v>1509</v>
      </c>
      <c r="P301" s="1341" t="s">
        <v>1510</v>
      </c>
      <c r="Q301" s="1914" t="s">
        <v>1493</v>
      </c>
      <c r="R301" s="1916" t="s">
        <v>804</v>
      </c>
      <c r="S301" s="1914" t="s">
        <v>1511</v>
      </c>
      <c r="T301" s="1914" t="s">
        <v>1512</v>
      </c>
      <c r="U301" s="1918" t="s">
        <v>1513</v>
      </c>
      <c r="V301" s="1418">
        <f>V302</f>
        <v>0</v>
      </c>
      <c r="W301" s="16"/>
      <c r="X301" s="16"/>
      <c r="Y301" s="16"/>
      <c r="Z301" s="17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</row>
    <row r="302" spans="1:36" s="352" customFormat="1" ht="15.6" hidden="1">
      <c r="A302" s="351"/>
      <c r="B302" s="1964" t="e">
        <f>LEFT(#REF!,5)</f>
        <v>#REF!</v>
      </c>
      <c r="C302" s="1966" t="e">
        <f>VLOOKUP(LEFT(#REF!,5),'11 - FINANCEIRA'!_xlnm.Print_Area,2,FALSE)</f>
        <v>#REF!</v>
      </c>
      <c r="D302" s="1920" t="s">
        <v>1514</v>
      </c>
      <c r="E302" s="1921"/>
      <c r="F302" s="1922"/>
      <c r="G302" s="1923" t="s">
        <v>1515</v>
      </c>
      <c r="H302" s="1924"/>
      <c r="I302" s="1925"/>
      <c r="J302" s="1915"/>
      <c r="K302" s="1915"/>
      <c r="L302" s="1915"/>
      <c r="M302" s="1915"/>
      <c r="N302" s="1915"/>
      <c r="O302" s="1915"/>
      <c r="P302" s="353" t="s">
        <v>1516</v>
      </c>
      <c r="Q302" s="1915"/>
      <c r="R302" s="1917"/>
      <c r="S302" s="1915"/>
      <c r="T302" s="1915"/>
      <c r="U302" s="1919"/>
      <c r="V302" s="1418">
        <f>V303</f>
        <v>0</v>
      </c>
      <c r="W302" s="16"/>
      <c r="X302" s="16"/>
      <c r="Y302" s="16"/>
      <c r="Z302" s="17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</row>
    <row r="303" spans="1:36" s="361" customFormat="1" ht="15" hidden="1" customHeight="1">
      <c r="A303" s="354"/>
      <c r="B303" s="747"/>
      <c r="C303" s="748" t="s">
        <v>850</v>
      </c>
      <c r="D303" s="1384"/>
      <c r="E303" s="1385"/>
      <c r="F303" s="1386"/>
      <c r="G303" s="1384"/>
      <c r="H303" s="1385"/>
      <c r="I303" s="1386"/>
      <c r="J303" s="749"/>
      <c r="K303" s="1387"/>
      <c r="L303" s="750"/>
      <c r="M303" s="1388"/>
      <c r="N303" s="1389"/>
      <c r="O303" s="1390"/>
      <c r="P303" s="750"/>
      <c r="Q303" s="1391"/>
      <c r="R303" s="751">
        <v>1</v>
      </c>
      <c r="S303" s="752" t="s">
        <v>843</v>
      </c>
      <c r="T303" s="753" t="s">
        <v>328</v>
      </c>
      <c r="U303" s="754"/>
      <c r="V303" s="1418">
        <f>V304</f>
        <v>0</v>
      </c>
      <c r="W303" s="357"/>
      <c r="X303" s="357"/>
      <c r="Y303" s="357"/>
      <c r="Z303" s="358"/>
      <c r="AA303" s="359"/>
      <c r="AB303" s="360"/>
    </row>
    <row r="304" spans="1:36" s="77" customFormat="1" ht="15.6" hidden="1">
      <c r="A304" s="370"/>
      <c r="B304" s="499"/>
      <c r="C304" s="37"/>
      <c r="D304" s="1940" t="s">
        <v>1520</v>
      </c>
      <c r="E304" s="1941"/>
      <c r="F304" s="1941"/>
      <c r="G304" s="1941"/>
      <c r="H304" s="1941"/>
      <c r="I304" s="1942"/>
      <c r="J304" s="1955">
        <f>VLOOKUP(A306,'11 - FINANCEIRA'!_xlnm.Print_Area,6,FALSE)</f>
        <v>1</v>
      </c>
      <c r="K304" s="1956"/>
      <c r="L304" s="483" t="str">
        <f>VLOOKUP(A306,'11 - FINANCEIRA'!_xlnm.Print_Area,4,FALSE)</f>
        <v>CHI</v>
      </c>
      <c r="M304" s="1957" t="s">
        <v>1521</v>
      </c>
      <c r="N304" s="1958"/>
      <c r="O304" s="1958"/>
      <c r="P304" s="1958"/>
      <c r="Q304" s="1959"/>
      <c r="R304" s="484">
        <f>SUM(R303:R303)</f>
        <v>1</v>
      </c>
      <c r="S304" s="485" t="str">
        <f>L304</f>
        <v>CHI</v>
      </c>
      <c r="T304" s="373"/>
      <c r="U304" s="486"/>
      <c r="V304" s="1418">
        <f>V305</f>
        <v>0</v>
      </c>
      <c r="AB304" s="15"/>
    </row>
    <row r="305" spans="1:36" s="77" customFormat="1" ht="15.6" hidden="1">
      <c r="A305" s="370"/>
      <c r="B305" s="499"/>
      <c r="C305" s="725"/>
      <c r="D305" s="1937" t="s">
        <v>1522</v>
      </c>
      <c r="E305" s="1938"/>
      <c r="F305" s="1938"/>
      <c r="G305" s="1938"/>
      <c r="H305" s="1938"/>
      <c r="I305" s="1939"/>
      <c r="J305" s="1943">
        <f>R304/J304</f>
        <v>1</v>
      </c>
      <c r="K305" s="1944"/>
      <c r="L305" s="1947"/>
      <c r="M305" s="1934" t="s">
        <v>1523</v>
      </c>
      <c r="N305" s="1935"/>
      <c r="O305" s="1935"/>
      <c r="P305" s="1935"/>
      <c r="Q305" s="1936"/>
      <c r="R305" s="726">
        <f>VLOOKUP(A306,'11 - FINANCEIRA'!_xlnm.Print_Area,8,FALSE)</f>
        <v>1</v>
      </c>
      <c r="S305" s="727" t="str">
        <f>L304</f>
        <v>CHI</v>
      </c>
      <c r="T305" s="373"/>
      <c r="U305" s="486"/>
      <c r="V305" s="1418">
        <f>V306</f>
        <v>0</v>
      </c>
      <c r="AB305" s="15"/>
    </row>
    <row r="306" spans="1:36" s="77" customFormat="1" ht="15.6" hidden="1">
      <c r="A306" s="364" t="s">
        <v>364</v>
      </c>
      <c r="B306" s="499"/>
      <c r="C306" s="37"/>
      <c r="D306" s="2013"/>
      <c r="E306" s="2014"/>
      <c r="F306" s="2014"/>
      <c r="G306" s="2014"/>
      <c r="H306" s="2014"/>
      <c r="I306" s="2015"/>
      <c r="J306" s="2016"/>
      <c r="K306" s="2017"/>
      <c r="L306" s="1962"/>
      <c r="M306" s="2007" t="s">
        <v>1524</v>
      </c>
      <c r="N306" s="2008"/>
      <c r="O306" s="2008"/>
      <c r="P306" s="2008"/>
      <c r="Q306" s="2009"/>
      <c r="R306" s="1345">
        <f>R304-R305</f>
        <v>0</v>
      </c>
      <c r="S306" s="1346" t="str">
        <f>L304</f>
        <v>CHI</v>
      </c>
      <c r="T306" s="373"/>
      <c r="U306" s="486"/>
      <c r="V306" s="1418">
        <f>R306</f>
        <v>0</v>
      </c>
      <c r="AB306" s="15"/>
    </row>
    <row r="307" spans="1:36" s="77" customFormat="1" ht="15.6" hidden="1">
      <c r="A307" s="370"/>
      <c r="B307" s="1360"/>
      <c r="C307" s="1361"/>
      <c r="D307" s="1362"/>
      <c r="E307" s="1363"/>
      <c r="F307" s="1362"/>
      <c r="G307" s="1362"/>
      <c r="H307" s="1362"/>
      <c r="I307" s="1362"/>
      <c r="J307" s="1364"/>
      <c r="K307" s="1365"/>
      <c r="L307" s="1366"/>
      <c r="M307" s="1367"/>
      <c r="N307" s="1367"/>
      <c r="O307" s="1367"/>
      <c r="P307" s="1367"/>
      <c r="Q307" s="1367"/>
      <c r="R307" s="1368"/>
      <c r="S307" s="1369"/>
      <c r="T307" s="1370"/>
      <c r="U307" s="1371"/>
      <c r="V307" s="1420">
        <f>SUM(V301:V306)</f>
        <v>0</v>
      </c>
      <c r="AB307" s="15"/>
    </row>
    <row r="308" spans="1:36" ht="15.6">
      <c r="B308" s="1333" t="str">
        <f>LEFT(A405,3)</f>
        <v>2.2</v>
      </c>
      <c r="C308" s="1334" t="str">
        <f>VLOOKUP(LEFT(A405,3),'11 - FINANCEIRA'!_xlnm.Print_Area,2,FALSE)</f>
        <v>ESTRUTURA</v>
      </c>
      <c r="D308" s="1334"/>
      <c r="E308" s="1335"/>
      <c r="F308" s="1334"/>
      <c r="G308" s="2071"/>
      <c r="H308" s="2072"/>
      <c r="I308" s="2072"/>
      <c r="J308" s="2072"/>
      <c r="K308" s="2072"/>
      <c r="L308" s="2072"/>
      <c r="M308" s="1338"/>
      <c r="N308" s="1339"/>
      <c r="O308" s="1339"/>
      <c r="P308" s="1339"/>
      <c r="Q308" s="1339"/>
      <c r="R308" s="1339"/>
      <c r="S308" s="1339"/>
      <c r="T308" s="1339"/>
      <c r="U308" s="1375"/>
      <c r="V308" s="574">
        <f>SUM(V309:V927)</f>
        <v>25167.808399998154</v>
      </c>
    </row>
    <row r="309" spans="1:36" s="352" customFormat="1" ht="15.75" hidden="1" customHeight="1">
      <c r="A309" s="351"/>
      <c r="B309" s="1963" t="str">
        <f>VLOOKUP(A405,'11 - FINANCEIRA'!_xlnm.Print_Area,1,FALSE)</f>
        <v>2.2.1</v>
      </c>
      <c r="C309" s="1965" t="str">
        <f>VLOOKUP(A405,'11 - FINANCEIRA'!_xlnm.Print_Area,3,FALSE)</f>
        <v>Escavação mecanizada de vala, com escavadeira hidráulica (1,2 m³/155 hp), em solo de 1a categoria</v>
      </c>
      <c r="D309" s="1967" t="s">
        <v>1503</v>
      </c>
      <c r="E309" s="1968"/>
      <c r="F309" s="1968"/>
      <c r="G309" s="1968"/>
      <c r="H309" s="1968"/>
      <c r="I309" s="1969"/>
      <c r="J309" s="1914" t="s">
        <v>1508</v>
      </c>
      <c r="K309" s="1914" t="s">
        <v>1505</v>
      </c>
      <c r="L309" s="1914" t="s">
        <v>1506</v>
      </c>
      <c r="M309" s="1914" t="s">
        <v>1507</v>
      </c>
      <c r="N309" s="1914" t="s">
        <v>1508</v>
      </c>
      <c r="O309" s="1914" t="s">
        <v>1509</v>
      </c>
      <c r="P309" s="1341" t="s">
        <v>1510</v>
      </c>
      <c r="Q309" s="1914" t="s">
        <v>1493</v>
      </c>
      <c r="R309" s="1916" t="s">
        <v>804</v>
      </c>
      <c r="S309" s="1914" t="s">
        <v>1511</v>
      </c>
      <c r="T309" s="1914" t="s">
        <v>1512</v>
      </c>
      <c r="U309" s="1918" t="s">
        <v>1513</v>
      </c>
      <c r="V309" s="1418">
        <f t="shared" ref="V309:V404" si="18">V310</f>
        <v>0</v>
      </c>
      <c r="W309" s="16"/>
      <c r="X309" s="16"/>
      <c r="Y309" s="16"/>
      <c r="Z309" s="17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</row>
    <row r="310" spans="1:36" s="352" customFormat="1" ht="15.6" hidden="1">
      <c r="A310" s="351"/>
      <c r="B310" s="1964" t="e">
        <f>LEFT(#REF!,5)</f>
        <v>#REF!</v>
      </c>
      <c r="C310" s="1966" t="e">
        <f>VLOOKUP(LEFT(#REF!,5),'11 - FINANCEIRA'!_xlnm.Print_Area,2,FALSE)</f>
        <v>#REF!</v>
      </c>
      <c r="D310" s="1920" t="s">
        <v>1514</v>
      </c>
      <c r="E310" s="1921"/>
      <c r="F310" s="1922"/>
      <c r="G310" s="1923" t="s">
        <v>1515</v>
      </c>
      <c r="H310" s="1924"/>
      <c r="I310" s="1925"/>
      <c r="J310" s="1915"/>
      <c r="K310" s="1915"/>
      <c r="L310" s="1915"/>
      <c r="M310" s="1915"/>
      <c r="N310" s="1915"/>
      <c r="O310" s="1915"/>
      <c r="P310" s="353" t="s">
        <v>1516</v>
      </c>
      <c r="Q310" s="1915"/>
      <c r="R310" s="1917"/>
      <c r="S310" s="1915"/>
      <c r="T310" s="1915"/>
      <c r="U310" s="1919"/>
      <c r="V310" s="1418">
        <f t="shared" si="18"/>
        <v>0</v>
      </c>
      <c r="W310" s="16"/>
      <c r="X310" s="16"/>
      <c r="Y310" s="16"/>
      <c r="Z310" s="17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</row>
    <row r="311" spans="1:36" s="361" customFormat="1" ht="15" hidden="1">
      <c r="A311" s="354"/>
      <c r="B311" s="755" t="s">
        <v>1569</v>
      </c>
      <c r="C311" s="710" t="s">
        <v>1570</v>
      </c>
      <c r="D311" s="18"/>
      <c r="E311" s="19"/>
      <c r="F311" s="20"/>
      <c r="G311" s="18"/>
      <c r="H311" s="19"/>
      <c r="I311" s="20"/>
      <c r="J311" s="21"/>
      <c r="K311" s="22">
        <v>9.050445103857566</v>
      </c>
      <c r="L311" s="23">
        <v>33.700000000000003</v>
      </c>
      <c r="M311" s="24">
        <v>6.8</v>
      </c>
      <c r="N311" s="746">
        <f>K311*L311</f>
        <v>305</v>
      </c>
      <c r="O311" s="728">
        <f>M311*N311</f>
        <v>2074</v>
      </c>
      <c r="P311" s="23"/>
      <c r="Q311" s="729"/>
      <c r="R311" s="1109">
        <f>O311</f>
        <v>2074</v>
      </c>
      <c r="S311" s="730" t="s">
        <v>853</v>
      </c>
      <c r="T311" s="446" t="s">
        <v>299</v>
      </c>
      <c r="U311" s="44"/>
      <c r="V311" s="1418">
        <f>V317</f>
        <v>0</v>
      </c>
      <c r="W311" s="357"/>
      <c r="X311" s="357"/>
      <c r="Y311" s="357"/>
      <c r="Z311" s="358"/>
      <c r="AA311" s="359"/>
      <c r="AB311" s="360"/>
    </row>
    <row r="312" spans="1:36" s="361" customFormat="1" ht="15" hidden="1">
      <c r="A312" s="354"/>
      <c r="B312" s="755" t="s">
        <v>1571</v>
      </c>
      <c r="C312" s="28" t="s">
        <v>1572</v>
      </c>
      <c r="D312" s="18"/>
      <c r="E312" s="19"/>
      <c r="F312" s="20"/>
      <c r="G312" s="18"/>
      <c r="H312" s="19"/>
      <c r="I312" s="20"/>
      <c r="J312" s="782">
        <v>10.523999999999999</v>
      </c>
      <c r="K312" s="22"/>
      <c r="L312" s="23">
        <v>5</v>
      </c>
      <c r="M312" s="24"/>
      <c r="N312" s="783">
        <v>4.1100000000000003</v>
      </c>
      <c r="O312" s="25">
        <v>0</v>
      </c>
      <c r="P312" s="23"/>
      <c r="Q312" s="729"/>
      <c r="R312" s="445">
        <v>0</v>
      </c>
      <c r="S312" s="445" t="s">
        <v>853</v>
      </c>
      <c r="T312" s="446" t="s">
        <v>301</v>
      </c>
      <c r="U312" s="1983"/>
      <c r="V312" s="1418">
        <f t="shared" si="18"/>
        <v>0</v>
      </c>
      <c r="W312" s="357"/>
      <c r="X312" s="357"/>
      <c r="Y312" s="357"/>
      <c r="Z312" s="358"/>
      <c r="AA312" s="359"/>
      <c r="AB312" s="360"/>
    </row>
    <row r="313" spans="1:36" s="361" customFormat="1" ht="15" hidden="1">
      <c r="A313" s="354"/>
      <c r="B313" s="755" t="s">
        <v>1573</v>
      </c>
      <c r="C313" s="28" t="s">
        <v>1574</v>
      </c>
      <c r="D313" s="18"/>
      <c r="E313" s="19"/>
      <c r="F313" s="20"/>
      <c r="G313" s="18"/>
      <c r="H313" s="19"/>
      <c r="I313" s="20"/>
      <c r="J313" s="782">
        <v>22.364999999999998</v>
      </c>
      <c r="K313" s="22"/>
      <c r="L313" s="23">
        <v>5</v>
      </c>
      <c r="M313" s="24"/>
      <c r="N313" s="783">
        <v>3.3000000000000002E-2</v>
      </c>
      <c r="O313" s="25">
        <f t="shared" ref="O313:O333" si="19">(J312+J313)*L313</f>
        <v>164.44499999999999</v>
      </c>
      <c r="P313" s="23"/>
      <c r="Q313" s="729"/>
      <c r="R313" s="445">
        <f>O313</f>
        <v>164.44499999999999</v>
      </c>
      <c r="S313" s="445" t="s">
        <v>853</v>
      </c>
      <c r="T313" s="446" t="s">
        <v>301</v>
      </c>
      <c r="U313" s="1984"/>
      <c r="V313" s="1418">
        <f t="shared" si="18"/>
        <v>0</v>
      </c>
      <c r="W313" s="357"/>
      <c r="X313" s="357"/>
      <c r="Y313" s="357"/>
      <c r="Z313" s="358"/>
      <c r="AA313" s="359"/>
      <c r="AB313" s="360"/>
    </row>
    <row r="314" spans="1:36" s="361" customFormat="1" ht="15" hidden="1">
      <c r="A314" s="354"/>
      <c r="B314" s="755" t="s">
        <v>1575</v>
      </c>
      <c r="C314" s="28" t="s">
        <v>1576</v>
      </c>
      <c r="D314" s="18"/>
      <c r="E314" s="19"/>
      <c r="F314" s="20"/>
      <c r="G314" s="18"/>
      <c r="H314" s="19"/>
      <c r="I314" s="20"/>
      <c r="J314" s="782">
        <v>41.253</v>
      </c>
      <c r="K314" s="22"/>
      <c r="L314" s="23">
        <v>5</v>
      </c>
      <c r="M314" s="24"/>
      <c r="N314" s="784">
        <v>0</v>
      </c>
      <c r="O314" s="25">
        <f t="shared" si="19"/>
        <v>318.08999999999997</v>
      </c>
      <c r="P314" s="23"/>
      <c r="Q314" s="729"/>
      <c r="R314" s="445">
        <f t="shared" ref="R314:R320" si="20">O314</f>
        <v>318.08999999999997</v>
      </c>
      <c r="S314" s="445" t="s">
        <v>853</v>
      </c>
      <c r="T314" s="446" t="s">
        <v>301</v>
      </c>
      <c r="U314" s="1984"/>
      <c r="V314" s="1418">
        <f t="shared" si="18"/>
        <v>0</v>
      </c>
      <c r="W314" s="357"/>
      <c r="X314" s="357"/>
      <c r="Y314" s="357"/>
      <c r="Z314" s="757"/>
      <c r="AA314" s="359"/>
      <c r="AB314" s="360"/>
    </row>
    <row r="315" spans="1:36" s="361" customFormat="1" ht="15" hidden="1">
      <c r="A315" s="354"/>
      <c r="B315" s="755" t="s">
        <v>1577</v>
      </c>
      <c r="C315" s="28" t="s">
        <v>1578</v>
      </c>
      <c r="D315" s="18"/>
      <c r="E315" s="19"/>
      <c r="F315" s="20"/>
      <c r="G315" s="18"/>
      <c r="H315" s="19"/>
      <c r="I315" s="20"/>
      <c r="J315" s="782">
        <v>61.356000000000002</v>
      </c>
      <c r="K315" s="22"/>
      <c r="L315" s="23">
        <v>5</v>
      </c>
      <c r="M315" s="24"/>
      <c r="N315" s="784">
        <v>0</v>
      </c>
      <c r="O315" s="25">
        <f t="shared" si="19"/>
        <v>513.04500000000007</v>
      </c>
      <c r="P315" s="23"/>
      <c r="Q315" s="729"/>
      <c r="R315" s="445">
        <f t="shared" si="20"/>
        <v>513.04500000000007</v>
      </c>
      <c r="S315" s="445" t="s">
        <v>853</v>
      </c>
      <c r="T315" s="446" t="s">
        <v>301</v>
      </c>
      <c r="U315" s="1984"/>
      <c r="V315" s="1418">
        <f t="shared" si="18"/>
        <v>0</v>
      </c>
      <c r="W315" s="357"/>
      <c r="X315" s="357"/>
      <c r="Y315" s="357"/>
      <c r="Z315" s="358"/>
      <c r="AA315" s="359"/>
      <c r="AB315" s="360"/>
    </row>
    <row r="316" spans="1:36" s="361" customFormat="1" ht="15" hidden="1">
      <c r="A316" s="354"/>
      <c r="B316" s="755" t="s">
        <v>1579</v>
      </c>
      <c r="C316" s="28" t="s">
        <v>1580</v>
      </c>
      <c r="D316" s="18"/>
      <c r="E316" s="19"/>
      <c r="F316" s="20"/>
      <c r="G316" s="18"/>
      <c r="H316" s="19"/>
      <c r="I316" s="20"/>
      <c r="J316" s="782">
        <v>68.563000000000002</v>
      </c>
      <c r="K316" s="22"/>
      <c r="L316" s="23">
        <v>5</v>
      </c>
      <c r="M316" s="24"/>
      <c r="N316" s="784">
        <v>0</v>
      </c>
      <c r="O316" s="25">
        <f t="shared" si="19"/>
        <v>649.59500000000003</v>
      </c>
      <c r="P316" s="23"/>
      <c r="Q316" s="729"/>
      <c r="R316" s="445">
        <f t="shared" si="20"/>
        <v>649.59500000000003</v>
      </c>
      <c r="S316" s="445" t="s">
        <v>853</v>
      </c>
      <c r="T316" s="446" t="s">
        <v>301</v>
      </c>
      <c r="U316" s="1984"/>
      <c r="V316" s="1418">
        <f t="shared" si="18"/>
        <v>0</v>
      </c>
      <c r="W316" s="357"/>
      <c r="X316" s="357"/>
      <c r="Y316" s="357"/>
      <c r="Z316" s="358"/>
      <c r="AA316" s="359"/>
      <c r="AB316" s="360"/>
    </row>
    <row r="317" spans="1:36" s="361" customFormat="1" ht="15" hidden="1">
      <c r="A317" s="354"/>
      <c r="B317" s="755" t="s">
        <v>1581</v>
      </c>
      <c r="C317" s="28" t="s">
        <v>1582</v>
      </c>
      <c r="D317" s="18"/>
      <c r="E317" s="19"/>
      <c r="F317" s="20"/>
      <c r="G317" s="18"/>
      <c r="H317" s="19"/>
      <c r="I317" s="20"/>
      <c r="J317" s="782">
        <v>52.365000000000002</v>
      </c>
      <c r="K317" s="22"/>
      <c r="L317" s="23">
        <v>5</v>
      </c>
      <c r="M317" s="24"/>
      <c r="N317" s="784">
        <v>0</v>
      </c>
      <c r="O317" s="25">
        <f t="shared" si="19"/>
        <v>604.64</v>
      </c>
      <c r="P317" s="23"/>
      <c r="Q317" s="729"/>
      <c r="R317" s="445">
        <f t="shared" si="20"/>
        <v>604.64</v>
      </c>
      <c r="S317" s="445" t="s">
        <v>853</v>
      </c>
      <c r="T317" s="446" t="s">
        <v>301</v>
      </c>
      <c r="U317" s="1984"/>
      <c r="V317" s="1418">
        <f t="shared" si="18"/>
        <v>0</v>
      </c>
      <c r="W317" s="357"/>
      <c r="X317" s="357"/>
      <c r="Y317" s="357"/>
      <c r="Z317" s="358"/>
      <c r="AA317" s="359"/>
      <c r="AB317" s="360"/>
    </row>
    <row r="318" spans="1:36" s="361" customFormat="1" ht="15" hidden="1">
      <c r="A318" s="354"/>
      <c r="B318" s="755" t="s">
        <v>1583</v>
      </c>
      <c r="C318" s="28" t="s">
        <v>1584</v>
      </c>
      <c r="D318" s="18"/>
      <c r="E318" s="19"/>
      <c r="F318" s="20"/>
      <c r="G318" s="18"/>
      <c r="H318" s="19"/>
      <c r="I318" s="20"/>
      <c r="J318" s="782">
        <v>42.33</v>
      </c>
      <c r="K318" s="22"/>
      <c r="L318" s="23">
        <v>5</v>
      </c>
      <c r="M318" s="24"/>
      <c r="N318" s="783">
        <v>0.35699999999999998</v>
      </c>
      <c r="O318" s="25">
        <f t="shared" si="19"/>
        <v>473.47499999999997</v>
      </c>
      <c r="P318" s="23"/>
      <c r="Q318" s="729"/>
      <c r="R318" s="445">
        <f t="shared" si="20"/>
        <v>473.47499999999997</v>
      </c>
      <c r="S318" s="445" t="s">
        <v>853</v>
      </c>
      <c r="T318" s="446" t="s">
        <v>301</v>
      </c>
      <c r="U318" s="1984"/>
      <c r="V318" s="1418">
        <f t="shared" si="18"/>
        <v>0</v>
      </c>
      <c r="W318" s="357"/>
      <c r="X318" s="357"/>
      <c r="Y318" s="357"/>
      <c r="Z318" s="358"/>
      <c r="AA318" s="359"/>
      <c r="AB318" s="360"/>
    </row>
    <row r="319" spans="1:36" s="361" customFormat="1" ht="15" hidden="1">
      <c r="A319" s="354"/>
      <c r="B319" s="755" t="s">
        <v>1585</v>
      </c>
      <c r="C319" s="28" t="s">
        <v>1586</v>
      </c>
      <c r="D319" s="18"/>
      <c r="E319" s="19"/>
      <c r="F319" s="20"/>
      <c r="G319" s="18"/>
      <c r="H319" s="19"/>
      <c r="I319" s="20"/>
      <c r="J319" s="782">
        <v>41.23</v>
      </c>
      <c r="K319" s="22"/>
      <c r="L319" s="23">
        <v>5</v>
      </c>
      <c r="M319" s="24"/>
      <c r="N319" s="783">
        <v>1.88</v>
      </c>
      <c r="O319" s="25">
        <f t="shared" si="19"/>
        <v>417.8</v>
      </c>
      <c r="P319" s="23"/>
      <c r="Q319" s="729"/>
      <c r="R319" s="445">
        <f t="shared" si="20"/>
        <v>417.8</v>
      </c>
      <c r="S319" s="445" t="s">
        <v>853</v>
      </c>
      <c r="T319" s="446" t="s">
        <v>301</v>
      </c>
      <c r="U319" s="1984"/>
      <c r="V319" s="1418">
        <f t="shared" si="18"/>
        <v>0</v>
      </c>
      <c r="W319" s="357"/>
      <c r="X319" s="357"/>
      <c r="Y319" s="357"/>
      <c r="Z319" s="358"/>
      <c r="AA319" s="359"/>
      <c r="AB319" s="360"/>
    </row>
    <row r="320" spans="1:36" s="361" customFormat="1" ht="15" hidden="1">
      <c r="A320" s="354"/>
      <c r="B320" s="755" t="s">
        <v>1587</v>
      </c>
      <c r="C320" s="28" t="s">
        <v>1588</v>
      </c>
      <c r="D320" s="18"/>
      <c r="E320" s="19"/>
      <c r="F320" s="20"/>
      <c r="G320" s="18"/>
      <c r="H320" s="19"/>
      <c r="I320" s="20"/>
      <c r="J320" s="782">
        <v>28.256</v>
      </c>
      <c r="K320" s="22"/>
      <c r="L320" s="23">
        <v>5</v>
      </c>
      <c r="M320" s="24"/>
      <c r="N320" s="783">
        <v>3.262</v>
      </c>
      <c r="O320" s="25">
        <f t="shared" si="19"/>
        <v>347.42999999999995</v>
      </c>
      <c r="P320" s="23"/>
      <c r="Q320" s="729"/>
      <c r="R320" s="445">
        <f t="shared" si="20"/>
        <v>347.42999999999995</v>
      </c>
      <c r="S320" s="445" t="s">
        <v>853</v>
      </c>
      <c r="T320" s="446" t="s">
        <v>301</v>
      </c>
      <c r="U320" s="1984"/>
      <c r="V320" s="1418">
        <f>V333</f>
        <v>0</v>
      </c>
      <c r="W320" s="357"/>
      <c r="X320" s="357"/>
      <c r="Y320" s="357"/>
      <c r="Z320" s="358"/>
      <c r="AA320" s="359"/>
      <c r="AB320" s="360"/>
    </row>
    <row r="321" spans="1:28" s="361" customFormat="1" ht="15" hidden="1">
      <c r="A321" s="354"/>
      <c r="B321" s="755" t="s">
        <v>1589</v>
      </c>
      <c r="C321" s="28" t="s">
        <v>1590</v>
      </c>
      <c r="D321" s="18"/>
      <c r="E321" s="19"/>
      <c r="F321" s="20"/>
      <c r="G321" s="18"/>
      <c r="H321" s="19"/>
      <c r="I321" s="20"/>
      <c r="J321" s="782">
        <v>7.1367500000000001</v>
      </c>
      <c r="K321" s="22"/>
      <c r="L321" s="23">
        <v>4.9139999999999997</v>
      </c>
      <c r="M321" s="24"/>
      <c r="N321" s="783">
        <v>3.133</v>
      </c>
      <c r="O321" s="25">
        <f>(J318+J321)*L321</f>
        <v>243.07960949999998</v>
      </c>
      <c r="P321" s="23"/>
      <c r="Q321" s="729"/>
      <c r="R321" s="445">
        <f>O321</f>
        <v>243.07960949999998</v>
      </c>
      <c r="S321" s="445" t="s">
        <v>853</v>
      </c>
      <c r="T321" s="446" t="s">
        <v>301</v>
      </c>
      <c r="U321" s="1985"/>
      <c r="V321" s="1418">
        <f t="shared" si="18"/>
        <v>0</v>
      </c>
      <c r="W321" s="357"/>
      <c r="X321" s="357"/>
      <c r="Y321" s="357"/>
      <c r="Z321" s="358"/>
      <c r="AA321" s="359"/>
      <c r="AB321" s="360"/>
    </row>
    <row r="322" spans="1:28" s="361" customFormat="1" ht="15" hidden="1">
      <c r="A322" s="354"/>
      <c r="B322" s="755" t="s">
        <v>1591</v>
      </c>
      <c r="C322" s="28" t="s">
        <v>1592</v>
      </c>
      <c r="D322" s="18"/>
      <c r="E322" s="19"/>
      <c r="F322" s="20"/>
      <c r="G322" s="18"/>
      <c r="H322" s="19"/>
      <c r="I322" s="20"/>
      <c r="J322" s="782">
        <v>28.565999999999999</v>
      </c>
      <c r="K322" s="22"/>
      <c r="L322" s="23">
        <v>5</v>
      </c>
      <c r="M322" s="24"/>
      <c r="N322" s="783"/>
      <c r="O322" s="25" t="s">
        <v>1593</v>
      </c>
      <c r="P322" s="23"/>
      <c r="Q322" s="729"/>
      <c r="R322" s="445" t="s">
        <v>1593</v>
      </c>
      <c r="S322" s="445" t="s">
        <v>853</v>
      </c>
      <c r="T322" s="446" t="s">
        <v>56</v>
      </c>
      <c r="U322" s="2040"/>
      <c r="V322" s="1418">
        <f t="shared" si="18"/>
        <v>0</v>
      </c>
      <c r="W322" s="357"/>
      <c r="X322" s="357"/>
      <c r="Y322" s="357"/>
      <c r="Z322" s="358"/>
      <c r="AA322" s="359"/>
      <c r="AB322" s="360"/>
    </row>
    <row r="323" spans="1:28" s="361" customFormat="1" ht="15" hidden="1">
      <c r="A323" s="354"/>
      <c r="B323" s="755" t="s">
        <v>1594</v>
      </c>
      <c r="C323" s="28" t="s">
        <v>1595</v>
      </c>
      <c r="D323" s="18"/>
      <c r="E323" s="19"/>
      <c r="F323" s="20"/>
      <c r="G323" s="18"/>
      <c r="H323" s="19"/>
      <c r="I323" s="20"/>
      <c r="J323" s="782">
        <v>49.408999999999999</v>
      </c>
      <c r="K323" s="22"/>
      <c r="L323" s="23">
        <v>5</v>
      </c>
      <c r="M323" s="24"/>
      <c r="N323" s="783"/>
      <c r="O323" s="845">
        <f t="shared" si="19"/>
        <v>389.875</v>
      </c>
      <c r="P323" s="23"/>
      <c r="Q323" s="729"/>
      <c r="R323" s="445">
        <f>O323</f>
        <v>389.875</v>
      </c>
      <c r="S323" s="445" t="s">
        <v>853</v>
      </c>
      <c r="T323" s="446" t="s">
        <v>56</v>
      </c>
      <c r="U323" s="2041"/>
      <c r="V323" s="1418">
        <f t="shared" si="18"/>
        <v>0</v>
      </c>
      <c r="W323" s="357"/>
      <c r="X323" s="357"/>
      <c r="Y323" s="357"/>
      <c r="Z323" s="358"/>
      <c r="AA323" s="359"/>
      <c r="AB323" s="360"/>
    </row>
    <row r="324" spans="1:28" s="361" customFormat="1" ht="15" hidden="1">
      <c r="A324" s="354"/>
      <c r="B324" s="755" t="s">
        <v>1596</v>
      </c>
      <c r="C324" s="28" t="s">
        <v>1597</v>
      </c>
      <c r="D324" s="18"/>
      <c r="E324" s="19"/>
      <c r="F324" s="20"/>
      <c r="G324" s="18"/>
      <c r="H324" s="19"/>
      <c r="I324" s="20"/>
      <c r="J324" s="782">
        <v>158.821</v>
      </c>
      <c r="K324" s="22"/>
      <c r="L324" s="23">
        <v>5</v>
      </c>
      <c r="M324" s="24"/>
      <c r="N324" s="783"/>
      <c r="O324" s="845">
        <f t="shared" si="19"/>
        <v>1041.1499999999999</v>
      </c>
      <c r="P324" s="23"/>
      <c r="Q324" s="729"/>
      <c r="R324" s="445">
        <f t="shared" ref="R324:R334" si="21">O324</f>
        <v>1041.1499999999999</v>
      </c>
      <c r="S324" s="445" t="s">
        <v>853</v>
      </c>
      <c r="T324" s="446" t="s">
        <v>56</v>
      </c>
      <c r="U324" s="2041"/>
      <c r="V324" s="1418">
        <f t="shared" si="18"/>
        <v>0</v>
      </c>
      <c r="W324" s="357"/>
      <c r="X324" s="357"/>
      <c r="Y324" s="357"/>
      <c r="Z324" s="358"/>
      <c r="AA324" s="359"/>
      <c r="AB324" s="360"/>
    </row>
    <row r="325" spans="1:28" s="361" customFormat="1" ht="15" hidden="1">
      <c r="A325" s="354"/>
      <c r="B325" s="755" t="s">
        <v>1598</v>
      </c>
      <c r="C325" s="28" t="s">
        <v>1599</v>
      </c>
      <c r="D325" s="18"/>
      <c r="E325" s="19"/>
      <c r="F325" s="20"/>
      <c r="G325" s="18"/>
      <c r="H325" s="19"/>
      <c r="I325" s="20"/>
      <c r="J325" s="782">
        <v>208.68600000000001</v>
      </c>
      <c r="K325" s="22"/>
      <c r="L325" s="23">
        <v>5</v>
      </c>
      <c r="M325" s="24"/>
      <c r="N325" s="783"/>
      <c r="O325" s="845">
        <f t="shared" si="19"/>
        <v>1837.5350000000001</v>
      </c>
      <c r="P325" s="23"/>
      <c r="Q325" s="729"/>
      <c r="R325" s="445">
        <f t="shared" si="21"/>
        <v>1837.5350000000001</v>
      </c>
      <c r="S325" s="445" t="s">
        <v>853</v>
      </c>
      <c r="T325" s="446" t="s">
        <v>56</v>
      </c>
      <c r="U325" s="2041"/>
      <c r="V325" s="1418">
        <f t="shared" si="18"/>
        <v>0</v>
      </c>
      <c r="W325" s="357"/>
      <c r="X325" s="357"/>
      <c r="Y325" s="357"/>
      <c r="Z325" s="358"/>
      <c r="AA325" s="359"/>
      <c r="AB325" s="360"/>
    </row>
    <row r="326" spans="1:28" s="361" customFormat="1" ht="15" hidden="1">
      <c r="A326" s="354"/>
      <c r="B326" s="755" t="s">
        <v>1600</v>
      </c>
      <c r="C326" s="28" t="s">
        <v>1601</v>
      </c>
      <c r="D326" s="18"/>
      <c r="E326" s="19"/>
      <c r="F326" s="20"/>
      <c r="G326" s="18"/>
      <c r="H326" s="19"/>
      <c r="I326" s="20"/>
      <c r="J326" s="782">
        <v>271.64499999999998</v>
      </c>
      <c r="K326" s="22"/>
      <c r="L326" s="23">
        <v>5</v>
      </c>
      <c r="M326" s="24"/>
      <c r="N326" s="783"/>
      <c r="O326" s="845">
        <f t="shared" si="19"/>
        <v>2401.6550000000002</v>
      </c>
      <c r="P326" s="23"/>
      <c r="Q326" s="729"/>
      <c r="R326" s="445">
        <f t="shared" si="21"/>
        <v>2401.6550000000002</v>
      </c>
      <c r="S326" s="445" t="s">
        <v>853</v>
      </c>
      <c r="T326" s="446" t="s">
        <v>56</v>
      </c>
      <c r="U326" s="2041"/>
      <c r="V326" s="1418">
        <f t="shared" si="18"/>
        <v>0</v>
      </c>
      <c r="W326" s="357"/>
      <c r="X326" s="357"/>
      <c r="Y326" s="357"/>
      <c r="Z326" s="358"/>
      <c r="AA326" s="359"/>
      <c r="AB326" s="360"/>
    </row>
    <row r="327" spans="1:28" s="361" customFormat="1" ht="15" hidden="1">
      <c r="A327" s="354"/>
      <c r="B327" s="755" t="s">
        <v>1602</v>
      </c>
      <c r="C327" s="28" t="s">
        <v>1603</v>
      </c>
      <c r="D327" s="18"/>
      <c r="E327" s="19"/>
      <c r="F327" s="20"/>
      <c r="G327" s="18"/>
      <c r="H327" s="19"/>
      <c r="I327" s="20"/>
      <c r="J327" s="782">
        <v>315.43</v>
      </c>
      <c r="K327" s="22"/>
      <c r="L327" s="23">
        <v>5</v>
      </c>
      <c r="M327" s="24"/>
      <c r="N327" s="783"/>
      <c r="O327" s="845">
        <f t="shared" si="19"/>
        <v>2935.375</v>
      </c>
      <c r="P327" s="23"/>
      <c r="Q327" s="729"/>
      <c r="R327" s="445">
        <f t="shared" si="21"/>
        <v>2935.375</v>
      </c>
      <c r="S327" s="445" t="s">
        <v>853</v>
      </c>
      <c r="T327" s="446" t="s">
        <v>56</v>
      </c>
      <c r="U327" s="2041"/>
      <c r="V327" s="1418">
        <f t="shared" si="18"/>
        <v>0</v>
      </c>
      <c r="W327" s="357"/>
      <c r="X327" s="357"/>
      <c r="Y327" s="357"/>
      <c r="Z327" s="358"/>
      <c r="AA327" s="359"/>
      <c r="AB327" s="360"/>
    </row>
    <row r="328" spans="1:28" s="361" customFormat="1" ht="15" hidden="1">
      <c r="A328" s="354"/>
      <c r="B328" s="755" t="s">
        <v>1604</v>
      </c>
      <c r="C328" s="28" t="s">
        <v>1605</v>
      </c>
      <c r="D328" s="18"/>
      <c r="E328" s="19"/>
      <c r="F328" s="20"/>
      <c r="G328" s="18"/>
      <c r="H328" s="19"/>
      <c r="I328" s="20"/>
      <c r="J328" s="782">
        <v>318.31400000000002</v>
      </c>
      <c r="K328" s="22"/>
      <c r="L328" s="23">
        <v>5</v>
      </c>
      <c r="M328" s="24"/>
      <c r="N328" s="783"/>
      <c r="O328" s="845">
        <f t="shared" si="19"/>
        <v>3168.7200000000003</v>
      </c>
      <c r="P328" s="23"/>
      <c r="Q328" s="729"/>
      <c r="R328" s="445">
        <f t="shared" si="21"/>
        <v>3168.7200000000003</v>
      </c>
      <c r="S328" s="445" t="s">
        <v>853</v>
      </c>
      <c r="T328" s="446" t="s">
        <v>56</v>
      </c>
      <c r="U328" s="2041"/>
      <c r="V328" s="1418">
        <f t="shared" si="18"/>
        <v>0</v>
      </c>
      <c r="W328" s="357"/>
      <c r="X328" s="357"/>
      <c r="Y328" s="357"/>
      <c r="Z328" s="358"/>
      <c r="AA328" s="359"/>
      <c r="AB328" s="360"/>
    </row>
    <row r="329" spans="1:28" s="361" customFormat="1" ht="15" hidden="1">
      <c r="A329" s="354"/>
      <c r="B329" s="755" t="s">
        <v>1606</v>
      </c>
      <c r="C329" s="28" t="s">
        <v>1607</v>
      </c>
      <c r="D329" s="18"/>
      <c r="E329" s="19"/>
      <c r="F329" s="20"/>
      <c r="G329" s="18"/>
      <c r="H329" s="19"/>
      <c r="I329" s="20"/>
      <c r="J329" s="782">
        <v>310.065</v>
      </c>
      <c r="K329" s="22"/>
      <c r="L329" s="23">
        <v>5</v>
      </c>
      <c r="M329" s="24"/>
      <c r="N329" s="783"/>
      <c r="O329" s="845">
        <f t="shared" si="19"/>
        <v>3141.895</v>
      </c>
      <c r="P329" s="23"/>
      <c r="Q329" s="729"/>
      <c r="R329" s="445">
        <f t="shared" si="21"/>
        <v>3141.895</v>
      </c>
      <c r="S329" s="445" t="s">
        <v>853</v>
      </c>
      <c r="T329" s="446" t="s">
        <v>56</v>
      </c>
      <c r="U329" s="2041"/>
      <c r="V329" s="1418">
        <f t="shared" si="18"/>
        <v>0</v>
      </c>
      <c r="W329" s="357"/>
      <c r="X329" s="357"/>
      <c r="Y329" s="357"/>
      <c r="Z329" s="358"/>
      <c r="AA329" s="359"/>
      <c r="AB329" s="360"/>
    </row>
    <row r="330" spans="1:28" s="361" customFormat="1" ht="15" hidden="1">
      <c r="A330" s="354"/>
      <c r="B330" s="755" t="s">
        <v>1608</v>
      </c>
      <c r="C330" s="28" t="s">
        <v>1609</v>
      </c>
      <c r="D330" s="18"/>
      <c r="E330" s="19"/>
      <c r="F330" s="20"/>
      <c r="G330" s="18"/>
      <c r="H330" s="19"/>
      <c r="I330" s="20"/>
      <c r="J330" s="782">
        <v>255.983</v>
      </c>
      <c r="K330" s="22"/>
      <c r="L330" s="23">
        <v>5</v>
      </c>
      <c r="M330" s="24"/>
      <c r="N330" s="783"/>
      <c r="O330" s="845">
        <f t="shared" si="19"/>
        <v>2830.24</v>
      </c>
      <c r="P330" s="23"/>
      <c r="Q330" s="729"/>
      <c r="R330" s="445">
        <f t="shared" si="21"/>
        <v>2830.24</v>
      </c>
      <c r="S330" s="445" t="s">
        <v>853</v>
      </c>
      <c r="T330" s="446" t="s">
        <v>56</v>
      </c>
      <c r="U330" s="2041"/>
      <c r="V330" s="1418">
        <f t="shared" si="18"/>
        <v>0</v>
      </c>
      <c r="W330" s="357"/>
      <c r="X330" s="357"/>
      <c r="Y330" s="357"/>
      <c r="Z330" s="358"/>
      <c r="AA330" s="359"/>
      <c r="AB330" s="360"/>
    </row>
    <row r="331" spans="1:28" s="361" customFormat="1" ht="15" hidden="1">
      <c r="A331" s="354"/>
      <c r="B331" s="755" t="s">
        <v>1610</v>
      </c>
      <c r="C331" s="28" t="s">
        <v>1611</v>
      </c>
      <c r="D331" s="18"/>
      <c r="E331" s="19"/>
      <c r="F331" s="20"/>
      <c r="G331" s="18"/>
      <c r="H331" s="19"/>
      <c r="I331" s="20"/>
      <c r="J331" s="782">
        <v>187.249</v>
      </c>
      <c r="K331" s="22"/>
      <c r="L331" s="23">
        <v>5</v>
      </c>
      <c r="M331" s="24"/>
      <c r="N331" s="783"/>
      <c r="O331" s="845">
        <f t="shared" si="19"/>
        <v>2216.16</v>
      </c>
      <c r="P331" s="23"/>
      <c r="Q331" s="729"/>
      <c r="R331" s="445">
        <f t="shared" si="21"/>
        <v>2216.16</v>
      </c>
      <c r="S331" s="445" t="s">
        <v>853</v>
      </c>
      <c r="T331" s="446" t="s">
        <v>56</v>
      </c>
      <c r="U331" s="2041"/>
      <c r="V331" s="1418">
        <f t="shared" si="18"/>
        <v>0</v>
      </c>
      <c r="W331" s="357"/>
      <c r="X331" s="357"/>
      <c r="Y331" s="357"/>
      <c r="Z331" s="358"/>
      <c r="AA331" s="359"/>
      <c r="AB331" s="360"/>
    </row>
    <row r="332" spans="1:28" s="361" customFormat="1" ht="15" hidden="1">
      <c r="A332" s="354"/>
      <c r="B332" s="755" t="s">
        <v>1612</v>
      </c>
      <c r="C332" s="28" t="s">
        <v>1613</v>
      </c>
      <c r="D332" s="18"/>
      <c r="E332" s="19"/>
      <c r="F332" s="20"/>
      <c r="G332" s="18"/>
      <c r="H332" s="19"/>
      <c r="I332" s="20"/>
      <c r="J332" s="782">
        <v>117.39700000000001</v>
      </c>
      <c r="K332" s="22"/>
      <c r="L332" s="23">
        <v>5</v>
      </c>
      <c r="M332" s="24"/>
      <c r="N332" s="783"/>
      <c r="O332" s="845">
        <f t="shared" si="19"/>
        <v>1523.23</v>
      </c>
      <c r="P332" s="23"/>
      <c r="Q332" s="729"/>
      <c r="R332" s="445">
        <f t="shared" si="21"/>
        <v>1523.23</v>
      </c>
      <c r="S332" s="445" t="s">
        <v>853</v>
      </c>
      <c r="T332" s="446" t="s">
        <v>56</v>
      </c>
      <c r="U332" s="2041"/>
      <c r="V332" s="1418">
        <f t="shared" si="18"/>
        <v>0</v>
      </c>
      <c r="W332" s="357"/>
      <c r="X332" s="357"/>
      <c r="Y332" s="357"/>
      <c r="Z332" s="358"/>
      <c r="AA332" s="359"/>
      <c r="AB332" s="360"/>
    </row>
    <row r="333" spans="1:28" s="361" customFormat="1" ht="15" hidden="1">
      <c r="A333" s="354"/>
      <c r="B333" s="755" t="s">
        <v>1614</v>
      </c>
      <c r="C333" s="28" t="s">
        <v>1615</v>
      </c>
      <c r="D333" s="18"/>
      <c r="E333" s="19"/>
      <c r="F333" s="20"/>
      <c r="G333" s="18"/>
      <c r="H333" s="19"/>
      <c r="I333" s="20"/>
      <c r="J333" s="782">
        <v>34.853000000000002</v>
      </c>
      <c r="K333" s="22"/>
      <c r="L333" s="23">
        <v>5</v>
      </c>
      <c r="M333" s="24"/>
      <c r="N333" s="783"/>
      <c r="O333" s="845">
        <f t="shared" si="19"/>
        <v>761.25</v>
      </c>
      <c r="P333" s="23"/>
      <c r="Q333" s="729"/>
      <c r="R333" s="445">
        <f t="shared" si="21"/>
        <v>761.25</v>
      </c>
      <c r="S333" s="445" t="s">
        <v>853</v>
      </c>
      <c r="T333" s="446" t="s">
        <v>56</v>
      </c>
      <c r="U333" s="2041"/>
      <c r="V333" s="1418">
        <f t="shared" si="18"/>
        <v>0</v>
      </c>
      <c r="W333" s="357"/>
      <c r="X333" s="357"/>
      <c r="Y333" s="357"/>
      <c r="Z333" s="358"/>
      <c r="AA333" s="359"/>
      <c r="AB333" s="360"/>
    </row>
    <row r="334" spans="1:28" s="361" customFormat="1" ht="15" hidden="1">
      <c r="A334" s="354"/>
      <c r="B334" s="755" t="s">
        <v>1616</v>
      </c>
      <c r="C334" s="28" t="s">
        <v>1617</v>
      </c>
      <c r="D334" s="18"/>
      <c r="E334" s="19"/>
      <c r="F334" s="20"/>
      <c r="G334" s="18"/>
      <c r="H334" s="19"/>
      <c r="I334" s="20"/>
      <c r="J334" s="782">
        <v>53.4</v>
      </c>
      <c r="K334" s="22"/>
      <c r="L334" s="783">
        <v>3.8820000000000001</v>
      </c>
      <c r="M334" s="24"/>
      <c r="N334" s="783"/>
      <c r="O334" s="845">
        <f>(J333+J334)*L334</f>
        <v>342.59814599999999</v>
      </c>
      <c r="P334" s="23"/>
      <c r="Q334" s="729"/>
      <c r="R334" s="445">
        <f t="shared" si="21"/>
        <v>342.59814599999999</v>
      </c>
      <c r="S334" s="445" t="s">
        <v>853</v>
      </c>
      <c r="T334" s="446" t="s">
        <v>56</v>
      </c>
      <c r="U334" s="2042"/>
      <c r="V334" s="1418">
        <f>V399</f>
        <v>0</v>
      </c>
      <c r="W334" s="357"/>
      <c r="X334" s="357"/>
      <c r="Y334" s="357"/>
      <c r="Z334" s="358"/>
      <c r="AA334" s="359"/>
      <c r="AB334" s="360"/>
    </row>
    <row r="335" spans="1:28" s="361" customFormat="1" ht="15" hidden="1">
      <c r="A335" s="354"/>
      <c r="B335" s="831"/>
      <c r="C335" s="836"/>
      <c r="D335" s="18"/>
      <c r="E335" s="19"/>
      <c r="F335" s="20"/>
      <c r="G335" s="18"/>
      <c r="H335" s="19"/>
      <c r="I335" s="20"/>
      <c r="J335" s="782"/>
      <c r="K335" s="22"/>
      <c r="L335" s="783"/>
      <c r="M335" s="24"/>
      <c r="N335" s="954"/>
      <c r="O335" s="845"/>
      <c r="P335" s="23"/>
      <c r="Q335" s="729"/>
      <c r="R335" s="445"/>
      <c r="S335" s="834"/>
      <c r="T335" s="835"/>
      <c r="U335" s="956"/>
      <c r="V335" s="1418">
        <f t="shared" si="18"/>
        <v>0</v>
      </c>
      <c r="W335" s="357"/>
      <c r="X335" s="357"/>
      <c r="Y335" s="357"/>
      <c r="Z335" s="358"/>
      <c r="AA335" s="359"/>
      <c r="AB335" s="360"/>
    </row>
    <row r="336" spans="1:28" s="361" customFormat="1" ht="15" hidden="1">
      <c r="A336" s="354"/>
      <c r="B336" s="755" t="s">
        <v>1618</v>
      </c>
      <c r="C336" s="710" t="s">
        <v>1572</v>
      </c>
      <c r="D336" s="891"/>
      <c r="E336" s="865"/>
      <c r="F336" s="892"/>
      <c r="G336" s="891"/>
      <c r="H336" s="865"/>
      <c r="I336" s="892"/>
      <c r="J336" s="867">
        <v>1.123</v>
      </c>
      <c r="K336" s="868"/>
      <c r="L336" s="869">
        <v>5</v>
      </c>
      <c r="M336" s="870"/>
      <c r="N336" s="874"/>
      <c r="O336" s="940"/>
      <c r="P336" s="869"/>
      <c r="Q336" s="878"/>
      <c r="R336" s="871">
        <f t="shared" ref="R336:R344" si="22">O336</f>
        <v>0</v>
      </c>
      <c r="S336" s="445" t="s">
        <v>853</v>
      </c>
      <c r="T336" s="446" t="s">
        <v>308</v>
      </c>
      <c r="U336" s="2026" t="s">
        <v>1619</v>
      </c>
      <c r="V336" s="1418">
        <f t="shared" si="18"/>
        <v>0</v>
      </c>
      <c r="W336" s="357"/>
      <c r="X336" s="357"/>
      <c r="Y336" s="357"/>
      <c r="Z336" s="358"/>
      <c r="AA336" s="359"/>
      <c r="AB336" s="360"/>
    </row>
    <row r="337" spans="1:28" s="361" customFormat="1" ht="15" hidden="1">
      <c r="A337" s="354"/>
      <c r="B337" s="755" t="s">
        <v>1620</v>
      </c>
      <c r="C337" s="710" t="s">
        <v>1574</v>
      </c>
      <c r="D337" s="891"/>
      <c r="E337" s="865"/>
      <c r="F337" s="892"/>
      <c r="G337" s="891"/>
      <c r="H337" s="865"/>
      <c r="I337" s="892"/>
      <c r="J337" s="867">
        <v>0.81799999999999995</v>
      </c>
      <c r="K337" s="868"/>
      <c r="L337" s="869">
        <v>5</v>
      </c>
      <c r="M337" s="870"/>
      <c r="N337" s="874"/>
      <c r="O337" s="940">
        <f t="shared" ref="O337:O345" si="23">(J336+J337)*L337</f>
        <v>9.7049999999999983</v>
      </c>
      <c r="P337" s="869"/>
      <c r="Q337" s="878"/>
      <c r="R337" s="871">
        <f t="shared" si="22"/>
        <v>9.7049999999999983</v>
      </c>
      <c r="S337" s="445" t="s">
        <v>853</v>
      </c>
      <c r="T337" s="446" t="s">
        <v>308</v>
      </c>
      <c r="U337" s="2027"/>
      <c r="V337" s="1418">
        <f t="shared" si="18"/>
        <v>0</v>
      </c>
      <c r="W337" s="357"/>
      <c r="X337" s="357"/>
      <c r="Y337" s="357"/>
      <c r="Z337" s="358"/>
      <c r="AA337" s="359"/>
      <c r="AB337" s="360"/>
    </row>
    <row r="338" spans="1:28" s="361" customFormat="1" ht="15" hidden="1">
      <c r="A338" s="354"/>
      <c r="B338" s="755" t="s">
        <v>1621</v>
      </c>
      <c r="C338" s="710" t="s">
        <v>1576</v>
      </c>
      <c r="D338" s="891"/>
      <c r="E338" s="865"/>
      <c r="F338" s="892"/>
      <c r="G338" s="891"/>
      <c r="H338" s="865"/>
      <c r="I338" s="892"/>
      <c r="J338" s="867">
        <v>6.7539999999999996</v>
      </c>
      <c r="K338" s="868"/>
      <c r="L338" s="869">
        <v>5</v>
      </c>
      <c r="M338" s="870"/>
      <c r="N338" s="874"/>
      <c r="O338" s="940">
        <f t="shared" si="23"/>
        <v>37.86</v>
      </c>
      <c r="P338" s="869"/>
      <c r="Q338" s="878"/>
      <c r="R338" s="871">
        <f t="shared" si="22"/>
        <v>37.86</v>
      </c>
      <c r="S338" s="445" t="s">
        <v>853</v>
      </c>
      <c r="T338" s="446" t="s">
        <v>308</v>
      </c>
      <c r="U338" s="2027"/>
      <c r="V338" s="1418">
        <f t="shared" si="18"/>
        <v>0</v>
      </c>
      <c r="W338" s="357"/>
      <c r="X338" s="357"/>
      <c r="Y338" s="357"/>
      <c r="Z338" s="358"/>
      <c r="AA338" s="359"/>
      <c r="AB338" s="360"/>
    </row>
    <row r="339" spans="1:28" s="361" customFormat="1" ht="15" hidden="1">
      <c r="A339" s="354"/>
      <c r="B339" s="755" t="s">
        <v>1622</v>
      </c>
      <c r="C339" s="710" t="s">
        <v>1578</v>
      </c>
      <c r="D339" s="891"/>
      <c r="E339" s="865"/>
      <c r="F339" s="892"/>
      <c r="G339" s="891"/>
      <c r="H339" s="865"/>
      <c r="I339" s="892"/>
      <c r="J339" s="867">
        <v>27.951000000000001</v>
      </c>
      <c r="K339" s="868"/>
      <c r="L339" s="869">
        <v>5</v>
      </c>
      <c r="M339" s="870"/>
      <c r="N339" s="874"/>
      <c r="O339" s="940">
        <f t="shared" si="23"/>
        <v>173.52499999999998</v>
      </c>
      <c r="P339" s="869"/>
      <c r="Q339" s="878"/>
      <c r="R339" s="871">
        <f t="shared" si="22"/>
        <v>173.52499999999998</v>
      </c>
      <c r="S339" s="445" t="s">
        <v>853</v>
      </c>
      <c r="T339" s="446" t="s">
        <v>308</v>
      </c>
      <c r="U339" s="2027"/>
      <c r="V339" s="1418">
        <f t="shared" si="18"/>
        <v>0</v>
      </c>
      <c r="W339" s="357"/>
      <c r="X339" s="357"/>
      <c r="Y339" s="357"/>
      <c r="Z339" s="358"/>
      <c r="AA339" s="359"/>
      <c r="AB339" s="360"/>
    </row>
    <row r="340" spans="1:28" s="361" customFormat="1" ht="15" hidden="1">
      <c r="A340" s="354"/>
      <c r="B340" s="755" t="s">
        <v>1623</v>
      </c>
      <c r="C340" s="710" t="s">
        <v>1580</v>
      </c>
      <c r="D340" s="891"/>
      <c r="E340" s="865"/>
      <c r="F340" s="892"/>
      <c r="G340" s="891"/>
      <c r="H340" s="865"/>
      <c r="I340" s="892"/>
      <c r="J340" s="867">
        <v>40.509</v>
      </c>
      <c r="K340" s="868"/>
      <c r="L340" s="869">
        <v>5</v>
      </c>
      <c r="M340" s="870"/>
      <c r="N340" s="874"/>
      <c r="O340" s="940">
        <f t="shared" si="23"/>
        <v>342.30000000000007</v>
      </c>
      <c r="P340" s="869"/>
      <c r="Q340" s="878"/>
      <c r="R340" s="871">
        <f t="shared" si="22"/>
        <v>342.30000000000007</v>
      </c>
      <c r="S340" s="445" t="s">
        <v>853</v>
      </c>
      <c r="T340" s="446" t="s">
        <v>308</v>
      </c>
      <c r="U340" s="2027"/>
      <c r="V340" s="1418">
        <f t="shared" si="18"/>
        <v>0</v>
      </c>
      <c r="W340" s="357"/>
      <c r="X340" s="357"/>
      <c r="Y340" s="357"/>
      <c r="Z340" s="358"/>
      <c r="AA340" s="359"/>
      <c r="AB340" s="360"/>
    </row>
    <row r="341" spans="1:28" s="361" customFormat="1" ht="15" hidden="1">
      <c r="A341" s="354"/>
      <c r="B341" s="755" t="s">
        <v>1624</v>
      </c>
      <c r="C341" s="710" t="s">
        <v>1582</v>
      </c>
      <c r="D341" s="891"/>
      <c r="E341" s="865"/>
      <c r="F341" s="892"/>
      <c r="G341" s="891"/>
      <c r="H341" s="865"/>
      <c r="I341" s="892"/>
      <c r="J341" s="867">
        <v>46.22</v>
      </c>
      <c r="K341" s="868"/>
      <c r="L341" s="869">
        <v>5</v>
      </c>
      <c r="M341" s="870"/>
      <c r="N341" s="874"/>
      <c r="O341" s="940">
        <f t="shared" si="23"/>
        <v>433.64499999999998</v>
      </c>
      <c r="P341" s="869"/>
      <c r="Q341" s="878"/>
      <c r="R341" s="871">
        <f t="shared" si="22"/>
        <v>433.64499999999998</v>
      </c>
      <c r="S341" s="445" t="s">
        <v>853</v>
      </c>
      <c r="T341" s="446" t="s">
        <v>308</v>
      </c>
      <c r="U341" s="2027"/>
      <c r="V341" s="1418">
        <f t="shared" si="18"/>
        <v>0</v>
      </c>
      <c r="W341" s="357"/>
      <c r="X341" s="357"/>
      <c r="Y341" s="357"/>
      <c r="Z341" s="358"/>
      <c r="AA341" s="359"/>
      <c r="AB341" s="360"/>
    </row>
    <row r="342" spans="1:28" s="361" customFormat="1" ht="15" hidden="1">
      <c r="A342" s="354"/>
      <c r="B342" s="755" t="s">
        <v>1625</v>
      </c>
      <c r="C342" s="710" t="s">
        <v>1584</v>
      </c>
      <c r="D342" s="891"/>
      <c r="E342" s="865"/>
      <c r="F342" s="892"/>
      <c r="G342" s="891"/>
      <c r="H342" s="865"/>
      <c r="I342" s="892"/>
      <c r="J342" s="867">
        <v>33.091000000000001</v>
      </c>
      <c r="K342" s="868"/>
      <c r="L342" s="869">
        <v>5</v>
      </c>
      <c r="M342" s="870"/>
      <c r="N342" s="874"/>
      <c r="O342" s="940">
        <f t="shared" si="23"/>
        <v>396.55500000000006</v>
      </c>
      <c r="P342" s="869"/>
      <c r="Q342" s="878"/>
      <c r="R342" s="871">
        <f t="shared" si="22"/>
        <v>396.55500000000006</v>
      </c>
      <c r="S342" s="445" t="s">
        <v>853</v>
      </c>
      <c r="T342" s="446" t="s">
        <v>308</v>
      </c>
      <c r="U342" s="2027"/>
      <c r="V342" s="1418">
        <f t="shared" si="18"/>
        <v>0</v>
      </c>
      <c r="W342" s="357"/>
      <c r="X342" s="357"/>
      <c r="Y342" s="357"/>
      <c r="Z342" s="358"/>
      <c r="AA342" s="359"/>
      <c r="AB342" s="360"/>
    </row>
    <row r="343" spans="1:28" s="361" customFormat="1" ht="15" hidden="1">
      <c r="A343" s="354"/>
      <c r="B343" s="755" t="s">
        <v>1626</v>
      </c>
      <c r="C343" s="710" t="s">
        <v>1586</v>
      </c>
      <c r="D343" s="891"/>
      <c r="E343" s="865"/>
      <c r="F343" s="892"/>
      <c r="G343" s="891"/>
      <c r="H343" s="865"/>
      <c r="I343" s="892"/>
      <c r="J343" s="867">
        <v>16.094000000000001</v>
      </c>
      <c r="K343" s="868"/>
      <c r="L343" s="869">
        <v>5</v>
      </c>
      <c r="M343" s="870"/>
      <c r="N343" s="874"/>
      <c r="O343" s="940">
        <f t="shared" si="23"/>
        <v>245.92500000000001</v>
      </c>
      <c r="P343" s="869"/>
      <c r="Q343" s="878"/>
      <c r="R343" s="871">
        <f t="shared" si="22"/>
        <v>245.92500000000001</v>
      </c>
      <c r="S343" s="445" t="s">
        <v>853</v>
      </c>
      <c r="T343" s="446" t="s">
        <v>308</v>
      </c>
      <c r="U343" s="2027"/>
      <c r="V343" s="1418">
        <f t="shared" si="18"/>
        <v>0</v>
      </c>
      <c r="W343" s="357"/>
      <c r="X343" s="357"/>
      <c r="Y343" s="357"/>
      <c r="Z343" s="358"/>
      <c r="AA343" s="359"/>
      <c r="AB343" s="360"/>
    </row>
    <row r="344" spans="1:28" s="361" customFormat="1" ht="15" hidden="1">
      <c r="A344" s="354"/>
      <c r="B344" s="755" t="s">
        <v>1627</v>
      </c>
      <c r="C344" s="710" t="s">
        <v>1588</v>
      </c>
      <c r="D344" s="891"/>
      <c r="E344" s="865"/>
      <c r="F344" s="892"/>
      <c r="G344" s="891"/>
      <c r="H344" s="865"/>
      <c r="I344" s="892"/>
      <c r="J344" s="867">
        <v>13.576000000000001</v>
      </c>
      <c r="K344" s="868"/>
      <c r="L344" s="869">
        <v>5</v>
      </c>
      <c r="M344" s="870"/>
      <c r="N344" s="874"/>
      <c r="O344" s="940">
        <f t="shared" si="23"/>
        <v>148.35000000000002</v>
      </c>
      <c r="P344" s="869"/>
      <c r="Q344" s="878"/>
      <c r="R344" s="871">
        <f t="shared" si="22"/>
        <v>148.35000000000002</v>
      </c>
      <c r="S344" s="445" t="s">
        <v>853</v>
      </c>
      <c r="T344" s="446" t="s">
        <v>308</v>
      </c>
      <c r="U344" s="2027"/>
      <c r="V344" s="1418">
        <f>V399</f>
        <v>0</v>
      </c>
      <c r="W344" s="357"/>
      <c r="X344" s="357"/>
      <c r="Y344" s="357"/>
      <c r="Z344" s="358"/>
      <c r="AA344" s="359"/>
      <c r="AB344" s="360"/>
    </row>
    <row r="345" spans="1:28" s="361" customFormat="1" ht="15" hidden="1">
      <c r="A345" s="354"/>
      <c r="B345" s="755" t="s">
        <v>1628</v>
      </c>
      <c r="C345" s="710" t="s">
        <v>1629</v>
      </c>
      <c r="D345" s="891"/>
      <c r="E345" s="865"/>
      <c r="F345" s="892"/>
      <c r="G345" s="891"/>
      <c r="H345" s="865"/>
      <c r="I345" s="892"/>
      <c r="J345" s="867">
        <v>10.137</v>
      </c>
      <c r="K345" s="868"/>
      <c r="L345" s="869">
        <v>2.262</v>
      </c>
      <c r="M345" s="870"/>
      <c r="N345" s="874"/>
      <c r="O345" s="940">
        <f t="shared" si="23"/>
        <v>53.638806000000002</v>
      </c>
      <c r="P345" s="869"/>
      <c r="Q345" s="878"/>
      <c r="R345" s="871">
        <f>O345</f>
        <v>53.638806000000002</v>
      </c>
      <c r="S345" s="445" t="s">
        <v>853</v>
      </c>
      <c r="T345" s="446" t="s">
        <v>308</v>
      </c>
      <c r="U345" s="2028"/>
      <c r="V345" s="1418">
        <f t="shared" si="18"/>
        <v>0</v>
      </c>
      <c r="W345" s="357"/>
      <c r="X345" s="357"/>
      <c r="Y345" s="357"/>
      <c r="Z345" s="358"/>
      <c r="AA345" s="359"/>
      <c r="AB345" s="360"/>
    </row>
    <row r="346" spans="1:28" s="361" customFormat="1" ht="15" hidden="1">
      <c r="A346" s="354"/>
      <c r="B346" s="831"/>
      <c r="C346" s="960"/>
      <c r="D346" s="891"/>
      <c r="E346" s="865"/>
      <c r="F346" s="892"/>
      <c r="G346" s="891"/>
      <c r="H346" s="865"/>
      <c r="I346" s="892"/>
      <c r="J346" s="867"/>
      <c r="K346" s="868"/>
      <c r="L346" s="869"/>
      <c r="M346" s="870"/>
      <c r="N346" s="874"/>
      <c r="O346" s="940"/>
      <c r="P346" s="869"/>
      <c r="Q346" s="878"/>
      <c r="R346" s="871"/>
      <c r="S346" s="834"/>
      <c r="T346" s="835"/>
      <c r="U346" s="956"/>
      <c r="V346" s="1418">
        <f t="shared" si="18"/>
        <v>0</v>
      </c>
      <c r="W346" s="357"/>
      <c r="X346" s="357"/>
      <c r="Y346" s="357"/>
      <c r="Z346" s="358"/>
      <c r="AA346" s="359"/>
      <c r="AB346" s="360"/>
    </row>
    <row r="347" spans="1:28" s="361" customFormat="1" ht="15" hidden="1">
      <c r="A347" s="354"/>
      <c r="B347" s="831" t="s">
        <v>1630</v>
      </c>
      <c r="C347" s="710" t="s">
        <v>1572</v>
      </c>
      <c r="D347" s="891"/>
      <c r="E347" s="865"/>
      <c r="F347" s="892"/>
      <c r="G347" s="891"/>
      <c r="H347" s="865"/>
      <c r="I347" s="892"/>
      <c r="J347" s="867" t="s">
        <v>1631</v>
      </c>
      <c r="K347" s="868"/>
      <c r="L347" s="869">
        <v>5</v>
      </c>
      <c r="M347" s="870"/>
      <c r="N347" s="874"/>
      <c r="O347" s="940"/>
      <c r="P347" s="869"/>
      <c r="Q347" s="878"/>
      <c r="R347" s="871">
        <f t="shared" ref="R347:R361" si="24">O347</f>
        <v>0</v>
      </c>
      <c r="S347" s="445" t="s">
        <v>853</v>
      </c>
      <c r="T347" s="835" t="s">
        <v>309</v>
      </c>
      <c r="U347" s="2089" t="s">
        <v>1619</v>
      </c>
      <c r="V347" s="1418">
        <f t="shared" si="18"/>
        <v>0</v>
      </c>
      <c r="W347" s="357"/>
      <c r="X347" s="357"/>
      <c r="Y347" s="357"/>
      <c r="Z347" s="358"/>
      <c r="AA347" s="359"/>
      <c r="AB347" s="360"/>
    </row>
    <row r="348" spans="1:28" s="361" customFormat="1" ht="15" hidden="1">
      <c r="A348" s="354"/>
      <c r="B348" s="831" t="s">
        <v>1632</v>
      </c>
      <c r="C348" s="710" t="s">
        <v>1574</v>
      </c>
      <c r="D348" s="891"/>
      <c r="E348" s="865"/>
      <c r="F348" s="892"/>
      <c r="G348" s="891"/>
      <c r="H348" s="865"/>
      <c r="I348" s="892"/>
      <c r="J348" s="961">
        <v>17.21</v>
      </c>
      <c r="K348" s="868"/>
      <c r="L348" s="869">
        <v>5</v>
      </c>
      <c r="M348" s="870"/>
      <c r="N348" s="874"/>
      <c r="O348" s="940">
        <f t="shared" ref="O348:O361" si="25">(J347+J348)*L348</f>
        <v>88.704999999999998</v>
      </c>
      <c r="P348" s="869"/>
      <c r="Q348" s="878"/>
      <c r="R348" s="871">
        <f t="shared" si="24"/>
        <v>88.704999999999998</v>
      </c>
      <c r="S348" s="445" t="s">
        <v>853</v>
      </c>
      <c r="T348" s="835" t="s">
        <v>309</v>
      </c>
      <c r="U348" s="2090"/>
      <c r="V348" s="1418">
        <f t="shared" si="18"/>
        <v>0</v>
      </c>
      <c r="W348" s="357"/>
      <c r="X348" s="357"/>
      <c r="Y348" s="357"/>
      <c r="Z348" s="358"/>
      <c r="AA348" s="359"/>
      <c r="AB348" s="360"/>
    </row>
    <row r="349" spans="1:28" s="361" customFormat="1" ht="15" hidden="1">
      <c r="A349" s="354"/>
      <c r="B349" s="831" t="s">
        <v>1633</v>
      </c>
      <c r="C349" s="710" t="s">
        <v>1576</v>
      </c>
      <c r="D349" s="891"/>
      <c r="E349" s="865"/>
      <c r="F349" s="892"/>
      <c r="G349" s="891"/>
      <c r="H349" s="865"/>
      <c r="I349" s="892"/>
      <c r="J349" s="961">
        <v>27.834</v>
      </c>
      <c r="K349" s="868"/>
      <c r="L349" s="869">
        <v>5</v>
      </c>
      <c r="M349" s="870"/>
      <c r="N349" s="874"/>
      <c r="O349" s="940">
        <f t="shared" si="25"/>
        <v>225.21999999999997</v>
      </c>
      <c r="P349" s="869"/>
      <c r="Q349" s="878"/>
      <c r="R349" s="871">
        <f t="shared" si="24"/>
        <v>225.21999999999997</v>
      </c>
      <c r="S349" s="445" t="s">
        <v>853</v>
      </c>
      <c r="T349" s="835" t="s">
        <v>309</v>
      </c>
      <c r="U349" s="2090"/>
      <c r="V349" s="1418">
        <f t="shared" si="18"/>
        <v>0</v>
      </c>
      <c r="W349" s="357"/>
      <c r="X349" s="357"/>
      <c r="Y349" s="357"/>
      <c r="Z349" s="358"/>
      <c r="AA349" s="359"/>
      <c r="AB349" s="360"/>
    </row>
    <row r="350" spans="1:28" s="361" customFormat="1" ht="15" hidden="1">
      <c r="A350" s="354"/>
      <c r="B350" s="831" t="s">
        <v>1634</v>
      </c>
      <c r="C350" s="710" t="s">
        <v>1578</v>
      </c>
      <c r="D350" s="891"/>
      <c r="E350" s="865"/>
      <c r="F350" s="892"/>
      <c r="G350" s="891"/>
      <c r="H350" s="865"/>
      <c r="I350" s="892"/>
      <c r="J350" s="961">
        <v>16.687999999999999</v>
      </c>
      <c r="K350" s="868"/>
      <c r="L350" s="869">
        <v>5</v>
      </c>
      <c r="M350" s="870"/>
      <c r="N350" s="874"/>
      <c r="O350" s="940">
        <f t="shared" si="25"/>
        <v>222.60999999999999</v>
      </c>
      <c r="P350" s="869"/>
      <c r="Q350" s="878"/>
      <c r="R350" s="871">
        <f t="shared" si="24"/>
        <v>222.60999999999999</v>
      </c>
      <c r="S350" s="445" t="s">
        <v>853</v>
      </c>
      <c r="T350" s="835" t="s">
        <v>309</v>
      </c>
      <c r="U350" s="2090"/>
      <c r="V350" s="1418">
        <f t="shared" si="18"/>
        <v>0</v>
      </c>
      <c r="W350" s="357"/>
      <c r="X350" s="357"/>
      <c r="Y350" s="357"/>
      <c r="Z350" s="358"/>
      <c r="AA350" s="359"/>
      <c r="AB350" s="360"/>
    </row>
    <row r="351" spans="1:28" s="361" customFormat="1" ht="15" hidden="1">
      <c r="A351" s="354"/>
      <c r="B351" s="831" t="s">
        <v>1635</v>
      </c>
      <c r="C351" s="710" t="s">
        <v>1580</v>
      </c>
      <c r="D351" s="891"/>
      <c r="E351" s="865"/>
      <c r="F351" s="892"/>
      <c r="G351" s="891"/>
      <c r="H351" s="865"/>
      <c r="I351" s="892"/>
      <c r="J351" s="961">
        <v>12.601000000000001</v>
      </c>
      <c r="K351" s="868"/>
      <c r="L351" s="869">
        <v>5</v>
      </c>
      <c r="M351" s="870"/>
      <c r="N351" s="874"/>
      <c r="O351" s="940">
        <f t="shared" si="25"/>
        <v>146.44499999999999</v>
      </c>
      <c r="P351" s="869"/>
      <c r="Q351" s="878"/>
      <c r="R351" s="871">
        <f t="shared" si="24"/>
        <v>146.44499999999999</v>
      </c>
      <c r="S351" s="445" t="s">
        <v>853</v>
      </c>
      <c r="T351" s="835" t="s">
        <v>309</v>
      </c>
      <c r="U351" s="2090"/>
      <c r="V351" s="1418">
        <f t="shared" si="18"/>
        <v>0</v>
      </c>
      <c r="W351" s="357"/>
      <c r="X351" s="357"/>
      <c r="Y351" s="357"/>
      <c r="Z351" s="358"/>
      <c r="AA351" s="359"/>
      <c r="AB351" s="360"/>
    </row>
    <row r="352" spans="1:28" s="361" customFormat="1" ht="15" hidden="1">
      <c r="A352" s="354"/>
      <c r="B352" s="831" t="s">
        <v>1636</v>
      </c>
      <c r="C352" s="710" t="s">
        <v>1582</v>
      </c>
      <c r="D352" s="891"/>
      <c r="E352" s="865"/>
      <c r="F352" s="892"/>
      <c r="G352" s="891"/>
      <c r="H352" s="865"/>
      <c r="I352" s="892"/>
      <c r="J352" s="961">
        <v>9.4130000000000003</v>
      </c>
      <c r="K352" s="868"/>
      <c r="L352" s="869">
        <v>5</v>
      </c>
      <c r="M352" s="870"/>
      <c r="N352" s="874"/>
      <c r="O352" s="940">
        <f t="shared" si="25"/>
        <v>110.07000000000002</v>
      </c>
      <c r="P352" s="869"/>
      <c r="Q352" s="878"/>
      <c r="R352" s="871">
        <f t="shared" si="24"/>
        <v>110.07000000000002</v>
      </c>
      <c r="S352" s="445" t="s">
        <v>853</v>
      </c>
      <c r="T352" s="835" t="s">
        <v>309</v>
      </c>
      <c r="U352" s="2090"/>
      <c r="V352" s="1418">
        <f t="shared" si="18"/>
        <v>0</v>
      </c>
      <c r="W352" s="357"/>
      <c r="X352" s="357"/>
      <c r="Y352" s="357"/>
      <c r="Z352" s="358"/>
      <c r="AA352" s="359"/>
      <c r="AB352" s="360"/>
    </row>
    <row r="353" spans="1:28" s="361" customFormat="1" ht="15" hidden="1">
      <c r="A353" s="354"/>
      <c r="B353" s="831" t="s">
        <v>1637</v>
      </c>
      <c r="C353" s="710" t="s">
        <v>1584</v>
      </c>
      <c r="D353" s="891"/>
      <c r="E353" s="865"/>
      <c r="F353" s="892"/>
      <c r="G353" s="891"/>
      <c r="H353" s="865"/>
      <c r="I353" s="892"/>
      <c r="J353" s="961">
        <v>13.779</v>
      </c>
      <c r="K353" s="868"/>
      <c r="L353" s="869">
        <v>5</v>
      </c>
      <c r="M353" s="870"/>
      <c r="N353" s="874"/>
      <c r="O353" s="940">
        <f t="shared" si="25"/>
        <v>115.96000000000001</v>
      </c>
      <c r="P353" s="869"/>
      <c r="Q353" s="878"/>
      <c r="R353" s="871">
        <f t="shared" si="24"/>
        <v>115.96000000000001</v>
      </c>
      <c r="S353" s="445" t="s">
        <v>853</v>
      </c>
      <c r="T353" s="835" t="s">
        <v>309</v>
      </c>
      <c r="U353" s="2090"/>
      <c r="V353" s="1418">
        <f t="shared" si="18"/>
        <v>0</v>
      </c>
      <c r="W353" s="357"/>
      <c r="X353" s="357"/>
      <c r="Y353" s="357"/>
      <c r="Z353" s="358"/>
      <c r="AA353" s="359"/>
      <c r="AB353" s="360"/>
    </row>
    <row r="354" spans="1:28" s="361" customFormat="1" ht="15" hidden="1">
      <c r="A354" s="354"/>
      <c r="B354" s="831" t="s">
        <v>1638</v>
      </c>
      <c r="C354" s="710" t="s">
        <v>1586</v>
      </c>
      <c r="D354" s="891"/>
      <c r="E354" s="865"/>
      <c r="F354" s="892"/>
      <c r="G354" s="891"/>
      <c r="H354" s="865"/>
      <c r="I354" s="892"/>
      <c r="J354" s="961">
        <v>12.565</v>
      </c>
      <c r="K354" s="868"/>
      <c r="L354" s="869">
        <v>5</v>
      </c>
      <c r="M354" s="870"/>
      <c r="N354" s="874"/>
      <c r="O354" s="940">
        <f t="shared" si="25"/>
        <v>131.72</v>
      </c>
      <c r="P354" s="869"/>
      <c r="Q354" s="878"/>
      <c r="R354" s="871">
        <f t="shared" si="24"/>
        <v>131.72</v>
      </c>
      <c r="S354" s="445" t="s">
        <v>853</v>
      </c>
      <c r="T354" s="835" t="s">
        <v>309</v>
      </c>
      <c r="U354" s="2090"/>
      <c r="V354" s="1418">
        <f t="shared" si="18"/>
        <v>0</v>
      </c>
      <c r="W354" s="357"/>
      <c r="X354" s="357"/>
      <c r="Y354" s="357"/>
      <c r="Z354" s="358"/>
      <c r="AA354" s="359"/>
      <c r="AB354" s="360"/>
    </row>
    <row r="355" spans="1:28" s="361" customFormat="1" ht="15" hidden="1">
      <c r="A355" s="354"/>
      <c r="B355" s="831" t="s">
        <v>1639</v>
      </c>
      <c r="C355" s="710" t="s">
        <v>1588</v>
      </c>
      <c r="D355" s="891"/>
      <c r="E355" s="865"/>
      <c r="F355" s="892"/>
      <c r="G355" s="891"/>
      <c r="H355" s="865"/>
      <c r="I355" s="892"/>
      <c r="J355" s="961">
        <v>9.8279999999999994</v>
      </c>
      <c r="K355" s="868"/>
      <c r="L355" s="869">
        <v>5</v>
      </c>
      <c r="M355" s="870"/>
      <c r="N355" s="874"/>
      <c r="O355" s="940">
        <f t="shared" si="25"/>
        <v>111.965</v>
      </c>
      <c r="P355" s="869"/>
      <c r="Q355" s="878"/>
      <c r="R355" s="871">
        <f t="shared" si="24"/>
        <v>111.965</v>
      </c>
      <c r="S355" s="445" t="s">
        <v>853</v>
      </c>
      <c r="T355" s="835" t="s">
        <v>309</v>
      </c>
      <c r="U355" s="2090"/>
      <c r="V355" s="1418">
        <f t="shared" si="18"/>
        <v>0</v>
      </c>
      <c r="W355" s="357"/>
      <c r="X355" s="357"/>
      <c r="Y355" s="357"/>
      <c r="Z355" s="358"/>
      <c r="AA355" s="359"/>
      <c r="AB355" s="360"/>
    </row>
    <row r="356" spans="1:28" s="361" customFormat="1" ht="15" hidden="1">
      <c r="A356" s="354"/>
      <c r="B356" s="831" t="s">
        <v>1640</v>
      </c>
      <c r="C356" s="710" t="s">
        <v>1641</v>
      </c>
      <c r="D356" s="891"/>
      <c r="E356" s="865"/>
      <c r="F356" s="892"/>
      <c r="G356" s="891"/>
      <c r="H356" s="865"/>
      <c r="I356" s="892"/>
      <c r="J356" s="961">
        <v>16.228999999999999</v>
      </c>
      <c r="K356" s="868"/>
      <c r="L356" s="869">
        <v>5</v>
      </c>
      <c r="M356" s="870"/>
      <c r="N356" s="874"/>
      <c r="O356" s="940">
        <f t="shared" si="25"/>
        <v>130.285</v>
      </c>
      <c r="P356" s="869"/>
      <c r="Q356" s="878"/>
      <c r="R356" s="871">
        <f t="shared" si="24"/>
        <v>130.285</v>
      </c>
      <c r="S356" s="445" t="s">
        <v>853</v>
      </c>
      <c r="T356" s="835" t="s">
        <v>309</v>
      </c>
      <c r="U356" s="2090"/>
      <c r="V356" s="1418">
        <f t="shared" si="18"/>
        <v>0</v>
      </c>
      <c r="W356" s="357"/>
      <c r="X356" s="357"/>
      <c r="Y356" s="357"/>
      <c r="Z356" s="358"/>
      <c r="AA356" s="359"/>
      <c r="AB356" s="360"/>
    </row>
    <row r="357" spans="1:28" s="361" customFormat="1" ht="15" hidden="1">
      <c r="A357" s="354"/>
      <c r="B357" s="831" t="s">
        <v>1642</v>
      </c>
      <c r="C357" s="710" t="s">
        <v>1643</v>
      </c>
      <c r="D357" s="891"/>
      <c r="E357" s="865"/>
      <c r="F357" s="892"/>
      <c r="G357" s="891"/>
      <c r="H357" s="865"/>
      <c r="I357" s="892"/>
      <c r="J357" s="961">
        <v>6.2069999999999999</v>
      </c>
      <c r="K357" s="868"/>
      <c r="L357" s="869">
        <v>5</v>
      </c>
      <c r="M357" s="870"/>
      <c r="N357" s="874"/>
      <c r="O357" s="940">
        <f t="shared" si="25"/>
        <v>112.18</v>
      </c>
      <c r="P357" s="869"/>
      <c r="Q357" s="878"/>
      <c r="R357" s="871">
        <f t="shared" si="24"/>
        <v>112.18</v>
      </c>
      <c r="S357" s="445" t="s">
        <v>853</v>
      </c>
      <c r="T357" s="835" t="s">
        <v>309</v>
      </c>
      <c r="U357" s="2090"/>
      <c r="V357" s="1418">
        <f t="shared" si="18"/>
        <v>0</v>
      </c>
      <c r="W357" s="357"/>
      <c r="X357" s="357"/>
      <c r="Y357" s="357"/>
      <c r="Z357" s="358"/>
      <c r="AA357" s="359"/>
      <c r="AB357" s="360"/>
    </row>
    <row r="358" spans="1:28" s="361" customFormat="1" ht="15" hidden="1">
      <c r="A358" s="354"/>
      <c r="B358" s="831" t="s">
        <v>1644</v>
      </c>
      <c r="C358" s="710" t="s">
        <v>1645</v>
      </c>
      <c r="D358" s="891"/>
      <c r="E358" s="865"/>
      <c r="F358" s="892"/>
      <c r="G358" s="891"/>
      <c r="H358" s="865"/>
      <c r="I358" s="892"/>
      <c r="J358" s="961">
        <v>6.9969999999999999</v>
      </c>
      <c r="K358" s="868"/>
      <c r="L358" s="869">
        <v>5</v>
      </c>
      <c r="M358" s="870"/>
      <c r="N358" s="874"/>
      <c r="O358" s="940">
        <f t="shared" si="25"/>
        <v>66.02000000000001</v>
      </c>
      <c r="P358" s="869"/>
      <c r="Q358" s="878"/>
      <c r="R358" s="871">
        <f t="shared" si="24"/>
        <v>66.02000000000001</v>
      </c>
      <c r="S358" s="445" t="s">
        <v>853</v>
      </c>
      <c r="T358" s="835" t="s">
        <v>309</v>
      </c>
      <c r="U358" s="2090"/>
      <c r="V358" s="1418">
        <f t="shared" si="18"/>
        <v>0</v>
      </c>
      <c r="W358" s="357"/>
      <c r="X358" s="357"/>
      <c r="Y358" s="357"/>
      <c r="Z358" s="358"/>
      <c r="AA358" s="359"/>
      <c r="AB358" s="360"/>
    </row>
    <row r="359" spans="1:28" s="361" customFormat="1" ht="15" hidden="1">
      <c r="A359" s="354"/>
      <c r="B359" s="831" t="s">
        <v>1646</v>
      </c>
      <c r="C359" s="710" t="s">
        <v>1647</v>
      </c>
      <c r="D359" s="891"/>
      <c r="E359" s="865"/>
      <c r="F359" s="892"/>
      <c r="G359" s="891"/>
      <c r="H359" s="865"/>
      <c r="I359" s="892"/>
      <c r="J359" s="961">
        <v>5.1029999999999998</v>
      </c>
      <c r="K359" s="868"/>
      <c r="L359" s="869">
        <v>5</v>
      </c>
      <c r="M359" s="870"/>
      <c r="N359" s="874"/>
      <c r="O359" s="940">
        <f t="shared" si="25"/>
        <v>60.5</v>
      </c>
      <c r="P359" s="869"/>
      <c r="Q359" s="878"/>
      <c r="R359" s="871">
        <f t="shared" si="24"/>
        <v>60.5</v>
      </c>
      <c r="S359" s="445" t="s">
        <v>853</v>
      </c>
      <c r="T359" s="835" t="s">
        <v>309</v>
      </c>
      <c r="U359" s="2090"/>
      <c r="V359" s="1418">
        <f t="shared" si="18"/>
        <v>0</v>
      </c>
      <c r="W359" s="357"/>
      <c r="X359" s="357"/>
      <c r="Y359" s="357"/>
      <c r="Z359" s="358"/>
      <c r="AA359" s="359"/>
      <c r="AB359" s="360"/>
    </row>
    <row r="360" spans="1:28" s="361" customFormat="1" ht="15" hidden="1">
      <c r="A360" s="354"/>
      <c r="B360" s="831" t="s">
        <v>1648</v>
      </c>
      <c r="C360" s="710" t="s">
        <v>1649</v>
      </c>
      <c r="D360" s="891"/>
      <c r="E360" s="865"/>
      <c r="F360" s="892"/>
      <c r="G360" s="891"/>
      <c r="H360" s="865"/>
      <c r="I360" s="892"/>
      <c r="J360" s="961">
        <v>0</v>
      </c>
      <c r="K360" s="868"/>
      <c r="L360" s="869">
        <v>5</v>
      </c>
      <c r="M360" s="870"/>
      <c r="N360" s="874"/>
      <c r="O360" s="940">
        <f t="shared" si="25"/>
        <v>25.515000000000001</v>
      </c>
      <c r="P360" s="869"/>
      <c r="Q360" s="878"/>
      <c r="R360" s="871">
        <f t="shared" si="24"/>
        <v>25.515000000000001</v>
      </c>
      <c r="S360" s="445" t="s">
        <v>853</v>
      </c>
      <c r="T360" s="835" t="s">
        <v>309</v>
      </c>
      <c r="U360" s="2090"/>
      <c r="V360" s="1418">
        <f t="shared" si="18"/>
        <v>0</v>
      </c>
      <c r="W360" s="357"/>
      <c r="X360" s="357"/>
      <c r="Y360" s="357"/>
      <c r="Z360" s="358"/>
      <c r="AA360" s="359"/>
      <c r="AB360" s="360"/>
    </row>
    <row r="361" spans="1:28" s="361" customFormat="1" ht="15" hidden="1">
      <c r="A361" s="354"/>
      <c r="B361" s="831" t="s">
        <v>1650</v>
      </c>
      <c r="C361" s="710" t="s">
        <v>1651</v>
      </c>
      <c r="D361" s="891"/>
      <c r="E361" s="865"/>
      <c r="F361" s="892"/>
      <c r="G361" s="891"/>
      <c r="H361" s="865"/>
      <c r="I361" s="892"/>
      <c r="J361" s="961">
        <v>0</v>
      </c>
      <c r="K361" s="868"/>
      <c r="L361" s="869">
        <v>5</v>
      </c>
      <c r="M361" s="870"/>
      <c r="N361" s="874"/>
      <c r="O361" s="940">
        <f t="shared" si="25"/>
        <v>0</v>
      </c>
      <c r="P361" s="869"/>
      <c r="Q361" s="878"/>
      <c r="R361" s="871">
        <f t="shared" si="24"/>
        <v>0</v>
      </c>
      <c r="S361" s="445" t="s">
        <v>853</v>
      </c>
      <c r="T361" s="835" t="s">
        <v>309</v>
      </c>
      <c r="U361" s="2091"/>
      <c r="V361" s="1418">
        <f>V399</f>
        <v>0</v>
      </c>
      <c r="W361" s="357"/>
      <c r="X361" s="357"/>
      <c r="Y361" s="357"/>
      <c r="Z361" s="358"/>
      <c r="AA361" s="359"/>
      <c r="AB361" s="360"/>
    </row>
    <row r="362" spans="1:28" s="361" customFormat="1" ht="15" hidden="1">
      <c r="A362" s="354"/>
      <c r="B362" s="831"/>
      <c r="C362" s="960"/>
      <c r="D362" s="891"/>
      <c r="E362" s="865"/>
      <c r="F362" s="892"/>
      <c r="G362" s="891"/>
      <c r="H362" s="865"/>
      <c r="I362" s="892"/>
      <c r="J362" s="961"/>
      <c r="K362" s="868"/>
      <c r="L362" s="869"/>
      <c r="M362" s="870"/>
      <c r="N362" s="874"/>
      <c r="O362" s="940"/>
      <c r="P362" s="869"/>
      <c r="Q362" s="878"/>
      <c r="R362" s="871"/>
      <c r="S362" s="834"/>
      <c r="T362" s="835"/>
      <c r="U362" s="956"/>
      <c r="V362" s="1418">
        <f t="shared" si="18"/>
        <v>0</v>
      </c>
      <c r="W362" s="357"/>
      <c r="X362" s="357"/>
      <c r="Y362" s="357"/>
      <c r="Z362" s="358"/>
      <c r="AA362" s="359"/>
      <c r="AB362" s="360"/>
    </row>
    <row r="363" spans="1:28" s="361" customFormat="1" ht="15" hidden="1">
      <c r="A363" s="354"/>
      <c r="B363" s="831" t="s">
        <v>1652</v>
      </c>
      <c r="C363" s="710" t="s">
        <v>1572</v>
      </c>
      <c r="D363" s="891"/>
      <c r="E363" s="865"/>
      <c r="F363" s="892"/>
      <c r="G363" s="891"/>
      <c r="H363" s="865"/>
      <c r="I363" s="892"/>
      <c r="J363" s="961">
        <v>9.48</v>
      </c>
      <c r="K363" s="868"/>
      <c r="L363" s="869"/>
      <c r="M363" s="870"/>
      <c r="N363" s="874"/>
      <c r="O363" s="940" t="s">
        <v>1593</v>
      </c>
      <c r="P363" s="869"/>
      <c r="Q363" s="878"/>
      <c r="R363" s="871" t="s">
        <v>1593</v>
      </c>
      <c r="S363" s="445" t="s">
        <v>853</v>
      </c>
      <c r="T363" s="835" t="s">
        <v>310</v>
      </c>
      <c r="U363" s="2026" t="s">
        <v>1653</v>
      </c>
      <c r="V363" s="1418">
        <f t="shared" si="18"/>
        <v>0</v>
      </c>
      <c r="W363" s="357"/>
      <c r="X363" s="357"/>
      <c r="Y363" s="357"/>
      <c r="Z363" s="358"/>
      <c r="AA363" s="359"/>
      <c r="AB363" s="360"/>
    </row>
    <row r="364" spans="1:28" s="361" customFormat="1" ht="15" hidden="1">
      <c r="A364" s="354"/>
      <c r="B364" s="831" t="s">
        <v>1654</v>
      </c>
      <c r="C364" s="710" t="s">
        <v>1574</v>
      </c>
      <c r="D364" s="891"/>
      <c r="E364" s="865"/>
      <c r="F364" s="892"/>
      <c r="G364" s="891"/>
      <c r="H364" s="865"/>
      <c r="I364" s="892"/>
      <c r="J364" s="961">
        <v>9.2710000000000008</v>
      </c>
      <c r="K364" s="868"/>
      <c r="L364" s="869">
        <v>2.5</v>
      </c>
      <c r="M364" s="870"/>
      <c r="N364" s="874"/>
      <c r="O364" s="940">
        <f t="shared" ref="O364:O370" si="26">(J363+J364)*L364</f>
        <v>46.877500000000005</v>
      </c>
      <c r="P364" s="869"/>
      <c r="Q364" s="878"/>
      <c r="R364" s="871">
        <f t="shared" ref="R364:R372" si="27">O364</f>
        <v>46.877500000000005</v>
      </c>
      <c r="S364" s="445" t="s">
        <v>853</v>
      </c>
      <c r="T364" s="835" t="s">
        <v>310</v>
      </c>
      <c r="U364" s="2027"/>
      <c r="V364" s="1418">
        <f t="shared" si="18"/>
        <v>0</v>
      </c>
      <c r="W364" s="357"/>
      <c r="X364" s="357"/>
      <c r="Y364" s="357"/>
      <c r="Z364" s="358"/>
      <c r="AA364" s="359"/>
      <c r="AB364" s="360"/>
    </row>
    <row r="365" spans="1:28" s="361" customFormat="1" ht="15" hidden="1">
      <c r="A365" s="354"/>
      <c r="B365" s="831" t="s">
        <v>1655</v>
      </c>
      <c r="C365" s="710" t="s">
        <v>1576</v>
      </c>
      <c r="D365" s="891"/>
      <c r="E365" s="865"/>
      <c r="F365" s="892"/>
      <c r="G365" s="891"/>
      <c r="H365" s="865"/>
      <c r="I365" s="892"/>
      <c r="J365" s="961">
        <v>7.6749999999999998</v>
      </c>
      <c r="K365" s="868"/>
      <c r="L365" s="869">
        <v>2.5</v>
      </c>
      <c r="M365" s="870"/>
      <c r="N365" s="874"/>
      <c r="O365" s="940">
        <f t="shared" si="26"/>
        <v>42.365000000000002</v>
      </c>
      <c r="P365" s="869"/>
      <c r="Q365" s="878"/>
      <c r="R365" s="871">
        <f t="shared" si="27"/>
        <v>42.365000000000002</v>
      </c>
      <c r="S365" s="445" t="s">
        <v>853</v>
      </c>
      <c r="T365" s="835" t="s">
        <v>310</v>
      </c>
      <c r="U365" s="2028"/>
      <c r="V365" s="1418">
        <f t="shared" si="18"/>
        <v>0</v>
      </c>
      <c r="W365" s="357"/>
      <c r="X365" s="357"/>
      <c r="Y365" s="357"/>
      <c r="Z365" s="358"/>
      <c r="AA365" s="359"/>
      <c r="AB365" s="360"/>
    </row>
    <row r="366" spans="1:28" s="361" customFormat="1" ht="15" hidden="1">
      <c r="A366" s="354"/>
      <c r="B366" s="831"/>
      <c r="C366" s="960"/>
      <c r="D366" s="891"/>
      <c r="E366" s="865"/>
      <c r="F366" s="892"/>
      <c r="G366" s="891"/>
      <c r="H366" s="865"/>
      <c r="I366" s="892"/>
      <c r="J366" s="961"/>
      <c r="K366" s="868"/>
      <c r="L366" s="869"/>
      <c r="M366" s="870"/>
      <c r="N366" s="874"/>
      <c r="O366" s="940"/>
      <c r="P366" s="869"/>
      <c r="Q366" s="878"/>
      <c r="R366" s="871"/>
      <c r="S366" s="445" t="s">
        <v>853</v>
      </c>
      <c r="T366" s="835" t="s">
        <v>310</v>
      </c>
      <c r="U366" s="956"/>
      <c r="V366" s="1418">
        <f t="shared" si="18"/>
        <v>0</v>
      </c>
      <c r="W366" s="357"/>
      <c r="X366" s="357"/>
      <c r="Y366" s="357"/>
      <c r="Z366" s="358"/>
      <c r="AA366" s="359"/>
      <c r="AB366" s="360"/>
    </row>
    <row r="367" spans="1:28" s="361" customFormat="1" ht="15" hidden="1">
      <c r="A367" s="354"/>
      <c r="B367" s="831" t="s">
        <v>1656</v>
      </c>
      <c r="C367" s="710" t="s">
        <v>1657</v>
      </c>
      <c r="D367" s="891"/>
      <c r="E367" s="865"/>
      <c r="F367" s="892"/>
      <c r="G367" s="891"/>
      <c r="H367" s="865"/>
      <c r="I367" s="892"/>
      <c r="J367" s="961">
        <v>0.255</v>
      </c>
      <c r="K367" s="868"/>
      <c r="L367" s="869"/>
      <c r="M367" s="870"/>
      <c r="N367" s="874"/>
      <c r="O367" s="940" t="s">
        <v>1593</v>
      </c>
      <c r="P367" s="869"/>
      <c r="Q367" s="878"/>
      <c r="R367" s="871" t="str">
        <f t="shared" si="27"/>
        <v>-</v>
      </c>
      <c r="S367" s="445" t="s">
        <v>853</v>
      </c>
      <c r="T367" s="835" t="s">
        <v>310</v>
      </c>
      <c r="U367" s="2026" t="s">
        <v>1658</v>
      </c>
      <c r="V367" s="1418">
        <f t="shared" si="18"/>
        <v>0</v>
      </c>
      <c r="W367" s="357"/>
      <c r="X367" s="357"/>
      <c r="Y367" s="357"/>
      <c r="Z367" s="358"/>
      <c r="AA367" s="359"/>
      <c r="AB367" s="360"/>
    </row>
    <row r="368" spans="1:28" s="361" customFormat="1" ht="15" hidden="1">
      <c r="A368" s="354"/>
      <c r="B368" s="831" t="s">
        <v>1659</v>
      </c>
      <c r="C368" s="710" t="s">
        <v>1572</v>
      </c>
      <c r="D368" s="891"/>
      <c r="E368" s="865"/>
      <c r="F368" s="892"/>
      <c r="G368" s="891"/>
      <c r="H368" s="865"/>
      <c r="I368" s="892"/>
      <c r="J368" s="961">
        <v>1.9670000000000001</v>
      </c>
      <c r="K368" s="868"/>
      <c r="L368" s="869">
        <v>2.5</v>
      </c>
      <c r="M368" s="870"/>
      <c r="N368" s="874"/>
      <c r="O368" s="940">
        <f t="shared" si="26"/>
        <v>5.5549999999999997</v>
      </c>
      <c r="P368" s="869"/>
      <c r="Q368" s="878"/>
      <c r="R368" s="871">
        <v>5.48</v>
      </c>
      <c r="S368" s="445" t="s">
        <v>853</v>
      </c>
      <c r="T368" s="835" t="s">
        <v>310</v>
      </c>
      <c r="U368" s="2027"/>
      <c r="V368" s="1418">
        <f t="shared" si="18"/>
        <v>0</v>
      </c>
      <c r="W368" s="357"/>
      <c r="X368" s="357"/>
      <c r="Y368" s="357"/>
      <c r="Z368" s="358"/>
      <c r="AA368" s="359"/>
      <c r="AB368" s="360"/>
    </row>
    <row r="369" spans="1:28" s="361" customFormat="1" ht="15" hidden="1">
      <c r="A369" s="354"/>
      <c r="B369" s="831" t="s">
        <v>1660</v>
      </c>
      <c r="C369" s="710" t="s">
        <v>1661</v>
      </c>
      <c r="D369" s="891"/>
      <c r="E369" s="865"/>
      <c r="F369" s="892"/>
      <c r="G369" s="891"/>
      <c r="H369" s="865"/>
      <c r="I369" s="892"/>
      <c r="J369" s="961">
        <v>5.867</v>
      </c>
      <c r="K369" s="868"/>
      <c r="L369" s="873">
        <v>2.0670000000000002</v>
      </c>
      <c r="M369" s="870"/>
      <c r="N369" s="874"/>
      <c r="O369" s="940">
        <f t="shared" si="26"/>
        <v>16.192878</v>
      </c>
      <c r="P369" s="869"/>
      <c r="Q369" s="878"/>
      <c r="R369" s="871">
        <v>16.189</v>
      </c>
      <c r="S369" s="445" t="s">
        <v>853</v>
      </c>
      <c r="T369" s="835" t="s">
        <v>310</v>
      </c>
      <c r="U369" s="2027"/>
      <c r="V369" s="1418">
        <f t="shared" si="18"/>
        <v>0</v>
      </c>
      <c r="W369" s="357"/>
      <c r="X369" s="357"/>
      <c r="Y369" s="357"/>
      <c r="Z369" s="358"/>
      <c r="AA369" s="359"/>
      <c r="AB369" s="360"/>
    </row>
    <row r="370" spans="1:28" s="361" customFormat="1" ht="15" hidden="1">
      <c r="A370" s="354"/>
      <c r="B370" s="831" t="s">
        <v>1662</v>
      </c>
      <c r="C370" s="710" t="s">
        <v>1574</v>
      </c>
      <c r="D370" s="891"/>
      <c r="E370" s="865"/>
      <c r="F370" s="892"/>
      <c r="G370" s="891"/>
      <c r="H370" s="865"/>
      <c r="I370" s="892"/>
      <c r="J370" s="961">
        <v>5.5839999999999996</v>
      </c>
      <c r="K370" s="868"/>
      <c r="L370" s="873">
        <v>0.434</v>
      </c>
      <c r="M370" s="870"/>
      <c r="N370" s="874"/>
      <c r="O370" s="940">
        <f t="shared" si="26"/>
        <v>4.9697339999999999</v>
      </c>
      <c r="P370" s="869"/>
      <c r="Q370" s="878"/>
      <c r="R370" s="871">
        <v>4.9640000000000004</v>
      </c>
      <c r="S370" s="445" t="s">
        <v>853</v>
      </c>
      <c r="T370" s="835" t="s">
        <v>310</v>
      </c>
      <c r="U370" s="2028"/>
      <c r="V370" s="1418">
        <f t="shared" si="18"/>
        <v>0</v>
      </c>
      <c r="W370" s="357"/>
      <c r="X370" s="357"/>
      <c r="Y370" s="357"/>
      <c r="Z370" s="358"/>
      <c r="AA370" s="359"/>
      <c r="AB370" s="360"/>
    </row>
    <row r="371" spans="1:28" s="361" customFormat="1" ht="15" hidden="1">
      <c r="A371" s="354"/>
      <c r="B371" s="831"/>
      <c r="C371" s="960"/>
      <c r="D371" s="891"/>
      <c r="E371" s="865"/>
      <c r="F371" s="892"/>
      <c r="G371" s="891"/>
      <c r="H371" s="865"/>
      <c r="I371" s="892"/>
      <c r="J371" s="961"/>
      <c r="K371" s="868"/>
      <c r="L371" s="869"/>
      <c r="M371" s="870"/>
      <c r="N371" s="874"/>
      <c r="O371" s="940"/>
      <c r="P371" s="869"/>
      <c r="Q371" s="878"/>
      <c r="R371" s="871"/>
      <c r="S371" s="445" t="s">
        <v>853</v>
      </c>
      <c r="T371" s="835" t="s">
        <v>310</v>
      </c>
      <c r="U371" s="956"/>
      <c r="V371" s="1418">
        <f t="shared" si="18"/>
        <v>0</v>
      </c>
      <c r="W371" s="357"/>
      <c r="X371" s="357"/>
      <c r="Y371" s="357"/>
      <c r="Z371" s="358"/>
      <c r="AA371" s="359"/>
      <c r="AB371" s="360"/>
    </row>
    <row r="372" spans="1:28" s="361" customFormat="1" ht="15" hidden="1">
      <c r="A372" s="354"/>
      <c r="B372" s="831" t="s">
        <v>1663</v>
      </c>
      <c r="C372" s="710" t="s">
        <v>1657</v>
      </c>
      <c r="D372" s="891"/>
      <c r="E372" s="865"/>
      <c r="F372" s="892"/>
      <c r="G372" s="891"/>
      <c r="H372" s="865"/>
      <c r="I372" s="892"/>
      <c r="J372" s="961">
        <v>1.8360000000000001</v>
      </c>
      <c r="K372" s="868"/>
      <c r="L372" s="869"/>
      <c r="M372" s="870"/>
      <c r="N372" s="874"/>
      <c r="O372" s="940" t="s">
        <v>1593</v>
      </c>
      <c r="P372" s="869"/>
      <c r="Q372" s="878"/>
      <c r="R372" s="871" t="str">
        <f t="shared" si="27"/>
        <v>-</v>
      </c>
      <c r="S372" s="445" t="s">
        <v>853</v>
      </c>
      <c r="T372" s="835" t="s">
        <v>310</v>
      </c>
      <c r="U372" s="2026" t="s">
        <v>1664</v>
      </c>
      <c r="V372" s="1418">
        <f t="shared" si="18"/>
        <v>0</v>
      </c>
      <c r="W372" s="357"/>
      <c r="X372" s="357"/>
      <c r="Y372" s="357"/>
      <c r="Z372" s="358"/>
      <c r="AA372" s="359"/>
      <c r="AB372" s="360"/>
    </row>
    <row r="373" spans="1:28" s="361" customFormat="1" ht="15" hidden="1">
      <c r="A373" s="354"/>
      <c r="B373" s="831" t="s">
        <v>1665</v>
      </c>
      <c r="C373" s="710" t="s">
        <v>1666</v>
      </c>
      <c r="D373" s="891"/>
      <c r="E373" s="865"/>
      <c r="F373" s="892"/>
      <c r="G373" s="891"/>
      <c r="H373" s="865"/>
      <c r="I373" s="892"/>
      <c r="J373" s="961">
        <v>5.2370000000000001</v>
      </c>
      <c r="K373" s="868"/>
      <c r="L373" s="873">
        <v>1.4630000000000001</v>
      </c>
      <c r="M373" s="870"/>
      <c r="N373" s="874"/>
      <c r="O373" s="940">
        <f t="shared" ref="O373:O383" si="28">(J372+J373)*L373</f>
        <v>10.347799000000002</v>
      </c>
      <c r="P373" s="869"/>
      <c r="Q373" s="878"/>
      <c r="R373" s="871">
        <v>10.343999999999999</v>
      </c>
      <c r="S373" s="445" t="s">
        <v>853</v>
      </c>
      <c r="T373" s="835" t="s">
        <v>310</v>
      </c>
      <c r="U373" s="2027"/>
      <c r="V373" s="1418">
        <f t="shared" si="18"/>
        <v>0</v>
      </c>
      <c r="W373" s="357"/>
      <c r="X373" s="357"/>
      <c r="Y373" s="357"/>
      <c r="Z373" s="358"/>
      <c r="AA373" s="359"/>
      <c r="AB373" s="360"/>
    </row>
    <row r="374" spans="1:28" s="361" customFormat="1" ht="15" hidden="1">
      <c r="A374" s="354"/>
      <c r="B374" s="831" t="s">
        <v>1667</v>
      </c>
      <c r="C374" s="710" t="s">
        <v>1572</v>
      </c>
      <c r="D374" s="891"/>
      <c r="E374" s="865"/>
      <c r="F374" s="892"/>
      <c r="G374" s="891"/>
      <c r="H374" s="865"/>
      <c r="I374" s="892"/>
      <c r="J374" s="961">
        <v>4.7789999999999999</v>
      </c>
      <c r="K374" s="868"/>
      <c r="L374" s="873">
        <v>1.038</v>
      </c>
      <c r="M374" s="870"/>
      <c r="N374" s="874"/>
      <c r="O374" s="940">
        <f t="shared" si="28"/>
        <v>10.396608000000001</v>
      </c>
      <c r="P374" s="869"/>
      <c r="Q374" s="878"/>
      <c r="R374" s="871">
        <v>10.391999999999999</v>
      </c>
      <c r="S374" s="445" t="s">
        <v>853</v>
      </c>
      <c r="T374" s="835" t="s">
        <v>310</v>
      </c>
      <c r="U374" s="2027"/>
      <c r="V374" s="1418">
        <f t="shared" si="18"/>
        <v>0</v>
      </c>
      <c r="W374" s="357"/>
      <c r="X374" s="357"/>
      <c r="Y374" s="357"/>
      <c r="Z374" s="358"/>
      <c r="AA374" s="359"/>
      <c r="AB374" s="360"/>
    </row>
    <row r="375" spans="1:28" s="361" customFormat="1" ht="15" hidden="1">
      <c r="A375" s="354"/>
      <c r="B375" s="831" t="s">
        <v>1668</v>
      </c>
      <c r="C375" s="710" t="s">
        <v>1669</v>
      </c>
      <c r="D375" s="891"/>
      <c r="E375" s="865"/>
      <c r="F375" s="892"/>
      <c r="G375" s="891"/>
      <c r="H375" s="865"/>
      <c r="I375" s="892"/>
      <c r="J375" s="961">
        <v>4.9119999999999999</v>
      </c>
      <c r="K375" s="868"/>
      <c r="L375" s="873">
        <v>0.74299999999999999</v>
      </c>
      <c r="M375" s="870"/>
      <c r="N375" s="874"/>
      <c r="O375" s="940">
        <f t="shared" si="28"/>
        <v>7.2004129999999993</v>
      </c>
      <c r="P375" s="869"/>
      <c r="Q375" s="878"/>
      <c r="R375" s="871">
        <v>7.2</v>
      </c>
      <c r="S375" s="445" t="s">
        <v>853</v>
      </c>
      <c r="T375" s="835" t="s">
        <v>310</v>
      </c>
      <c r="U375" s="2027"/>
      <c r="V375" s="1418">
        <f t="shared" si="18"/>
        <v>0</v>
      </c>
      <c r="W375" s="357"/>
      <c r="X375" s="357"/>
      <c r="Y375" s="357"/>
      <c r="Z375" s="358"/>
      <c r="AA375" s="359"/>
      <c r="AB375" s="360"/>
    </row>
    <row r="376" spans="1:28" s="361" customFormat="1" ht="15" hidden="1">
      <c r="A376" s="354"/>
      <c r="B376" s="831" t="s">
        <v>1670</v>
      </c>
      <c r="C376" s="710" t="s">
        <v>1671</v>
      </c>
      <c r="D376" s="891"/>
      <c r="E376" s="865"/>
      <c r="F376" s="892"/>
      <c r="G376" s="891"/>
      <c r="H376" s="865"/>
      <c r="I376" s="892"/>
      <c r="J376" s="961">
        <v>0.621</v>
      </c>
      <c r="K376" s="868"/>
      <c r="L376" s="873">
        <v>1.492</v>
      </c>
      <c r="M376" s="870"/>
      <c r="N376" s="874"/>
      <c r="O376" s="940">
        <f t="shared" si="28"/>
        <v>8.255236</v>
      </c>
      <c r="P376" s="869"/>
      <c r="Q376" s="878"/>
      <c r="R376" s="871">
        <v>8.2550000000000008</v>
      </c>
      <c r="S376" s="445" t="s">
        <v>853</v>
      </c>
      <c r="T376" s="835" t="s">
        <v>310</v>
      </c>
      <c r="U376" s="2028"/>
      <c r="V376" s="1418">
        <f>V399</f>
        <v>0</v>
      </c>
      <c r="W376" s="357"/>
      <c r="X376" s="357"/>
      <c r="Y376" s="357"/>
      <c r="Z376" s="358"/>
      <c r="AA376" s="359"/>
      <c r="AB376" s="360"/>
    </row>
    <row r="377" spans="1:28" s="361" customFormat="1" ht="15" hidden="1">
      <c r="A377" s="354"/>
      <c r="B377" s="831"/>
      <c r="C377" s="960"/>
      <c r="D377" s="891"/>
      <c r="E377" s="865"/>
      <c r="F377" s="892"/>
      <c r="G377" s="891"/>
      <c r="H377" s="865"/>
      <c r="I377" s="892"/>
      <c r="J377" s="961"/>
      <c r="K377" s="868"/>
      <c r="L377" s="873"/>
      <c r="M377" s="870"/>
      <c r="N377" s="874"/>
      <c r="O377" s="940"/>
      <c r="P377" s="869"/>
      <c r="Q377" s="878"/>
      <c r="R377" s="871"/>
      <c r="S377" s="834"/>
      <c r="T377" s="835"/>
      <c r="U377" s="2026" t="s">
        <v>1672</v>
      </c>
      <c r="V377" s="1418">
        <f t="shared" si="18"/>
        <v>0</v>
      </c>
      <c r="W377" s="357"/>
      <c r="X377" s="357"/>
      <c r="Y377" s="357"/>
      <c r="Z377" s="358"/>
      <c r="AA377" s="359"/>
      <c r="AB377" s="360"/>
    </row>
    <row r="378" spans="1:28" s="361" customFormat="1" ht="15" hidden="1">
      <c r="A378" s="354"/>
      <c r="B378" s="831" t="s">
        <v>1673</v>
      </c>
      <c r="C378" s="710" t="s">
        <v>1657</v>
      </c>
      <c r="D378" s="891"/>
      <c r="E378" s="865"/>
      <c r="F378" s="892"/>
      <c r="G378" s="891"/>
      <c r="H378" s="865"/>
      <c r="I378" s="892"/>
      <c r="J378" s="961">
        <v>0.78600000000000003</v>
      </c>
      <c r="K378" s="868"/>
      <c r="L378" s="873">
        <v>2.5</v>
      </c>
      <c r="M378" s="870"/>
      <c r="N378" s="874"/>
      <c r="O378" s="940" t="s">
        <v>1593</v>
      </c>
      <c r="P378" s="869"/>
      <c r="Q378" s="878"/>
      <c r="R378" s="871" t="str">
        <f t="shared" ref="R378:R395" si="29">O378</f>
        <v>-</v>
      </c>
      <c r="S378" s="445" t="s">
        <v>853</v>
      </c>
      <c r="T378" s="835" t="s">
        <v>311</v>
      </c>
      <c r="U378" s="2027"/>
      <c r="V378" s="1418">
        <f t="shared" si="18"/>
        <v>0</v>
      </c>
      <c r="W378" s="357"/>
      <c r="X378" s="357"/>
      <c r="Y378" s="357"/>
      <c r="Z378" s="358"/>
      <c r="AA378" s="359"/>
      <c r="AB378" s="360"/>
    </row>
    <row r="379" spans="1:28" s="361" customFormat="1" ht="15" hidden="1">
      <c r="A379" s="354"/>
      <c r="B379" s="831" t="s">
        <v>1674</v>
      </c>
      <c r="C379" s="710" t="s">
        <v>1572</v>
      </c>
      <c r="D379" s="891"/>
      <c r="E379" s="865"/>
      <c r="F379" s="892"/>
      <c r="G379" s="891"/>
      <c r="H379" s="865"/>
      <c r="I379" s="892"/>
      <c r="J379" s="961">
        <v>16.960999999999999</v>
      </c>
      <c r="K379" s="868"/>
      <c r="L379" s="873">
        <v>2.5</v>
      </c>
      <c r="M379" s="870"/>
      <c r="N379" s="874"/>
      <c r="O379" s="940">
        <f t="shared" si="28"/>
        <v>44.3675</v>
      </c>
      <c r="P379" s="869"/>
      <c r="Q379" s="878"/>
      <c r="R379" s="871">
        <f t="shared" si="29"/>
        <v>44.3675</v>
      </c>
      <c r="S379" s="445" t="s">
        <v>853</v>
      </c>
      <c r="T379" s="835" t="s">
        <v>311</v>
      </c>
      <c r="U379" s="2027"/>
      <c r="V379" s="1418">
        <f t="shared" si="18"/>
        <v>0</v>
      </c>
      <c r="W379" s="357"/>
      <c r="X379" s="357"/>
      <c r="Y379" s="357"/>
      <c r="Z379" s="358"/>
      <c r="AA379" s="359"/>
      <c r="AB379" s="360"/>
    </row>
    <row r="380" spans="1:28" s="361" customFormat="1" ht="15" hidden="1">
      <c r="A380" s="354"/>
      <c r="B380" s="831" t="s">
        <v>1675</v>
      </c>
      <c r="C380" s="710" t="s">
        <v>1574</v>
      </c>
      <c r="D380" s="891"/>
      <c r="E380" s="865"/>
      <c r="F380" s="892"/>
      <c r="G380" s="891"/>
      <c r="H380" s="865"/>
      <c r="I380" s="892"/>
      <c r="J380" s="961">
        <v>20.888999999999999</v>
      </c>
      <c r="K380" s="868"/>
      <c r="L380" s="873">
        <v>2.5</v>
      </c>
      <c r="M380" s="870"/>
      <c r="N380" s="874"/>
      <c r="O380" s="940">
        <f t="shared" si="28"/>
        <v>94.624999999999986</v>
      </c>
      <c r="P380" s="869"/>
      <c r="Q380" s="878"/>
      <c r="R380" s="871">
        <f t="shared" si="29"/>
        <v>94.624999999999986</v>
      </c>
      <c r="S380" s="445" t="s">
        <v>853</v>
      </c>
      <c r="T380" s="835" t="s">
        <v>311</v>
      </c>
      <c r="U380" s="2027"/>
      <c r="V380" s="1418">
        <f t="shared" si="18"/>
        <v>0</v>
      </c>
      <c r="W380" s="357"/>
      <c r="X380" s="357"/>
      <c r="Y380" s="357"/>
      <c r="Z380" s="358"/>
      <c r="AA380" s="359"/>
      <c r="AB380" s="360"/>
    </row>
    <row r="381" spans="1:28" s="361" customFormat="1" ht="15" hidden="1">
      <c r="A381" s="354"/>
      <c r="B381" s="831" t="s">
        <v>1676</v>
      </c>
      <c r="C381" s="710" t="s">
        <v>1576</v>
      </c>
      <c r="D381" s="891"/>
      <c r="E381" s="865"/>
      <c r="F381" s="892"/>
      <c r="G381" s="891"/>
      <c r="H381" s="865"/>
      <c r="I381" s="892"/>
      <c r="J381" s="961">
        <v>25.795000000000002</v>
      </c>
      <c r="K381" s="868"/>
      <c r="L381" s="873">
        <v>2.5</v>
      </c>
      <c r="M381" s="870"/>
      <c r="N381" s="874"/>
      <c r="O381" s="940">
        <f t="shared" si="28"/>
        <v>116.71</v>
      </c>
      <c r="P381" s="869"/>
      <c r="Q381" s="878"/>
      <c r="R381" s="871">
        <f t="shared" si="29"/>
        <v>116.71</v>
      </c>
      <c r="S381" s="445" t="s">
        <v>853</v>
      </c>
      <c r="T381" s="835" t="s">
        <v>311</v>
      </c>
      <c r="U381" s="2027"/>
      <c r="V381" s="1418">
        <f t="shared" si="18"/>
        <v>0</v>
      </c>
      <c r="W381" s="357"/>
      <c r="X381" s="357"/>
      <c r="Y381" s="357"/>
      <c r="Z381" s="358"/>
      <c r="AA381" s="359"/>
      <c r="AB381" s="360"/>
    </row>
    <row r="382" spans="1:28" s="361" customFormat="1" ht="15" hidden="1">
      <c r="A382" s="354"/>
      <c r="B382" s="831" t="s">
        <v>1677</v>
      </c>
      <c r="C382" s="710" t="s">
        <v>1578</v>
      </c>
      <c r="D382" s="891"/>
      <c r="E382" s="865"/>
      <c r="F382" s="892"/>
      <c r="G382" s="891"/>
      <c r="H382" s="865"/>
      <c r="I382" s="892"/>
      <c r="J382" s="961">
        <v>33.51</v>
      </c>
      <c r="K382" s="868"/>
      <c r="L382" s="873">
        <v>2.5</v>
      </c>
      <c r="M382" s="870"/>
      <c r="N382" s="874"/>
      <c r="O382" s="940">
        <f t="shared" si="28"/>
        <v>148.26249999999999</v>
      </c>
      <c r="P382" s="869"/>
      <c r="Q382" s="878"/>
      <c r="R382" s="871">
        <f t="shared" si="29"/>
        <v>148.26249999999999</v>
      </c>
      <c r="S382" s="445" t="s">
        <v>853</v>
      </c>
      <c r="T382" s="835" t="s">
        <v>311</v>
      </c>
      <c r="U382" s="2027"/>
      <c r="V382" s="1418">
        <f t="shared" si="18"/>
        <v>0</v>
      </c>
      <c r="W382" s="357"/>
      <c r="X382" s="357"/>
      <c r="Y382" s="357"/>
      <c r="Z382" s="358"/>
      <c r="AA382" s="359"/>
      <c r="AB382" s="360"/>
    </row>
    <row r="383" spans="1:28" s="361" customFormat="1" ht="15" hidden="1">
      <c r="A383" s="354"/>
      <c r="B383" s="831" t="s">
        <v>1678</v>
      </c>
      <c r="C383" s="710" t="s">
        <v>1580</v>
      </c>
      <c r="D383" s="891"/>
      <c r="E383" s="865"/>
      <c r="F383" s="892"/>
      <c r="G383" s="891"/>
      <c r="H383" s="865"/>
      <c r="I383" s="892"/>
      <c r="J383" s="961">
        <v>26.23</v>
      </c>
      <c r="K383" s="868"/>
      <c r="L383" s="873">
        <v>2.5</v>
      </c>
      <c r="M383" s="870"/>
      <c r="N383" s="874"/>
      <c r="O383" s="940">
        <f t="shared" si="28"/>
        <v>149.35</v>
      </c>
      <c r="P383" s="869"/>
      <c r="Q383" s="878"/>
      <c r="R383" s="871">
        <f t="shared" si="29"/>
        <v>149.35</v>
      </c>
      <c r="S383" s="445" t="s">
        <v>853</v>
      </c>
      <c r="T383" s="835" t="s">
        <v>311</v>
      </c>
      <c r="U383" s="2028"/>
      <c r="V383" s="1418">
        <f t="shared" si="18"/>
        <v>0</v>
      </c>
      <c r="W383" s="357"/>
      <c r="X383" s="357"/>
      <c r="Y383" s="357"/>
      <c r="Z383" s="358"/>
      <c r="AA383" s="359"/>
      <c r="AB383" s="360"/>
    </row>
    <row r="384" spans="1:28" s="361" customFormat="1" ht="15" hidden="1">
      <c r="A384" s="354"/>
      <c r="B384" s="831"/>
      <c r="C384" s="960"/>
      <c r="D384" s="891"/>
      <c r="E384" s="865"/>
      <c r="F384" s="892"/>
      <c r="G384" s="891"/>
      <c r="H384" s="865"/>
      <c r="I384" s="892"/>
      <c r="J384" s="961"/>
      <c r="K384" s="868"/>
      <c r="L384" s="873"/>
      <c r="M384" s="870"/>
      <c r="N384" s="874"/>
      <c r="O384" s="940"/>
      <c r="P384" s="869"/>
      <c r="Q384" s="878"/>
      <c r="R384" s="871"/>
      <c r="S384" s="834"/>
      <c r="T384" s="835"/>
      <c r="U384" s="2026" t="s">
        <v>1679</v>
      </c>
      <c r="V384" s="1418">
        <f t="shared" si="18"/>
        <v>0</v>
      </c>
      <c r="W384" s="357"/>
      <c r="X384" s="357"/>
      <c r="Y384" s="357"/>
      <c r="Z384" s="358"/>
      <c r="AA384" s="359"/>
      <c r="AB384" s="360"/>
    </row>
    <row r="385" spans="1:28" s="361" customFormat="1" ht="15" hidden="1">
      <c r="A385" s="354"/>
      <c r="B385" s="831" t="s">
        <v>1680</v>
      </c>
      <c r="C385" s="710" t="s">
        <v>1657</v>
      </c>
      <c r="D385" s="891"/>
      <c r="E385" s="865"/>
      <c r="F385" s="892"/>
      <c r="G385" s="891"/>
      <c r="H385" s="865"/>
      <c r="I385" s="892"/>
      <c r="J385" s="961">
        <v>5.2480000000000002</v>
      </c>
      <c r="K385" s="868"/>
      <c r="L385" s="873">
        <v>5</v>
      </c>
      <c r="M385" s="870"/>
      <c r="N385" s="874"/>
      <c r="O385" s="940" t="s">
        <v>1593</v>
      </c>
      <c r="P385" s="869"/>
      <c r="Q385" s="878"/>
      <c r="R385" s="871" t="str">
        <f t="shared" si="29"/>
        <v>-</v>
      </c>
      <c r="S385" s="445" t="s">
        <v>853</v>
      </c>
      <c r="T385" s="835" t="s">
        <v>311</v>
      </c>
      <c r="U385" s="2027"/>
      <c r="V385" s="1418">
        <f t="shared" si="18"/>
        <v>0</v>
      </c>
      <c r="W385" s="357"/>
      <c r="X385" s="357"/>
      <c r="Y385" s="357"/>
      <c r="Z385" s="358"/>
      <c r="AA385" s="359"/>
      <c r="AB385" s="360"/>
    </row>
    <row r="386" spans="1:28" s="361" customFormat="1" ht="15" hidden="1">
      <c r="A386" s="354"/>
      <c r="B386" s="831" t="s">
        <v>1681</v>
      </c>
      <c r="C386" s="710" t="s">
        <v>1572</v>
      </c>
      <c r="D386" s="891"/>
      <c r="E386" s="865"/>
      <c r="F386" s="892"/>
      <c r="G386" s="891"/>
      <c r="H386" s="865"/>
      <c r="I386" s="892"/>
      <c r="J386" s="961">
        <v>8.6300000000000008</v>
      </c>
      <c r="K386" s="868"/>
      <c r="L386" s="873">
        <v>5</v>
      </c>
      <c r="M386" s="870"/>
      <c r="N386" s="874"/>
      <c r="O386" s="940">
        <f t="shared" ref="O386:O395" si="30">(J385+J386)*L386</f>
        <v>69.39</v>
      </c>
      <c r="P386" s="869"/>
      <c r="Q386" s="878"/>
      <c r="R386" s="871">
        <f t="shared" si="29"/>
        <v>69.39</v>
      </c>
      <c r="S386" s="445" t="s">
        <v>853</v>
      </c>
      <c r="T386" s="835" t="s">
        <v>311</v>
      </c>
      <c r="U386" s="2027"/>
      <c r="V386" s="1418">
        <f t="shared" si="18"/>
        <v>0</v>
      </c>
      <c r="W386" s="357"/>
      <c r="X386" s="357"/>
      <c r="Y386" s="357"/>
      <c r="Z386" s="358"/>
      <c r="AA386" s="359"/>
      <c r="AB386" s="360"/>
    </row>
    <row r="387" spans="1:28" s="361" customFormat="1" ht="15" hidden="1">
      <c r="A387" s="354"/>
      <c r="B387" s="831" t="s">
        <v>1682</v>
      </c>
      <c r="C387" s="710" t="s">
        <v>1574</v>
      </c>
      <c r="D387" s="891"/>
      <c r="E387" s="865"/>
      <c r="F387" s="892"/>
      <c r="G387" s="891"/>
      <c r="H387" s="865"/>
      <c r="I387" s="892"/>
      <c r="J387" s="961">
        <v>10.247</v>
      </c>
      <c r="K387" s="868"/>
      <c r="L387" s="873">
        <v>5</v>
      </c>
      <c r="M387" s="870"/>
      <c r="N387" s="874"/>
      <c r="O387" s="940">
        <f t="shared" si="30"/>
        <v>94.385000000000019</v>
      </c>
      <c r="P387" s="869"/>
      <c r="Q387" s="878"/>
      <c r="R387" s="871">
        <f t="shared" si="29"/>
        <v>94.385000000000019</v>
      </c>
      <c r="S387" s="445" t="s">
        <v>853</v>
      </c>
      <c r="T387" s="835" t="s">
        <v>311</v>
      </c>
      <c r="U387" s="2027"/>
      <c r="V387" s="1418">
        <f t="shared" si="18"/>
        <v>0</v>
      </c>
      <c r="W387" s="357"/>
      <c r="X387" s="357"/>
      <c r="Y387" s="357"/>
      <c r="Z387" s="358"/>
      <c r="AA387" s="359"/>
      <c r="AB387" s="360"/>
    </row>
    <row r="388" spans="1:28" s="361" customFormat="1" ht="15" hidden="1">
      <c r="A388" s="354"/>
      <c r="B388" s="831" t="s">
        <v>1683</v>
      </c>
      <c r="C388" s="710" t="s">
        <v>1576</v>
      </c>
      <c r="D388" s="891"/>
      <c r="E388" s="865"/>
      <c r="F388" s="892"/>
      <c r="G388" s="891"/>
      <c r="H388" s="865"/>
      <c r="I388" s="892"/>
      <c r="J388" s="961">
        <v>9.6869999999999994</v>
      </c>
      <c r="K388" s="868"/>
      <c r="L388" s="873">
        <v>5</v>
      </c>
      <c r="M388" s="870"/>
      <c r="N388" s="874"/>
      <c r="O388" s="940">
        <f t="shared" si="30"/>
        <v>99.669999999999987</v>
      </c>
      <c r="P388" s="869"/>
      <c r="Q388" s="878"/>
      <c r="R388" s="871">
        <f t="shared" si="29"/>
        <v>99.669999999999987</v>
      </c>
      <c r="S388" s="445" t="s">
        <v>853</v>
      </c>
      <c r="T388" s="835" t="s">
        <v>311</v>
      </c>
      <c r="U388" s="2027"/>
      <c r="V388" s="1418">
        <f t="shared" si="18"/>
        <v>0</v>
      </c>
      <c r="W388" s="357"/>
      <c r="X388" s="357"/>
      <c r="Y388" s="357"/>
      <c r="Z388" s="358"/>
      <c r="AA388" s="359"/>
      <c r="AB388" s="360"/>
    </row>
    <row r="389" spans="1:28" s="361" customFormat="1" ht="15" hidden="1">
      <c r="A389" s="354"/>
      <c r="B389" s="831" t="s">
        <v>1684</v>
      </c>
      <c r="C389" s="710" t="s">
        <v>1578</v>
      </c>
      <c r="D389" s="891"/>
      <c r="E389" s="865"/>
      <c r="F389" s="892"/>
      <c r="G389" s="891"/>
      <c r="H389" s="865"/>
      <c r="I389" s="892"/>
      <c r="J389" s="961">
        <v>8.5660000000000007</v>
      </c>
      <c r="K389" s="868"/>
      <c r="L389" s="873">
        <v>5</v>
      </c>
      <c r="M389" s="870"/>
      <c r="N389" s="874"/>
      <c r="O389" s="940">
        <f t="shared" si="30"/>
        <v>91.265000000000001</v>
      </c>
      <c r="P389" s="869"/>
      <c r="Q389" s="878"/>
      <c r="R389" s="871">
        <f t="shared" si="29"/>
        <v>91.265000000000001</v>
      </c>
      <c r="S389" s="445" t="s">
        <v>853</v>
      </c>
      <c r="T389" s="835" t="s">
        <v>311</v>
      </c>
      <c r="U389" s="2027"/>
      <c r="V389" s="1418">
        <f t="shared" si="18"/>
        <v>0</v>
      </c>
      <c r="W389" s="357"/>
      <c r="X389" s="357"/>
      <c r="Y389" s="357"/>
      <c r="Z389" s="358"/>
      <c r="AA389" s="359"/>
      <c r="AB389" s="360"/>
    </row>
    <row r="390" spans="1:28" s="361" customFormat="1" ht="15" hidden="1">
      <c r="A390" s="354"/>
      <c r="B390" s="831" t="s">
        <v>1685</v>
      </c>
      <c r="C390" s="710" t="s">
        <v>1580</v>
      </c>
      <c r="D390" s="891"/>
      <c r="E390" s="865"/>
      <c r="F390" s="892"/>
      <c r="G390" s="891"/>
      <c r="H390" s="865"/>
      <c r="I390" s="892"/>
      <c r="J390" s="961">
        <v>9.9960000000000004</v>
      </c>
      <c r="K390" s="868"/>
      <c r="L390" s="873">
        <v>5</v>
      </c>
      <c r="M390" s="870"/>
      <c r="N390" s="874"/>
      <c r="O390" s="940">
        <f t="shared" si="30"/>
        <v>92.81</v>
      </c>
      <c r="P390" s="869"/>
      <c r="Q390" s="878"/>
      <c r="R390" s="871">
        <f t="shared" si="29"/>
        <v>92.81</v>
      </c>
      <c r="S390" s="445" t="s">
        <v>853</v>
      </c>
      <c r="T390" s="835" t="s">
        <v>311</v>
      </c>
      <c r="U390" s="2027"/>
      <c r="V390" s="1418">
        <f t="shared" si="18"/>
        <v>0</v>
      </c>
      <c r="W390" s="357"/>
      <c r="X390" s="357"/>
      <c r="Y390" s="357"/>
      <c r="Z390" s="358"/>
      <c r="AA390" s="359"/>
      <c r="AB390" s="360"/>
    </row>
    <row r="391" spans="1:28" s="361" customFormat="1" ht="15" hidden="1">
      <c r="A391" s="354"/>
      <c r="B391" s="831" t="s">
        <v>1686</v>
      </c>
      <c r="C391" s="710" t="s">
        <v>1582</v>
      </c>
      <c r="D391" s="891"/>
      <c r="E391" s="865"/>
      <c r="F391" s="892"/>
      <c r="G391" s="891"/>
      <c r="H391" s="865"/>
      <c r="I391" s="892"/>
      <c r="J391" s="961">
        <v>18.481999999999999</v>
      </c>
      <c r="K391" s="868"/>
      <c r="L391" s="873">
        <v>5</v>
      </c>
      <c r="M391" s="870"/>
      <c r="N391" s="874"/>
      <c r="O391" s="940">
        <f t="shared" si="30"/>
        <v>142.39000000000001</v>
      </c>
      <c r="P391" s="869"/>
      <c r="Q391" s="878"/>
      <c r="R391" s="871">
        <f t="shared" si="29"/>
        <v>142.39000000000001</v>
      </c>
      <c r="S391" s="445" t="s">
        <v>853</v>
      </c>
      <c r="T391" s="835" t="s">
        <v>311</v>
      </c>
      <c r="U391" s="2027"/>
      <c r="V391" s="1418">
        <f t="shared" si="18"/>
        <v>0</v>
      </c>
      <c r="W391" s="357"/>
      <c r="X391" s="357"/>
      <c r="Y391" s="357"/>
      <c r="Z391" s="358"/>
      <c r="AA391" s="359"/>
      <c r="AB391" s="360"/>
    </row>
    <row r="392" spans="1:28" s="361" customFormat="1" ht="15" hidden="1">
      <c r="A392" s="354"/>
      <c r="B392" s="831" t="s">
        <v>1687</v>
      </c>
      <c r="C392" s="710" t="s">
        <v>1584</v>
      </c>
      <c r="D392" s="891"/>
      <c r="E392" s="865"/>
      <c r="F392" s="892"/>
      <c r="G392" s="891"/>
      <c r="H392" s="865"/>
      <c r="I392" s="892"/>
      <c r="J392" s="961">
        <v>19.010999999999999</v>
      </c>
      <c r="K392" s="868"/>
      <c r="L392" s="873">
        <v>5</v>
      </c>
      <c r="M392" s="870"/>
      <c r="N392" s="874"/>
      <c r="O392" s="940">
        <f t="shared" si="30"/>
        <v>187.46499999999997</v>
      </c>
      <c r="P392" s="869"/>
      <c r="Q392" s="878"/>
      <c r="R392" s="871">
        <f t="shared" si="29"/>
        <v>187.46499999999997</v>
      </c>
      <c r="S392" s="445" t="s">
        <v>853</v>
      </c>
      <c r="T392" s="835" t="s">
        <v>311</v>
      </c>
      <c r="U392" s="2027"/>
      <c r="V392" s="1418">
        <f t="shared" si="18"/>
        <v>0</v>
      </c>
      <c r="W392" s="357"/>
      <c r="X392" s="357"/>
      <c r="Y392" s="357"/>
      <c r="Z392" s="358"/>
      <c r="AA392" s="359"/>
      <c r="AB392" s="360"/>
    </row>
    <row r="393" spans="1:28" s="361" customFormat="1" ht="15" hidden="1">
      <c r="A393" s="354"/>
      <c r="B393" s="831" t="s">
        <v>1688</v>
      </c>
      <c r="C393" s="710" t="s">
        <v>1586</v>
      </c>
      <c r="D393" s="891"/>
      <c r="E393" s="865"/>
      <c r="F393" s="892"/>
      <c r="G393" s="891"/>
      <c r="H393" s="865"/>
      <c r="I393" s="892"/>
      <c r="J393" s="961">
        <v>12.792</v>
      </c>
      <c r="K393" s="868"/>
      <c r="L393" s="873">
        <v>5</v>
      </c>
      <c r="M393" s="870"/>
      <c r="N393" s="874"/>
      <c r="O393" s="940">
        <f t="shared" si="30"/>
        <v>159.01499999999999</v>
      </c>
      <c r="P393" s="869"/>
      <c r="Q393" s="878"/>
      <c r="R393" s="871">
        <f t="shared" si="29"/>
        <v>159.01499999999999</v>
      </c>
      <c r="S393" s="445" t="s">
        <v>853</v>
      </c>
      <c r="T393" s="835" t="s">
        <v>311</v>
      </c>
      <c r="U393" s="2027"/>
      <c r="V393" s="1418">
        <f t="shared" si="18"/>
        <v>0</v>
      </c>
      <c r="W393" s="357"/>
      <c r="X393" s="357"/>
      <c r="Y393" s="357"/>
      <c r="Z393" s="358"/>
      <c r="AA393" s="359"/>
      <c r="AB393" s="360"/>
    </row>
    <row r="394" spans="1:28" s="361" customFormat="1" ht="15" hidden="1">
      <c r="A394" s="354"/>
      <c r="B394" s="831" t="s">
        <v>1689</v>
      </c>
      <c r="C394" s="710" t="s">
        <v>1588</v>
      </c>
      <c r="D394" s="891"/>
      <c r="E394" s="865"/>
      <c r="F394" s="892"/>
      <c r="G394" s="891"/>
      <c r="H394" s="865"/>
      <c r="I394" s="892"/>
      <c r="J394" s="961">
        <v>11.068</v>
      </c>
      <c r="K394" s="868"/>
      <c r="L394" s="873">
        <v>5</v>
      </c>
      <c r="M394" s="870"/>
      <c r="N394" s="874"/>
      <c r="O394" s="940">
        <f t="shared" si="30"/>
        <v>119.3</v>
      </c>
      <c r="P394" s="869"/>
      <c r="Q394" s="878"/>
      <c r="R394" s="871">
        <f t="shared" si="29"/>
        <v>119.3</v>
      </c>
      <c r="S394" s="445" t="s">
        <v>853</v>
      </c>
      <c r="T394" s="835" t="s">
        <v>311</v>
      </c>
      <c r="U394" s="2027"/>
      <c r="V394" s="1418">
        <f t="shared" si="18"/>
        <v>0</v>
      </c>
      <c r="W394" s="357"/>
      <c r="X394" s="357"/>
      <c r="Y394" s="357"/>
      <c r="Z394" s="358"/>
      <c r="AA394" s="359"/>
      <c r="AB394" s="360"/>
    </row>
    <row r="395" spans="1:28" s="361" customFormat="1" ht="15" hidden="1">
      <c r="A395" s="354"/>
      <c r="B395" s="831" t="s">
        <v>1690</v>
      </c>
      <c r="C395" s="710" t="s">
        <v>1641</v>
      </c>
      <c r="D395" s="891"/>
      <c r="E395" s="865"/>
      <c r="F395" s="892"/>
      <c r="G395" s="891"/>
      <c r="H395" s="865"/>
      <c r="I395" s="892"/>
      <c r="J395" s="961">
        <v>18.896000000000001</v>
      </c>
      <c r="K395" s="868"/>
      <c r="L395" s="873">
        <v>5</v>
      </c>
      <c r="M395" s="870"/>
      <c r="N395" s="874"/>
      <c r="O395" s="940">
        <f t="shared" si="30"/>
        <v>149.82</v>
      </c>
      <c r="P395" s="869"/>
      <c r="Q395" s="878"/>
      <c r="R395" s="871">
        <f t="shared" si="29"/>
        <v>149.82</v>
      </c>
      <c r="S395" s="445" t="s">
        <v>853</v>
      </c>
      <c r="T395" s="835" t="s">
        <v>311</v>
      </c>
      <c r="U395" s="2028"/>
      <c r="V395" s="1418">
        <f t="shared" si="18"/>
        <v>0</v>
      </c>
      <c r="W395" s="357"/>
      <c r="X395" s="357"/>
      <c r="Y395" s="357"/>
      <c r="Z395" s="358"/>
      <c r="AA395" s="359"/>
      <c r="AB395" s="360"/>
    </row>
    <row r="396" spans="1:28" s="361" customFormat="1" ht="15" hidden="1">
      <c r="A396" s="354"/>
      <c r="B396" s="831"/>
      <c r="C396" s="960"/>
      <c r="D396" s="1088"/>
      <c r="E396" s="1089"/>
      <c r="F396" s="1090"/>
      <c r="G396" s="1088"/>
      <c r="H396" s="1089"/>
      <c r="I396" s="1090"/>
      <c r="J396" s="1091"/>
      <c r="K396" s="918"/>
      <c r="L396" s="942"/>
      <c r="M396" s="920"/>
      <c r="N396" s="946"/>
      <c r="O396" s="947"/>
      <c r="P396" s="919"/>
      <c r="Q396" s="943"/>
      <c r="R396" s="1087"/>
      <c r="S396" s="834"/>
      <c r="T396" s="835"/>
      <c r="U396" s="1085"/>
      <c r="V396" s="1418">
        <f t="shared" si="18"/>
        <v>0</v>
      </c>
      <c r="W396" s="357"/>
      <c r="X396" s="357"/>
      <c r="Y396" s="357"/>
      <c r="Z396" s="358"/>
      <c r="AA396" s="359"/>
      <c r="AB396" s="360"/>
    </row>
    <row r="397" spans="1:28" s="361" customFormat="1" ht="30" hidden="1">
      <c r="A397" s="354"/>
      <c r="B397" s="831" t="s">
        <v>1691</v>
      </c>
      <c r="C397" s="960" t="s">
        <v>1692</v>
      </c>
      <c r="D397" s="1088"/>
      <c r="E397" s="1089"/>
      <c r="F397" s="1090"/>
      <c r="G397" s="1088"/>
      <c r="H397" s="1089"/>
      <c r="I397" s="1090"/>
      <c r="J397" s="1091"/>
      <c r="K397" s="918"/>
      <c r="L397" s="942"/>
      <c r="M397" s="920"/>
      <c r="N397" s="946"/>
      <c r="O397" s="947"/>
      <c r="P397" s="919"/>
      <c r="Q397" s="943"/>
      <c r="R397" s="1087">
        <v>1111.74</v>
      </c>
      <c r="S397" s="834" t="s">
        <v>853</v>
      </c>
      <c r="T397" s="835" t="s">
        <v>318</v>
      </c>
      <c r="U397" s="1126" t="s">
        <v>1693</v>
      </c>
      <c r="V397" s="1418">
        <f t="shared" si="18"/>
        <v>0</v>
      </c>
      <c r="W397" s="357"/>
      <c r="X397" s="357"/>
      <c r="Y397" s="357"/>
      <c r="Z397" s="358"/>
      <c r="AA397" s="359"/>
      <c r="AB397" s="360"/>
    </row>
    <row r="398" spans="1:28" s="361" customFormat="1" ht="30" hidden="1">
      <c r="A398" s="354"/>
      <c r="B398" s="831" t="s">
        <v>1694</v>
      </c>
      <c r="C398" s="960" t="s">
        <v>1695</v>
      </c>
      <c r="D398" s="1088"/>
      <c r="E398" s="1089"/>
      <c r="F398" s="1090"/>
      <c r="G398" s="1088"/>
      <c r="H398" s="1089"/>
      <c r="I398" s="1090"/>
      <c r="J398" s="1091"/>
      <c r="K398" s="918"/>
      <c r="L398" s="942"/>
      <c r="M398" s="920"/>
      <c r="N398" s="946"/>
      <c r="O398" s="947"/>
      <c r="P398" s="919"/>
      <c r="Q398" s="943"/>
      <c r="R398" s="1087">
        <v>800.19</v>
      </c>
      <c r="S398" s="834" t="s">
        <v>853</v>
      </c>
      <c r="T398" s="835" t="s">
        <v>318</v>
      </c>
      <c r="U398" s="1126" t="s">
        <v>1696</v>
      </c>
      <c r="V398" s="1418">
        <f t="shared" si="18"/>
        <v>0</v>
      </c>
      <c r="W398" s="357"/>
      <c r="X398" s="357"/>
      <c r="Y398" s="357"/>
      <c r="Z398" s="358"/>
      <c r="AA398" s="359"/>
      <c r="AB398" s="360"/>
    </row>
    <row r="399" spans="1:28" s="77" customFormat="1" ht="30" hidden="1">
      <c r="A399" s="370"/>
      <c r="B399" s="831" t="s">
        <v>1697</v>
      </c>
      <c r="C399" s="960" t="s">
        <v>1698</v>
      </c>
      <c r="D399" s="1088"/>
      <c r="E399" s="1089"/>
      <c r="F399" s="1090"/>
      <c r="G399" s="1088"/>
      <c r="H399" s="1089"/>
      <c r="I399" s="1090"/>
      <c r="J399" s="1091"/>
      <c r="K399" s="918"/>
      <c r="L399" s="942"/>
      <c r="M399" s="920"/>
      <c r="N399" s="946"/>
      <c r="O399" s="947"/>
      <c r="P399" s="919"/>
      <c r="Q399" s="943"/>
      <c r="R399" s="1087">
        <v>2467.27</v>
      </c>
      <c r="S399" s="834" t="s">
        <v>853</v>
      </c>
      <c r="T399" s="835" t="s">
        <v>318</v>
      </c>
      <c r="U399" s="1126" t="s">
        <v>1699</v>
      </c>
      <c r="V399" s="1418">
        <f t="shared" si="18"/>
        <v>0</v>
      </c>
      <c r="AB399" s="15"/>
    </row>
    <row r="400" spans="1:28" s="77" customFormat="1" ht="45" hidden="1">
      <c r="A400" s="370"/>
      <c r="B400" s="831"/>
      <c r="C400" s="960" t="s">
        <v>1698</v>
      </c>
      <c r="D400" s="1088"/>
      <c r="E400" s="1089"/>
      <c r="F400" s="1090"/>
      <c r="G400" s="1088"/>
      <c r="H400" s="1089"/>
      <c r="I400" s="1090"/>
      <c r="J400" s="1091"/>
      <c r="K400" s="918"/>
      <c r="L400" s="942"/>
      <c r="M400" s="920"/>
      <c r="N400" s="946"/>
      <c r="O400" s="947"/>
      <c r="P400" s="919"/>
      <c r="Q400" s="943"/>
      <c r="R400" s="1087">
        <v>1285.144</v>
      </c>
      <c r="S400" s="834" t="s">
        <v>853</v>
      </c>
      <c r="T400" s="835" t="s">
        <v>319</v>
      </c>
      <c r="U400" s="1126" t="s">
        <v>1700</v>
      </c>
      <c r="V400" s="1418">
        <f t="shared" si="18"/>
        <v>0</v>
      </c>
      <c r="AB400" s="15"/>
    </row>
    <row r="401" spans="1:36" s="77" customFormat="1" ht="60" hidden="1">
      <c r="A401" s="370"/>
      <c r="B401" s="831"/>
      <c r="C401" s="1177" t="s">
        <v>1698</v>
      </c>
      <c r="D401" s="1178"/>
      <c r="E401" s="1179"/>
      <c r="F401" s="1180"/>
      <c r="G401" s="1178"/>
      <c r="H401" s="1179"/>
      <c r="I401" s="1180"/>
      <c r="J401" s="1181"/>
      <c r="K401" s="1182"/>
      <c r="L401" s="1183"/>
      <c r="M401" s="1184"/>
      <c r="N401" s="1185"/>
      <c r="O401" s="1186"/>
      <c r="P401" s="1187"/>
      <c r="Q401" s="1188"/>
      <c r="R401" s="1189">
        <v>919</v>
      </c>
      <c r="S401" s="1190" t="s">
        <v>853</v>
      </c>
      <c r="T401" s="1153" t="s">
        <v>324</v>
      </c>
      <c r="U401" s="1191" t="s">
        <v>1701</v>
      </c>
      <c r="V401" s="1418">
        <f t="shared" si="18"/>
        <v>0</v>
      </c>
      <c r="AB401" s="15"/>
    </row>
    <row r="402" spans="1:36" s="77" customFormat="1" ht="30" hidden="1">
      <c r="A402" s="370"/>
      <c r="B402" s="455"/>
      <c r="C402" s="1166" t="s">
        <v>1698</v>
      </c>
      <c r="D402" s="1142"/>
      <c r="E402" s="1143"/>
      <c r="F402" s="1167"/>
      <c r="G402" s="1142"/>
      <c r="H402" s="1143"/>
      <c r="I402" s="1144"/>
      <c r="J402" s="1168"/>
      <c r="K402" s="1169"/>
      <c r="L402" s="1170"/>
      <c r="M402" s="1171"/>
      <c r="N402" s="1169"/>
      <c r="O402" s="1172"/>
      <c r="P402" s="1169"/>
      <c r="Q402" s="1173"/>
      <c r="R402" s="1174">
        <v>2455.0300000000002</v>
      </c>
      <c r="S402" s="1175" t="s">
        <v>853</v>
      </c>
      <c r="T402" s="1101" t="s">
        <v>324</v>
      </c>
      <c r="U402" s="1176" t="s">
        <v>1699</v>
      </c>
      <c r="V402" s="1418">
        <f t="shared" si="18"/>
        <v>0</v>
      </c>
      <c r="AB402" s="15"/>
    </row>
    <row r="403" spans="1:36" s="77" customFormat="1" ht="15.75" hidden="1" customHeight="1">
      <c r="A403" s="370"/>
      <c r="B403" s="1392"/>
      <c r="C403" s="1393"/>
      <c r="D403" s="1929" t="s">
        <v>1520</v>
      </c>
      <c r="E403" s="1930"/>
      <c r="F403" s="1930"/>
      <c r="G403" s="1930"/>
      <c r="H403" s="1930"/>
      <c r="I403" s="1931"/>
      <c r="J403" s="1932">
        <f>VLOOKUP(A405,'11 - FINANCEIRA'!_xlnm.Print_Area,6,FALSE)</f>
        <v>36928.47</v>
      </c>
      <c r="K403" s="1933"/>
      <c r="L403" s="1343" t="str">
        <f>VLOOKUP(A405,'11 - FINANCEIRA'!_xlnm.Print_Area,4,FALSE)</f>
        <v>m³</v>
      </c>
      <c r="M403" s="1934" t="s">
        <v>1521</v>
      </c>
      <c r="N403" s="1935"/>
      <c r="O403" s="1935"/>
      <c r="P403" s="1935"/>
      <c r="Q403" s="1936"/>
      <c r="R403" s="726">
        <f>SUM(R322:R402)</f>
        <v>36927.647451999997</v>
      </c>
      <c r="S403" s="1344" t="str">
        <f>L403</f>
        <v>m³</v>
      </c>
      <c r="T403" s="1370"/>
      <c r="U403" s="1371"/>
      <c r="V403" s="1418">
        <f t="shared" si="18"/>
        <v>0</v>
      </c>
      <c r="AB403" s="15"/>
    </row>
    <row r="404" spans="1:36" s="77" customFormat="1" ht="15.75" hidden="1" customHeight="1">
      <c r="A404" s="370"/>
      <c r="B404" s="499"/>
      <c r="C404" s="725"/>
      <c r="D404" s="1937" t="s">
        <v>1522</v>
      </c>
      <c r="E404" s="1938"/>
      <c r="F404" s="1938"/>
      <c r="G404" s="1938"/>
      <c r="H404" s="1938"/>
      <c r="I404" s="1939"/>
      <c r="J404" s="1943">
        <f>R403/J403</f>
        <v>0.99997772591174228</v>
      </c>
      <c r="K404" s="1944"/>
      <c r="L404" s="1947"/>
      <c r="M404" s="1934" t="s">
        <v>1523</v>
      </c>
      <c r="N404" s="1935"/>
      <c r="O404" s="1935"/>
      <c r="P404" s="1935"/>
      <c r="Q404" s="1936"/>
      <c r="R404" s="726">
        <f>VLOOKUP(A405,'11 - FINANCEIRA'!_xlnm.Print_Area,8,FALSE)</f>
        <v>36927.647451999997</v>
      </c>
      <c r="S404" s="727" t="str">
        <f>L403</f>
        <v>m³</v>
      </c>
      <c r="T404" s="373"/>
      <c r="U404" s="964"/>
      <c r="V404" s="1418">
        <f t="shared" si="18"/>
        <v>0</v>
      </c>
      <c r="AB404" s="15"/>
    </row>
    <row r="405" spans="1:36" s="77" customFormat="1" ht="15.75" hidden="1" customHeight="1">
      <c r="A405" s="364" t="s">
        <v>365</v>
      </c>
      <c r="B405" s="965"/>
      <c r="C405" s="966"/>
      <c r="D405" s="1940"/>
      <c r="E405" s="1941"/>
      <c r="F405" s="1941"/>
      <c r="G405" s="1941"/>
      <c r="H405" s="1941"/>
      <c r="I405" s="1942"/>
      <c r="J405" s="1945"/>
      <c r="K405" s="1946"/>
      <c r="L405" s="1948"/>
      <c r="M405" s="1934" t="s">
        <v>1524</v>
      </c>
      <c r="N405" s="1935"/>
      <c r="O405" s="1935"/>
      <c r="P405" s="1935"/>
      <c r="Q405" s="1936"/>
      <c r="R405" s="726">
        <f>R403-R404</f>
        <v>0</v>
      </c>
      <c r="S405" s="727" t="str">
        <f>L403</f>
        <v>m³</v>
      </c>
      <c r="T405" s="967"/>
      <c r="U405" s="968"/>
      <c r="V405" s="1418">
        <f>R405</f>
        <v>0</v>
      </c>
      <c r="AB405" s="15"/>
    </row>
    <row r="406" spans="1:36" s="77" customFormat="1" ht="15.6" hidden="1">
      <c r="A406" s="370"/>
      <c r="B406" s="1347"/>
      <c r="C406" s="1348"/>
      <c r="D406" s="1349"/>
      <c r="E406" s="1350"/>
      <c r="F406" s="1349"/>
      <c r="G406" s="1349"/>
      <c r="H406" s="1349"/>
      <c r="I406" s="1349"/>
      <c r="J406" s="1351"/>
      <c r="K406" s="1352"/>
      <c r="L406" s="1353"/>
      <c r="M406" s="1354"/>
      <c r="N406" s="1354"/>
      <c r="O406" s="1354"/>
      <c r="P406" s="1354"/>
      <c r="Q406" s="1354"/>
      <c r="R406" s="1355"/>
      <c r="S406" s="1356"/>
      <c r="T406" s="1357"/>
      <c r="U406" s="1358"/>
      <c r="V406" s="1420">
        <f>SUM(V309:V405)</f>
        <v>0</v>
      </c>
      <c r="AB406" s="15"/>
    </row>
    <row r="407" spans="1:36" s="352" customFormat="1" ht="15.6" hidden="1">
      <c r="A407" s="351"/>
      <c r="B407" s="1963" t="str">
        <f>VLOOKUP(A428,'11 - FINANCEIRA'!_xlnm.Print_Area,1,FALSE)</f>
        <v>2.2.2</v>
      </c>
      <c r="C407" s="1965" t="str">
        <f>VLOOKUP(A428,'11 - FINANCEIRA'!_xlnm.Print_Area,3,FALSE)</f>
        <v xml:space="preserve">Transporte com caminhão basculante de 12m³ - rodovia pavimentada </v>
      </c>
      <c r="D407" s="1967" t="s">
        <v>1503</v>
      </c>
      <c r="E407" s="1968"/>
      <c r="F407" s="1968"/>
      <c r="G407" s="1968"/>
      <c r="H407" s="1968"/>
      <c r="I407" s="1969"/>
      <c r="J407" s="1914" t="s">
        <v>1504</v>
      </c>
      <c r="K407" s="1914" t="s">
        <v>1505</v>
      </c>
      <c r="L407" s="1914" t="s">
        <v>1506</v>
      </c>
      <c r="M407" s="1914" t="s">
        <v>1507</v>
      </c>
      <c r="N407" s="1914" t="s">
        <v>1508</v>
      </c>
      <c r="O407" s="1914" t="s">
        <v>1509</v>
      </c>
      <c r="P407" s="1341" t="s">
        <v>1510</v>
      </c>
      <c r="Q407" s="1914" t="s">
        <v>1702</v>
      </c>
      <c r="R407" s="1916" t="s">
        <v>804</v>
      </c>
      <c r="S407" s="1914" t="s">
        <v>1511</v>
      </c>
      <c r="T407" s="1914" t="s">
        <v>1512</v>
      </c>
      <c r="U407" s="1918" t="s">
        <v>1513</v>
      </c>
      <c r="V407" s="1418">
        <f t="shared" ref="V407:V427" si="31">V408</f>
        <v>0</v>
      </c>
      <c r="W407" s="16"/>
      <c r="X407" s="16"/>
      <c r="Y407" s="16"/>
      <c r="Z407" s="17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</row>
    <row r="408" spans="1:36" s="352" customFormat="1" ht="15.6" hidden="1">
      <c r="A408" s="351"/>
      <c r="B408" s="1964" t="e">
        <f>LEFT(#REF!,5)</f>
        <v>#REF!</v>
      </c>
      <c r="C408" s="1966" t="e">
        <f>VLOOKUP(LEFT(#REF!,5),'11 - FINANCEIRA'!_xlnm.Print_Area,2,FALSE)</f>
        <v>#REF!</v>
      </c>
      <c r="D408" s="1920" t="s">
        <v>1514</v>
      </c>
      <c r="E408" s="1921"/>
      <c r="F408" s="1922"/>
      <c r="G408" s="1923" t="s">
        <v>1515</v>
      </c>
      <c r="H408" s="1924"/>
      <c r="I408" s="1925"/>
      <c r="J408" s="1915"/>
      <c r="K408" s="1915"/>
      <c r="L408" s="1915"/>
      <c r="M408" s="1915"/>
      <c r="N408" s="1915"/>
      <c r="O408" s="1915"/>
      <c r="P408" s="353" t="s">
        <v>1516</v>
      </c>
      <c r="Q408" s="1915"/>
      <c r="R408" s="1917"/>
      <c r="S408" s="1915"/>
      <c r="T408" s="1915"/>
      <c r="U408" s="1919"/>
      <c r="V408" s="1418">
        <f t="shared" si="31"/>
        <v>0</v>
      </c>
      <c r="W408" s="16"/>
      <c r="X408" s="16"/>
      <c r="Y408" s="16"/>
      <c r="Z408" s="17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</row>
    <row r="409" spans="1:36" s="361" customFormat="1" ht="15" hidden="1">
      <c r="A409" s="354"/>
      <c r="B409" s="863"/>
      <c r="C409" s="710" t="s">
        <v>1703</v>
      </c>
      <c r="D409" s="864"/>
      <c r="E409" s="865"/>
      <c r="F409" s="866"/>
      <c r="G409" s="864"/>
      <c r="H409" s="865"/>
      <c r="I409" s="866"/>
      <c r="J409" s="867"/>
      <c r="K409" s="868"/>
      <c r="L409" s="869"/>
      <c r="M409" s="870"/>
      <c r="N409" s="876"/>
      <c r="O409" s="877">
        <v>5736.44</v>
      </c>
      <c r="P409" s="869">
        <v>1.3</v>
      </c>
      <c r="Q409" s="878">
        <v>1</v>
      </c>
      <c r="R409" s="877">
        <f>O409*P409*Q409</f>
        <v>7457.3719999999994</v>
      </c>
      <c r="S409" s="871" t="s">
        <v>856</v>
      </c>
      <c r="T409" s="872" t="s">
        <v>301</v>
      </c>
      <c r="U409" s="846" t="s">
        <v>1704</v>
      </c>
      <c r="V409" s="1418">
        <f t="shared" si="31"/>
        <v>0</v>
      </c>
      <c r="W409" s="357"/>
      <c r="X409" s="357"/>
      <c r="Y409" s="357"/>
      <c r="Z409" s="358"/>
      <c r="AA409" s="359"/>
      <c r="AB409" s="360"/>
    </row>
    <row r="410" spans="1:36" s="361" customFormat="1" ht="15" hidden="1">
      <c r="A410" s="354"/>
      <c r="B410" s="863"/>
      <c r="C410" s="710" t="s">
        <v>1705</v>
      </c>
      <c r="D410" s="864"/>
      <c r="E410" s="865"/>
      <c r="F410" s="866"/>
      <c r="G410" s="864"/>
      <c r="H410" s="865"/>
      <c r="I410" s="866"/>
      <c r="J410" s="867">
        <v>2</v>
      </c>
      <c r="K410" s="868">
        <v>20</v>
      </c>
      <c r="L410" s="873">
        <v>5.6150000000000002</v>
      </c>
      <c r="M410" s="870">
        <v>2</v>
      </c>
      <c r="N410" s="874"/>
      <c r="O410" s="875">
        <f>K410*L410*M410*J410</f>
        <v>449.20000000000005</v>
      </c>
      <c r="P410" s="869">
        <v>1.3</v>
      </c>
      <c r="Q410" s="878">
        <v>30</v>
      </c>
      <c r="R410" s="871">
        <f>O410*P410*Q410</f>
        <v>17518.800000000003</v>
      </c>
      <c r="S410" s="871" t="s">
        <v>856</v>
      </c>
      <c r="T410" s="872" t="s">
        <v>301</v>
      </c>
      <c r="U410" s="846" t="s">
        <v>1706</v>
      </c>
      <c r="V410" s="1418">
        <f t="shared" si="31"/>
        <v>0</v>
      </c>
      <c r="W410" s="357"/>
      <c r="X410" s="357"/>
      <c r="Y410" s="357"/>
      <c r="Z410" s="358"/>
      <c r="AA410" s="359"/>
      <c r="AB410" s="360"/>
    </row>
    <row r="411" spans="1:36" s="12" customFormat="1" ht="15" hidden="1">
      <c r="A411" s="789"/>
      <c r="B411" s="755"/>
      <c r="C411" s="28" t="s">
        <v>1703</v>
      </c>
      <c r="D411" s="568"/>
      <c r="E411" s="19"/>
      <c r="F411" s="569"/>
      <c r="G411" s="568"/>
      <c r="H411" s="19"/>
      <c r="I411" s="569"/>
      <c r="J411" s="21"/>
      <c r="K411" s="22"/>
      <c r="L411" s="23"/>
      <c r="M411" s="24"/>
      <c r="N411" s="785"/>
      <c r="O411" s="25">
        <v>1320.6401298701298</v>
      </c>
      <c r="P411" s="23">
        <v>1.544</v>
      </c>
      <c r="Q411" s="729">
        <v>13.9</v>
      </c>
      <c r="R411" s="445">
        <f>TRUNC((O411*P411*Q411),2)</f>
        <v>28343.05</v>
      </c>
      <c r="S411" s="792" t="s">
        <v>856</v>
      </c>
      <c r="T411" s="446" t="s">
        <v>302</v>
      </c>
      <c r="U411" s="846" t="s">
        <v>1707</v>
      </c>
      <c r="V411" s="1418">
        <f t="shared" si="31"/>
        <v>0</v>
      </c>
      <c r="W411" s="16"/>
      <c r="X411" s="16"/>
      <c r="Y411" s="16"/>
      <c r="Z411" s="17"/>
      <c r="AA411" s="790"/>
      <c r="AB411" s="791"/>
    </row>
    <row r="412" spans="1:36" s="361" customFormat="1" ht="15" hidden="1">
      <c r="A412" s="354"/>
      <c r="B412" s="755"/>
      <c r="C412" s="28" t="s">
        <v>1703</v>
      </c>
      <c r="D412" s="568"/>
      <c r="E412" s="19"/>
      <c r="F412" s="569"/>
      <c r="G412" s="568"/>
      <c r="H412" s="19"/>
      <c r="I412" s="569"/>
      <c r="J412" s="21"/>
      <c r="K412" s="22"/>
      <c r="L412" s="23"/>
      <c r="M412" s="24"/>
      <c r="N412" s="785"/>
      <c r="O412" s="445">
        <f>R412/(Q412*P412)</f>
        <v>465.62409140045474</v>
      </c>
      <c r="P412" s="23">
        <v>1.544</v>
      </c>
      <c r="Q412" s="729">
        <v>13.9</v>
      </c>
      <c r="R412" s="849">
        <v>9993.0380000000005</v>
      </c>
      <c r="S412" s="792" t="s">
        <v>856</v>
      </c>
      <c r="T412" s="446" t="s">
        <v>303</v>
      </c>
      <c r="U412" s="846" t="s">
        <v>1707</v>
      </c>
      <c r="V412" s="1418">
        <f t="shared" si="31"/>
        <v>0</v>
      </c>
      <c r="W412" s="357"/>
      <c r="X412" s="357"/>
      <c r="Y412" s="357"/>
      <c r="Z412" s="358"/>
      <c r="AA412" s="359"/>
      <c r="AB412" s="360"/>
    </row>
    <row r="413" spans="1:36" s="361" customFormat="1" ht="15" hidden="1">
      <c r="A413" s="354"/>
      <c r="B413" s="755"/>
      <c r="C413" s="710" t="s">
        <v>1708</v>
      </c>
      <c r="D413" s="568"/>
      <c r="E413" s="19"/>
      <c r="F413" s="569"/>
      <c r="G413" s="568"/>
      <c r="H413" s="19"/>
      <c r="I413" s="569"/>
      <c r="J413" s="21"/>
      <c r="K413" s="22"/>
      <c r="L413" s="23"/>
      <c r="M413" s="24"/>
      <c r="N413" s="785"/>
      <c r="O413" s="877">
        <v>-5736.44</v>
      </c>
      <c r="P413" s="869">
        <v>1.3</v>
      </c>
      <c r="Q413" s="878">
        <v>1</v>
      </c>
      <c r="R413" s="877">
        <f>O413*P413*Q413</f>
        <v>-7457.3719999999994</v>
      </c>
      <c r="S413" s="871" t="s">
        <v>856</v>
      </c>
      <c r="T413" s="872"/>
      <c r="U413" s="846" t="s">
        <v>1709</v>
      </c>
      <c r="V413" s="1418">
        <f t="shared" si="31"/>
        <v>0</v>
      </c>
      <c r="W413" s="357"/>
      <c r="X413" s="357"/>
      <c r="Y413" s="357"/>
      <c r="Z413" s="358"/>
      <c r="AA413" s="359"/>
      <c r="AB413" s="360"/>
    </row>
    <row r="414" spans="1:36" s="361" customFormat="1" ht="15" hidden="1">
      <c r="A414" s="354"/>
      <c r="B414" s="755"/>
      <c r="C414" s="710" t="s">
        <v>1710</v>
      </c>
      <c r="D414" s="568"/>
      <c r="E414" s="19"/>
      <c r="F414" s="569"/>
      <c r="G414" s="568"/>
      <c r="H414" s="19"/>
      <c r="I414" s="569"/>
      <c r="J414" s="867">
        <v>2</v>
      </c>
      <c r="K414" s="868">
        <v>20</v>
      </c>
      <c r="L414" s="873">
        <v>5.6150000000000002</v>
      </c>
      <c r="M414" s="870">
        <v>2</v>
      </c>
      <c r="N414" s="874"/>
      <c r="O414" s="875">
        <f>-K414*L414*M414*J414</f>
        <v>-449.20000000000005</v>
      </c>
      <c r="P414" s="869">
        <v>1.3</v>
      </c>
      <c r="Q414" s="878">
        <v>30</v>
      </c>
      <c r="R414" s="871">
        <f>O414*P414*Q414</f>
        <v>-17518.800000000003</v>
      </c>
      <c r="S414" s="871" t="s">
        <v>856</v>
      </c>
      <c r="T414" s="872"/>
      <c r="U414" s="846" t="s">
        <v>1709</v>
      </c>
      <c r="V414" s="1418">
        <f t="shared" si="31"/>
        <v>0</v>
      </c>
      <c r="W414" s="357"/>
      <c r="X414" s="357"/>
      <c r="Y414" s="357"/>
      <c r="Z414" s="358"/>
      <c r="AA414" s="359"/>
      <c r="AB414" s="360"/>
    </row>
    <row r="415" spans="1:36" s="361" customFormat="1" ht="15" hidden="1">
      <c r="A415" s="354"/>
      <c r="B415" s="755"/>
      <c r="C415" s="710" t="s">
        <v>1705</v>
      </c>
      <c r="D415" s="864"/>
      <c r="E415" s="865"/>
      <c r="F415" s="866"/>
      <c r="G415" s="864"/>
      <c r="H415" s="865"/>
      <c r="I415" s="866"/>
      <c r="J415" s="867">
        <v>2</v>
      </c>
      <c r="K415" s="868">
        <v>20</v>
      </c>
      <c r="L415" s="873">
        <v>5.6150000000000002</v>
      </c>
      <c r="M415" s="870">
        <v>2</v>
      </c>
      <c r="N415" s="874"/>
      <c r="O415" s="875">
        <f>K415*L415*M415*J415</f>
        <v>449.20000000000005</v>
      </c>
      <c r="P415" s="869">
        <v>1.3</v>
      </c>
      <c r="Q415" s="878">
        <v>15</v>
      </c>
      <c r="R415" s="871">
        <f>O415*P415*Q415</f>
        <v>8759.4000000000015</v>
      </c>
      <c r="S415" s="871" t="s">
        <v>856</v>
      </c>
      <c r="T415" s="872" t="s">
        <v>56</v>
      </c>
      <c r="U415" s="846" t="s">
        <v>1706</v>
      </c>
      <c r="V415" s="1418">
        <f t="shared" si="31"/>
        <v>0</v>
      </c>
      <c r="W415" s="357"/>
      <c r="X415" s="357"/>
      <c r="Y415" s="357"/>
      <c r="Z415" s="358"/>
      <c r="AA415" s="359"/>
      <c r="AB415" s="360"/>
    </row>
    <row r="416" spans="1:36" s="361" customFormat="1" ht="15" hidden="1">
      <c r="A416" s="354"/>
      <c r="B416" s="755"/>
      <c r="C416" s="28" t="s">
        <v>1703</v>
      </c>
      <c r="D416" s="568"/>
      <c r="E416" s="19"/>
      <c r="F416" s="569"/>
      <c r="G416" s="568"/>
      <c r="H416" s="19"/>
      <c r="I416" s="569"/>
      <c r="J416" s="867"/>
      <c r="K416" s="868"/>
      <c r="L416" s="873"/>
      <c r="M416" s="870"/>
      <c r="N416" s="874"/>
      <c r="O416" s="875">
        <f>22589.683146*0.4</f>
        <v>9035.8732584000009</v>
      </c>
      <c r="P416" s="869">
        <v>1.54</v>
      </c>
      <c r="Q416" s="889">
        <f>0.47/2</f>
        <v>0.23499999999999999</v>
      </c>
      <c r="R416" s="871">
        <f>O416*P416*Q416</f>
        <v>3270.0825322149603</v>
      </c>
      <c r="S416" s="871" t="s">
        <v>856</v>
      </c>
      <c r="T416" s="872" t="s">
        <v>56</v>
      </c>
      <c r="U416" s="846" t="s">
        <v>1711</v>
      </c>
      <c r="V416" s="1418">
        <f t="shared" si="31"/>
        <v>0</v>
      </c>
      <c r="W416" s="357"/>
      <c r="X416" s="357"/>
      <c r="Y416" s="357"/>
      <c r="Z416" s="358"/>
      <c r="AA416" s="359"/>
      <c r="AB416" s="360"/>
    </row>
    <row r="417" spans="1:36" s="361" customFormat="1" ht="15" hidden="1">
      <c r="A417" s="354"/>
      <c r="B417" s="755"/>
      <c r="C417" s="28" t="s">
        <v>1703</v>
      </c>
      <c r="D417" s="568"/>
      <c r="E417" s="19"/>
      <c r="F417" s="569"/>
      <c r="G417" s="568"/>
      <c r="H417" s="19"/>
      <c r="I417" s="569"/>
      <c r="J417" s="21"/>
      <c r="K417" s="22"/>
      <c r="L417" s="23"/>
      <c r="M417" s="24"/>
      <c r="N417" s="785"/>
      <c r="O417" s="875">
        <f>22589.683146*0.6</f>
        <v>13553.809887599999</v>
      </c>
      <c r="P417" s="869">
        <v>1.54</v>
      </c>
      <c r="Q417" s="889">
        <f>0.415/2</f>
        <v>0.20749999999999999</v>
      </c>
      <c r="R417" s="871">
        <f>O417*P417*Q417</f>
        <v>4331.1199495825795</v>
      </c>
      <c r="S417" s="871" t="s">
        <v>856</v>
      </c>
      <c r="T417" s="872" t="s">
        <v>56</v>
      </c>
      <c r="U417" s="846" t="s">
        <v>1712</v>
      </c>
      <c r="V417" s="1418">
        <f t="shared" si="31"/>
        <v>0</v>
      </c>
      <c r="W417" s="357"/>
      <c r="X417" s="357"/>
      <c r="Y417" s="357"/>
      <c r="Z417" s="358"/>
      <c r="AA417" s="359"/>
      <c r="AB417" s="360"/>
    </row>
    <row r="418" spans="1:36" s="361" customFormat="1" ht="15" hidden="1">
      <c r="A418" s="354"/>
      <c r="B418" s="755"/>
      <c r="C418" s="28" t="s">
        <v>1703</v>
      </c>
      <c r="D418" s="568"/>
      <c r="E418" s="19"/>
      <c r="F418" s="569"/>
      <c r="G418" s="568"/>
      <c r="H418" s="19"/>
      <c r="I418" s="569"/>
      <c r="J418" s="21"/>
      <c r="K418" s="22"/>
      <c r="L418" s="23"/>
      <c r="M418" s="24"/>
      <c r="N418" s="785"/>
      <c r="O418" s="875">
        <v>1533.4957787294156</v>
      </c>
      <c r="P418" s="869">
        <v>1.54</v>
      </c>
      <c r="Q418" s="889">
        <v>13.9</v>
      </c>
      <c r="R418" s="871">
        <f t="shared" ref="R418:R423" si="32">TRUNC((O418*P418*Q418),2)</f>
        <v>32826.01</v>
      </c>
      <c r="S418" s="871" t="s">
        <v>856</v>
      </c>
      <c r="T418" s="872" t="s">
        <v>56</v>
      </c>
      <c r="U418" s="846" t="s">
        <v>1707</v>
      </c>
      <c r="V418" s="1418">
        <f t="shared" si="31"/>
        <v>0</v>
      </c>
      <c r="W418" s="357"/>
      <c r="X418" s="357"/>
      <c r="Y418" s="357"/>
      <c r="Z418" s="358"/>
      <c r="AA418" s="359"/>
      <c r="AB418" s="360"/>
    </row>
    <row r="419" spans="1:36" s="361" customFormat="1" ht="15" hidden="1">
      <c r="A419" s="354"/>
      <c r="B419" s="755"/>
      <c r="C419" s="28" t="s">
        <v>1713</v>
      </c>
      <c r="D419" s="957"/>
      <c r="E419" s="896"/>
      <c r="F419" s="958"/>
      <c r="G419" s="957"/>
      <c r="H419" s="896"/>
      <c r="I419" s="958"/>
      <c r="J419" s="832"/>
      <c r="K419" s="837"/>
      <c r="L419" s="833"/>
      <c r="M419" s="839"/>
      <c r="N419" s="959"/>
      <c r="O419" s="947">
        <v>4636.1090000000004</v>
      </c>
      <c r="P419" s="869">
        <v>1.54</v>
      </c>
      <c r="Q419" s="889">
        <f>0.47/2</f>
        <v>0.23499999999999999</v>
      </c>
      <c r="R419" s="871">
        <f t="shared" si="32"/>
        <v>1677.8</v>
      </c>
      <c r="S419" s="871" t="s">
        <v>856</v>
      </c>
      <c r="T419" s="944" t="s">
        <v>308</v>
      </c>
      <c r="U419" s="945" t="s">
        <v>1714</v>
      </c>
      <c r="V419" s="1418">
        <f t="shared" si="31"/>
        <v>0</v>
      </c>
      <c r="W419" s="357"/>
      <c r="X419" s="357"/>
      <c r="Y419" s="357"/>
      <c r="Z419" s="358"/>
      <c r="AA419" s="359"/>
      <c r="AB419" s="360"/>
    </row>
    <row r="420" spans="1:36" s="361" customFormat="1" ht="15" hidden="1">
      <c r="A420" s="354"/>
      <c r="B420" s="755"/>
      <c r="C420" s="28" t="s">
        <v>1715</v>
      </c>
      <c r="D420" s="957"/>
      <c r="E420" s="896"/>
      <c r="F420" s="958"/>
      <c r="G420" s="957"/>
      <c r="H420" s="896"/>
      <c r="I420" s="958"/>
      <c r="J420" s="832"/>
      <c r="K420" s="837"/>
      <c r="L420" s="833"/>
      <c r="M420" s="839"/>
      <c r="N420" s="959"/>
      <c r="O420" s="947">
        <v>3938.8879999999999</v>
      </c>
      <c r="P420" s="869">
        <v>1.54</v>
      </c>
      <c r="Q420" s="889">
        <f>0.415/2</f>
        <v>0.20749999999999999</v>
      </c>
      <c r="R420" s="871">
        <f t="shared" si="32"/>
        <v>1258.67</v>
      </c>
      <c r="S420" s="871" t="s">
        <v>856</v>
      </c>
      <c r="T420" s="944" t="s">
        <v>308</v>
      </c>
      <c r="U420" s="945" t="s">
        <v>1716</v>
      </c>
      <c r="V420" s="1418">
        <f t="shared" si="31"/>
        <v>0</v>
      </c>
      <c r="W420" s="357"/>
      <c r="X420" s="357"/>
      <c r="Y420" s="357"/>
      <c r="Z420" s="358"/>
      <c r="AA420" s="359"/>
      <c r="AB420" s="360"/>
    </row>
    <row r="421" spans="1:36" s="361" customFormat="1" ht="30" hidden="1">
      <c r="A421" s="354"/>
      <c r="B421" s="755"/>
      <c r="C421" s="28" t="s">
        <v>1717</v>
      </c>
      <c r="D421" s="957"/>
      <c r="E421" s="896"/>
      <c r="F421" s="958"/>
      <c r="G421" s="957"/>
      <c r="H421" s="896"/>
      <c r="I421" s="958"/>
      <c r="J421" s="832"/>
      <c r="K421" s="837"/>
      <c r="L421" s="833"/>
      <c r="M421" s="839"/>
      <c r="N421" s="959"/>
      <c r="O421" s="947">
        <f>3284.887*1.3</f>
        <v>4270.3531000000003</v>
      </c>
      <c r="P421" s="869">
        <v>1.2150000000000001</v>
      </c>
      <c r="Q421" s="889">
        <v>8</v>
      </c>
      <c r="R421" s="871">
        <f t="shared" si="32"/>
        <v>41507.83</v>
      </c>
      <c r="S421" s="871" t="s">
        <v>856</v>
      </c>
      <c r="T421" s="944" t="s">
        <v>310</v>
      </c>
      <c r="U421" s="945" t="s">
        <v>1718</v>
      </c>
      <c r="V421" s="1418">
        <f t="shared" si="31"/>
        <v>0</v>
      </c>
      <c r="W421" s="357"/>
      <c r="X421" s="357"/>
      <c r="Y421" s="357"/>
      <c r="Z421" s="358"/>
      <c r="AA421" s="359"/>
      <c r="AB421" s="360"/>
    </row>
    <row r="422" spans="1:36" s="361" customFormat="1" ht="30" hidden="1">
      <c r="A422" s="354"/>
      <c r="B422" s="755"/>
      <c r="C422" s="28" t="s">
        <v>1717</v>
      </c>
      <c r="D422" s="957"/>
      <c r="E422" s="896"/>
      <c r="F422" s="958"/>
      <c r="G422" s="957"/>
      <c r="H422" s="896"/>
      <c r="I422" s="958"/>
      <c r="J422" s="832"/>
      <c r="K422" s="837"/>
      <c r="L422" s="833"/>
      <c r="M422" s="839"/>
      <c r="N422" s="959"/>
      <c r="O422" s="947">
        <f>6197.881*1.3</f>
        <v>8057.2453000000005</v>
      </c>
      <c r="P422" s="869">
        <v>1.2150000000000001</v>
      </c>
      <c r="Q422" s="889">
        <v>8</v>
      </c>
      <c r="R422" s="871">
        <f t="shared" si="32"/>
        <v>78316.42</v>
      </c>
      <c r="S422" s="871" t="s">
        <v>856</v>
      </c>
      <c r="T422" s="944" t="s">
        <v>311</v>
      </c>
      <c r="U422" s="945" t="s">
        <v>1718</v>
      </c>
      <c r="V422" s="1418">
        <f t="shared" si="31"/>
        <v>0</v>
      </c>
      <c r="W422" s="357"/>
      <c r="X422" s="357"/>
      <c r="Y422" s="357"/>
      <c r="Z422" s="358"/>
      <c r="AA422" s="359"/>
      <c r="AB422" s="360"/>
    </row>
    <row r="423" spans="1:36" s="77" customFormat="1" ht="30" hidden="1" customHeight="1">
      <c r="A423" s="370"/>
      <c r="B423" s="755"/>
      <c r="C423" s="28" t="s">
        <v>1717</v>
      </c>
      <c r="D423" s="957"/>
      <c r="E423" s="896"/>
      <c r="F423" s="958"/>
      <c r="G423" s="957"/>
      <c r="H423" s="896"/>
      <c r="I423" s="958"/>
      <c r="J423" s="832"/>
      <c r="K423" s="837"/>
      <c r="L423" s="833"/>
      <c r="M423" s="839"/>
      <c r="N423" s="959"/>
      <c r="O423" s="947">
        <f>7039.431*1.3</f>
        <v>9151.2602999999999</v>
      </c>
      <c r="P423" s="869">
        <v>1.2150000000000001</v>
      </c>
      <c r="Q423" s="889">
        <v>8</v>
      </c>
      <c r="R423" s="871">
        <f t="shared" si="32"/>
        <v>88950.25</v>
      </c>
      <c r="S423" s="871" t="s">
        <v>856</v>
      </c>
      <c r="T423" s="944" t="s">
        <v>313</v>
      </c>
      <c r="U423" s="945" t="s">
        <v>1718</v>
      </c>
      <c r="V423" s="1418">
        <f t="shared" si="31"/>
        <v>0</v>
      </c>
      <c r="AB423" s="15"/>
    </row>
    <row r="424" spans="1:36" s="77" customFormat="1" ht="30" hidden="1" customHeight="1">
      <c r="A424" s="370"/>
      <c r="B424" s="1002"/>
      <c r="C424" s="30" t="s">
        <v>1719</v>
      </c>
      <c r="D424" s="1135"/>
      <c r="E424" s="902"/>
      <c r="F424" s="1136"/>
      <c r="G424" s="1135"/>
      <c r="H424" s="902"/>
      <c r="I424" s="1136"/>
      <c r="J424" s="767"/>
      <c r="K424" s="768"/>
      <c r="L424" s="769"/>
      <c r="M424" s="770"/>
      <c r="N424" s="1137"/>
      <c r="O424" s="939">
        <v>13814.6</v>
      </c>
      <c r="P424" s="769">
        <v>1.22</v>
      </c>
      <c r="Q424" s="772">
        <v>8</v>
      </c>
      <c r="R424" s="503">
        <f>TRUNC((O424*P424*Q424),3)</f>
        <v>134830.49600000001</v>
      </c>
      <c r="S424" s="503" t="s">
        <v>856</v>
      </c>
      <c r="T424" s="774" t="s">
        <v>318</v>
      </c>
      <c r="U424" s="906" t="s">
        <v>1720</v>
      </c>
      <c r="V424" s="1418">
        <f t="shared" si="31"/>
        <v>0</v>
      </c>
      <c r="AB424" s="15"/>
    </row>
    <row r="425" spans="1:36" s="77" customFormat="1" ht="30" hidden="1" customHeight="1">
      <c r="A425" s="370"/>
      <c r="B425" s="766"/>
      <c r="C425" s="890"/>
      <c r="D425" s="1032"/>
      <c r="E425" s="932"/>
      <c r="F425" s="1033"/>
      <c r="G425" s="1032"/>
      <c r="H425" s="932"/>
      <c r="I425" s="1033"/>
      <c r="J425" s="933"/>
      <c r="K425" s="934"/>
      <c r="L425" s="935"/>
      <c r="M425" s="936"/>
      <c r="N425" s="1034"/>
      <c r="O425" s="939"/>
      <c r="P425" s="935"/>
      <c r="Q425" s="937"/>
      <c r="R425" s="1035"/>
      <c r="S425" s="1035"/>
      <c r="T425" s="938"/>
      <c r="U425" s="906"/>
      <c r="V425" s="1418">
        <f t="shared" si="31"/>
        <v>0</v>
      </c>
      <c r="AB425" s="15"/>
    </row>
    <row r="426" spans="1:36" s="77" customFormat="1" ht="15.6" hidden="1">
      <c r="A426" s="370"/>
      <c r="B426" s="499"/>
      <c r="C426" s="37"/>
      <c r="D426" s="1940" t="s">
        <v>1520</v>
      </c>
      <c r="E426" s="1941"/>
      <c r="F426" s="1941"/>
      <c r="G426" s="1941"/>
      <c r="H426" s="1941"/>
      <c r="I426" s="1942"/>
      <c r="J426" s="1955">
        <f>VLOOKUP(A428,'11 - FINANCEIRA'!_xlnm.Print_Area,6,FALSE)</f>
        <v>497376.43</v>
      </c>
      <c r="K426" s="1956"/>
      <c r="L426" s="483" t="str">
        <f>VLOOKUP(A428,'11 - FINANCEIRA'!_xlnm.Print_Area,4,FALSE)</f>
        <v>tkm</v>
      </c>
      <c r="M426" s="1957" t="s">
        <v>1521</v>
      </c>
      <c r="N426" s="1958"/>
      <c r="O426" s="1958"/>
      <c r="P426" s="1958"/>
      <c r="Q426" s="1959"/>
      <c r="R426" s="484">
        <f>SUM(R409:R425)</f>
        <v>434064.16648179758</v>
      </c>
      <c r="S426" s="485" t="str">
        <f>L426</f>
        <v>tkm</v>
      </c>
      <c r="T426" s="373"/>
      <c r="U426" s="486"/>
      <c r="V426" s="1418">
        <f t="shared" si="31"/>
        <v>0</v>
      </c>
      <c r="AB426" s="15"/>
    </row>
    <row r="427" spans="1:36" s="77" customFormat="1" ht="15.6" hidden="1">
      <c r="A427" s="370"/>
      <c r="B427" s="499"/>
      <c r="C427" s="725"/>
      <c r="D427" s="1937" t="s">
        <v>1522</v>
      </c>
      <c r="E427" s="1938"/>
      <c r="F427" s="1938"/>
      <c r="G427" s="1938"/>
      <c r="H427" s="1938"/>
      <c r="I427" s="1939"/>
      <c r="J427" s="1943">
        <f>R426/J426</f>
        <v>0.87270755166624525</v>
      </c>
      <c r="K427" s="1944"/>
      <c r="L427" s="1947"/>
      <c r="M427" s="1934" t="s">
        <v>1523</v>
      </c>
      <c r="N427" s="1935"/>
      <c r="O427" s="1935"/>
      <c r="P427" s="1935"/>
      <c r="Q427" s="1936"/>
      <c r="R427" s="726">
        <f>VLOOKUP(A428,'11 - FINANCEIRA'!_xlnm.Print_Area,8,FALSE)</f>
        <v>434064.16648179758</v>
      </c>
      <c r="S427" s="727" t="str">
        <f>L426</f>
        <v>tkm</v>
      </c>
      <c r="T427" s="373"/>
      <c r="U427" s="964"/>
      <c r="V427" s="1418">
        <f t="shared" si="31"/>
        <v>0</v>
      </c>
      <c r="AB427" s="15"/>
    </row>
    <row r="428" spans="1:36" s="77" customFormat="1" ht="15.6" hidden="1">
      <c r="A428" s="364" t="s">
        <v>366</v>
      </c>
      <c r="B428" s="499"/>
      <c r="C428" s="37"/>
      <c r="D428" s="2013"/>
      <c r="E428" s="2014"/>
      <c r="F428" s="2014"/>
      <c r="G428" s="2014"/>
      <c r="H428" s="2014"/>
      <c r="I428" s="2015"/>
      <c r="J428" s="2016"/>
      <c r="K428" s="2017"/>
      <c r="L428" s="1962"/>
      <c r="M428" s="2007" t="s">
        <v>1524</v>
      </c>
      <c r="N428" s="2008"/>
      <c r="O428" s="2008"/>
      <c r="P428" s="2008"/>
      <c r="Q428" s="2009"/>
      <c r="R428" s="1345">
        <f>R426-R427</f>
        <v>0</v>
      </c>
      <c r="S428" s="1346" t="str">
        <f>L426</f>
        <v>tkm</v>
      </c>
      <c r="T428" s="373"/>
      <c r="U428" s="486"/>
      <c r="V428" s="1418">
        <f>R428</f>
        <v>0</v>
      </c>
      <c r="AB428" s="15"/>
    </row>
    <row r="429" spans="1:36" s="77" customFormat="1" ht="15.6" hidden="1">
      <c r="A429" s="370"/>
      <c r="B429" s="1347"/>
      <c r="C429" s="1348"/>
      <c r="D429" s="1349"/>
      <c r="E429" s="1350"/>
      <c r="F429" s="1349"/>
      <c r="G429" s="1349"/>
      <c r="H429" s="1349"/>
      <c r="I429" s="1349"/>
      <c r="J429" s="1351"/>
      <c r="K429" s="1352"/>
      <c r="L429" s="1353"/>
      <c r="M429" s="1354"/>
      <c r="N429" s="1354"/>
      <c r="O429" s="1354"/>
      <c r="P429" s="1354"/>
      <c r="Q429" s="1354"/>
      <c r="R429" s="1355"/>
      <c r="S429" s="1356"/>
      <c r="T429" s="1357"/>
      <c r="U429" s="1358"/>
      <c r="V429" s="1420">
        <f>SUM(V407:V428)</f>
        <v>0</v>
      </c>
      <c r="AB429" s="15"/>
    </row>
    <row r="430" spans="1:36" s="352" customFormat="1" ht="15.75" hidden="1" customHeight="1">
      <c r="A430" s="351"/>
      <c r="B430" s="1963" t="str">
        <f>VLOOKUP(A490,'11 - FINANCEIRA'!_xlnm.Print_Area,1,FALSE)</f>
        <v>2.2.3</v>
      </c>
      <c r="C430" s="1965" t="str">
        <f>VLOOKUP(A490,'11 - FINANCEIRA'!_xlnm.Print_Area,3,FALSE)</f>
        <v>Locação de bomba submersivel para drenagem e esgotamento, motor eletrico trifasico, potencia de 4 cv, diametro de recalque de 3". faixa de operacao: q=60 m³/h (+ ou - 1 m³/h) e amt=2 m; q=11 m³/h (+ ou - 1 m³/h) e amt = 23 m (+ ou - 1 m)</v>
      </c>
      <c r="D430" s="1967" t="s">
        <v>205</v>
      </c>
      <c r="E430" s="1968"/>
      <c r="F430" s="1968"/>
      <c r="G430" s="1968"/>
      <c r="H430" s="1968"/>
      <c r="I430" s="1969"/>
      <c r="J430" s="1914" t="s">
        <v>1547</v>
      </c>
      <c r="K430" s="1914" t="s">
        <v>1548</v>
      </c>
      <c r="L430" s="1914" t="s">
        <v>145</v>
      </c>
      <c r="M430" s="1914" t="s">
        <v>1507</v>
      </c>
      <c r="N430" s="1914" t="s">
        <v>1508</v>
      </c>
      <c r="O430" s="1914" t="s">
        <v>1509</v>
      </c>
      <c r="P430" s="1341" t="s">
        <v>1510</v>
      </c>
      <c r="Q430" s="1914" t="s">
        <v>1493</v>
      </c>
      <c r="R430" s="1916" t="s">
        <v>804</v>
      </c>
      <c r="S430" s="1914" t="s">
        <v>1511</v>
      </c>
      <c r="T430" s="1914" t="s">
        <v>1512</v>
      </c>
      <c r="U430" s="1918" t="s">
        <v>1513</v>
      </c>
      <c r="V430" s="1418">
        <f>V431</f>
        <v>0</v>
      </c>
      <c r="W430" s="16"/>
      <c r="X430" s="807" t="str">
        <f>LOWER(C430)</f>
        <v>locação de bomba submersivel para drenagem e esgotamento, motor eletrico trifasico, potencia de 4 cv, diametro de recalque de 3". faixa de operacao: q=60 m³/h (+ ou - 1 m³/h) e amt=2 m; q=11 m³/h (+ ou - 1 m³/h) e amt = 23 m (+ ou - 1 m)</v>
      </c>
      <c r="Y430" s="16"/>
      <c r="Z430" s="17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</row>
    <row r="431" spans="1:36" s="352" customFormat="1" ht="15.6" hidden="1">
      <c r="A431" s="351"/>
      <c r="B431" s="1964" t="e">
        <f>LEFT(#REF!,5)</f>
        <v>#REF!</v>
      </c>
      <c r="C431" s="1966" t="e">
        <f>VLOOKUP(LEFT(#REF!,5),'11 - FINANCEIRA'!_xlnm.Print_Area,2,FALSE)</f>
        <v>#REF!</v>
      </c>
      <c r="D431" s="1920" t="s">
        <v>1514</v>
      </c>
      <c r="E431" s="1921"/>
      <c r="F431" s="1922"/>
      <c r="G431" s="1923" t="s">
        <v>1515</v>
      </c>
      <c r="H431" s="1924"/>
      <c r="I431" s="1925"/>
      <c r="J431" s="1915"/>
      <c r="K431" s="1915"/>
      <c r="L431" s="1915"/>
      <c r="M431" s="1915"/>
      <c r="N431" s="1915"/>
      <c r="O431" s="1915"/>
      <c r="P431" s="353" t="s">
        <v>1516</v>
      </c>
      <c r="Q431" s="1915"/>
      <c r="R431" s="1917"/>
      <c r="S431" s="1915"/>
      <c r="T431" s="1915"/>
      <c r="U431" s="1919"/>
      <c r="V431" s="1418">
        <f>V432</f>
        <v>0</v>
      </c>
      <c r="W431" s="16"/>
      <c r="X431" s="16"/>
      <c r="Y431" s="16"/>
      <c r="Z431" s="17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</row>
    <row r="432" spans="1:36" s="361" customFormat="1" ht="15" hidden="1">
      <c r="A432" s="354"/>
      <c r="B432" s="756"/>
      <c r="C432" s="28" t="s">
        <v>1721</v>
      </c>
      <c r="D432" s="1949">
        <v>44440</v>
      </c>
      <c r="E432" s="1950"/>
      <c r="F432" s="1951"/>
      <c r="G432" s="1949">
        <v>44469</v>
      </c>
      <c r="H432" s="1950"/>
      <c r="I432" s="1951"/>
      <c r="J432" s="21">
        <v>1</v>
      </c>
      <c r="K432" s="22">
        <v>24</v>
      </c>
      <c r="L432" s="23">
        <f>G432-D432+1</f>
        <v>30</v>
      </c>
      <c r="M432" s="24"/>
      <c r="N432" s="728"/>
      <c r="O432" s="25"/>
      <c r="P432" s="23"/>
      <c r="Q432" s="488"/>
      <c r="R432" s="489">
        <f t="shared" ref="R432:R447" si="33">J432*K432*L432</f>
        <v>720</v>
      </c>
      <c r="S432" s="488" t="s">
        <v>859</v>
      </c>
      <c r="T432" s="490" t="s">
        <v>300</v>
      </c>
      <c r="U432" s="44"/>
      <c r="V432" s="1418">
        <f>V433</f>
        <v>0</v>
      </c>
      <c r="W432" s="357"/>
      <c r="X432" s="357"/>
      <c r="Y432" s="357"/>
      <c r="Z432" s="358"/>
      <c r="AA432" s="359"/>
      <c r="AB432" s="360"/>
    </row>
    <row r="433" spans="1:28" s="361" customFormat="1" ht="15" hidden="1">
      <c r="A433" s="354"/>
      <c r="B433" s="756"/>
      <c r="C433" s="28" t="s">
        <v>1722</v>
      </c>
      <c r="D433" s="1949">
        <v>44440</v>
      </c>
      <c r="E433" s="1950"/>
      <c r="F433" s="1951"/>
      <c r="G433" s="1949">
        <v>44469</v>
      </c>
      <c r="H433" s="1950"/>
      <c r="I433" s="1951"/>
      <c r="J433" s="21">
        <v>1</v>
      </c>
      <c r="K433" s="22">
        <v>24</v>
      </c>
      <c r="L433" s="23">
        <f>G433-D433+1</f>
        <v>30</v>
      </c>
      <c r="M433" s="24"/>
      <c r="N433" s="728"/>
      <c r="O433" s="25"/>
      <c r="P433" s="23"/>
      <c r="Q433" s="447"/>
      <c r="R433" s="445">
        <f t="shared" si="33"/>
        <v>720</v>
      </c>
      <c r="S433" s="447" t="s">
        <v>859</v>
      </c>
      <c r="T433" s="446" t="s">
        <v>300</v>
      </c>
      <c r="U433" s="44"/>
      <c r="V433" s="1418">
        <f t="shared" ref="V433:V455" si="34">V434</f>
        <v>0</v>
      </c>
      <c r="W433" s="357"/>
      <c r="X433" s="357"/>
      <c r="Y433" s="357"/>
      <c r="Z433" s="358"/>
      <c r="AA433" s="359"/>
      <c r="AB433" s="360"/>
    </row>
    <row r="434" spans="1:28" s="369" customFormat="1" ht="15" hidden="1">
      <c r="A434" s="364"/>
      <c r="B434" s="756"/>
      <c r="C434" s="28" t="s">
        <v>1723</v>
      </c>
      <c r="D434" s="1949">
        <v>44458</v>
      </c>
      <c r="E434" s="1950"/>
      <c r="F434" s="1951"/>
      <c r="G434" s="1949">
        <v>44469</v>
      </c>
      <c r="H434" s="1950"/>
      <c r="I434" s="1951"/>
      <c r="J434" s="21">
        <v>1</v>
      </c>
      <c r="K434" s="22">
        <v>24</v>
      </c>
      <c r="L434" s="23">
        <v>11</v>
      </c>
      <c r="M434" s="24"/>
      <c r="N434" s="25"/>
      <c r="O434" s="25"/>
      <c r="P434" s="23"/>
      <c r="Q434" s="445"/>
      <c r="R434" s="445">
        <f t="shared" si="33"/>
        <v>264</v>
      </c>
      <c r="S434" s="447" t="s">
        <v>859</v>
      </c>
      <c r="T434" s="446" t="s">
        <v>300</v>
      </c>
      <c r="U434" s="44"/>
      <c r="V434" s="1418">
        <f t="shared" si="34"/>
        <v>0</v>
      </c>
      <c r="W434" s="367"/>
      <c r="X434" s="367"/>
      <c r="Y434" s="367"/>
      <c r="Z434" s="368"/>
    </row>
    <row r="435" spans="1:28" s="369" customFormat="1" ht="15" hidden="1">
      <c r="A435" s="364"/>
      <c r="B435" s="765"/>
      <c r="C435" s="28" t="s">
        <v>1721</v>
      </c>
      <c r="D435" s="1949">
        <v>44470</v>
      </c>
      <c r="E435" s="1950"/>
      <c r="F435" s="1951"/>
      <c r="G435" s="1949">
        <v>44500</v>
      </c>
      <c r="H435" s="1950"/>
      <c r="I435" s="1951"/>
      <c r="J435" s="21">
        <v>1</v>
      </c>
      <c r="K435" s="22">
        <v>24</v>
      </c>
      <c r="L435" s="23">
        <v>30</v>
      </c>
      <c r="M435" s="24"/>
      <c r="N435" s="25"/>
      <c r="O435" s="25"/>
      <c r="P435" s="23"/>
      <c r="Q435" s="26"/>
      <c r="R435" s="445">
        <f t="shared" si="33"/>
        <v>720</v>
      </c>
      <c r="S435" s="729" t="s">
        <v>859</v>
      </c>
      <c r="T435" s="446" t="s">
        <v>301</v>
      </c>
      <c r="U435" s="742"/>
      <c r="V435" s="1418">
        <f t="shared" si="34"/>
        <v>0</v>
      </c>
      <c r="W435" s="367"/>
      <c r="X435" s="367"/>
      <c r="Y435" s="367"/>
      <c r="Z435" s="368"/>
    </row>
    <row r="436" spans="1:28" s="369" customFormat="1" ht="15" hidden="1">
      <c r="A436" s="364"/>
      <c r="B436" s="765"/>
      <c r="C436" s="28" t="s">
        <v>1722</v>
      </c>
      <c r="D436" s="1949">
        <v>44470</v>
      </c>
      <c r="E436" s="1950"/>
      <c r="F436" s="1951"/>
      <c r="G436" s="1949">
        <v>44500</v>
      </c>
      <c r="H436" s="1950"/>
      <c r="I436" s="1951"/>
      <c r="J436" s="21">
        <v>1</v>
      </c>
      <c r="K436" s="22">
        <v>24</v>
      </c>
      <c r="L436" s="23">
        <v>30</v>
      </c>
      <c r="M436" s="24"/>
      <c r="N436" s="25"/>
      <c r="O436" s="25"/>
      <c r="P436" s="23"/>
      <c r="Q436" s="26"/>
      <c r="R436" s="445">
        <f t="shared" si="33"/>
        <v>720</v>
      </c>
      <c r="S436" s="729" t="s">
        <v>859</v>
      </c>
      <c r="T436" s="446" t="s">
        <v>301</v>
      </c>
      <c r="U436" s="742"/>
      <c r="V436" s="1418">
        <f t="shared" si="34"/>
        <v>0</v>
      </c>
      <c r="W436" s="367"/>
      <c r="X436" s="367"/>
      <c r="Y436" s="367"/>
      <c r="Z436" s="368"/>
    </row>
    <row r="437" spans="1:28" s="369" customFormat="1" ht="15" hidden="1">
      <c r="A437" s="364"/>
      <c r="B437" s="765"/>
      <c r="C437" s="28" t="s">
        <v>1723</v>
      </c>
      <c r="D437" s="1949">
        <v>44470</v>
      </c>
      <c r="E437" s="1950"/>
      <c r="F437" s="1951"/>
      <c r="G437" s="1949">
        <v>44500</v>
      </c>
      <c r="H437" s="1950"/>
      <c r="I437" s="1951"/>
      <c r="J437" s="21">
        <v>1</v>
      </c>
      <c r="K437" s="22">
        <v>24</v>
      </c>
      <c r="L437" s="23">
        <v>30</v>
      </c>
      <c r="M437" s="24"/>
      <c r="N437" s="25"/>
      <c r="O437" s="25"/>
      <c r="P437" s="23"/>
      <c r="Q437" s="26"/>
      <c r="R437" s="445">
        <f t="shared" si="33"/>
        <v>720</v>
      </c>
      <c r="S437" s="729" t="s">
        <v>859</v>
      </c>
      <c r="T437" s="446" t="s">
        <v>301</v>
      </c>
      <c r="U437" s="742"/>
      <c r="V437" s="1418">
        <f t="shared" si="34"/>
        <v>0</v>
      </c>
      <c r="W437" s="367"/>
      <c r="X437" s="367"/>
      <c r="Y437" s="367"/>
      <c r="Z437" s="368"/>
    </row>
    <row r="438" spans="1:28" s="369" customFormat="1" ht="15" hidden="1">
      <c r="A438" s="364"/>
      <c r="B438" s="765"/>
      <c r="C438" s="28" t="s">
        <v>1724</v>
      </c>
      <c r="D438" s="1949">
        <v>44470</v>
      </c>
      <c r="E438" s="1950"/>
      <c r="F438" s="1951"/>
      <c r="G438" s="1949">
        <v>44500</v>
      </c>
      <c r="H438" s="1950"/>
      <c r="I438" s="1951"/>
      <c r="J438" s="21">
        <v>1</v>
      </c>
      <c r="K438" s="22">
        <v>24</v>
      </c>
      <c r="L438" s="23">
        <v>30</v>
      </c>
      <c r="M438" s="24"/>
      <c r="N438" s="25"/>
      <c r="O438" s="25"/>
      <c r="P438" s="23"/>
      <c r="Q438" s="26"/>
      <c r="R438" s="445">
        <f t="shared" si="33"/>
        <v>720</v>
      </c>
      <c r="S438" s="729" t="s">
        <v>859</v>
      </c>
      <c r="T438" s="446" t="s">
        <v>301</v>
      </c>
      <c r="U438" s="742"/>
      <c r="V438" s="1418">
        <f t="shared" si="34"/>
        <v>0</v>
      </c>
      <c r="W438" s="367"/>
      <c r="X438" s="367"/>
      <c r="Y438" s="367"/>
      <c r="Z438" s="368"/>
    </row>
    <row r="439" spans="1:28" s="369" customFormat="1" ht="15" hidden="1">
      <c r="A439" s="364"/>
      <c r="B439" s="765"/>
      <c r="C439" s="28" t="s">
        <v>1721</v>
      </c>
      <c r="D439" s="1949">
        <v>44501</v>
      </c>
      <c r="E439" s="1950"/>
      <c r="F439" s="1951"/>
      <c r="G439" s="1949">
        <v>44571</v>
      </c>
      <c r="H439" s="1950"/>
      <c r="I439" s="1951"/>
      <c r="J439" s="21">
        <v>1</v>
      </c>
      <c r="K439" s="22">
        <v>24</v>
      </c>
      <c r="L439" s="23">
        <v>70</v>
      </c>
      <c r="M439" s="24"/>
      <c r="N439" s="25"/>
      <c r="O439" s="25"/>
      <c r="P439" s="23"/>
      <c r="Q439" s="26"/>
      <c r="R439" s="445">
        <f t="shared" si="33"/>
        <v>1680</v>
      </c>
      <c r="S439" s="729" t="s">
        <v>859</v>
      </c>
      <c r="T439" s="446" t="s">
        <v>302</v>
      </c>
      <c r="U439" s="742"/>
      <c r="V439" s="1418">
        <f t="shared" si="34"/>
        <v>0</v>
      </c>
      <c r="W439" s="367"/>
      <c r="X439" s="367"/>
      <c r="Y439" s="367"/>
      <c r="Z439" s="368"/>
    </row>
    <row r="440" spans="1:28" s="369" customFormat="1" ht="15" hidden="1">
      <c r="A440" s="364"/>
      <c r="B440" s="765"/>
      <c r="C440" s="28" t="s">
        <v>1722</v>
      </c>
      <c r="D440" s="1949">
        <v>44501</v>
      </c>
      <c r="E440" s="1950"/>
      <c r="F440" s="1951"/>
      <c r="G440" s="1949">
        <v>44571</v>
      </c>
      <c r="H440" s="1950"/>
      <c r="I440" s="1951"/>
      <c r="J440" s="21">
        <v>1</v>
      </c>
      <c r="K440" s="22">
        <v>24</v>
      </c>
      <c r="L440" s="23">
        <v>70</v>
      </c>
      <c r="M440" s="24"/>
      <c r="N440" s="25"/>
      <c r="O440" s="25"/>
      <c r="P440" s="23"/>
      <c r="Q440" s="26"/>
      <c r="R440" s="445">
        <f t="shared" si="33"/>
        <v>1680</v>
      </c>
      <c r="S440" s="729" t="s">
        <v>859</v>
      </c>
      <c r="T440" s="446" t="s">
        <v>302</v>
      </c>
      <c r="U440" s="742"/>
      <c r="V440" s="1418">
        <f t="shared" si="34"/>
        <v>0</v>
      </c>
      <c r="W440" s="367"/>
      <c r="X440" s="367"/>
      <c r="Y440" s="367"/>
      <c r="Z440" s="368"/>
    </row>
    <row r="441" spans="1:28" s="369" customFormat="1" ht="15" hidden="1">
      <c r="A441" s="364"/>
      <c r="B441" s="765"/>
      <c r="C441" s="28" t="s">
        <v>1723</v>
      </c>
      <c r="D441" s="1949">
        <v>44501</v>
      </c>
      <c r="E441" s="1950"/>
      <c r="F441" s="1951"/>
      <c r="G441" s="1949">
        <v>44571</v>
      </c>
      <c r="H441" s="1950"/>
      <c r="I441" s="1951"/>
      <c r="J441" s="21">
        <v>1</v>
      </c>
      <c r="K441" s="22">
        <v>24</v>
      </c>
      <c r="L441" s="23">
        <v>70</v>
      </c>
      <c r="M441" s="24"/>
      <c r="N441" s="25"/>
      <c r="O441" s="25"/>
      <c r="P441" s="23"/>
      <c r="Q441" s="26"/>
      <c r="R441" s="445">
        <f t="shared" si="33"/>
        <v>1680</v>
      </c>
      <c r="S441" s="729" t="s">
        <v>859</v>
      </c>
      <c r="T441" s="446" t="s">
        <v>302</v>
      </c>
      <c r="U441" s="742"/>
      <c r="V441" s="1418">
        <f t="shared" si="34"/>
        <v>0</v>
      </c>
      <c r="W441" s="367"/>
      <c r="X441" s="367"/>
      <c r="Y441" s="367"/>
      <c r="Z441" s="368"/>
    </row>
    <row r="442" spans="1:28" s="369" customFormat="1" ht="15" hidden="1">
      <c r="A442" s="364"/>
      <c r="B442" s="765"/>
      <c r="C442" s="28" t="s">
        <v>1721</v>
      </c>
      <c r="D442" s="1949">
        <v>44571</v>
      </c>
      <c r="E442" s="1950"/>
      <c r="F442" s="1951"/>
      <c r="G442" s="1949">
        <v>44592</v>
      </c>
      <c r="H442" s="1950"/>
      <c r="I442" s="1951"/>
      <c r="J442" s="21">
        <v>1</v>
      </c>
      <c r="K442" s="22">
        <v>24</v>
      </c>
      <c r="L442" s="23">
        <v>20</v>
      </c>
      <c r="M442" s="24"/>
      <c r="N442" s="25"/>
      <c r="O442" s="25"/>
      <c r="P442" s="23"/>
      <c r="Q442" s="26"/>
      <c r="R442" s="445">
        <f t="shared" si="33"/>
        <v>480</v>
      </c>
      <c r="S442" s="729" t="s">
        <v>859</v>
      </c>
      <c r="T442" s="446" t="s">
        <v>303</v>
      </c>
      <c r="U442" s="742"/>
      <c r="V442" s="1418">
        <f t="shared" si="34"/>
        <v>0</v>
      </c>
      <c r="W442" s="367"/>
      <c r="X442" s="367"/>
      <c r="Y442" s="367"/>
      <c r="Z442" s="368"/>
    </row>
    <row r="443" spans="1:28" s="369" customFormat="1" ht="15" hidden="1">
      <c r="A443" s="364"/>
      <c r="B443" s="765"/>
      <c r="C443" s="28" t="s">
        <v>1722</v>
      </c>
      <c r="D443" s="1949">
        <v>44571</v>
      </c>
      <c r="E443" s="1950"/>
      <c r="F443" s="1951"/>
      <c r="G443" s="1949">
        <v>44592</v>
      </c>
      <c r="H443" s="1950"/>
      <c r="I443" s="1951"/>
      <c r="J443" s="21">
        <v>1</v>
      </c>
      <c r="K443" s="22">
        <v>24</v>
      </c>
      <c r="L443" s="23">
        <v>20</v>
      </c>
      <c r="M443" s="24"/>
      <c r="N443" s="25"/>
      <c r="O443" s="25"/>
      <c r="P443" s="23"/>
      <c r="Q443" s="26"/>
      <c r="R443" s="445">
        <f t="shared" si="33"/>
        <v>480</v>
      </c>
      <c r="S443" s="729" t="s">
        <v>859</v>
      </c>
      <c r="T443" s="446" t="s">
        <v>303</v>
      </c>
      <c r="U443" s="742"/>
      <c r="V443" s="1418">
        <f t="shared" si="34"/>
        <v>0</v>
      </c>
      <c r="W443" s="367"/>
      <c r="X443" s="367"/>
      <c r="Y443" s="367"/>
      <c r="Z443" s="368"/>
    </row>
    <row r="444" spans="1:28" s="369" customFormat="1" ht="15" hidden="1">
      <c r="A444" s="364"/>
      <c r="B444" s="765"/>
      <c r="C444" s="28" t="s">
        <v>1723</v>
      </c>
      <c r="D444" s="1949">
        <v>44571</v>
      </c>
      <c r="E444" s="1950"/>
      <c r="F444" s="1951"/>
      <c r="G444" s="1949">
        <v>44592</v>
      </c>
      <c r="H444" s="1950"/>
      <c r="I444" s="1951"/>
      <c r="J444" s="21">
        <v>1</v>
      </c>
      <c r="K444" s="22">
        <v>24</v>
      </c>
      <c r="L444" s="23">
        <v>20</v>
      </c>
      <c r="M444" s="24"/>
      <c r="N444" s="25"/>
      <c r="O444" s="25"/>
      <c r="P444" s="23"/>
      <c r="Q444" s="26"/>
      <c r="R444" s="445">
        <f t="shared" si="33"/>
        <v>480</v>
      </c>
      <c r="S444" s="729" t="s">
        <v>859</v>
      </c>
      <c r="T444" s="446" t="s">
        <v>303</v>
      </c>
      <c r="U444" s="742"/>
      <c r="V444" s="1418">
        <f t="shared" si="34"/>
        <v>0</v>
      </c>
      <c r="W444" s="367"/>
      <c r="X444" s="367"/>
      <c r="Y444" s="367"/>
      <c r="Z444" s="368"/>
    </row>
    <row r="445" spans="1:28" s="369" customFormat="1" ht="15" hidden="1">
      <c r="A445" s="364"/>
      <c r="B445" s="765"/>
      <c r="C445" s="28" t="s">
        <v>1721</v>
      </c>
      <c r="D445" s="1949">
        <v>44593</v>
      </c>
      <c r="E445" s="1950"/>
      <c r="F445" s="1951"/>
      <c r="G445" s="1949">
        <v>44620</v>
      </c>
      <c r="H445" s="1950"/>
      <c r="I445" s="1951"/>
      <c r="J445" s="21">
        <v>1</v>
      </c>
      <c r="K445" s="22">
        <v>24</v>
      </c>
      <c r="L445" s="833">
        <v>30</v>
      </c>
      <c r="M445" s="839"/>
      <c r="N445" s="841"/>
      <c r="O445" s="841"/>
      <c r="P445" s="833"/>
      <c r="Q445" s="860"/>
      <c r="R445" s="445">
        <f t="shared" si="33"/>
        <v>720</v>
      </c>
      <c r="S445" s="861" t="s">
        <v>859</v>
      </c>
      <c r="T445" s="835" t="s">
        <v>304</v>
      </c>
      <c r="U445" s="742"/>
      <c r="V445" s="1418">
        <f t="shared" si="34"/>
        <v>0</v>
      </c>
      <c r="W445" s="367"/>
      <c r="X445" s="367"/>
      <c r="Y445" s="367"/>
      <c r="Z445" s="368"/>
    </row>
    <row r="446" spans="1:28" s="369" customFormat="1" ht="15" hidden="1">
      <c r="A446" s="364"/>
      <c r="B446" s="765"/>
      <c r="C446" s="28" t="s">
        <v>1722</v>
      </c>
      <c r="D446" s="1949">
        <v>44593</v>
      </c>
      <c r="E446" s="1950"/>
      <c r="F446" s="1951"/>
      <c r="G446" s="1949">
        <v>44620</v>
      </c>
      <c r="H446" s="1950"/>
      <c r="I446" s="1951"/>
      <c r="J446" s="21">
        <v>1</v>
      </c>
      <c r="K446" s="22">
        <v>24</v>
      </c>
      <c r="L446" s="833">
        <v>30</v>
      </c>
      <c r="M446" s="839"/>
      <c r="N446" s="841"/>
      <c r="O446" s="841"/>
      <c r="P446" s="833"/>
      <c r="Q446" s="860"/>
      <c r="R446" s="445">
        <f t="shared" si="33"/>
        <v>720</v>
      </c>
      <c r="S446" s="861" t="s">
        <v>859</v>
      </c>
      <c r="T446" s="835" t="s">
        <v>304</v>
      </c>
      <c r="U446" s="742"/>
      <c r="V446" s="1418">
        <f t="shared" si="34"/>
        <v>0</v>
      </c>
      <c r="W446" s="367"/>
      <c r="X446" s="367"/>
      <c r="Y446" s="367"/>
      <c r="Z446" s="368"/>
    </row>
    <row r="447" spans="1:28" s="369" customFormat="1" ht="15" hidden="1">
      <c r="A447" s="364"/>
      <c r="B447" s="765"/>
      <c r="C447" s="28" t="s">
        <v>1723</v>
      </c>
      <c r="D447" s="1949">
        <v>44593</v>
      </c>
      <c r="E447" s="1950"/>
      <c r="F447" s="1951"/>
      <c r="G447" s="1949">
        <v>44620</v>
      </c>
      <c r="H447" s="1950"/>
      <c r="I447" s="1951"/>
      <c r="J447" s="21">
        <v>1</v>
      </c>
      <c r="K447" s="22">
        <v>24</v>
      </c>
      <c r="L447" s="833">
        <v>30</v>
      </c>
      <c r="M447" s="839"/>
      <c r="N447" s="841"/>
      <c r="O447" s="841"/>
      <c r="P447" s="833"/>
      <c r="Q447" s="860"/>
      <c r="R447" s="445">
        <f t="shared" si="33"/>
        <v>720</v>
      </c>
      <c r="S447" s="861" t="s">
        <v>859</v>
      </c>
      <c r="T447" s="835" t="s">
        <v>304</v>
      </c>
      <c r="U447" s="742"/>
      <c r="V447" s="1418">
        <f t="shared" si="34"/>
        <v>0</v>
      </c>
      <c r="W447" s="367"/>
      <c r="X447" s="367"/>
      <c r="Y447" s="367"/>
      <c r="Z447" s="368"/>
    </row>
    <row r="448" spans="1:28" s="369" customFormat="1" ht="15" hidden="1">
      <c r="A448" s="364"/>
      <c r="B448" s="765"/>
      <c r="C448" s="28" t="s">
        <v>1724</v>
      </c>
      <c r="D448" s="1949">
        <v>44593</v>
      </c>
      <c r="E448" s="1950"/>
      <c r="F448" s="1951"/>
      <c r="G448" s="1949">
        <v>44620</v>
      </c>
      <c r="H448" s="1950"/>
      <c r="I448" s="1951"/>
      <c r="J448" s="21">
        <v>1</v>
      </c>
      <c r="K448" s="22">
        <v>24</v>
      </c>
      <c r="L448" s="833">
        <v>30</v>
      </c>
      <c r="M448" s="839"/>
      <c r="N448" s="841"/>
      <c r="O448" s="841"/>
      <c r="P448" s="833"/>
      <c r="Q448" s="860"/>
      <c r="R448" s="445">
        <f>J448*K448*L448</f>
        <v>720</v>
      </c>
      <c r="S448" s="861" t="s">
        <v>859</v>
      </c>
      <c r="T448" s="835" t="s">
        <v>304</v>
      </c>
      <c r="U448" s="742"/>
      <c r="V448" s="1418">
        <f t="shared" si="34"/>
        <v>0</v>
      </c>
      <c r="W448" s="367"/>
      <c r="X448" s="367"/>
      <c r="Y448" s="367"/>
      <c r="Z448" s="368"/>
    </row>
    <row r="449" spans="1:26" s="369" customFormat="1" ht="15" hidden="1">
      <c r="A449" s="364"/>
      <c r="B449" s="765"/>
      <c r="C449" s="28" t="s">
        <v>1721</v>
      </c>
      <c r="D449" s="1949">
        <v>44621</v>
      </c>
      <c r="E449" s="1950"/>
      <c r="F449" s="1951"/>
      <c r="G449" s="1949">
        <v>44651</v>
      </c>
      <c r="H449" s="1950"/>
      <c r="I449" s="1951"/>
      <c r="J449" s="21">
        <v>1</v>
      </c>
      <c r="K449" s="22">
        <v>24</v>
      </c>
      <c r="L449" s="833">
        <v>30</v>
      </c>
      <c r="M449" s="839"/>
      <c r="N449" s="841"/>
      <c r="O449" s="841"/>
      <c r="P449" s="833"/>
      <c r="Q449" s="860"/>
      <c r="R449" s="445">
        <f>J449*K449*L449</f>
        <v>720</v>
      </c>
      <c r="S449" s="861" t="s">
        <v>859</v>
      </c>
      <c r="T449" s="835" t="s">
        <v>305</v>
      </c>
      <c r="U449" s="742"/>
      <c r="V449" s="1418">
        <f t="shared" si="34"/>
        <v>0</v>
      </c>
      <c r="W449" s="367"/>
      <c r="X449" s="367"/>
      <c r="Y449" s="367"/>
      <c r="Z449" s="368"/>
    </row>
    <row r="450" spans="1:26" s="369" customFormat="1" ht="15" hidden="1">
      <c r="A450" s="364"/>
      <c r="B450" s="765"/>
      <c r="C450" s="28" t="s">
        <v>1722</v>
      </c>
      <c r="D450" s="1949">
        <v>44621</v>
      </c>
      <c r="E450" s="1950"/>
      <c r="F450" s="1951"/>
      <c r="G450" s="1949">
        <v>44651</v>
      </c>
      <c r="H450" s="1950"/>
      <c r="I450" s="1951"/>
      <c r="J450" s="21">
        <v>1</v>
      </c>
      <c r="K450" s="22">
        <v>12</v>
      </c>
      <c r="L450" s="833">
        <v>30</v>
      </c>
      <c r="M450" s="839"/>
      <c r="N450" s="841"/>
      <c r="O450" s="841"/>
      <c r="P450" s="833"/>
      <c r="Q450" s="860"/>
      <c r="R450" s="445">
        <f>J450*K450*L450</f>
        <v>360</v>
      </c>
      <c r="S450" s="861" t="s">
        <v>859</v>
      </c>
      <c r="T450" s="835" t="s">
        <v>305</v>
      </c>
      <c r="U450" s="742"/>
      <c r="V450" s="1418">
        <f t="shared" si="34"/>
        <v>0</v>
      </c>
      <c r="W450" s="367"/>
      <c r="X450" s="367"/>
      <c r="Y450" s="367"/>
      <c r="Z450" s="368"/>
    </row>
    <row r="451" spans="1:26" s="369" customFormat="1" ht="15" hidden="1">
      <c r="A451" s="364"/>
      <c r="B451" s="765"/>
      <c r="C451" s="28" t="s">
        <v>1723</v>
      </c>
      <c r="D451" s="1949">
        <v>44621</v>
      </c>
      <c r="E451" s="1950"/>
      <c r="F451" s="1951"/>
      <c r="G451" s="1949">
        <v>44651</v>
      </c>
      <c r="H451" s="1950"/>
      <c r="I451" s="1951"/>
      <c r="J451" s="21">
        <v>1</v>
      </c>
      <c r="K451" s="22">
        <v>12</v>
      </c>
      <c r="L451" s="833">
        <v>30</v>
      </c>
      <c r="M451" s="839"/>
      <c r="N451" s="841"/>
      <c r="O451" s="841"/>
      <c r="P451" s="833"/>
      <c r="Q451" s="860"/>
      <c r="R451" s="445">
        <f>J451*K451*L451</f>
        <v>360</v>
      </c>
      <c r="S451" s="861" t="s">
        <v>859</v>
      </c>
      <c r="T451" s="835" t="s">
        <v>305</v>
      </c>
      <c r="U451" s="742"/>
      <c r="V451" s="1418">
        <f t="shared" si="34"/>
        <v>0</v>
      </c>
      <c r="W451" s="367"/>
      <c r="X451" s="367"/>
      <c r="Y451" s="367"/>
      <c r="Z451" s="368"/>
    </row>
    <row r="452" spans="1:26" s="369" customFormat="1" ht="15" hidden="1">
      <c r="A452" s="364"/>
      <c r="B452" s="765"/>
      <c r="C452" s="28" t="s">
        <v>1724</v>
      </c>
      <c r="D452" s="1949">
        <v>44621</v>
      </c>
      <c r="E452" s="1950"/>
      <c r="F452" s="1951"/>
      <c r="G452" s="1949">
        <v>44651</v>
      </c>
      <c r="H452" s="1950"/>
      <c r="I452" s="1951"/>
      <c r="J452" s="21">
        <v>1</v>
      </c>
      <c r="K452" s="22">
        <v>1</v>
      </c>
      <c r="L452" s="833">
        <v>30</v>
      </c>
      <c r="M452" s="839"/>
      <c r="N452" s="841"/>
      <c r="O452" s="841"/>
      <c r="P452" s="833"/>
      <c r="Q452" s="860"/>
      <c r="R452" s="445">
        <f t="shared" ref="R452:R483" si="35">J452*K452*L452</f>
        <v>30</v>
      </c>
      <c r="S452" s="861" t="s">
        <v>859</v>
      </c>
      <c r="T452" s="835" t="s">
        <v>305</v>
      </c>
      <c r="U452" s="742"/>
      <c r="V452" s="1418">
        <f t="shared" si="34"/>
        <v>0</v>
      </c>
      <c r="W452" s="367"/>
      <c r="X452" s="367"/>
      <c r="Y452" s="367"/>
      <c r="Z452" s="368"/>
    </row>
    <row r="453" spans="1:26" s="369" customFormat="1" ht="15" hidden="1">
      <c r="A453" s="364"/>
      <c r="B453" s="765"/>
      <c r="C453" s="28" t="s">
        <v>1721</v>
      </c>
      <c r="D453" s="1949">
        <v>44652</v>
      </c>
      <c r="E453" s="1950"/>
      <c r="F453" s="1951"/>
      <c r="G453" s="1949">
        <v>44681</v>
      </c>
      <c r="H453" s="1950"/>
      <c r="I453" s="1951"/>
      <c r="J453" s="21">
        <v>1</v>
      </c>
      <c r="K453" s="22">
        <v>24</v>
      </c>
      <c r="L453" s="833">
        <f>G453-D453+1</f>
        <v>30</v>
      </c>
      <c r="M453" s="839"/>
      <c r="N453" s="841"/>
      <c r="O453" s="841"/>
      <c r="P453" s="833"/>
      <c r="Q453" s="860"/>
      <c r="R453" s="445">
        <f>J453*K453*L453</f>
        <v>720</v>
      </c>
      <c r="S453" s="861" t="s">
        <v>859</v>
      </c>
      <c r="T453" s="835" t="s">
        <v>56</v>
      </c>
      <c r="U453" s="742"/>
      <c r="V453" s="1418">
        <f t="shared" si="34"/>
        <v>0</v>
      </c>
      <c r="W453" s="367"/>
      <c r="X453" s="367"/>
      <c r="Y453" s="367"/>
      <c r="Z453" s="368"/>
    </row>
    <row r="454" spans="1:26" s="369" customFormat="1" ht="15" hidden="1">
      <c r="A454" s="364"/>
      <c r="B454" s="765"/>
      <c r="C454" s="28" t="s">
        <v>1722</v>
      </c>
      <c r="D454" s="1949">
        <v>44652</v>
      </c>
      <c r="E454" s="1950"/>
      <c r="F454" s="1951"/>
      <c r="G454" s="1949">
        <v>44681</v>
      </c>
      <c r="H454" s="1950"/>
      <c r="I454" s="1951"/>
      <c r="J454" s="21">
        <v>1</v>
      </c>
      <c r="K454" s="22">
        <v>12</v>
      </c>
      <c r="L454" s="833">
        <f>G454-D454+1</f>
        <v>30</v>
      </c>
      <c r="M454" s="839"/>
      <c r="N454" s="841"/>
      <c r="O454" s="841"/>
      <c r="P454" s="833"/>
      <c r="Q454" s="860"/>
      <c r="R454" s="445">
        <f>J454*K454*L454</f>
        <v>360</v>
      </c>
      <c r="S454" s="861" t="s">
        <v>859</v>
      </c>
      <c r="T454" s="835" t="s">
        <v>56</v>
      </c>
      <c r="U454" s="742"/>
      <c r="V454" s="1418">
        <f t="shared" si="34"/>
        <v>0</v>
      </c>
      <c r="W454" s="367"/>
      <c r="X454" s="367"/>
      <c r="Y454" s="367"/>
      <c r="Z454" s="368"/>
    </row>
    <row r="455" spans="1:26" s="369" customFormat="1" ht="15" hidden="1">
      <c r="A455" s="364"/>
      <c r="B455" s="765"/>
      <c r="C455" s="28" t="s">
        <v>1723</v>
      </c>
      <c r="D455" s="1949">
        <v>44652</v>
      </c>
      <c r="E455" s="1950"/>
      <c r="F455" s="1951"/>
      <c r="G455" s="1949">
        <v>44681</v>
      </c>
      <c r="H455" s="1950"/>
      <c r="I455" s="1951"/>
      <c r="J455" s="21">
        <v>1</v>
      </c>
      <c r="K455" s="22">
        <v>12</v>
      </c>
      <c r="L455" s="833">
        <f>G455-D455+1</f>
        <v>30</v>
      </c>
      <c r="M455" s="839"/>
      <c r="N455" s="841"/>
      <c r="O455" s="841"/>
      <c r="P455" s="833"/>
      <c r="Q455" s="860"/>
      <c r="R455" s="445">
        <f>J455*K455*L455</f>
        <v>360</v>
      </c>
      <c r="S455" s="861" t="s">
        <v>859</v>
      </c>
      <c r="T455" s="835" t="s">
        <v>56</v>
      </c>
      <c r="U455" s="742"/>
      <c r="V455" s="1418">
        <f t="shared" si="34"/>
        <v>0</v>
      </c>
      <c r="W455" s="367"/>
      <c r="X455" s="367"/>
      <c r="Y455" s="367"/>
      <c r="Z455" s="368"/>
    </row>
    <row r="456" spans="1:26" s="369" customFormat="1" ht="15" hidden="1">
      <c r="A456" s="364"/>
      <c r="B456" s="765"/>
      <c r="C456" s="28" t="s">
        <v>1721</v>
      </c>
      <c r="D456" s="1949">
        <v>44682</v>
      </c>
      <c r="E456" s="1950"/>
      <c r="F456" s="1951"/>
      <c r="G456" s="1949">
        <v>44712</v>
      </c>
      <c r="H456" s="1950"/>
      <c r="I456" s="1951"/>
      <c r="J456" s="21">
        <v>1</v>
      </c>
      <c r="K456" s="22">
        <v>24</v>
      </c>
      <c r="L456" s="833">
        <v>30</v>
      </c>
      <c r="M456" s="839"/>
      <c r="N456" s="841"/>
      <c r="O456" s="841"/>
      <c r="P456" s="833"/>
      <c r="Q456" s="860"/>
      <c r="R456" s="445">
        <f t="shared" si="35"/>
        <v>720</v>
      </c>
      <c r="S456" s="861" t="s">
        <v>859</v>
      </c>
      <c r="T456" s="835" t="s">
        <v>56</v>
      </c>
      <c r="U456" s="742"/>
      <c r="V456" s="1418">
        <f>V457</f>
        <v>0</v>
      </c>
      <c r="W456" s="367"/>
      <c r="X456" s="367"/>
      <c r="Y456" s="367"/>
      <c r="Z456" s="368"/>
    </row>
    <row r="457" spans="1:26" s="369" customFormat="1" ht="15" hidden="1" customHeight="1">
      <c r="A457" s="364"/>
      <c r="B457" s="765"/>
      <c r="C457" s="28" t="s">
        <v>1722</v>
      </c>
      <c r="D457" s="1949">
        <v>44682</v>
      </c>
      <c r="E457" s="1950"/>
      <c r="F457" s="1951"/>
      <c r="G457" s="1949">
        <v>44712</v>
      </c>
      <c r="H457" s="1950"/>
      <c r="I457" s="1951"/>
      <c r="J457" s="21">
        <v>1</v>
      </c>
      <c r="K457" s="22">
        <v>12</v>
      </c>
      <c r="L457" s="833">
        <v>30</v>
      </c>
      <c r="M457" s="839"/>
      <c r="N457" s="841"/>
      <c r="O457" s="841"/>
      <c r="P457" s="833"/>
      <c r="Q457" s="860"/>
      <c r="R457" s="445">
        <f t="shared" si="35"/>
        <v>360</v>
      </c>
      <c r="S457" s="861" t="s">
        <v>859</v>
      </c>
      <c r="T457" s="835" t="s">
        <v>56</v>
      </c>
      <c r="U457" s="742"/>
      <c r="V457" s="1418">
        <f>V487</f>
        <v>0</v>
      </c>
      <c r="W457" s="367"/>
      <c r="X457" s="367"/>
      <c r="Y457" s="367"/>
      <c r="Z457" s="368"/>
    </row>
    <row r="458" spans="1:26" s="369" customFormat="1" ht="15" hidden="1" customHeight="1">
      <c r="A458" s="364"/>
      <c r="B458" s="765"/>
      <c r="C458" s="28" t="s">
        <v>1723</v>
      </c>
      <c r="D458" s="1949">
        <v>44682</v>
      </c>
      <c r="E458" s="1950"/>
      <c r="F458" s="1951"/>
      <c r="G458" s="1949">
        <v>44712</v>
      </c>
      <c r="H458" s="1950"/>
      <c r="I458" s="1951"/>
      <c r="J458" s="21">
        <v>1</v>
      </c>
      <c r="K458" s="22">
        <v>12</v>
      </c>
      <c r="L458" s="833">
        <v>30</v>
      </c>
      <c r="M458" s="839"/>
      <c r="N458" s="841"/>
      <c r="O458" s="841"/>
      <c r="P458" s="833"/>
      <c r="Q458" s="860"/>
      <c r="R458" s="445">
        <f t="shared" si="35"/>
        <v>360</v>
      </c>
      <c r="S458" s="861" t="s">
        <v>859</v>
      </c>
      <c r="T458" s="835" t="s">
        <v>56</v>
      </c>
      <c r="U458" s="742"/>
      <c r="V458" s="1418">
        <f>V459</f>
        <v>0</v>
      </c>
      <c r="W458" s="367"/>
      <c r="X458" s="367"/>
      <c r="Y458" s="367"/>
      <c r="Z458" s="368"/>
    </row>
    <row r="459" spans="1:26" s="369" customFormat="1" ht="15" hidden="1" customHeight="1">
      <c r="A459" s="364"/>
      <c r="B459" s="765"/>
      <c r="C459" s="28" t="s">
        <v>1721</v>
      </c>
      <c r="D459" s="1949">
        <v>44713</v>
      </c>
      <c r="E459" s="1950"/>
      <c r="F459" s="1951"/>
      <c r="G459" s="1949">
        <v>44742</v>
      </c>
      <c r="H459" s="1950"/>
      <c r="I459" s="1951"/>
      <c r="J459" s="21">
        <v>1</v>
      </c>
      <c r="K459" s="22">
        <v>24</v>
      </c>
      <c r="L459" s="833">
        <v>30</v>
      </c>
      <c r="M459" s="839"/>
      <c r="N459" s="841"/>
      <c r="O459" s="841"/>
      <c r="P459" s="833"/>
      <c r="Q459" s="860"/>
      <c r="R459" s="445">
        <f t="shared" si="35"/>
        <v>720</v>
      </c>
      <c r="S459" s="861" t="s">
        <v>859</v>
      </c>
      <c r="T459" s="835" t="s">
        <v>306</v>
      </c>
      <c r="U459" s="742"/>
      <c r="V459" s="1418">
        <f>V460</f>
        <v>0</v>
      </c>
      <c r="W459" s="367"/>
      <c r="X459" s="367"/>
      <c r="Y459" s="367"/>
      <c r="Z459" s="368"/>
    </row>
    <row r="460" spans="1:26" s="369" customFormat="1" ht="15" hidden="1" customHeight="1">
      <c r="A460" s="364"/>
      <c r="B460" s="765"/>
      <c r="C460" s="28" t="s">
        <v>1722</v>
      </c>
      <c r="D460" s="1949">
        <v>44713</v>
      </c>
      <c r="E460" s="1950"/>
      <c r="F460" s="1951"/>
      <c r="G460" s="1949">
        <v>44742</v>
      </c>
      <c r="H460" s="1950"/>
      <c r="I460" s="1951"/>
      <c r="J460" s="21">
        <v>1</v>
      </c>
      <c r="K460" s="22">
        <v>12</v>
      </c>
      <c r="L460" s="833">
        <f>G460-D460+1</f>
        <v>30</v>
      </c>
      <c r="M460" s="839"/>
      <c r="N460" s="841"/>
      <c r="O460" s="841"/>
      <c r="P460" s="833"/>
      <c r="Q460" s="860"/>
      <c r="R460" s="445">
        <f t="shared" si="35"/>
        <v>360</v>
      </c>
      <c r="S460" s="861" t="s">
        <v>859</v>
      </c>
      <c r="T460" s="835" t="s">
        <v>306</v>
      </c>
      <c r="U460" s="742"/>
      <c r="V460" s="1418">
        <f>V461</f>
        <v>0</v>
      </c>
      <c r="W460" s="367"/>
      <c r="X460" s="367"/>
      <c r="Y460" s="367"/>
      <c r="Z460" s="368"/>
    </row>
    <row r="461" spans="1:26" s="369" customFormat="1" ht="15" hidden="1" customHeight="1">
      <c r="A461" s="364"/>
      <c r="B461" s="765"/>
      <c r="C461" s="28" t="s">
        <v>1723</v>
      </c>
      <c r="D461" s="1949">
        <v>44713</v>
      </c>
      <c r="E461" s="1950"/>
      <c r="F461" s="1951"/>
      <c r="G461" s="1949">
        <v>44742</v>
      </c>
      <c r="H461" s="1950"/>
      <c r="I461" s="1951"/>
      <c r="J461" s="21">
        <v>1</v>
      </c>
      <c r="K461" s="22">
        <v>12</v>
      </c>
      <c r="L461" s="833">
        <f>G461-D461+1</f>
        <v>30</v>
      </c>
      <c r="M461" s="839"/>
      <c r="N461" s="841"/>
      <c r="O461" s="841"/>
      <c r="P461" s="833"/>
      <c r="Q461" s="860"/>
      <c r="R461" s="445">
        <f t="shared" si="35"/>
        <v>360</v>
      </c>
      <c r="S461" s="861" t="s">
        <v>859</v>
      </c>
      <c r="T461" s="835" t="s">
        <v>306</v>
      </c>
      <c r="U461" s="742"/>
      <c r="V461" s="1418">
        <f>V462</f>
        <v>0</v>
      </c>
      <c r="W461" s="367"/>
      <c r="X461" s="367"/>
      <c r="Y461" s="367"/>
      <c r="Z461" s="368"/>
    </row>
    <row r="462" spans="1:26" s="369" customFormat="1" ht="15" hidden="1" customHeight="1">
      <c r="A462" s="364"/>
      <c r="B462" s="765"/>
      <c r="C462" s="28" t="s">
        <v>1721</v>
      </c>
      <c r="D462" s="1949">
        <v>44743</v>
      </c>
      <c r="E462" s="1950"/>
      <c r="F462" s="1951"/>
      <c r="G462" s="1949">
        <v>44772</v>
      </c>
      <c r="H462" s="1950"/>
      <c r="I462" s="1951"/>
      <c r="J462" s="21">
        <v>1</v>
      </c>
      <c r="K462" s="22">
        <v>12</v>
      </c>
      <c r="L462" s="833">
        <f>G462-D462+1</f>
        <v>30</v>
      </c>
      <c r="M462" s="839"/>
      <c r="N462" s="841"/>
      <c r="O462" s="841"/>
      <c r="P462" s="833"/>
      <c r="Q462" s="860"/>
      <c r="R462" s="445">
        <f t="shared" si="35"/>
        <v>360</v>
      </c>
      <c r="S462" s="861" t="s">
        <v>859</v>
      </c>
      <c r="T462" s="835" t="s">
        <v>307</v>
      </c>
      <c r="U462" s="742"/>
      <c r="V462" s="1418">
        <f>V487</f>
        <v>0</v>
      </c>
      <c r="W462" s="367"/>
      <c r="X462" s="367"/>
      <c r="Y462" s="367"/>
      <c r="Z462" s="368"/>
    </row>
    <row r="463" spans="1:26" s="369" customFormat="1" ht="15" hidden="1" customHeight="1">
      <c r="A463" s="364"/>
      <c r="B463" s="765"/>
      <c r="C463" s="28" t="s">
        <v>1722</v>
      </c>
      <c r="D463" s="1949">
        <v>44743</v>
      </c>
      <c r="E463" s="1950"/>
      <c r="F463" s="1951"/>
      <c r="G463" s="1949">
        <v>44772</v>
      </c>
      <c r="H463" s="1950"/>
      <c r="I463" s="1951"/>
      <c r="J463" s="21">
        <v>1</v>
      </c>
      <c r="K463" s="22">
        <v>12</v>
      </c>
      <c r="L463" s="833">
        <v>5</v>
      </c>
      <c r="M463" s="839"/>
      <c r="N463" s="841"/>
      <c r="O463" s="841"/>
      <c r="P463" s="833"/>
      <c r="Q463" s="860"/>
      <c r="R463" s="445">
        <f t="shared" si="35"/>
        <v>60</v>
      </c>
      <c r="S463" s="861" t="s">
        <v>859</v>
      </c>
      <c r="T463" s="835" t="s">
        <v>307</v>
      </c>
      <c r="U463" s="742"/>
      <c r="V463" s="1418">
        <f t="shared" ref="V463:V487" si="36">V464</f>
        <v>0</v>
      </c>
      <c r="W463" s="367"/>
      <c r="X463" s="367"/>
      <c r="Y463" s="367"/>
      <c r="Z463" s="368"/>
    </row>
    <row r="464" spans="1:26" s="369" customFormat="1" ht="15" hidden="1" customHeight="1">
      <c r="A464" s="364"/>
      <c r="B464" s="765"/>
      <c r="C464" s="28" t="s">
        <v>1722</v>
      </c>
      <c r="D464" s="1949">
        <v>44743</v>
      </c>
      <c r="E464" s="1950"/>
      <c r="F464" s="1951"/>
      <c r="G464" s="1949">
        <v>44772</v>
      </c>
      <c r="H464" s="1950"/>
      <c r="I464" s="1951"/>
      <c r="J464" s="21">
        <v>1</v>
      </c>
      <c r="K464" s="22">
        <v>12</v>
      </c>
      <c r="L464" s="833">
        <v>25</v>
      </c>
      <c r="M464" s="839"/>
      <c r="N464" s="841"/>
      <c r="O464" s="841"/>
      <c r="P464" s="833"/>
      <c r="Q464" s="860"/>
      <c r="R464" s="445">
        <f t="shared" si="35"/>
        <v>300</v>
      </c>
      <c r="S464" s="861" t="s">
        <v>859</v>
      </c>
      <c r="T464" s="835" t="s">
        <v>312</v>
      </c>
      <c r="U464" s="742"/>
      <c r="V464" s="1418">
        <f t="shared" si="36"/>
        <v>0</v>
      </c>
      <c r="W464" s="367"/>
      <c r="X464" s="367"/>
      <c r="Y464" s="367"/>
      <c r="Z464" s="368"/>
    </row>
    <row r="465" spans="1:26" s="369" customFormat="1" ht="15" hidden="1" customHeight="1">
      <c r="A465" s="364"/>
      <c r="B465" s="765"/>
      <c r="C465" s="28" t="s">
        <v>1721</v>
      </c>
      <c r="D465" s="1949">
        <v>44774</v>
      </c>
      <c r="E465" s="1950"/>
      <c r="F465" s="1951"/>
      <c r="G465" s="1949">
        <v>44804</v>
      </c>
      <c r="H465" s="1950"/>
      <c r="I465" s="1951"/>
      <c r="J465" s="21">
        <v>1</v>
      </c>
      <c r="K465" s="22">
        <v>12</v>
      </c>
      <c r="L465" s="833">
        <v>30</v>
      </c>
      <c r="M465" s="839"/>
      <c r="N465" s="841"/>
      <c r="O465" s="841"/>
      <c r="P465" s="833"/>
      <c r="Q465" s="860"/>
      <c r="R465" s="445">
        <f t="shared" si="35"/>
        <v>360</v>
      </c>
      <c r="S465" s="861" t="s">
        <v>859</v>
      </c>
      <c r="T465" s="835" t="s">
        <v>312</v>
      </c>
      <c r="U465" s="742"/>
      <c r="V465" s="1418">
        <f t="shared" si="36"/>
        <v>0</v>
      </c>
      <c r="W465" s="367"/>
      <c r="X465" s="367"/>
      <c r="Y465" s="367"/>
      <c r="Z465" s="368"/>
    </row>
    <row r="466" spans="1:26" s="369" customFormat="1" ht="15" hidden="1" customHeight="1">
      <c r="A466" s="364"/>
      <c r="B466" s="765"/>
      <c r="C466" s="28" t="s">
        <v>1722</v>
      </c>
      <c r="D466" s="1949">
        <v>44774</v>
      </c>
      <c r="E466" s="1950"/>
      <c r="F466" s="1951"/>
      <c r="G466" s="1949">
        <v>44804</v>
      </c>
      <c r="H466" s="1950"/>
      <c r="I466" s="1951"/>
      <c r="J466" s="21">
        <v>1</v>
      </c>
      <c r="K466" s="22">
        <v>12</v>
      </c>
      <c r="L466" s="833">
        <v>30</v>
      </c>
      <c r="M466" s="839"/>
      <c r="N466" s="841"/>
      <c r="O466" s="841"/>
      <c r="P466" s="833"/>
      <c r="Q466" s="860"/>
      <c r="R466" s="445">
        <f t="shared" si="35"/>
        <v>360</v>
      </c>
      <c r="S466" s="861" t="s">
        <v>859</v>
      </c>
      <c r="T466" s="835" t="s">
        <v>312</v>
      </c>
      <c r="U466" s="742"/>
      <c r="V466" s="1418">
        <f t="shared" si="36"/>
        <v>0</v>
      </c>
      <c r="W466" s="367"/>
      <c r="X466" s="367"/>
      <c r="Y466" s="367"/>
      <c r="Z466" s="368"/>
    </row>
    <row r="467" spans="1:26" s="369" customFormat="1" ht="15" hidden="1" customHeight="1">
      <c r="A467" s="364"/>
      <c r="B467" s="765"/>
      <c r="C467" s="28" t="s">
        <v>1721</v>
      </c>
      <c r="D467" s="1949">
        <v>44805</v>
      </c>
      <c r="E467" s="1950"/>
      <c r="F467" s="1951"/>
      <c r="G467" s="1949">
        <v>44895</v>
      </c>
      <c r="H467" s="1950"/>
      <c r="I467" s="1951"/>
      <c r="J467" s="21">
        <v>1</v>
      </c>
      <c r="K467" s="22">
        <v>5</v>
      </c>
      <c r="L467" s="833">
        <v>90</v>
      </c>
      <c r="M467" s="839"/>
      <c r="N467" s="841"/>
      <c r="O467" s="841"/>
      <c r="P467" s="833"/>
      <c r="Q467" s="860"/>
      <c r="R467" s="445">
        <f t="shared" si="35"/>
        <v>450</v>
      </c>
      <c r="S467" s="861" t="s">
        <v>859</v>
      </c>
      <c r="T467" s="835" t="s">
        <v>312</v>
      </c>
      <c r="U467" s="742"/>
      <c r="V467" s="1418">
        <f t="shared" si="36"/>
        <v>0</v>
      </c>
      <c r="W467" s="367"/>
      <c r="X467" s="367"/>
      <c r="Y467" s="367"/>
      <c r="Z467" s="368"/>
    </row>
    <row r="468" spans="1:26" s="369" customFormat="1" ht="15" hidden="1" customHeight="1">
      <c r="A468" s="364"/>
      <c r="B468" s="765"/>
      <c r="C468" s="28" t="s">
        <v>1722</v>
      </c>
      <c r="D468" s="1949">
        <v>44805</v>
      </c>
      <c r="E468" s="1950"/>
      <c r="F468" s="1951"/>
      <c r="G468" s="1949">
        <v>44895</v>
      </c>
      <c r="H468" s="1950"/>
      <c r="I468" s="1951"/>
      <c r="J468" s="21">
        <v>1</v>
      </c>
      <c r="K468" s="22">
        <v>5</v>
      </c>
      <c r="L468" s="833">
        <v>90</v>
      </c>
      <c r="M468" s="839"/>
      <c r="N468" s="841"/>
      <c r="O468" s="841"/>
      <c r="P468" s="833"/>
      <c r="Q468" s="860"/>
      <c r="R468" s="445">
        <f t="shared" si="35"/>
        <v>450</v>
      </c>
      <c r="S468" s="861" t="s">
        <v>859</v>
      </c>
      <c r="T468" s="835" t="s">
        <v>312</v>
      </c>
      <c r="U468" s="742"/>
      <c r="V468" s="1418">
        <f t="shared" si="36"/>
        <v>0</v>
      </c>
      <c r="W468" s="367"/>
      <c r="X468" s="367"/>
      <c r="Y468" s="367"/>
      <c r="Z468" s="368"/>
    </row>
    <row r="469" spans="1:26" s="369" customFormat="1" ht="15" hidden="1" customHeight="1">
      <c r="A469" s="364"/>
      <c r="B469" s="765"/>
      <c r="C469" s="28" t="s">
        <v>1721</v>
      </c>
      <c r="D469" s="1949">
        <v>44896</v>
      </c>
      <c r="E469" s="1950"/>
      <c r="F469" s="1951"/>
      <c r="G469" s="1949">
        <v>44926</v>
      </c>
      <c r="H469" s="1950"/>
      <c r="I469" s="1951"/>
      <c r="J469" s="21">
        <v>1</v>
      </c>
      <c r="K469" s="22">
        <v>5</v>
      </c>
      <c r="L469" s="833">
        <v>30</v>
      </c>
      <c r="M469" s="839"/>
      <c r="N469" s="841"/>
      <c r="O469" s="841"/>
      <c r="P469" s="833"/>
      <c r="Q469" s="860"/>
      <c r="R469" s="445">
        <f t="shared" si="35"/>
        <v>150</v>
      </c>
      <c r="S469" s="861" t="s">
        <v>859</v>
      </c>
      <c r="T469" s="835" t="s">
        <v>312</v>
      </c>
      <c r="U469" s="742"/>
      <c r="V469" s="1418">
        <f t="shared" si="36"/>
        <v>0</v>
      </c>
      <c r="W469" s="367"/>
      <c r="X469" s="367"/>
      <c r="Y469" s="367"/>
      <c r="Z469" s="368"/>
    </row>
    <row r="470" spans="1:26" s="369" customFormat="1" ht="15" hidden="1" customHeight="1">
      <c r="A470" s="364"/>
      <c r="B470" s="765"/>
      <c r="C470" s="28" t="s">
        <v>1722</v>
      </c>
      <c r="D470" s="1949">
        <v>44896</v>
      </c>
      <c r="E470" s="1950"/>
      <c r="F470" s="1951"/>
      <c r="G470" s="1949">
        <v>44926</v>
      </c>
      <c r="H470" s="1950"/>
      <c r="I470" s="1951"/>
      <c r="J470" s="21">
        <v>1</v>
      </c>
      <c r="K470" s="22">
        <v>5</v>
      </c>
      <c r="L470" s="833">
        <v>30</v>
      </c>
      <c r="M470" s="839"/>
      <c r="N470" s="841"/>
      <c r="O470" s="841"/>
      <c r="P470" s="833"/>
      <c r="Q470" s="860"/>
      <c r="R470" s="445">
        <f t="shared" si="35"/>
        <v>150</v>
      </c>
      <c r="S470" s="861" t="s">
        <v>859</v>
      </c>
      <c r="T470" s="835" t="s">
        <v>312</v>
      </c>
      <c r="U470" s="742"/>
      <c r="V470" s="1418">
        <f t="shared" si="36"/>
        <v>0</v>
      </c>
      <c r="W470" s="367"/>
      <c r="X470" s="367"/>
      <c r="Y470" s="367"/>
      <c r="Z470" s="368"/>
    </row>
    <row r="471" spans="1:26" s="369" customFormat="1" ht="15" hidden="1" customHeight="1">
      <c r="A471" s="364"/>
      <c r="B471" s="765"/>
      <c r="C471" s="28" t="s">
        <v>1723</v>
      </c>
      <c r="D471" s="1949">
        <v>44896</v>
      </c>
      <c r="E471" s="1950"/>
      <c r="F471" s="1951"/>
      <c r="G471" s="1949">
        <v>44926</v>
      </c>
      <c r="H471" s="1950"/>
      <c r="I471" s="1951"/>
      <c r="J471" s="21">
        <v>1</v>
      </c>
      <c r="K471" s="22">
        <v>3</v>
      </c>
      <c r="L471" s="833">
        <v>30</v>
      </c>
      <c r="M471" s="839"/>
      <c r="N471" s="841"/>
      <c r="O471" s="841"/>
      <c r="P471" s="833"/>
      <c r="Q471" s="860"/>
      <c r="R471" s="445">
        <f t="shared" si="35"/>
        <v>90</v>
      </c>
      <c r="S471" s="861" t="s">
        <v>859</v>
      </c>
      <c r="T471" s="835" t="s">
        <v>312</v>
      </c>
      <c r="U471" s="742"/>
      <c r="V471" s="1418">
        <f t="shared" si="36"/>
        <v>0</v>
      </c>
      <c r="W471" s="367"/>
      <c r="X471" s="367"/>
      <c r="Y471" s="367"/>
      <c r="Z471" s="368"/>
    </row>
    <row r="472" spans="1:26" s="369" customFormat="1" ht="15" hidden="1" customHeight="1">
      <c r="A472" s="364"/>
      <c r="B472" s="1030"/>
      <c r="C472" s="28" t="s">
        <v>1721</v>
      </c>
      <c r="D472" s="1949">
        <v>44927</v>
      </c>
      <c r="E472" s="1950"/>
      <c r="F472" s="1951"/>
      <c r="G472" s="1949">
        <v>44957</v>
      </c>
      <c r="H472" s="1950"/>
      <c r="I472" s="1951"/>
      <c r="J472" s="21">
        <v>1</v>
      </c>
      <c r="K472" s="22">
        <v>5</v>
      </c>
      <c r="L472" s="833">
        <v>30</v>
      </c>
      <c r="M472" s="839"/>
      <c r="N472" s="841"/>
      <c r="O472" s="841"/>
      <c r="P472" s="833"/>
      <c r="Q472" s="860"/>
      <c r="R472" s="445">
        <f t="shared" si="35"/>
        <v>150</v>
      </c>
      <c r="S472" s="861" t="s">
        <v>859</v>
      </c>
      <c r="T472" s="835" t="s">
        <v>313</v>
      </c>
      <c r="U472" s="742"/>
      <c r="V472" s="1418">
        <f t="shared" si="36"/>
        <v>0</v>
      </c>
      <c r="W472" s="367"/>
      <c r="X472" s="367"/>
      <c r="Y472" s="367"/>
      <c r="Z472" s="368"/>
    </row>
    <row r="473" spans="1:26" s="369" customFormat="1" ht="15" hidden="1" customHeight="1">
      <c r="A473" s="364"/>
      <c r="B473" s="1030"/>
      <c r="C473" s="28" t="s">
        <v>1722</v>
      </c>
      <c r="D473" s="1949">
        <v>44927</v>
      </c>
      <c r="E473" s="1950"/>
      <c r="F473" s="1951"/>
      <c r="G473" s="1949">
        <v>44957</v>
      </c>
      <c r="H473" s="1950"/>
      <c r="I473" s="1951"/>
      <c r="J473" s="21">
        <v>1</v>
      </c>
      <c r="K473" s="22">
        <v>5</v>
      </c>
      <c r="L473" s="833">
        <v>30</v>
      </c>
      <c r="M473" s="839"/>
      <c r="N473" s="841"/>
      <c r="O473" s="841"/>
      <c r="P473" s="833"/>
      <c r="Q473" s="860"/>
      <c r="R473" s="445">
        <f t="shared" si="35"/>
        <v>150</v>
      </c>
      <c r="S473" s="861" t="s">
        <v>859</v>
      </c>
      <c r="T473" s="835" t="s">
        <v>313</v>
      </c>
      <c r="U473" s="742"/>
      <c r="V473" s="1418">
        <f t="shared" si="36"/>
        <v>0</v>
      </c>
      <c r="W473" s="367"/>
      <c r="X473" s="367"/>
      <c r="Y473" s="367"/>
      <c r="Z473" s="368"/>
    </row>
    <row r="474" spans="1:26" s="369" customFormat="1" ht="15" hidden="1" customHeight="1">
      <c r="A474" s="364"/>
      <c r="B474" s="1030"/>
      <c r="C474" s="28" t="s">
        <v>1723</v>
      </c>
      <c r="D474" s="1949">
        <v>44927</v>
      </c>
      <c r="E474" s="1950"/>
      <c r="F474" s="1951"/>
      <c r="G474" s="1949">
        <v>44957</v>
      </c>
      <c r="H474" s="1950"/>
      <c r="I474" s="1951"/>
      <c r="J474" s="21">
        <v>1</v>
      </c>
      <c r="K474" s="22">
        <v>5</v>
      </c>
      <c r="L474" s="833">
        <v>30</v>
      </c>
      <c r="M474" s="839"/>
      <c r="N474" s="841"/>
      <c r="O474" s="841"/>
      <c r="P474" s="833"/>
      <c r="Q474" s="860"/>
      <c r="R474" s="445">
        <f t="shared" si="35"/>
        <v>150</v>
      </c>
      <c r="S474" s="861" t="s">
        <v>859</v>
      </c>
      <c r="T474" s="835" t="s">
        <v>313</v>
      </c>
      <c r="U474" s="742"/>
      <c r="V474" s="1418">
        <f t="shared" si="36"/>
        <v>0</v>
      </c>
      <c r="W474" s="367"/>
      <c r="X474" s="367"/>
      <c r="Y474" s="367"/>
      <c r="Z474" s="368"/>
    </row>
    <row r="475" spans="1:26" s="369" customFormat="1" ht="15" hidden="1" customHeight="1">
      <c r="A475" s="364"/>
      <c r="B475" s="1030"/>
      <c r="C475" s="28" t="s">
        <v>1724</v>
      </c>
      <c r="D475" s="1949">
        <v>44927</v>
      </c>
      <c r="E475" s="1950"/>
      <c r="F475" s="1951"/>
      <c r="G475" s="1949">
        <v>44957</v>
      </c>
      <c r="H475" s="1950"/>
      <c r="I475" s="1951"/>
      <c r="J475" s="21">
        <v>1</v>
      </c>
      <c r="K475" s="22">
        <v>3</v>
      </c>
      <c r="L475" s="833">
        <v>30</v>
      </c>
      <c r="M475" s="839"/>
      <c r="N475" s="841"/>
      <c r="O475" s="841"/>
      <c r="P475" s="833"/>
      <c r="Q475" s="860"/>
      <c r="R475" s="445">
        <f t="shared" si="35"/>
        <v>90</v>
      </c>
      <c r="S475" s="861" t="s">
        <v>859</v>
      </c>
      <c r="T475" s="835" t="s">
        <v>313</v>
      </c>
      <c r="U475" s="742"/>
      <c r="V475" s="1418">
        <f t="shared" si="36"/>
        <v>0</v>
      </c>
      <c r="W475" s="367"/>
      <c r="X475" s="367"/>
      <c r="Y475" s="367"/>
      <c r="Z475" s="368"/>
    </row>
    <row r="476" spans="1:26" s="369" customFormat="1" ht="15" hidden="1" customHeight="1">
      <c r="A476" s="364"/>
      <c r="B476" s="1030"/>
      <c r="C476" s="28" t="s">
        <v>1721</v>
      </c>
      <c r="D476" s="1949">
        <v>44958</v>
      </c>
      <c r="E476" s="1950"/>
      <c r="F476" s="1951"/>
      <c r="G476" s="1949">
        <v>44985</v>
      </c>
      <c r="H476" s="1950"/>
      <c r="I476" s="1951"/>
      <c r="J476" s="21">
        <v>1</v>
      </c>
      <c r="K476" s="22">
        <v>5</v>
      </c>
      <c r="L476" s="833">
        <v>30</v>
      </c>
      <c r="M476" s="839"/>
      <c r="N476" s="841"/>
      <c r="O476" s="841"/>
      <c r="P476" s="833"/>
      <c r="Q476" s="860"/>
      <c r="R476" s="445">
        <f t="shared" si="35"/>
        <v>150</v>
      </c>
      <c r="S476" s="861" t="s">
        <v>859</v>
      </c>
      <c r="T476" s="835" t="s">
        <v>314</v>
      </c>
      <c r="U476" s="742"/>
      <c r="V476" s="1418">
        <f t="shared" si="36"/>
        <v>0</v>
      </c>
      <c r="W476" s="367"/>
      <c r="X476" s="367"/>
      <c r="Y476" s="367"/>
      <c r="Z476" s="368"/>
    </row>
    <row r="477" spans="1:26" s="369" customFormat="1" ht="15" hidden="1" customHeight="1">
      <c r="A477" s="364"/>
      <c r="B477" s="1030"/>
      <c r="C477" s="28" t="s">
        <v>1725</v>
      </c>
      <c r="D477" s="1949">
        <v>44986</v>
      </c>
      <c r="E477" s="1950"/>
      <c r="F477" s="1951"/>
      <c r="G477" s="1949">
        <v>45016</v>
      </c>
      <c r="H477" s="1950"/>
      <c r="I477" s="1951"/>
      <c r="J477" s="21">
        <v>3</v>
      </c>
      <c r="K477" s="22">
        <v>3</v>
      </c>
      <c r="L477" s="23">
        <v>30</v>
      </c>
      <c r="M477" s="24"/>
      <c r="N477" s="25"/>
      <c r="O477" s="25"/>
      <c r="P477" s="23"/>
      <c r="Q477" s="26"/>
      <c r="R477" s="445">
        <f t="shared" si="35"/>
        <v>270</v>
      </c>
      <c r="S477" s="447" t="s">
        <v>859</v>
      </c>
      <c r="T477" s="446" t="s">
        <v>315</v>
      </c>
      <c r="U477" s="742"/>
      <c r="V477" s="1418">
        <f>V487</f>
        <v>0</v>
      </c>
      <c r="W477" s="367"/>
      <c r="X477" s="367"/>
      <c r="Y477" s="367"/>
      <c r="Z477" s="368"/>
    </row>
    <row r="478" spans="1:26" s="369" customFormat="1" ht="15" hidden="1" customHeight="1">
      <c r="A478" s="364"/>
      <c r="B478" s="1030"/>
      <c r="C478" s="28" t="s">
        <v>1721</v>
      </c>
      <c r="D478" s="1949">
        <v>44593</v>
      </c>
      <c r="E478" s="1950"/>
      <c r="F478" s="1951"/>
      <c r="G478" s="1949">
        <v>44620</v>
      </c>
      <c r="H478" s="1950"/>
      <c r="I478" s="1951"/>
      <c r="J478" s="1086">
        <v>1</v>
      </c>
      <c r="K478" s="1421">
        <v>24</v>
      </c>
      <c r="L478" s="1104">
        <v>-2</v>
      </c>
      <c r="M478" s="853"/>
      <c r="N478" s="1422"/>
      <c r="O478" s="1422"/>
      <c r="P478" s="1104"/>
      <c r="Q478" s="1110"/>
      <c r="R478" s="445">
        <f t="shared" si="35"/>
        <v>-48</v>
      </c>
      <c r="S478" s="447" t="s">
        <v>859</v>
      </c>
      <c r="T478" s="1092" t="s">
        <v>316</v>
      </c>
      <c r="U478" s="793" t="s">
        <v>1567</v>
      </c>
      <c r="V478" s="1418">
        <f t="shared" si="36"/>
        <v>0</v>
      </c>
      <c r="W478" s="367"/>
      <c r="X478" s="367"/>
      <c r="Y478" s="367"/>
      <c r="Z478" s="368"/>
    </row>
    <row r="479" spans="1:26" s="369" customFormat="1" ht="15" hidden="1" customHeight="1">
      <c r="A479" s="364"/>
      <c r="B479" s="1030"/>
      <c r="C479" s="28" t="s">
        <v>1722</v>
      </c>
      <c r="D479" s="1949">
        <v>44593</v>
      </c>
      <c r="E479" s="1950"/>
      <c r="F479" s="1951"/>
      <c r="G479" s="1949">
        <v>44620</v>
      </c>
      <c r="H479" s="1950"/>
      <c r="I479" s="1951"/>
      <c r="J479" s="832">
        <v>1</v>
      </c>
      <c r="K479" s="837">
        <v>24</v>
      </c>
      <c r="L479" s="833">
        <v>-2</v>
      </c>
      <c r="M479" s="839"/>
      <c r="N479" s="841"/>
      <c r="O479" s="841"/>
      <c r="P479" s="833"/>
      <c r="Q479" s="860"/>
      <c r="R479" s="445">
        <f t="shared" si="35"/>
        <v>-48</v>
      </c>
      <c r="S479" s="447" t="s">
        <v>859</v>
      </c>
      <c r="T479" s="835" t="s">
        <v>316</v>
      </c>
      <c r="U479" s="793" t="s">
        <v>1567</v>
      </c>
      <c r="V479" s="1418">
        <f t="shared" si="36"/>
        <v>0</v>
      </c>
      <c r="W479" s="367"/>
      <c r="X479" s="367"/>
      <c r="Y479" s="367"/>
      <c r="Z479" s="368"/>
    </row>
    <row r="480" spans="1:26" s="369" customFormat="1" ht="15" hidden="1" customHeight="1">
      <c r="A480" s="364"/>
      <c r="B480" s="1030"/>
      <c r="C480" s="28" t="s">
        <v>1723</v>
      </c>
      <c r="D480" s="1949">
        <v>44593</v>
      </c>
      <c r="E480" s="1950"/>
      <c r="F480" s="1951"/>
      <c r="G480" s="1949">
        <v>44620</v>
      </c>
      <c r="H480" s="1950"/>
      <c r="I480" s="1951"/>
      <c r="J480" s="832">
        <v>1</v>
      </c>
      <c r="K480" s="837">
        <v>24</v>
      </c>
      <c r="L480" s="833">
        <v>-2</v>
      </c>
      <c r="M480" s="839"/>
      <c r="N480" s="841"/>
      <c r="O480" s="841"/>
      <c r="P480" s="833"/>
      <c r="Q480" s="860"/>
      <c r="R480" s="445">
        <f>J480*K480*L480</f>
        <v>-48</v>
      </c>
      <c r="S480" s="447" t="s">
        <v>859</v>
      </c>
      <c r="T480" s="835" t="s">
        <v>316</v>
      </c>
      <c r="U480" s="793" t="s">
        <v>1567</v>
      </c>
      <c r="V480" s="1418">
        <f t="shared" si="36"/>
        <v>0</v>
      </c>
      <c r="W480" s="367"/>
      <c r="X480" s="367"/>
      <c r="Y480" s="367"/>
      <c r="Z480" s="368"/>
    </row>
    <row r="481" spans="1:36" s="369" customFormat="1" ht="15" hidden="1" customHeight="1">
      <c r="A481" s="364"/>
      <c r="B481" s="1030"/>
      <c r="C481" s="28" t="s">
        <v>1724</v>
      </c>
      <c r="D481" s="1949">
        <v>44593</v>
      </c>
      <c r="E481" s="1950"/>
      <c r="F481" s="1951"/>
      <c r="G481" s="1949">
        <v>44620</v>
      </c>
      <c r="H481" s="1950"/>
      <c r="I481" s="1951"/>
      <c r="J481" s="832">
        <v>1</v>
      </c>
      <c r="K481" s="837">
        <v>24</v>
      </c>
      <c r="L481" s="833">
        <v>-2</v>
      </c>
      <c r="M481" s="839"/>
      <c r="N481" s="841"/>
      <c r="O481" s="841"/>
      <c r="P481" s="833"/>
      <c r="Q481" s="860"/>
      <c r="R481" s="445">
        <f t="shared" si="35"/>
        <v>-48</v>
      </c>
      <c r="S481" s="447" t="s">
        <v>859</v>
      </c>
      <c r="T481" s="835" t="s">
        <v>316</v>
      </c>
      <c r="U481" s="793" t="s">
        <v>1567</v>
      </c>
      <c r="V481" s="1418">
        <f t="shared" si="36"/>
        <v>0</v>
      </c>
      <c r="W481" s="367"/>
      <c r="X481" s="367"/>
      <c r="Y481" s="367"/>
      <c r="Z481" s="368"/>
    </row>
    <row r="482" spans="1:36" s="369" customFormat="1" ht="15" hidden="1" customHeight="1">
      <c r="A482" s="364"/>
      <c r="B482" s="1030"/>
      <c r="C482" s="28" t="s">
        <v>1721</v>
      </c>
      <c r="D482" s="1949">
        <v>44958</v>
      </c>
      <c r="E482" s="1950"/>
      <c r="F482" s="1951"/>
      <c r="G482" s="1949">
        <v>44985</v>
      </c>
      <c r="H482" s="1950"/>
      <c r="I482" s="1951"/>
      <c r="J482" s="832">
        <v>1</v>
      </c>
      <c r="K482" s="837">
        <v>5</v>
      </c>
      <c r="L482" s="833">
        <v>-2</v>
      </c>
      <c r="M482" s="839"/>
      <c r="N482" s="841"/>
      <c r="O482" s="841"/>
      <c r="P482" s="833"/>
      <c r="Q482" s="860"/>
      <c r="R482" s="445">
        <f t="shared" si="35"/>
        <v>-10</v>
      </c>
      <c r="S482" s="447" t="s">
        <v>859</v>
      </c>
      <c r="T482" s="835" t="s">
        <v>316</v>
      </c>
      <c r="U482" s="793" t="s">
        <v>1567</v>
      </c>
      <c r="V482" s="1418">
        <f t="shared" si="36"/>
        <v>0</v>
      </c>
      <c r="W482" s="367"/>
      <c r="X482" s="367"/>
      <c r="Y482" s="367"/>
      <c r="Z482" s="368"/>
    </row>
    <row r="483" spans="1:36" s="369" customFormat="1" ht="15" hidden="1" customHeight="1">
      <c r="A483" s="364"/>
      <c r="B483" s="1030"/>
      <c r="C483" s="836" t="s">
        <v>1723</v>
      </c>
      <c r="D483" s="2004">
        <v>45017</v>
      </c>
      <c r="E483" s="2005"/>
      <c r="F483" s="2006"/>
      <c r="G483" s="2004">
        <v>45046</v>
      </c>
      <c r="H483" s="2005"/>
      <c r="I483" s="2006"/>
      <c r="J483" s="832">
        <v>3</v>
      </c>
      <c r="K483" s="837">
        <v>3</v>
      </c>
      <c r="L483" s="833">
        <v>30</v>
      </c>
      <c r="M483" s="839"/>
      <c r="N483" s="841"/>
      <c r="O483" s="841"/>
      <c r="P483" s="833"/>
      <c r="Q483" s="860"/>
      <c r="R483" s="834">
        <f t="shared" si="35"/>
        <v>270</v>
      </c>
      <c r="S483" s="861" t="s">
        <v>859</v>
      </c>
      <c r="T483" s="835" t="s">
        <v>316</v>
      </c>
      <c r="U483" s="843"/>
      <c r="V483" s="1418">
        <f t="shared" si="36"/>
        <v>0</v>
      </c>
      <c r="W483" s="367"/>
      <c r="X483" s="367"/>
      <c r="Y483" s="367"/>
      <c r="Z483" s="368"/>
    </row>
    <row r="484" spans="1:36" s="369" customFormat="1" ht="15" hidden="1" customHeight="1">
      <c r="A484" s="364"/>
      <c r="B484" s="1030"/>
      <c r="C484" s="1107" t="s">
        <v>1723</v>
      </c>
      <c r="D484" s="2004">
        <v>45047</v>
      </c>
      <c r="E484" s="2005"/>
      <c r="F484" s="2005"/>
      <c r="G484" s="2004">
        <v>45077</v>
      </c>
      <c r="H484" s="2005"/>
      <c r="I484" s="2006"/>
      <c r="J484" s="1103">
        <v>3</v>
      </c>
      <c r="K484" s="837">
        <v>3</v>
      </c>
      <c r="L484" s="833">
        <v>31</v>
      </c>
      <c r="M484" s="840"/>
      <c r="N484" s="841"/>
      <c r="O484" s="841"/>
      <c r="P484" s="837"/>
      <c r="Q484" s="834"/>
      <c r="R484" s="834">
        <f>TRUNC(J484*K484*L484,3)</f>
        <v>279</v>
      </c>
      <c r="S484" s="861" t="s">
        <v>859</v>
      </c>
      <c r="T484" s="1099" t="s">
        <v>317</v>
      </c>
      <c r="U484" s="843"/>
      <c r="V484" s="1418">
        <f t="shared" si="36"/>
        <v>0</v>
      </c>
      <c r="W484" s="367"/>
      <c r="X484" s="367"/>
      <c r="Y484" s="367"/>
      <c r="Z484" s="368"/>
    </row>
    <row r="485" spans="1:36" s="369" customFormat="1" ht="15" hidden="1" customHeight="1">
      <c r="A485" s="364"/>
      <c r="B485" s="1030"/>
      <c r="C485" s="1107" t="s">
        <v>1723</v>
      </c>
      <c r="D485" s="2004">
        <v>45078</v>
      </c>
      <c r="E485" s="2005"/>
      <c r="F485" s="2005"/>
      <c r="G485" s="2004">
        <v>45148</v>
      </c>
      <c r="H485" s="2005"/>
      <c r="I485" s="2006"/>
      <c r="J485" s="1103">
        <v>3</v>
      </c>
      <c r="K485" s="837">
        <v>3</v>
      </c>
      <c r="L485" s="833">
        <v>71</v>
      </c>
      <c r="M485" s="840"/>
      <c r="N485" s="841"/>
      <c r="O485" s="841"/>
      <c r="P485" s="837"/>
      <c r="Q485" s="834"/>
      <c r="R485" s="834">
        <f>TRUNC(J485*K485*L485,3)</f>
        <v>639</v>
      </c>
      <c r="S485" s="861" t="s">
        <v>859</v>
      </c>
      <c r="T485" s="1099" t="s">
        <v>318</v>
      </c>
      <c r="U485" s="843"/>
      <c r="V485" s="1418">
        <f t="shared" si="36"/>
        <v>0</v>
      </c>
      <c r="W485" s="367"/>
      <c r="X485" s="367"/>
      <c r="Y485" s="367"/>
      <c r="Z485" s="368"/>
    </row>
    <row r="486" spans="1:36" s="369" customFormat="1" ht="15" hidden="1">
      <c r="A486" s="364"/>
      <c r="B486" s="1030"/>
      <c r="C486" s="1107" t="s">
        <v>1723</v>
      </c>
      <c r="D486" s="2054">
        <v>45149</v>
      </c>
      <c r="E486" s="2055"/>
      <c r="F486" s="2056"/>
      <c r="G486" s="2054">
        <v>45169</v>
      </c>
      <c r="H486" s="2055"/>
      <c r="I486" s="2056"/>
      <c r="J486" s="1103">
        <v>3</v>
      </c>
      <c r="K486" s="837">
        <v>3</v>
      </c>
      <c r="L486" s="833">
        <v>21</v>
      </c>
      <c r="M486" s="840"/>
      <c r="N486" s="841"/>
      <c r="O486" s="841"/>
      <c r="P486" s="837"/>
      <c r="Q486" s="834"/>
      <c r="R486" s="834">
        <v>189</v>
      </c>
      <c r="S486" s="861" t="s">
        <v>859</v>
      </c>
      <c r="T486" s="1099" t="s">
        <v>319</v>
      </c>
      <c r="U486" s="843"/>
      <c r="V486" s="1418">
        <f t="shared" si="36"/>
        <v>0</v>
      </c>
      <c r="W486" s="367"/>
      <c r="X486" s="367"/>
      <c r="Y486" s="367"/>
      <c r="Z486" s="368"/>
    </row>
    <row r="487" spans="1:36" s="77" customFormat="1" ht="15" hidden="1" customHeight="1">
      <c r="A487" s="370"/>
      <c r="B487" s="987"/>
      <c r="C487" s="1148" t="s">
        <v>1726</v>
      </c>
      <c r="D487" s="2054">
        <v>45170</v>
      </c>
      <c r="E487" s="2055"/>
      <c r="F487" s="2056"/>
      <c r="G487" s="2054">
        <v>45199</v>
      </c>
      <c r="H487" s="2055"/>
      <c r="I487" s="2056"/>
      <c r="J487" s="1149">
        <v>2</v>
      </c>
      <c r="K487" s="768">
        <v>3</v>
      </c>
      <c r="L487" s="769">
        <v>30</v>
      </c>
      <c r="M487" s="1150"/>
      <c r="N487" s="771"/>
      <c r="O487" s="771"/>
      <c r="P487" s="768"/>
      <c r="Q487" s="503"/>
      <c r="R487" s="503">
        <f>TRUNC(J487*K487*L487,3)</f>
        <v>180</v>
      </c>
      <c r="S487" s="1151" t="s">
        <v>859</v>
      </c>
      <c r="T487" s="1138" t="s">
        <v>320</v>
      </c>
      <c r="U487" s="906"/>
      <c r="V487" s="1418">
        <f t="shared" si="36"/>
        <v>0</v>
      </c>
      <c r="AB487" s="15"/>
    </row>
    <row r="488" spans="1:36" s="77" customFormat="1" ht="15.6" hidden="1">
      <c r="A488" s="370"/>
      <c r="B488" s="499"/>
      <c r="C488" s="37"/>
      <c r="D488" s="1940" t="s">
        <v>1520</v>
      </c>
      <c r="E488" s="1941"/>
      <c r="F488" s="1941"/>
      <c r="G488" s="1941"/>
      <c r="H488" s="1941"/>
      <c r="I488" s="1942"/>
      <c r="J488" s="1955">
        <f>VLOOKUP(A490,'11 - FINANCEIRA'!_xlnm.Print_Area,6,FALSE)</f>
        <v>24780</v>
      </c>
      <c r="K488" s="1956"/>
      <c r="L488" s="483" t="str">
        <f>VLOOKUP(A490,'11 - FINANCEIRA'!_xlnm.Print_Area,4,FALSE)</f>
        <v>H</v>
      </c>
      <c r="M488" s="1957" t="s">
        <v>1521</v>
      </c>
      <c r="N488" s="1958"/>
      <c r="O488" s="1958"/>
      <c r="P488" s="1958"/>
      <c r="Q488" s="1959"/>
      <c r="R488" s="484">
        <f>SUM(R432:R487)</f>
        <v>24779</v>
      </c>
      <c r="S488" s="485" t="str">
        <f>L488</f>
        <v>H</v>
      </c>
      <c r="T488" s="373"/>
      <c r="U488" s="486"/>
      <c r="V488" s="1418">
        <f>V489</f>
        <v>0</v>
      </c>
      <c r="AB488" s="15"/>
    </row>
    <row r="489" spans="1:36" s="77" customFormat="1" ht="15.6" hidden="1">
      <c r="A489" s="370"/>
      <c r="B489" s="499"/>
      <c r="C489" s="725"/>
      <c r="D489" s="1937" t="s">
        <v>1522</v>
      </c>
      <c r="E489" s="1938"/>
      <c r="F489" s="1938"/>
      <c r="G489" s="1938"/>
      <c r="H489" s="1938"/>
      <c r="I489" s="1939"/>
      <c r="J489" s="1943">
        <f>R488/J488</f>
        <v>0.99995964487489908</v>
      </c>
      <c r="K489" s="1944"/>
      <c r="L489" s="1947"/>
      <c r="M489" s="1934" t="s">
        <v>1523</v>
      </c>
      <c r="N489" s="1935"/>
      <c r="O489" s="1935"/>
      <c r="P489" s="1935"/>
      <c r="Q489" s="1936"/>
      <c r="R489" s="726">
        <f>VLOOKUP(A490,'11 - FINANCEIRA'!_xlnm.Print_Area,8,FALSE)</f>
        <v>24779</v>
      </c>
      <c r="S489" s="727" t="str">
        <f>L488</f>
        <v>H</v>
      </c>
      <c r="T489" s="373"/>
      <c r="U489" s="486"/>
      <c r="V489" s="1418">
        <f>V490</f>
        <v>0</v>
      </c>
      <c r="AB489" s="15"/>
    </row>
    <row r="490" spans="1:36" s="77" customFormat="1" ht="15.6" hidden="1">
      <c r="A490" s="364" t="s">
        <v>367</v>
      </c>
      <c r="B490" s="499"/>
      <c r="C490" s="37"/>
      <c r="D490" s="2013"/>
      <c r="E490" s="2014"/>
      <c r="F490" s="2014"/>
      <c r="G490" s="2014"/>
      <c r="H490" s="2014"/>
      <c r="I490" s="2015"/>
      <c r="J490" s="2016"/>
      <c r="K490" s="2017"/>
      <c r="L490" s="1962"/>
      <c r="M490" s="2007" t="s">
        <v>1524</v>
      </c>
      <c r="N490" s="2008"/>
      <c r="O490" s="2008"/>
      <c r="P490" s="2008"/>
      <c r="Q490" s="2009"/>
      <c r="R490" s="1345">
        <f>R488-R489</f>
        <v>0</v>
      </c>
      <c r="S490" s="1346" t="str">
        <f>L488</f>
        <v>H</v>
      </c>
      <c r="T490" s="373"/>
      <c r="U490" s="486"/>
      <c r="V490" s="1418">
        <f>R490</f>
        <v>0</v>
      </c>
      <c r="AB490" s="15"/>
    </row>
    <row r="491" spans="1:36" s="77" customFormat="1" ht="15.6" hidden="1">
      <c r="A491" s="370"/>
      <c r="B491" s="1347"/>
      <c r="C491" s="1348"/>
      <c r="D491" s="1349"/>
      <c r="E491" s="1350"/>
      <c r="F491" s="1349"/>
      <c r="G491" s="1349"/>
      <c r="H491" s="1349"/>
      <c r="I491" s="1349"/>
      <c r="J491" s="1351"/>
      <c r="K491" s="1352"/>
      <c r="L491" s="1353"/>
      <c r="M491" s="1354"/>
      <c r="N491" s="1354"/>
      <c r="O491" s="1354"/>
      <c r="P491" s="1354"/>
      <c r="Q491" s="1354"/>
      <c r="R491" s="1355"/>
      <c r="S491" s="1356"/>
      <c r="T491" s="1357"/>
      <c r="U491" s="1358"/>
      <c r="V491" s="1420">
        <f>SUM(V430:V490)</f>
        <v>0</v>
      </c>
      <c r="AB491" s="15"/>
    </row>
    <row r="492" spans="1:36" s="352" customFormat="1" ht="15.6" hidden="1">
      <c r="A492" s="351"/>
      <c r="B492" s="1963" t="str">
        <f>VLOOKUP(A498,'11 - FINANCEIRA'!_xlnm.Print_Area,1,FALSE)</f>
        <v>2.2.4</v>
      </c>
      <c r="C492" s="1965" t="str">
        <f>VLOOKUP(A498,'11 - FINANCEIRA'!_xlnm.Print_Area,3,FALSE)</f>
        <v>Rebaixamento de lençol freático c/ pont filtrantes</v>
      </c>
      <c r="D492" s="1967" t="s">
        <v>1503</v>
      </c>
      <c r="E492" s="1968"/>
      <c r="F492" s="1968"/>
      <c r="G492" s="1968"/>
      <c r="H492" s="1968"/>
      <c r="I492" s="1969"/>
      <c r="J492" s="1914" t="s">
        <v>1504</v>
      </c>
      <c r="K492" s="1914" t="s">
        <v>1505</v>
      </c>
      <c r="L492" s="1914" t="s">
        <v>1506</v>
      </c>
      <c r="M492" s="1914" t="s">
        <v>1507</v>
      </c>
      <c r="N492" s="1914" t="s">
        <v>1508</v>
      </c>
      <c r="O492" s="1914" t="s">
        <v>1509</v>
      </c>
      <c r="P492" s="1341" t="s">
        <v>1510</v>
      </c>
      <c r="Q492" s="1914" t="s">
        <v>1493</v>
      </c>
      <c r="R492" s="1916" t="s">
        <v>804</v>
      </c>
      <c r="S492" s="1914" t="s">
        <v>1511</v>
      </c>
      <c r="T492" s="1914" t="s">
        <v>1512</v>
      </c>
      <c r="U492" s="1918" t="s">
        <v>1513</v>
      </c>
      <c r="V492" s="1418">
        <f t="shared" ref="V492:V497" si="37">V493</f>
        <v>0</v>
      </c>
      <c r="W492" s="16"/>
      <c r="X492" s="16"/>
      <c r="Y492" s="16"/>
      <c r="Z492" s="17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</row>
    <row r="493" spans="1:36" s="352" customFormat="1" ht="15.6" hidden="1">
      <c r="A493" s="351"/>
      <c r="B493" s="1964" t="e">
        <f>LEFT(#REF!,5)</f>
        <v>#REF!</v>
      </c>
      <c r="C493" s="1966" t="e">
        <f>VLOOKUP(LEFT(#REF!,5),'11 - FINANCEIRA'!_xlnm.Print_Area,2,FALSE)</f>
        <v>#REF!</v>
      </c>
      <c r="D493" s="1920" t="s">
        <v>1514</v>
      </c>
      <c r="E493" s="1921"/>
      <c r="F493" s="1922"/>
      <c r="G493" s="1923" t="s">
        <v>1515</v>
      </c>
      <c r="H493" s="1924"/>
      <c r="I493" s="1925"/>
      <c r="J493" s="1915"/>
      <c r="K493" s="1915"/>
      <c r="L493" s="1915"/>
      <c r="M493" s="1915"/>
      <c r="N493" s="1915"/>
      <c r="O493" s="1915"/>
      <c r="P493" s="353" t="s">
        <v>1516</v>
      </c>
      <c r="Q493" s="1915"/>
      <c r="R493" s="1917"/>
      <c r="S493" s="1915"/>
      <c r="T493" s="1915"/>
      <c r="U493" s="1919"/>
      <c r="V493" s="1418">
        <f t="shared" si="37"/>
        <v>0</v>
      </c>
      <c r="W493" s="16"/>
      <c r="X493" s="16"/>
      <c r="Y493" s="16"/>
      <c r="Z493" s="17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</row>
    <row r="494" spans="1:36" s="361" customFormat="1" ht="15" hidden="1">
      <c r="A494" s="354"/>
      <c r="B494" s="355"/>
      <c r="C494" s="32"/>
      <c r="D494" s="33"/>
      <c r="E494" s="34"/>
      <c r="F494" s="35"/>
      <c r="G494" s="33"/>
      <c r="H494" s="34"/>
      <c r="I494" s="35"/>
      <c r="J494" s="43"/>
      <c r="K494" s="42"/>
      <c r="L494" s="39"/>
      <c r="M494" s="41"/>
      <c r="N494" s="356"/>
      <c r="O494" s="40"/>
      <c r="P494" s="39"/>
      <c r="Q494" s="558"/>
      <c r="R494" s="559">
        <f>PRODUCT(K494:Q494)</f>
        <v>0</v>
      </c>
      <c r="S494" s="558"/>
      <c r="T494" s="46"/>
      <c r="U494" s="44"/>
      <c r="V494" s="1418">
        <f t="shared" si="37"/>
        <v>0</v>
      </c>
      <c r="W494" s="357"/>
      <c r="X494" s="357"/>
      <c r="Y494" s="357"/>
      <c r="Z494" s="358"/>
      <c r="AA494" s="359"/>
      <c r="AB494" s="360"/>
    </row>
    <row r="495" spans="1:36" s="77" customFormat="1" ht="15" hidden="1">
      <c r="A495" s="370"/>
      <c r="B495" s="29"/>
      <c r="C495" s="30"/>
      <c r="D495" s="18"/>
      <c r="E495" s="19"/>
      <c r="F495" s="20"/>
      <c r="G495" s="18"/>
      <c r="H495" s="19"/>
      <c r="I495" s="20"/>
      <c r="J495" s="21"/>
      <c r="K495" s="22"/>
      <c r="L495" s="23"/>
      <c r="M495" s="24"/>
      <c r="N495" s="25"/>
      <c r="O495" s="25"/>
      <c r="P495" s="23"/>
      <c r="Q495" s="26"/>
      <c r="R495" s="371"/>
      <c r="S495" s="27"/>
      <c r="T495" s="372"/>
      <c r="U495" s="31"/>
      <c r="V495" s="1418">
        <f t="shared" si="37"/>
        <v>0</v>
      </c>
      <c r="AB495" s="15"/>
    </row>
    <row r="496" spans="1:36" s="77" customFormat="1" ht="15.6" hidden="1">
      <c r="A496" s="370"/>
      <c r="B496" s="499"/>
      <c r="C496" s="37"/>
      <c r="D496" s="1929" t="s">
        <v>1520</v>
      </c>
      <c r="E496" s="1930"/>
      <c r="F496" s="1930"/>
      <c r="G496" s="1930"/>
      <c r="H496" s="1930"/>
      <c r="I496" s="1931"/>
      <c r="J496" s="1932">
        <f>VLOOKUP(A498,'11 - FINANCEIRA'!_xlnm.Print_Area,6,FALSE)</f>
        <v>9</v>
      </c>
      <c r="K496" s="1933"/>
      <c r="L496" s="1343" t="str">
        <f>VLOOKUP(A498,'11 - FINANCEIRA'!_xlnm.Print_Area,4,FALSE)</f>
        <v>mês</v>
      </c>
      <c r="M496" s="1934" t="s">
        <v>1521</v>
      </c>
      <c r="N496" s="1935"/>
      <c r="O496" s="1935"/>
      <c r="P496" s="1935"/>
      <c r="Q496" s="1936"/>
      <c r="R496" s="726">
        <f>SUM(R494:R495)</f>
        <v>0</v>
      </c>
      <c r="S496" s="1344" t="str">
        <f>L496</f>
        <v>mês</v>
      </c>
      <c r="T496" s="373"/>
      <c r="U496" s="486"/>
      <c r="V496" s="1418">
        <f t="shared" si="37"/>
        <v>0</v>
      </c>
      <c r="AB496" s="15"/>
    </row>
    <row r="497" spans="1:36" s="77" customFormat="1" ht="15.6" hidden="1">
      <c r="A497" s="370"/>
      <c r="B497" s="499"/>
      <c r="C497" s="725"/>
      <c r="D497" s="1937" t="s">
        <v>1522</v>
      </c>
      <c r="E497" s="1938"/>
      <c r="F497" s="1938"/>
      <c r="G497" s="1938"/>
      <c r="H497" s="1938"/>
      <c r="I497" s="1939"/>
      <c r="J497" s="1943">
        <f>R496/J496</f>
        <v>0</v>
      </c>
      <c r="K497" s="1944"/>
      <c r="L497" s="1947"/>
      <c r="M497" s="1934" t="s">
        <v>1523</v>
      </c>
      <c r="N497" s="1935"/>
      <c r="O497" s="1935"/>
      <c r="P497" s="1935"/>
      <c r="Q497" s="1936"/>
      <c r="R497" s="726">
        <f>VLOOKUP(A498,'11 - FINANCEIRA'!_xlnm.Print_Area,8,FALSE)</f>
        <v>0</v>
      </c>
      <c r="S497" s="727" t="str">
        <f>L496</f>
        <v>mês</v>
      </c>
      <c r="T497" s="373"/>
      <c r="U497" s="486"/>
      <c r="V497" s="1418">
        <f t="shared" si="37"/>
        <v>0</v>
      </c>
      <c r="AB497" s="15"/>
    </row>
    <row r="498" spans="1:36" s="77" customFormat="1" ht="15.6" hidden="1">
      <c r="A498" s="364" t="s">
        <v>368</v>
      </c>
      <c r="B498" s="499"/>
      <c r="C498" s="37"/>
      <c r="D498" s="2013"/>
      <c r="E498" s="2014"/>
      <c r="F498" s="2014"/>
      <c r="G498" s="2014"/>
      <c r="H498" s="2014"/>
      <c r="I498" s="2015"/>
      <c r="J498" s="2016"/>
      <c r="K498" s="2017"/>
      <c r="L498" s="1962"/>
      <c r="M498" s="2007" t="s">
        <v>1524</v>
      </c>
      <c r="N498" s="2008"/>
      <c r="O498" s="2008"/>
      <c r="P498" s="2008"/>
      <c r="Q498" s="2009"/>
      <c r="R498" s="1345">
        <f>R496-R497</f>
        <v>0</v>
      </c>
      <c r="S498" s="1346" t="str">
        <f>L496</f>
        <v>mês</v>
      </c>
      <c r="T498" s="373"/>
      <c r="U498" s="486"/>
      <c r="V498" s="1418">
        <f>R498</f>
        <v>0</v>
      </c>
      <c r="AB498" s="15"/>
    </row>
    <row r="499" spans="1:36" s="77" customFormat="1" ht="15.6" hidden="1">
      <c r="A499" s="370"/>
      <c r="B499" s="1360"/>
      <c r="C499" s="1361"/>
      <c r="D499" s="1362"/>
      <c r="E499" s="1363"/>
      <c r="F499" s="1362"/>
      <c r="G499" s="1362"/>
      <c r="H499" s="1362"/>
      <c r="I499" s="1362"/>
      <c r="J499" s="1364"/>
      <c r="K499" s="1365"/>
      <c r="L499" s="1366"/>
      <c r="M499" s="1367"/>
      <c r="N499" s="1367"/>
      <c r="O499" s="1367"/>
      <c r="P499" s="1367"/>
      <c r="Q499" s="1367"/>
      <c r="R499" s="1368"/>
      <c r="S499" s="1369"/>
      <c r="T499" s="1370"/>
      <c r="U499" s="1371"/>
      <c r="V499" s="1420">
        <f>SUM(V492:V498)</f>
        <v>0</v>
      </c>
      <c r="AB499" s="15"/>
    </row>
    <row r="500" spans="1:36" s="352" customFormat="1" ht="15.6" hidden="1">
      <c r="A500" s="351"/>
      <c r="B500" s="1963" t="str">
        <f>VLOOKUP(A511,'11 - FINANCEIRA'!_xlnm.Print_Area,1,FALSE)</f>
        <v>2.2.5</v>
      </c>
      <c r="C500" s="1965" t="str">
        <f>VLOOKUP(A511,'11 - FINANCEIRA'!_xlnm.Print_Area,3,FALSE)</f>
        <v>Escoramento metálico p/ valas, com pranchas metálicas de 4,7 mm x 30 cm e longarinas e transversinas em perfis de aço, reaproveitamento : 10 vezes</v>
      </c>
      <c r="D500" s="1967" t="s">
        <v>1503</v>
      </c>
      <c r="E500" s="1968"/>
      <c r="F500" s="1968"/>
      <c r="G500" s="1968"/>
      <c r="H500" s="1968"/>
      <c r="I500" s="1969"/>
      <c r="J500" s="1914" t="s">
        <v>1504</v>
      </c>
      <c r="K500" s="1914" t="s">
        <v>1505</v>
      </c>
      <c r="L500" s="1914" t="s">
        <v>1506</v>
      </c>
      <c r="M500" s="1914" t="s">
        <v>1507</v>
      </c>
      <c r="N500" s="1914" t="s">
        <v>1508</v>
      </c>
      <c r="O500" s="1914" t="s">
        <v>1509</v>
      </c>
      <c r="P500" s="1341" t="s">
        <v>1510</v>
      </c>
      <c r="Q500" s="1914" t="s">
        <v>1493</v>
      </c>
      <c r="R500" s="1916" t="s">
        <v>804</v>
      </c>
      <c r="S500" s="1914" t="s">
        <v>1511</v>
      </c>
      <c r="T500" s="1914" t="s">
        <v>1512</v>
      </c>
      <c r="U500" s="1918" t="s">
        <v>1513</v>
      </c>
      <c r="V500" s="1418">
        <f>V501</f>
        <v>0</v>
      </c>
      <c r="W500" s="16"/>
      <c r="X500" s="16"/>
      <c r="Y500" s="16"/>
      <c r="Z500" s="17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</row>
    <row r="501" spans="1:36" s="352" customFormat="1" ht="15.6" hidden="1">
      <c r="A501" s="351"/>
      <c r="B501" s="1964" t="e">
        <f>LEFT(#REF!,5)</f>
        <v>#REF!</v>
      </c>
      <c r="C501" s="1966" t="e">
        <f>VLOOKUP(LEFT(#REF!,5),'11 - FINANCEIRA'!_xlnm.Print_Area,2,FALSE)</f>
        <v>#REF!</v>
      </c>
      <c r="D501" s="1920" t="s">
        <v>1514</v>
      </c>
      <c r="E501" s="1921"/>
      <c r="F501" s="1922"/>
      <c r="G501" s="1923" t="s">
        <v>1515</v>
      </c>
      <c r="H501" s="1924"/>
      <c r="I501" s="1925"/>
      <c r="J501" s="1915"/>
      <c r="K501" s="1915"/>
      <c r="L501" s="1915"/>
      <c r="M501" s="1915"/>
      <c r="N501" s="1915"/>
      <c r="O501" s="1915"/>
      <c r="P501" s="353" t="s">
        <v>1516</v>
      </c>
      <c r="Q501" s="1915"/>
      <c r="R501" s="1917"/>
      <c r="S501" s="1915"/>
      <c r="T501" s="1915"/>
      <c r="U501" s="1919"/>
      <c r="V501" s="1418">
        <f t="shared" ref="V501:V507" si="38">V502</f>
        <v>0</v>
      </c>
      <c r="W501" s="16"/>
      <c r="X501" s="16"/>
      <c r="Y501" s="16"/>
      <c r="Z501" s="17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</row>
    <row r="502" spans="1:36" s="361" customFormat="1" ht="15" hidden="1">
      <c r="A502" s="354"/>
      <c r="B502" s="755" t="s">
        <v>1727</v>
      </c>
      <c r="C502" s="710" t="s">
        <v>1728</v>
      </c>
      <c r="D502" s="2068"/>
      <c r="E502" s="2069"/>
      <c r="F502" s="2070"/>
      <c r="G502" s="2068"/>
      <c r="H502" s="2069"/>
      <c r="I502" s="2070"/>
      <c r="J502" s="21"/>
      <c r="K502" s="22">
        <v>33.700000000000003</v>
      </c>
      <c r="L502" s="23"/>
      <c r="M502" s="24">
        <v>6.8</v>
      </c>
      <c r="N502" s="728">
        <f>K502*M502</f>
        <v>229.16000000000003</v>
      </c>
      <c r="O502" s="25"/>
      <c r="P502" s="23"/>
      <c r="Q502" s="488"/>
      <c r="R502" s="731">
        <f>N502</f>
        <v>229.16000000000003</v>
      </c>
      <c r="S502" s="488" t="s">
        <v>821</v>
      </c>
      <c r="T502" s="446" t="s">
        <v>299</v>
      </c>
      <c r="U502" s="44"/>
      <c r="V502" s="1418">
        <f t="shared" si="38"/>
        <v>0</v>
      </c>
      <c r="W502" s="357"/>
      <c r="X502" s="357"/>
      <c r="Y502" s="357"/>
      <c r="Z502" s="358"/>
      <c r="AA502" s="359"/>
      <c r="AB502" s="360"/>
    </row>
    <row r="503" spans="1:36" s="361" customFormat="1" ht="15" hidden="1">
      <c r="A503" s="354"/>
      <c r="B503" s="755" t="s">
        <v>1729</v>
      </c>
      <c r="C503" s="710" t="s">
        <v>1730</v>
      </c>
      <c r="D503" s="1949"/>
      <c r="E503" s="1950"/>
      <c r="F503" s="1951"/>
      <c r="G503" s="1949"/>
      <c r="H503" s="1950"/>
      <c r="I503" s="1951"/>
      <c r="J503" s="21"/>
      <c r="K503" s="22">
        <v>4.4441160000000002</v>
      </c>
      <c r="L503" s="23"/>
      <c r="M503" s="24">
        <v>6.8</v>
      </c>
      <c r="N503" s="728">
        <f>K503*M503</f>
        <v>30.219988799999999</v>
      </c>
      <c r="O503" s="25"/>
      <c r="P503" s="23"/>
      <c r="Q503" s="447"/>
      <c r="R503" s="732">
        <f>N503</f>
        <v>30.219988799999999</v>
      </c>
      <c r="S503" s="447" t="s">
        <v>821</v>
      </c>
      <c r="T503" s="446" t="s">
        <v>299</v>
      </c>
      <c r="U503" s="44"/>
      <c r="V503" s="1418">
        <f t="shared" si="38"/>
        <v>0</v>
      </c>
      <c r="W503" s="357"/>
      <c r="X503" s="357"/>
      <c r="Y503" s="357"/>
      <c r="Z503" s="358"/>
      <c r="AA503" s="359"/>
      <c r="AB503" s="360"/>
    </row>
    <row r="504" spans="1:36" s="361" customFormat="1" ht="15" hidden="1">
      <c r="A504" s="354"/>
      <c r="B504" s="755" t="s">
        <v>1731</v>
      </c>
      <c r="C504" s="710" t="s">
        <v>1730</v>
      </c>
      <c r="D504" s="1949"/>
      <c r="E504" s="1950"/>
      <c r="F504" s="1951"/>
      <c r="G504" s="1949"/>
      <c r="H504" s="1950"/>
      <c r="I504" s="1951"/>
      <c r="J504" s="21"/>
      <c r="K504" s="22">
        <v>4.4441160000000002</v>
      </c>
      <c r="L504" s="23"/>
      <c r="M504" s="24">
        <v>6.8</v>
      </c>
      <c r="N504" s="728">
        <f>K504*M504</f>
        <v>30.219988799999999</v>
      </c>
      <c r="O504" s="25"/>
      <c r="P504" s="23"/>
      <c r="Q504" s="447"/>
      <c r="R504" s="732">
        <f>N504</f>
        <v>30.219988799999999</v>
      </c>
      <c r="S504" s="447" t="s">
        <v>821</v>
      </c>
      <c r="T504" s="446" t="s">
        <v>299</v>
      </c>
      <c r="U504" s="44"/>
      <c r="V504" s="1418">
        <f t="shared" si="38"/>
        <v>0</v>
      </c>
      <c r="W504" s="357"/>
      <c r="X504" s="357"/>
      <c r="Y504" s="357"/>
      <c r="Z504" s="358"/>
      <c r="AA504" s="359"/>
      <c r="AB504" s="360"/>
    </row>
    <row r="505" spans="1:36" s="361" customFormat="1" ht="15" hidden="1">
      <c r="A505" s="354"/>
      <c r="B505" s="355"/>
      <c r="C505" s="32"/>
      <c r="D505" s="33"/>
      <c r="E505" s="34"/>
      <c r="F505" s="35"/>
      <c r="G505" s="33"/>
      <c r="H505" s="34"/>
      <c r="I505" s="35"/>
      <c r="J505" s="43"/>
      <c r="K505" s="42"/>
      <c r="L505" s="39"/>
      <c r="M505" s="41"/>
      <c r="N505" s="356"/>
      <c r="O505" s="40"/>
      <c r="P505" s="39"/>
      <c r="Q505" s="366"/>
      <c r="R505" s="362"/>
      <c r="S505" s="366"/>
      <c r="T505" s="46"/>
      <c r="U505" s="44"/>
      <c r="V505" s="1418">
        <f t="shared" si="38"/>
        <v>0</v>
      </c>
      <c r="W505" s="357"/>
      <c r="X505" s="357"/>
      <c r="Y505" s="357"/>
      <c r="Z505" s="358"/>
      <c r="AA505" s="359"/>
      <c r="AB505" s="360"/>
    </row>
    <row r="506" spans="1:36" s="361" customFormat="1" ht="15" hidden="1">
      <c r="A506" s="354"/>
      <c r="B506" s="355"/>
      <c r="C506" s="32"/>
      <c r="D506" s="33"/>
      <c r="E506" s="34"/>
      <c r="F506" s="35"/>
      <c r="G506" s="33"/>
      <c r="H506" s="34"/>
      <c r="I506" s="35"/>
      <c r="J506" s="43"/>
      <c r="K506" s="42"/>
      <c r="L506" s="39"/>
      <c r="M506" s="41"/>
      <c r="N506" s="356"/>
      <c r="O506" s="40"/>
      <c r="P506" s="39"/>
      <c r="Q506" s="362"/>
      <c r="R506" s="362"/>
      <c r="S506" s="366"/>
      <c r="T506" s="46"/>
      <c r="U506" s="44"/>
      <c r="V506" s="1418">
        <f t="shared" si="38"/>
        <v>0</v>
      </c>
      <c r="W506" s="357"/>
      <c r="X506" s="357"/>
      <c r="Y506" s="357"/>
      <c r="Z506" s="358"/>
      <c r="AA506" s="359"/>
      <c r="AB506" s="360"/>
    </row>
    <row r="507" spans="1:36" s="361" customFormat="1" ht="15" hidden="1">
      <c r="A507" s="354"/>
      <c r="B507" s="355"/>
      <c r="C507" s="32"/>
      <c r="D507" s="33"/>
      <c r="E507" s="34"/>
      <c r="F507" s="35"/>
      <c r="G507" s="33"/>
      <c r="H507" s="34"/>
      <c r="I507" s="35"/>
      <c r="J507" s="43"/>
      <c r="K507" s="42"/>
      <c r="L507" s="39"/>
      <c r="M507" s="41"/>
      <c r="N507" s="356"/>
      <c r="O507" s="40"/>
      <c r="P507" s="39"/>
      <c r="Q507" s="362"/>
      <c r="R507" s="362"/>
      <c r="S507" s="366"/>
      <c r="T507" s="46"/>
      <c r="U507" s="44"/>
      <c r="V507" s="1418">
        <f t="shared" si="38"/>
        <v>0</v>
      </c>
      <c r="W507" s="357"/>
      <c r="X507" s="357"/>
      <c r="Y507" s="357"/>
      <c r="Z507" s="358"/>
      <c r="AA507" s="359"/>
      <c r="AB507" s="360"/>
    </row>
    <row r="508" spans="1:36" s="77" customFormat="1" ht="15" hidden="1">
      <c r="A508" s="370"/>
      <c r="B508" s="29"/>
      <c r="C508" s="30"/>
      <c r="D508" s="18"/>
      <c r="E508" s="19"/>
      <c r="F508" s="20"/>
      <c r="G508" s="18"/>
      <c r="H508" s="19"/>
      <c r="I508" s="20"/>
      <c r="J508" s="21"/>
      <c r="K508" s="22"/>
      <c r="L508" s="23"/>
      <c r="M508" s="24"/>
      <c r="N508" s="25"/>
      <c r="O508" s="25"/>
      <c r="P508" s="23"/>
      <c r="Q508" s="26"/>
      <c r="R508" s="371"/>
      <c r="S508" s="27"/>
      <c r="T508" s="372"/>
      <c r="U508" s="31"/>
      <c r="V508" s="1418">
        <f>V509</f>
        <v>0</v>
      </c>
      <c r="AB508" s="15"/>
    </row>
    <row r="509" spans="1:36" s="77" customFormat="1" ht="15.6" hidden="1">
      <c r="A509" s="370"/>
      <c r="B509" s="499"/>
      <c r="C509" s="37"/>
      <c r="D509" s="1929" t="s">
        <v>1520</v>
      </c>
      <c r="E509" s="1930"/>
      <c r="F509" s="1930"/>
      <c r="G509" s="1930"/>
      <c r="H509" s="1930"/>
      <c r="I509" s="1931"/>
      <c r="J509" s="1932">
        <f>VLOOKUP(A511,'11 - FINANCEIRA'!_xlnm.Print_Area,6,FALSE)</f>
        <v>289.60000000000002</v>
      </c>
      <c r="K509" s="1933"/>
      <c r="L509" s="1343" t="str">
        <f>VLOOKUP(A511,'11 - FINANCEIRA'!_xlnm.Print_Area,4,FALSE)</f>
        <v>m²</v>
      </c>
      <c r="M509" s="1934" t="s">
        <v>1521</v>
      </c>
      <c r="N509" s="1935"/>
      <c r="O509" s="1935"/>
      <c r="P509" s="1935"/>
      <c r="Q509" s="1936"/>
      <c r="R509" s="726">
        <f>SUM(R502:R508)</f>
        <v>289.59997760000005</v>
      </c>
      <c r="S509" s="1344" t="str">
        <f>L509</f>
        <v>m²</v>
      </c>
      <c r="T509" s="373"/>
      <c r="U509" s="486"/>
      <c r="V509" s="1418">
        <f>V510</f>
        <v>0</v>
      </c>
      <c r="AB509" s="15"/>
    </row>
    <row r="510" spans="1:36" s="77" customFormat="1" ht="15.6" hidden="1">
      <c r="A510" s="370"/>
      <c r="B510" s="499"/>
      <c r="C510" s="725"/>
      <c r="D510" s="1937" t="s">
        <v>1522</v>
      </c>
      <c r="E510" s="1938"/>
      <c r="F510" s="1938"/>
      <c r="G510" s="1938"/>
      <c r="H510" s="1938"/>
      <c r="I510" s="1939"/>
      <c r="J510" s="1943">
        <f>R509/J509</f>
        <v>0.99999992265193383</v>
      </c>
      <c r="K510" s="1944"/>
      <c r="L510" s="1947"/>
      <c r="M510" s="1934" t="s">
        <v>1523</v>
      </c>
      <c r="N510" s="1935"/>
      <c r="O510" s="1935"/>
      <c r="P510" s="1935"/>
      <c r="Q510" s="1936"/>
      <c r="R510" s="726">
        <f>VLOOKUP(A511,'11 - FINANCEIRA'!_xlnm.Print_Area,8,FALSE)</f>
        <v>289.59997760000005</v>
      </c>
      <c r="S510" s="727" t="str">
        <f>L509</f>
        <v>m²</v>
      </c>
      <c r="T510" s="373"/>
      <c r="U510" s="486"/>
      <c r="V510" s="1418">
        <f>V511</f>
        <v>0</v>
      </c>
      <c r="AB510" s="15"/>
    </row>
    <row r="511" spans="1:36" s="77" customFormat="1" ht="15.6" hidden="1">
      <c r="A511" s="364" t="s">
        <v>369</v>
      </c>
      <c r="B511" s="499"/>
      <c r="C511" s="37"/>
      <c r="D511" s="2013"/>
      <c r="E511" s="2014"/>
      <c r="F511" s="2014"/>
      <c r="G511" s="2014"/>
      <c r="H511" s="2014"/>
      <c r="I511" s="2015"/>
      <c r="J511" s="2016"/>
      <c r="K511" s="2017"/>
      <c r="L511" s="1962"/>
      <c r="M511" s="2007" t="s">
        <v>1524</v>
      </c>
      <c r="N511" s="2008"/>
      <c r="O511" s="2008"/>
      <c r="P511" s="2008"/>
      <c r="Q511" s="2009"/>
      <c r="R511" s="1345">
        <f>R509-R510</f>
        <v>0</v>
      </c>
      <c r="S511" s="1346" t="str">
        <f>L509</f>
        <v>m²</v>
      </c>
      <c r="T511" s="373"/>
      <c r="U511" s="486"/>
      <c r="V511" s="1418">
        <f>R511</f>
        <v>0</v>
      </c>
      <c r="AB511" s="15"/>
    </row>
    <row r="512" spans="1:36" s="77" customFormat="1" ht="15.6" hidden="1">
      <c r="A512" s="370"/>
      <c r="B512" s="1347"/>
      <c r="C512" s="1348"/>
      <c r="D512" s="1349"/>
      <c r="E512" s="1350"/>
      <c r="F512" s="1349"/>
      <c r="G512" s="1349"/>
      <c r="H512" s="1349"/>
      <c r="I512" s="1349"/>
      <c r="J512" s="1351"/>
      <c r="K512" s="1352"/>
      <c r="L512" s="1353"/>
      <c r="M512" s="1354"/>
      <c r="N512" s="1354"/>
      <c r="O512" s="1354"/>
      <c r="P512" s="1354"/>
      <c r="Q512" s="1354"/>
      <c r="R512" s="1355"/>
      <c r="S512" s="1356"/>
      <c r="T512" s="1357"/>
      <c r="U512" s="1358"/>
      <c r="V512" s="1420">
        <f>SUM(V500:V511)</f>
        <v>0</v>
      </c>
      <c r="AB512" s="15"/>
    </row>
    <row r="513" spans="1:36" s="352" customFormat="1" ht="15.75" hidden="1" customHeight="1">
      <c r="A513" s="351"/>
      <c r="B513" s="1963" t="str">
        <f>VLOOKUP(A522,'11 - FINANCEIRA'!_xlnm.Print_Area,1,FALSE)</f>
        <v>2.2.6</v>
      </c>
      <c r="C513" s="1965" t="str">
        <f>VLOOKUP(A522,'11 - FINANCEIRA'!_xlnm.Print_Area,3,FALSE)</f>
        <v>Lastro com material granular (pedra britada n.3), aplicado em pisos ou radiers, espessura de 50 cm</v>
      </c>
      <c r="D513" s="1967" t="s">
        <v>1503</v>
      </c>
      <c r="E513" s="1968"/>
      <c r="F513" s="1968"/>
      <c r="G513" s="1968"/>
      <c r="H513" s="1968"/>
      <c r="I513" s="1969"/>
      <c r="J513" s="1914" t="s">
        <v>1504</v>
      </c>
      <c r="K513" s="1914" t="s">
        <v>1505</v>
      </c>
      <c r="L513" s="1914" t="s">
        <v>1506</v>
      </c>
      <c r="M513" s="1914" t="s">
        <v>1507</v>
      </c>
      <c r="N513" s="1914" t="s">
        <v>1508</v>
      </c>
      <c r="O513" s="1914" t="s">
        <v>1509</v>
      </c>
      <c r="P513" s="1341" t="s">
        <v>1510</v>
      </c>
      <c r="Q513" s="1914" t="s">
        <v>1493</v>
      </c>
      <c r="R513" s="1916" t="s">
        <v>804</v>
      </c>
      <c r="S513" s="1914" t="s">
        <v>1511</v>
      </c>
      <c r="T513" s="1914" t="s">
        <v>1512</v>
      </c>
      <c r="U513" s="1918" t="s">
        <v>1513</v>
      </c>
      <c r="V513" s="1418">
        <f>V514</f>
        <v>0</v>
      </c>
      <c r="W513" s="16"/>
      <c r="X513" s="807" t="str">
        <f>LOWER(C513)</f>
        <v>lastro com material granular (pedra britada n.3), aplicado em pisos ou radiers, espessura de 50 cm</v>
      </c>
      <c r="Y513" s="16"/>
      <c r="Z513" s="17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</row>
    <row r="514" spans="1:36" s="352" customFormat="1" ht="15.6" hidden="1">
      <c r="A514" s="351"/>
      <c r="B514" s="1964" t="e">
        <f>LEFT(#REF!,5)</f>
        <v>#REF!</v>
      </c>
      <c r="C514" s="1966" t="e">
        <f>VLOOKUP(LEFT(#REF!,5),'11 - FINANCEIRA'!_xlnm.Print_Area,2,FALSE)</f>
        <v>#REF!</v>
      </c>
      <c r="D514" s="1920" t="s">
        <v>1514</v>
      </c>
      <c r="E514" s="1921"/>
      <c r="F514" s="1922"/>
      <c r="G514" s="1923" t="s">
        <v>1515</v>
      </c>
      <c r="H514" s="1924"/>
      <c r="I514" s="1925"/>
      <c r="J514" s="1915"/>
      <c r="K514" s="1915"/>
      <c r="L514" s="1915"/>
      <c r="M514" s="1915"/>
      <c r="N514" s="1915"/>
      <c r="O514" s="1915"/>
      <c r="P514" s="353" t="s">
        <v>1516</v>
      </c>
      <c r="Q514" s="1915"/>
      <c r="R514" s="1917"/>
      <c r="S514" s="1915"/>
      <c r="T514" s="1915"/>
      <c r="U514" s="1919"/>
      <c r="V514" s="1418">
        <f>V515</f>
        <v>0</v>
      </c>
      <c r="W514" s="16"/>
      <c r="X514" s="16"/>
      <c r="Y514" s="16"/>
      <c r="Z514" s="17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</row>
    <row r="515" spans="1:36" s="510" customFormat="1" ht="30" hidden="1">
      <c r="A515" s="504"/>
      <c r="B515" s="755" t="s">
        <v>1732</v>
      </c>
      <c r="C515" s="28" t="s">
        <v>866</v>
      </c>
      <c r="D515" s="18"/>
      <c r="E515" s="19"/>
      <c r="F515" s="20"/>
      <c r="G515" s="18"/>
      <c r="H515" s="19"/>
      <c r="I515" s="20"/>
      <c r="J515" s="21"/>
      <c r="K515" s="22">
        <v>30.8</v>
      </c>
      <c r="L515" s="783">
        <v>9.9019999999999992</v>
      </c>
      <c r="M515" s="844">
        <f>0.5</f>
        <v>0.5</v>
      </c>
      <c r="N515" s="728">
        <f>TRUNC(K515*L515,3)</f>
        <v>304.98099999999999</v>
      </c>
      <c r="O515" s="845">
        <f>TRUNC(N515*M515,3)</f>
        <v>152.49</v>
      </c>
      <c r="P515" s="783"/>
      <c r="Q515" s="729"/>
      <c r="R515" s="1109">
        <f>O515</f>
        <v>152.49</v>
      </c>
      <c r="S515" s="730" t="s">
        <v>853</v>
      </c>
      <c r="T515" s="446" t="s">
        <v>303</v>
      </c>
      <c r="U515" s="846" t="s">
        <v>1733</v>
      </c>
      <c r="V515" s="1418">
        <f>V520</f>
        <v>0</v>
      </c>
      <c r="W515" s="506"/>
      <c r="X515" s="506"/>
      <c r="Y515" s="805"/>
      <c r="Z515" s="507"/>
      <c r="AA515" s="508"/>
      <c r="AB515" s="509"/>
    </row>
    <row r="516" spans="1:36" s="510" customFormat="1" ht="30" hidden="1">
      <c r="A516" s="504"/>
      <c r="B516" s="831" t="s">
        <v>1734</v>
      </c>
      <c r="C516" s="836" t="s">
        <v>866</v>
      </c>
      <c r="D516" s="895"/>
      <c r="E516" s="896"/>
      <c r="F516" s="897"/>
      <c r="G516" s="895"/>
      <c r="H516" s="896"/>
      <c r="I516" s="897"/>
      <c r="J516" s="832"/>
      <c r="K516" s="837"/>
      <c r="L516" s="898"/>
      <c r="M516" s="951">
        <v>0.5</v>
      </c>
      <c r="N516" s="840">
        <v>371.47</v>
      </c>
      <c r="O516" s="899">
        <v>185.73500000000001</v>
      </c>
      <c r="P516" s="898"/>
      <c r="Q516" s="861"/>
      <c r="R516" s="862">
        <v>185.73500000000001</v>
      </c>
      <c r="S516" s="447" t="s">
        <v>853</v>
      </c>
      <c r="T516" s="835" t="s">
        <v>326</v>
      </c>
      <c r="U516" s="945" t="s">
        <v>1735</v>
      </c>
      <c r="V516" s="1418">
        <f t="shared" ref="V516:V518" si="39">V518</f>
        <v>0</v>
      </c>
      <c r="W516" s="506"/>
      <c r="X516" s="506"/>
      <c r="Y516" s="805"/>
      <c r="Z516" s="507"/>
      <c r="AA516" s="508"/>
      <c r="AB516" s="509"/>
    </row>
    <row r="517" spans="1:36" s="510" customFormat="1" ht="30" hidden="1">
      <c r="A517" s="504"/>
      <c r="B517" s="831" t="s">
        <v>1736</v>
      </c>
      <c r="C517" s="836" t="s">
        <v>866</v>
      </c>
      <c r="D517" s="895"/>
      <c r="E517" s="896"/>
      <c r="F517" s="897"/>
      <c r="G517" s="895"/>
      <c r="H517" s="896"/>
      <c r="I517" s="897"/>
      <c r="J517" s="832"/>
      <c r="K517" s="1217">
        <v>5.3</v>
      </c>
      <c r="L517" s="23">
        <v>4.2</v>
      </c>
      <c r="M517" s="24">
        <v>0.04</v>
      </c>
      <c r="N517" s="728">
        <f>K517*L517</f>
        <v>22.26</v>
      </c>
      <c r="O517" s="447">
        <f>K517*L517*M517</f>
        <v>0.89040000000000008</v>
      </c>
      <c r="P517" s="23"/>
      <c r="Q517" s="445"/>
      <c r="R517" s="445">
        <f>O517</f>
        <v>0.89040000000000008</v>
      </c>
      <c r="S517" s="447" t="s">
        <v>853</v>
      </c>
      <c r="T517" s="835" t="s">
        <v>326</v>
      </c>
      <c r="U517" s="793" t="s">
        <v>1737</v>
      </c>
      <c r="V517" s="1418">
        <f t="shared" si="39"/>
        <v>0</v>
      </c>
      <c r="W517" s="506"/>
      <c r="X517" s="506"/>
      <c r="Y517" s="805"/>
      <c r="Z517" s="507"/>
      <c r="AA517" s="508"/>
      <c r="AB517" s="509"/>
    </row>
    <row r="518" spans="1:36" s="510" customFormat="1" ht="30" hidden="1">
      <c r="A518" s="504"/>
      <c r="B518" s="831" t="s">
        <v>1738</v>
      </c>
      <c r="C518" s="836" t="s">
        <v>866</v>
      </c>
      <c r="D518" s="895"/>
      <c r="E518" s="896"/>
      <c r="F518" s="897"/>
      <c r="G518" s="895"/>
      <c r="H518" s="896"/>
      <c r="I518" s="897"/>
      <c r="J518" s="832"/>
      <c r="K518" s="1217">
        <v>8.5</v>
      </c>
      <c r="L518" s="23">
        <v>4</v>
      </c>
      <c r="M518" s="24">
        <v>0.04</v>
      </c>
      <c r="N518" s="728">
        <f>K518*L518</f>
        <v>34</v>
      </c>
      <c r="O518" s="447">
        <f>K518*L518*M518</f>
        <v>1.36</v>
      </c>
      <c r="P518" s="23"/>
      <c r="Q518" s="445"/>
      <c r="R518" s="445">
        <f>O518</f>
        <v>1.36</v>
      </c>
      <c r="S518" s="447" t="s">
        <v>853</v>
      </c>
      <c r="T518" s="835" t="s">
        <v>326</v>
      </c>
      <c r="U518" s="793" t="s">
        <v>1739</v>
      </c>
      <c r="V518" s="1418">
        <f t="shared" si="39"/>
        <v>0</v>
      </c>
      <c r="W518" s="506"/>
      <c r="X518" s="506"/>
      <c r="Y518" s="805"/>
      <c r="Z518" s="507"/>
      <c r="AA518" s="508"/>
      <c r="AB518" s="509"/>
    </row>
    <row r="519" spans="1:36" s="510" customFormat="1" ht="30" hidden="1">
      <c r="A519" s="504"/>
      <c r="B519" s="766" t="s">
        <v>1740</v>
      </c>
      <c r="C519" s="30" t="s">
        <v>866</v>
      </c>
      <c r="D519" s="901"/>
      <c r="E519" s="902"/>
      <c r="F519" s="903"/>
      <c r="G519" s="901"/>
      <c r="H519" s="902"/>
      <c r="I519" s="903"/>
      <c r="J519" s="767"/>
      <c r="K519" s="1219">
        <v>2.8</v>
      </c>
      <c r="L519" s="769">
        <v>5</v>
      </c>
      <c r="M519" s="769">
        <v>0.04</v>
      </c>
      <c r="N519" s="1150">
        <f>K519*L519</f>
        <v>14</v>
      </c>
      <c r="O519" s="773">
        <f>K519*L519*M519</f>
        <v>0.56000000000000005</v>
      </c>
      <c r="P519" s="769"/>
      <c r="Q519" s="503"/>
      <c r="R519" s="503">
        <f>O519</f>
        <v>0.56000000000000005</v>
      </c>
      <c r="S519" s="773" t="s">
        <v>853</v>
      </c>
      <c r="T519" s="774" t="s">
        <v>326</v>
      </c>
      <c r="U519" s="906" t="s">
        <v>1741</v>
      </c>
      <c r="V519" s="1418">
        <f>V521</f>
        <v>0</v>
      </c>
      <c r="W519" s="506"/>
      <c r="X519" s="506"/>
      <c r="Y519" s="805"/>
      <c r="Z519" s="507"/>
      <c r="AA519" s="508"/>
      <c r="AB519" s="509"/>
    </row>
    <row r="520" spans="1:36" s="77" customFormat="1" ht="15.6" hidden="1">
      <c r="A520" s="370"/>
      <c r="B520" s="499"/>
      <c r="C520" s="37"/>
      <c r="D520" s="1940" t="s">
        <v>1520</v>
      </c>
      <c r="E520" s="1941"/>
      <c r="F520" s="1941"/>
      <c r="G520" s="1941"/>
      <c r="H520" s="1941"/>
      <c r="I520" s="1942"/>
      <c r="J520" s="1955">
        <f>VLOOKUP(A522,'11 - FINANCEIRA'!_xlnm.Print_Area,6,FALSE)</f>
        <v>418.28</v>
      </c>
      <c r="K520" s="1956"/>
      <c r="L520" s="483" t="str">
        <f>VLOOKUP(A522,'11 - FINANCEIRA'!_xlnm.Print_Area,4,FALSE)</f>
        <v>m³</v>
      </c>
      <c r="M520" s="1957" t="s">
        <v>1521</v>
      </c>
      <c r="N520" s="1958"/>
      <c r="O520" s="1958"/>
      <c r="P520" s="1958"/>
      <c r="Q520" s="1959"/>
      <c r="R520" s="484">
        <f>SUM(R515:R519)</f>
        <v>341.03540000000004</v>
      </c>
      <c r="S520" s="485" t="str">
        <f>L520</f>
        <v>m³</v>
      </c>
      <c r="T520" s="373"/>
      <c r="U520" s="486"/>
      <c r="V520" s="1418">
        <f>V521</f>
        <v>0</v>
      </c>
      <c r="AB520" s="15"/>
    </row>
    <row r="521" spans="1:36" s="77" customFormat="1" ht="15.6" hidden="1">
      <c r="A521" s="370"/>
      <c r="B521" s="499"/>
      <c r="C521" s="725"/>
      <c r="D521" s="1937" t="s">
        <v>1522</v>
      </c>
      <c r="E521" s="1938"/>
      <c r="F521" s="1938"/>
      <c r="G521" s="1938"/>
      <c r="H521" s="1938"/>
      <c r="I521" s="1939"/>
      <c r="J521" s="1943">
        <f>R520/J520</f>
        <v>0.81532800994549115</v>
      </c>
      <c r="K521" s="1944"/>
      <c r="L521" s="1947"/>
      <c r="M521" s="1934" t="s">
        <v>1523</v>
      </c>
      <c r="N521" s="1935"/>
      <c r="O521" s="1935"/>
      <c r="P521" s="1935"/>
      <c r="Q521" s="1936"/>
      <c r="R521" s="726">
        <f>VLOOKUP(A522,'11 - FINANCEIRA'!_xlnm.Print_Area,8,FALSE)</f>
        <v>341.03540000000004</v>
      </c>
      <c r="S521" s="727" t="str">
        <f>L520</f>
        <v>m³</v>
      </c>
      <c r="T521" s="373"/>
      <c r="U521" s="486"/>
      <c r="V521" s="1418">
        <f>V522</f>
        <v>0</v>
      </c>
      <c r="AB521" s="15"/>
    </row>
    <row r="522" spans="1:36" s="77" customFormat="1" ht="15.6" hidden="1">
      <c r="A522" s="364" t="s">
        <v>370</v>
      </c>
      <c r="B522" s="499"/>
      <c r="C522" s="37"/>
      <c r="D522" s="2013"/>
      <c r="E522" s="2014"/>
      <c r="F522" s="2014"/>
      <c r="G522" s="2014"/>
      <c r="H522" s="2014"/>
      <c r="I522" s="2015"/>
      <c r="J522" s="2016"/>
      <c r="K522" s="2017"/>
      <c r="L522" s="1962"/>
      <c r="M522" s="2007" t="s">
        <v>1524</v>
      </c>
      <c r="N522" s="2008"/>
      <c r="O522" s="2008"/>
      <c r="P522" s="2008"/>
      <c r="Q522" s="2009"/>
      <c r="R522" s="1345">
        <f>R520-R521</f>
        <v>0</v>
      </c>
      <c r="S522" s="1346" t="str">
        <f>L520</f>
        <v>m³</v>
      </c>
      <c r="T522" s="373"/>
      <c r="U522" s="486"/>
      <c r="V522" s="1418">
        <f>R522</f>
        <v>0</v>
      </c>
      <c r="AB522" s="15"/>
    </row>
    <row r="523" spans="1:36" s="77" customFormat="1" ht="15.6" hidden="1">
      <c r="A523" s="370"/>
      <c r="B523" s="1347"/>
      <c r="C523" s="1348"/>
      <c r="D523" s="1349"/>
      <c r="E523" s="1350"/>
      <c r="F523" s="1349"/>
      <c r="G523" s="1349"/>
      <c r="H523" s="1349"/>
      <c r="I523" s="1349"/>
      <c r="J523" s="1351"/>
      <c r="K523" s="1352"/>
      <c r="L523" s="1353"/>
      <c r="M523" s="1354"/>
      <c r="N523" s="1354"/>
      <c r="O523" s="1354"/>
      <c r="P523" s="1354"/>
      <c r="Q523" s="1354"/>
      <c r="R523" s="1355"/>
      <c r="S523" s="1356"/>
      <c r="T523" s="1357"/>
      <c r="U523" s="1358"/>
      <c r="V523" s="1420">
        <f>SUM(V513:V522)</f>
        <v>0</v>
      </c>
      <c r="AB523" s="15"/>
    </row>
    <row r="524" spans="1:36" s="352" customFormat="1" ht="15.6" hidden="1">
      <c r="A524" s="351"/>
      <c r="B524" s="1963" t="str">
        <f>VLOOKUP(A535,'11 - FINANCEIRA'!_xlnm.Print_Area,1,FALSE)</f>
        <v>2.2.7</v>
      </c>
      <c r="C524" s="1965" t="str">
        <f>VLOOKUP(A535,'11 - FINANCEIRA'!_xlnm.Print_Area,3,FALSE)</f>
        <v>Lastro de concreto magro, aplicado em pisos ou radiers. af_08/2017</v>
      </c>
      <c r="D524" s="1967" t="s">
        <v>1503</v>
      </c>
      <c r="E524" s="1968"/>
      <c r="F524" s="1968"/>
      <c r="G524" s="1968"/>
      <c r="H524" s="1968"/>
      <c r="I524" s="1969"/>
      <c r="J524" s="1914" t="s">
        <v>1504</v>
      </c>
      <c r="K524" s="1914" t="s">
        <v>1505</v>
      </c>
      <c r="L524" s="1914" t="s">
        <v>1506</v>
      </c>
      <c r="M524" s="1914" t="s">
        <v>1507</v>
      </c>
      <c r="N524" s="1914" t="s">
        <v>1508</v>
      </c>
      <c r="O524" s="1914" t="s">
        <v>1509</v>
      </c>
      <c r="P524" s="1341" t="s">
        <v>1510</v>
      </c>
      <c r="Q524" s="1914" t="s">
        <v>1493</v>
      </c>
      <c r="R524" s="1916" t="s">
        <v>804</v>
      </c>
      <c r="S524" s="1914" t="s">
        <v>1511</v>
      </c>
      <c r="T524" s="1914" t="s">
        <v>1512</v>
      </c>
      <c r="U524" s="1918" t="s">
        <v>1513</v>
      </c>
      <c r="V524" s="1418">
        <f t="shared" ref="V524:V534" si="40">V525</f>
        <v>0</v>
      </c>
      <c r="W524" s="16"/>
      <c r="X524" s="807" t="str">
        <f>LOWER(C524)</f>
        <v>lastro de concreto magro, aplicado em pisos ou radiers. af_08/2017</v>
      </c>
      <c r="Y524" s="16"/>
      <c r="Z524" s="17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</row>
    <row r="525" spans="1:36" s="352" customFormat="1" ht="15.6" hidden="1">
      <c r="A525" s="351"/>
      <c r="B525" s="1964" t="e">
        <f>LEFT(#REF!,5)</f>
        <v>#REF!</v>
      </c>
      <c r="C525" s="1966" t="e">
        <f>VLOOKUP(LEFT(#REF!,5),'11 - FINANCEIRA'!_xlnm.Print_Area,2,FALSE)</f>
        <v>#REF!</v>
      </c>
      <c r="D525" s="1920" t="s">
        <v>1514</v>
      </c>
      <c r="E525" s="1921"/>
      <c r="F525" s="1922"/>
      <c r="G525" s="1923" t="s">
        <v>1515</v>
      </c>
      <c r="H525" s="1924"/>
      <c r="I525" s="1925"/>
      <c r="J525" s="1915"/>
      <c r="K525" s="1915"/>
      <c r="L525" s="1915"/>
      <c r="M525" s="1915"/>
      <c r="N525" s="1915"/>
      <c r="O525" s="1915"/>
      <c r="P525" s="353" t="s">
        <v>1516</v>
      </c>
      <c r="Q525" s="1915"/>
      <c r="R525" s="1917"/>
      <c r="S525" s="1915"/>
      <c r="T525" s="1915"/>
      <c r="U525" s="1919"/>
      <c r="V525" s="1418">
        <f t="shared" si="40"/>
        <v>0</v>
      </c>
      <c r="W525" s="16"/>
      <c r="X525" s="16"/>
      <c r="Y525" s="16"/>
      <c r="Z525" s="17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</row>
    <row r="526" spans="1:36" s="361" customFormat="1" ht="15" hidden="1" customHeight="1">
      <c r="A526" s="354"/>
      <c r="B526" s="755" t="s">
        <v>1732</v>
      </c>
      <c r="C526" s="28" t="s">
        <v>1742</v>
      </c>
      <c r="D526" s="18"/>
      <c r="E526" s="19"/>
      <c r="F526" s="20"/>
      <c r="G526" s="18"/>
      <c r="H526" s="19"/>
      <c r="I526" s="20"/>
      <c r="J526" s="21"/>
      <c r="K526" s="22">
        <v>30.8</v>
      </c>
      <c r="L526" s="783">
        <f>L515</f>
        <v>9.9019999999999992</v>
      </c>
      <c r="M526" s="844">
        <v>8.5000000000000006E-2</v>
      </c>
      <c r="N526" s="728">
        <f>K526*L526</f>
        <v>304.98159999999996</v>
      </c>
      <c r="O526" s="845">
        <f>TRUNC(N526*M526,3)</f>
        <v>25.922999999999998</v>
      </c>
      <c r="P526" s="783"/>
      <c r="Q526" s="729"/>
      <c r="R526" s="1109">
        <f>O526</f>
        <v>25.922999999999998</v>
      </c>
      <c r="S526" s="447" t="s">
        <v>853</v>
      </c>
      <c r="T526" s="446" t="s">
        <v>303</v>
      </c>
      <c r="U526" s="846"/>
      <c r="V526" s="1418">
        <f t="shared" si="40"/>
        <v>0</v>
      </c>
      <c r="W526" s="357"/>
      <c r="X526" s="357"/>
      <c r="Y526" s="357"/>
      <c r="Z526" s="358"/>
      <c r="AA526" s="359"/>
      <c r="AB526" s="360"/>
    </row>
    <row r="527" spans="1:36" s="361" customFormat="1" ht="15" hidden="1" customHeight="1">
      <c r="A527" s="354"/>
      <c r="B527" s="831"/>
      <c r="C527" s="836" t="s">
        <v>1743</v>
      </c>
      <c r="D527" s="895"/>
      <c r="E527" s="896"/>
      <c r="F527" s="897"/>
      <c r="G527" s="895"/>
      <c r="H527" s="896"/>
      <c r="I527" s="897"/>
      <c r="J527" s="832"/>
      <c r="K527" s="837">
        <v>30.8</v>
      </c>
      <c r="L527" s="898">
        <v>2.8</v>
      </c>
      <c r="M527" s="951">
        <v>0.05</v>
      </c>
      <c r="N527" s="840">
        <v>86.24</v>
      </c>
      <c r="O527" s="899">
        <v>4.3120000000000003</v>
      </c>
      <c r="P527" s="898"/>
      <c r="Q527" s="861"/>
      <c r="R527" s="862">
        <v>4.3120000000000003</v>
      </c>
      <c r="S527" s="447" t="s">
        <v>853</v>
      </c>
      <c r="T527" s="835" t="s">
        <v>314</v>
      </c>
      <c r="U527" s="945"/>
      <c r="V527" s="1418">
        <f t="shared" si="40"/>
        <v>0</v>
      </c>
      <c r="W527" s="357"/>
      <c r="X527" s="357"/>
      <c r="Y527" s="357"/>
      <c r="Z527" s="358"/>
      <c r="AA527" s="359"/>
      <c r="AB527" s="360"/>
    </row>
    <row r="528" spans="1:36" s="361" customFormat="1" ht="15" hidden="1" customHeight="1">
      <c r="A528" s="354"/>
      <c r="B528" s="831"/>
      <c r="C528" s="836" t="s">
        <v>1744</v>
      </c>
      <c r="D528" s="895"/>
      <c r="E528" s="896"/>
      <c r="F528" s="897"/>
      <c r="G528" s="895"/>
      <c r="H528" s="896"/>
      <c r="I528" s="897"/>
      <c r="J528" s="832"/>
      <c r="K528" s="837"/>
      <c r="L528" s="898"/>
      <c r="M528" s="951">
        <v>0.05</v>
      </c>
      <c r="N528" s="840">
        <v>177.41399999999999</v>
      </c>
      <c r="O528" s="899">
        <v>8.8706999999999994</v>
      </c>
      <c r="P528" s="898"/>
      <c r="Q528" s="861"/>
      <c r="R528" s="862">
        <v>8.8699999999999992</v>
      </c>
      <c r="S528" s="447" t="s">
        <v>853</v>
      </c>
      <c r="T528" s="835" t="s">
        <v>320</v>
      </c>
      <c r="U528" s="945" t="s">
        <v>1745</v>
      </c>
      <c r="V528" s="1418">
        <f t="shared" si="40"/>
        <v>0</v>
      </c>
      <c r="W528" s="357"/>
      <c r="X528" s="357"/>
      <c r="Y528" s="357"/>
      <c r="Z528" s="358"/>
      <c r="AA528" s="359"/>
      <c r="AB528" s="360"/>
    </row>
    <row r="529" spans="1:36" s="361" customFormat="1" ht="15" hidden="1" customHeight="1">
      <c r="A529" s="354"/>
      <c r="B529" s="831"/>
      <c r="C529" s="836" t="s">
        <v>1744</v>
      </c>
      <c r="D529" s="895"/>
      <c r="E529" s="896"/>
      <c r="F529" s="897"/>
      <c r="G529" s="895"/>
      <c r="H529" s="896"/>
      <c r="I529" s="897"/>
      <c r="J529" s="832"/>
      <c r="K529" s="837"/>
      <c r="L529" s="898"/>
      <c r="M529" s="951">
        <v>0.05</v>
      </c>
      <c r="N529" s="840">
        <v>371.47</v>
      </c>
      <c r="O529" s="899">
        <v>18.573500000000003</v>
      </c>
      <c r="P529" s="898"/>
      <c r="Q529" s="861"/>
      <c r="R529" s="900">
        <v>18.573500000000003</v>
      </c>
      <c r="S529" s="792" t="s">
        <v>853</v>
      </c>
      <c r="T529" s="835" t="s">
        <v>324</v>
      </c>
      <c r="U529" s="945" t="s">
        <v>1735</v>
      </c>
      <c r="V529" s="1418">
        <f t="shared" si="40"/>
        <v>0</v>
      </c>
      <c r="W529" s="357"/>
      <c r="X529" s="357"/>
      <c r="Y529" s="357"/>
      <c r="Z529" s="358"/>
      <c r="AA529" s="359"/>
      <c r="AB529" s="360"/>
    </row>
    <row r="530" spans="1:36" s="361" customFormat="1" ht="15" hidden="1" customHeight="1">
      <c r="A530" s="354"/>
      <c r="B530" s="831"/>
      <c r="C530" s="836" t="s">
        <v>868</v>
      </c>
      <c r="D530" s="895"/>
      <c r="E530" s="896"/>
      <c r="F530" s="897"/>
      <c r="G530" s="895"/>
      <c r="H530" s="896"/>
      <c r="I530" s="897"/>
      <c r="J530" s="832"/>
      <c r="K530" s="1217">
        <v>5.3</v>
      </c>
      <c r="L530" s="23">
        <v>4.2</v>
      </c>
      <c r="M530" s="24">
        <v>0.05</v>
      </c>
      <c r="N530" s="728">
        <f>K530*L530</f>
        <v>22.26</v>
      </c>
      <c r="O530" s="447">
        <f>K530*L530*M530</f>
        <v>1.1130000000000002</v>
      </c>
      <c r="P530" s="23"/>
      <c r="Q530" s="445"/>
      <c r="R530" s="445">
        <f>O530</f>
        <v>1.1130000000000002</v>
      </c>
      <c r="S530" s="447" t="s">
        <v>853</v>
      </c>
      <c r="T530" s="835" t="s">
        <v>326</v>
      </c>
      <c r="U530" s="793" t="s">
        <v>1737</v>
      </c>
      <c r="V530" s="1418">
        <f t="shared" si="40"/>
        <v>0</v>
      </c>
      <c r="W530" s="357"/>
      <c r="X530" s="357"/>
      <c r="Y530" s="357"/>
      <c r="Z530" s="358"/>
      <c r="AA530" s="359"/>
      <c r="AB530" s="360"/>
    </row>
    <row r="531" spans="1:36" s="361" customFormat="1" ht="15" hidden="1" customHeight="1">
      <c r="A531" s="354"/>
      <c r="B531" s="831"/>
      <c r="C531" s="836" t="s">
        <v>868</v>
      </c>
      <c r="D531" s="895"/>
      <c r="E531" s="896"/>
      <c r="F531" s="897"/>
      <c r="G531" s="895"/>
      <c r="H531" s="896"/>
      <c r="I531" s="897"/>
      <c r="J531" s="832"/>
      <c r="K531" s="1220">
        <v>8.5</v>
      </c>
      <c r="L531" s="833">
        <v>4</v>
      </c>
      <c r="M531" s="839">
        <v>0.05</v>
      </c>
      <c r="N531" s="840">
        <f>K531*L531</f>
        <v>34</v>
      </c>
      <c r="O531" s="792">
        <f>K531*L531*M531</f>
        <v>1.7000000000000002</v>
      </c>
      <c r="P531" s="833"/>
      <c r="Q531" s="834"/>
      <c r="R531" s="834">
        <f>O531</f>
        <v>1.7000000000000002</v>
      </c>
      <c r="S531" s="792" t="s">
        <v>853</v>
      </c>
      <c r="T531" s="835" t="s">
        <v>326</v>
      </c>
      <c r="U531" s="843" t="s">
        <v>1739</v>
      </c>
      <c r="V531" s="1418">
        <f t="shared" si="40"/>
        <v>0</v>
      </c>
      <c r="W531" s="357"/>
      <c r="X531" s="357"/>
      <c r="Y531" s="357"/>
      <c r="Z531" s="358"/>
      <c r="AA531" s="359"/>
      <c r="AB531" s="360"/>
    </row>
    <row r="532" spans="1:36" s="361" customFormat="1" ht="15" hidden="1" customHeight="1">
      <c r="A532" s="354"/>
      <c r="B532" s="455"/>
      <c r="C532" s="30" t="s">
        <v>868</v>
      </c>
      <c r="D532" s="901"/>
      <c r="E532" s="902"/>
      <c r="F532" s="903"/>
      <c r="G532" s="901"/>
      <c r="H532" s="902"/>
      <c r="I532" s="903"/>
      <c r="J532" s="1149"/>
      <c r="K532" s="1219">
        <v>2.8</v>
      </c>
      <c r="L532" s="769">
        <v>5</v>
      </c>
      <c r="M532" s="770">
        <v>0.05</v>
      </c>
      <c r="N532" s="1150">
        <f>K532*L532</f>
        <v>14</v>
      </c>
      <c r="O532" s="773">
        <f>K532*L532*M532</f>
        <v>0.70000000000000007</v>
      </c>
      <c r="P532" s="769"/>
      <c r="Q532" s="503"/>
      <c r="R532" s="503">
        <f>O532</f>
        <v>0.70000000000000007</v>
      </c>
      <c r="S532" s="773" t="s">
        <v>853</v>
      </c>
      <c r="T532" s="774" t="s">
        <v>326</v>
      </c>
      <c r="U532" s="906" t="s">
        <v>1741</v>
      </c>
      <c r="V532" s="1208">
        <f>V533</f>
        <v>0</v>
      </c>
      <c r="W532" s="357"/>
      <c r="X532" s="357"/>
      <c r="Y532" s="806"/>
      <c r="Z532" s="358"/>
      <c r="AA532" s="359"/>
      <c r="AB532" s="360"/>
    </row>
    <row r="533" spans="1:36" s="77" customFormat="1" ht="15.6" hidden="1">
      <c r="A533" s="370"/>
      <c r="B533" s="499"/>
      <c r="C533" s="37"/>
      <c r="D533" s="1940" t="s">
        <v>1520</v>
      </c>
      <c r="E533" s="1941"/>
      <c r="F533" s="1941"/>
      <c r="G533" s="1941"/>
      <c r="H533" s="1941"/>
      <c r="I533" s="1942"/>
      <c r="J533" s="1955">
        <f>VLOOKUP(A535,'11 - FINANCEIRA'!_xlnm.Print_Area,6,FALSE)</f>
        <v>90.73</v>
      </c>
      <c r="K533" s="1956"/>
      <c r="L533" s="483" t="str">
        <f>VLOOKUP(A535,'11 - FINANCEIRA'!_xlnm.Print_Area,4,FALSE)</f>
        <v>m³</v>
      </c>
      <c r="M533" s="1957" t="s">
        <v>1521</v>
      </c>
      <c r="N533" s="1958"/>
      <c r="O533" s="1958"/>
      <c r="P533" s="1958"/>
      <c r="Q533" s="1959"/>
      <c r="R533" s="484">
        <f>SUM(R526:R532)</f>
        <v>61.191500000000005</v>
      </c>
      <c r="S533" s="485" t="str">
        <f>L533</f>
        <v>m³</v>
      </c>
      <c r="T533" s="373"/>
      <c r="U533" s="486"/>
      <c r="V533" s="1418">
        <f t="shared" si="40"/>
        <v>0</v>
      </c>
      <c r="AB533" s="15"/>
    </row>
    <row r="534" spans="1:36" s="77" customFormat="1" ht="15.6" hidden="1">
      <c r="A534" s="370"/>
      <c r="B534" s="499"/>
      <c r="C534" s="725"/>
      <c r="D534" s="1937" t="s">
        <v>1522</v>
      </c>
      <c r="E534" s="1938"/>
      <c r="F534" s="1938"/>
      <c r="G534" s="1938"/>
      <c r="H534" s="1938"/>
      <c r="I534" s="1939"/>
      <c r="J534" s="1943">
        <f>R533/J533</f>
        <v>0.67443513722032411</v>
      </c>
      <c r="K534" s="1944"/>
      <c r="L534" s="1947"/>
      <c r="M534" s="1934" t="s">
        <v>1523</v>
      </c>
      <c r="N534" s="1935"/>
      <c r="O534" s="1935"/>
      <c r="P534" s="1935"/>
      <c r="Q534" s="1936"/>
      <c r="R534" s="726">
        <f>VLOOKUP(A535,'11 - FINANCEIRA'!_xlnm.Print_Area,8,FALSE)</f>
        <v>61.191500000000005</v>
      </c>
      <c r="S534" s="727" t="str">
        <f>L533</f>
        <v>m³</v>
      </c>
      <c r="T534" s="373"/>
      <c r="U534" s="486"/>
      <c r="V534" s="1418">
        <f t="shared" si="40"/>
        <v>0</v>
      </c>
      <c r="AB534" s="15"/>
    </row>
    <row r="535" spans="1:36" s="77" customFormat="1" ht="15.6" hidden="1">
      <c r="A535" s="364" t="s">
        <v>371</v>
      </c>
      <c r="B535" s="499"/>
      <c r="C535" s="37"/>
      <c r="D535" s="2013"/>
      <c r="E535" s="2014"/>
      <c r="F535" s="2014"/>
      <c r="G535" s="2014"/>
      <c r="H535" s="2014"/>
      <c r="I535" s="2015"/>
      <c r="J535" s="2016"/>
      <c r="K535" s="2017"/>
      <c r="L535" s="1962"/>
      <c r="M535" s="2007" t="s">
        <v>1524</v>
      </c>
      <c r="N535" s="2008"/>
      <c r="O535" s="2008"/>
      <c r="P535" s="2008"/>
      <c r="Q535" s="2009"/>
      <c r="R535" s="1345">
        <f>R533-R534</f>
        <v>0</v>
      </c>
      <c r="S535" s="1346" t="str">
        <f>L533</f>
        <v>m³</v>
      </c>
      <c r="T535" s="373"/>
      <c r="U535" s="486"/>
      <c r="V535" s="1418">
        <f>R535</f>
        <v>0</v>
      </c>
      <c r="AB535" s="15"/>
    </row>
    <row r="536" spans="1:36" s="77" customFormat="1" ht="15.6" hidden="1">
      <c r="A536" s="370"/>
      <c r="B536" s="1347"/>
      <c r="C536" s="1348"/>
      <c r="D536" s="1349"/>
      <c r="E536" s="1350"/>
      <c r="F536" s="1349"/>
      <c r="G536" s="1349"/>
      <c r="H536" s="1349"/>
      <c r="I536" s="1349"/>
      <c r="J536" s="1351"/>
      <c r="K536" s="1352"/>
      <c r="L536" s="1353"/>
      <c r="M536" s="1354"/>
      <c r="N536" s="1354"/>
      <c r="O536" s="1354"/>
      <c r="P536" s="1354"/>
      <c r="Q536" s="1354"/>
      <c r="R536" s="1355"/>
      <c r="S536" s="1356"/>
      <c r="T536" s="1357"/>
      <c r="U536" s="1358"/>
      <c r="V536" s="1420">
        <f>SUM(V524:V535)</f>
        <v>0</v>
      </c>
      <c r="AB536" s="15"/>
    </row>
    <row r="537" spans="1:36" s="352" customFormat="1" ht="15.6" hidden="1">
      <c r="A537" s="351"/>
      <c r="B537" s="1963" t="str">
        <f>VLOOKUP(A596,'11 - FINANCEIRA'!_xlnm.Print_Area,1,FALSE)</f>
        <v>2.2.8</v>
      </c>
      <c r="C537" s="1965" t="str">
        <f>VLOOKUP(A596,'11 - FINANCEIRA'!_xlnm.Print_Area,3,FALSE)</f>
        <v>Montagem e desmontagem de fôrma, escoramento metálico, pé-direito simples, em chapa de madeira resinada, 2 utilizações. af_12/2015</v>
      </c>
      <c r="D537" s="1967" t="s">
        <v>1503</v>
      </c>
      <c r="E537" s="1968"/>
      <c r="F537" s="1968"/>
      <c r="G537" s="1968"/>
      <c r="H537" s="1968"/>
      <c r="I537" s="1969"/>
      <c r="J537" s="1914" t="s">
        <v>804</v>
      </c>
      <c r="K537" s="1914" t="s">
        <v>1505</v>
      </c>
      <c r="L537" s="1914" t="s">
        <v>1506</v>
      </c>
      <c r="M537" s="1914" t="s">
        <v>1746</v>
      </c>
      <c r="N537" s="1914" t="s">
        <v>1508</v>
      </c>
      <c r="O537" s="1914" t="s">
        <v>1509</v>
      </c>
      <c r="P537" s="1341" t="s">
        <v>1747</v>
      </c>
      <c r="Q537" s="1914" t="s">
        <v>1493</v>
      </c>
      <c r="R537" s="1916" t="s">
        <v>804</v>
      </c>
      <c r="S537" s="1914" t="s">
        <v>1511</v>
      </c>
      <c r="T537" s="1914" t="s">
        <v>1512</v>
      </c>
      <c r="U537" s="1918" t="s">
        <v>1513</v>
      </c>
      <c r="V537" s="1418">
        <f t="shared" ref="V537:V595" si="41">V538</f>
        <v>0</v>
      </c>
      <c r="W537" s="16"/>
      <c r="X537" s="16"/>
      <c r="Y537" s="16"/>
      <c r="Z537" s="17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</row>
    <row r="538" spans="1:36" s="352" customFormat="1" ht="15.6" hidden="1">
      <c r="A538" s="351"/>
      <c r="B538" s="1964" t="e">
        <f>LEFT(#REF!,5)</f>
        <v>#REF!</v>
      </c>
      <c r="C538" s="1966" t="e">
        <f>VLOOKUP(LEFT(#REF!,5),'11 - FINANCEIRA'!_xlnm.Print_Area,2,FALSE)</f>
        <v>#REF!</v>
      </c>
      <c r="D538" s="1920" t="s">
        <v>1514</v>
      </c>
      <c r="E538" s="1921"/>
      <c r="F538" s="1922"/>
      <c r="G538" s="1923" t="s">
        <v>1515</v>
      </c>
      <c r="H538" s="1924"/>
      <c r="I538" s="1925"/>
      <c r="J538" s="1915"/>
      <c r="K538" s="1915"/>
      <c r="L538" s="1915"/>
      <c r="M538" s="1915"/>
      <c r="N538" s="1915"/>
      <c r="O538" s="1915"/>
      <c r="P538" s="353" t="s">
        <v>821</v>
      </c>
      <c r="Q538" s="1915"/>
      <c r="R538" s="1917"/>
      <c r="S538" s="1915"/>
      <c r="T538" s="1915"/>
      <c r="U538" s="1919"/>
      <c r="V538" s="1418">
        <f t="shared" si="41"/>
        <v>0</v>
      </c>
      <c r="W538" s="16"/>
      <c r="X538" s="16"/>
      <c r="Y538" s="16"/>
      <c r="Z538" s="17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</row>
    <row r="539" spans="1:36" s="361" customFormat="1" ht="15" hidden="1" customHeight="1">
      <c r="A539" s="354"/>
      <c r="B539" s="755"/>
      <c r="C539" s="28" t="s">
        <v>1748</v>
      </c>
      <c r="D539" s="18"/>
      <c r="E539" s="19"/>
      <c r="F539" s="20"/>
      <c r="G539" s="18"/>
      <c r="H539" s="19"/>
      <c r="I539" s="20"/>
      <c r="J539" s="21"/>
      <c r="K539" s="22">
        <f>(30.8*2)+(8.74+1.1+1.65)*2+1.65*2</f>
        <v>87.88</v>
      </c>
      <c r="L539" s="23"/>
      <c r="M539" s="24">
        <v>0.5</v>
      </c>
      <c r="N539" s="728"/>
      <c r="O539" s="25"/>
      <c r="P539" s="23"/>
      <c r="Q539" s="729"/>
      <c r="R539" s="1109">
        <f>K539*M539</f>
        <v>43.94</v>
      </c>
      <c r="S539" s="447" t="s">
        <v>821</v>
      </c>
      <c r="T539" s="446" t="s">
        <v>304</v>
      </c>
      <c r="U539" s="793" t="s">
        <v>1749</v>
      </c>
      <c r="V539" s="1418">
        <f t="shared" si="41"/>
        <v>0</v>
      </c>
      <c r="W539" s="357"/>
      <c r="X539" s="357"/>
      <c r="Y539" s="357"/>
      <c r="Z539" s="358"/>
      <c r="AA539" s="359"/>
      <c r="AB539" s="360"/>
    </row>
    <row r="540" spans="1:36" s="361" customFormat="1" ht="15" hidden="1" customHeight="1">
      <c r="A540" s="354"/>
      <c r="B540" s="755"/>
      <c r="C540" s="28" t="s">
        <v>1748</v>
      </c>
      <c r="D540" s="18"/>
      <c r="E540" s="19"/>
      <c r="F540" s="20"/>
      <c r="G540" s="18"/>
      <c r="H540" s="19"/>
      <c r="I540" s="20"/>
      <c r="J540" s="21">
        <v>1</v>
      </c>
      <c r="K540" s="22">
        <v>99.92</v>
      </c>
      <c r="L540" s="783"/>
      <c r="M540" s="24">
        <v>4.2</v>
      </c>
      <c r="N540" s="785">
        <f>K540*M540</f>
        <v>419.66400000000004</v>
      </c>
      <c r="O540" s="845"/>
      <c r="P540" s="23"/>
      <c r="Q540" s="729"/>
      <c r="R540" s="862">
        <f t="shared" ref="R540:R551" si="42">N540</f>
        <v>419.66400000000004</v>
      </c>
      <c r="S540" s="447" t="s">
        <v>821</v>
      </c>
      <c r="T540" s="446" t="s">
        <v>305</v>
      </c>
      <c r="U540" s="793" t="s">
        <v>1750</v>
      </c>
      <c r="V540" s="1418">
        <f t="shared" si="41"/>
        <v>0</v>
      </c>
      <c r="W540" s="357"/>
      <c r="X540" s="357"/>
      <c r="Y540" s="357"/>
      <c r="Z540" s="358"/>
      <c r="AA540" s="359"/>
      <c r="AB540" s="360"/>
    </row>
    <row r="541" spans="1:36" s="361" customFormat="1" ht="15" hidden="1" customHeight="1">
      <c r="A541" s="354"/>
      <c r="B541" s="755"/>
      <c r="C541" s="28" t="s">
        <v>1748</v>
      </c>
      <c r="D541" s="18"/>
      <c r="E541" s="19"/>
      <c r="F541" s="20"/>
      <c r="G541" s="18"/>
      <c r="H541" s="19"/>
      <c r="I541" s="20"/>
      <c r="J541" s="21">
        <v>9</v>
      </c>
      <c r="K541" s="22">
        <f>4.2*2+0.2</f>
        <v>8.6</v>
      </c>
      <c r="L541" s="783"/>
      <c r="M541" s="24">
        <v>4.0999999999999996</v>
      </c>
      <c r="N541" s="785">
        <f>K541*M541*J541</f>
        <v>317.33999999999997</v>
      </c>
      <c r="O541" s="845"/>
      <c r="P541" s="23"/>
      <c r="Q541" s="729"/>
      <c r="R541" s="862">
        <f t="shared" si="42"/>
        <v>317.33999999999997</v>
      </c>
      <c r="S541" s="447" t="s">
        <v>821</v>
      </c>
      <c r="T541" s="446" t="s">
        <v>305</v>
      </c>
      <c r="U541" s="793" t="s">
        <v>1751</v>
      </c>
      <c r="V541" s="1418">
        <f t="shared" si="41"/>
        <v>0</v>
      </c>
      <c r="W541" s="357"/>
      <c r="X541" s="357"/>
      <c r="Y541" s="357"/>
      <c r="Z541" s="358"/>
      <c r="AA541" s="359"/>
      <c r="AB541" s="360"/>
    </row>
    <row r="542" spans="1:36" s="361" customFormat="1" ht="15" hidden="1" customHeight="1">
      <c r="A542" s="354"/>
      <c r="B542" s="755"/>
      <c r="C542" s="28" t="s">
        <v>1748</v>
      </c>
      <c r="D542" s="18"/>
      <c r="E542" s="19"/>
      <c r="F542" s="20"/>
      <c r="G542" s="18"/>
      <c r="H542" s="19"/>
      <c r="I542" s="20"/>
      <c r="J542" s="21">
        <v>1</v>
      </c>
      <c r="K542" s="22">
        <f>29.8*2</f>
        <v>59.6</v>
      </c>
      <c r="L542" s="783"/>
      <c r="M542" s="24">
        <v>1.5</v>
      </c>
      <c r="N542" s="785">
        <f>K542*M542*J542</f>
        <v>89.4</v>
      </c>
      <c r="O542" s="845"/>
      <c r="P542" s="23"/>
      <c r="Q542" s="729"/>
      <c r="R542" s="862">
        <f t="shared" si="42"/>
        <v>89.4</v>
      </c>
      <c r="S542" s="447" t="s">
        <v>821</v>
      </c>
      <c r="T542" s="446" t="s">
        <v>305</v>
      </c>
      <c r="U542" s="793" t="s">
        <v>1752</v>
      </c>
      <c r="V542" s="1418">
        <f t="shared" si="41"/>
        <v>0</v>
      </c>
      <c r="W542" s="357"/>
      <c r="X542" s="357"/>
      <c r="Y542" s="357"/>
      <c r="Z542" s="358"/>
      <c r="AA542" s="359"/>
      <c r="AB542" s="360"/>
    </row>
    <row r="543" spans="1:36" s="361" customFormat="1" ht="15" hidden="1" customHeight="1">
      <c r="A543" s="354"/>
      <c r="B543" s="755"/>
      <c r="C543" s="28" t="s">
        <v>1748</v>
      </c>
      <c r="D543" s="18"/>
      <c r="E543" s="19"/>
      <c r="F543" s="20"/>
      <c r="G543" s="18"/>
      <c r="H543" s="19"/>
      <c r="I543" s="20"/>
      <c r="J543" s="21">
        <v>1</v>
      </c>
      <c r="K543" s="22">
        <f>29.8*2</f>
        <v>59.6</v>
      </c>
      <c r="L543" s="783"/>
      <c r="M543" s="24">
        <v>1.5</v>
      </c>
      <c r="N543" s="785">
        <f t="shared" ref="N543:N549" si="43">K543*M543*J543</f>
        <v>89.4</v>
      </c>
      <c r="O543" s="845"/>
      <c r="P543" s="23"/>
      <c r="Q543" s="729"/>
      <c r="R543" s="862">
        <f t="shared" si="42"/>
        <v>89.4</v>
      </c>
      <c r="S543" s="447" t="s">
        <v>821</v>
      </c>
      <c r="T543" s="446" t="s">
        <v>305</v>
      </c>
      <c r="U543" s="793" t="s">
        <v>1753</v>
      </c>
      <c r="V543" s="1418">
        <f>V593</f>
        <v>0</v>
      </c>
      <c r="W543" s="357"/>
      <c r="X543" s="357"/>
      <c r="Y543" s="357"/>
      <c r="Z543" s="358"/>
      <c r="AA543" s="359"/>
      <c r="AB543" s="360"/>
    </row>
    <row r="544" spans="1:36" s="361" customFormat="1" ht="15" hidden="1" customHeight="1">
      <c r="A544" s="354"/>
      <c r="B544" s="755"/>
      <c r="C544" s="28" t="s">
        <v>1748</v>
      </c>
      <c r="D544" s="18"/>
      <c r="E544" s="19"/>
      <c r="F544" s="20"/>
      <c r="G544" s="18"/>
      <c r="H544" s="19"/>
      <c r="I544" s="20"/>
      <c r="J544" s="21">
        <v>2</v>
      </c>
      <c r="K544" s="22">
        <f>(1.65+1.65+0.5)</f>
        <v>3.8</v>
      </c>
      <c r="L544" s="783"/>
      <c r="M544" s="24">
        <v>4.2</v>
      </c>
      <c r="N544" s="785">
        <f t="shared" si="43"/>
        <v>31.919999999999998</v>
      </c>
      <c r="O544" s="845"/>
      <c r="P544" s="23"/>
      <c r="Q544" s="729"/>
      <c r="R544" s="862">
        <f t="shared" si="42"/>
        <v>31.919999999999998</v>
      </c>
      <c r="S544" s="447" t="s">
        <v>821</v>
      </c>
      <c r="T544" s="446" t="s">
        <v>305</v>
      </c>
      <c r="U544" s="793" t="s">
        <v>1754</v>
      </c>
      <c r="V544" s="1418">
        <f t="shared" si="41"/>
        <v>0</v>
      </c>
      <c r="W544" s="357"/>
      <c r="X544" s="357"/>
      <c r="Y544" s="357"/>
      <c r="Z544" s="358"/>
      <c r="AA544" s="359"/>
      <c r="AB544" s="360"/>
    </row>
    <row r="545" spans="1:28" s="361" customFormat="1" ht="15" hidden="1" customHeight="1">
      <c r="A545" s="354"/>
      <c r="B545" s="755"/>
      <c r="C545" s="28" t="s">
        <v>1748</v>
      </c>
      <c r="D545" s="18"/>
      <c r="E545" s="19"/>
      <c r="F545" s="20"/>
      <c r="G545" s="18"/>
      <c r="H545" s="19"/>
      <c r="I545" s="20"/>
      <c r="J545" s="21">
        <v>1</v>
      </c>
      <c r="K545" s="22">
        <f>(29.8*2+2.43*2)</f>
        <v>64.460000000000008</v>
      </c>
      <c r="L545" s="783"/>
      <c r="M545" s="24">
        <v>0.2</v>
      </c>
      <c r="N545" s="785">
        <f t="shared" si="43"/>
        <v>12.892000000000003</v>
      </c>
      <c r="O545" s="845"/>
      <c r="P545" s="23"/>
      <c r="Q545" s="729"/>
      <c r="R545" s="862">
        <f t="shared" si="42"/>
        <v>12.892000000000003</v>
      </c>
      <c r="S545" s="447" t="s">
        <v>821</v>
      </c>
      <c r="T545" s="446" t="s">
        <v>56</v>
      </c>
      <c r="U545" s="793" t="s">
        <v>1755</v>
      </c>
      <c r="V545" s="1418">
        <f t="shared" si="41"/>
        <v>0</v>
      </c>
      <c r="W545" s="357"/>
      <c r="X545" s="357"/>
      <c r="Y545" s="357"/>
      <c r="Z545" s="358"/>
      <c r="AA545" s="359"/>
      <c r="AB545" s="360"/>
    </row>
    <row r="546" spans="1:28" s="361" customFormat="1" ht="15" hidden="1" customHeight="1">
      <c r="A546" s="354"/>
      <c r="B546" s="755"/>
      <c r="C546" s="28" t="s">
        <v>1748</v>
      </c>
      <c r="D546" s="895"/>
      <c r="E546" s="896"/>
      <c r="F546" s="897"/>
      <c r="G546" s="895"/>
      <c r="H546" s="896"/>
      <c r="I546" s="897"/>
      <c r="J546" s="832">
        <v>1</v>
      </c>
      <c r="K546" s="22">
        <f>29.8*2</f>
        <v>59.6</v>
      </c>
      <c r="L546" s="898"/>
      <c r="M546" s="839">
        <v>0.7</v>
      </c>
      <c r="N546" s="785">
        <f t="shared" si="43"/>
        <v>41.72</v>
      </c>
      <c r="O546" s="899"/>
      <c r="P546" s="833"/>
      <c r="Q546" s="861"/>
      <c r="R546" s="862">
        <f t="shared" si="42"/>
        <v>41.72</v>
      </c>
      <c r="S546" s="447" t="s">
        <v>821</v>
      </c>
      <c r="T546" s="835" t="s">
        <v>56</v>
      </c>
      <c r="U546" s="843" t="s">
        <v>1756</v>
      </c>
      <c r="V546" s="1418">
        <f t="shared" si="41"/>
        <v>0</v>
      </c>
      <c r="W546" s="357"/>
      <c r="X546" s="357"/>
      <c r="Y546" s="357"/>
      <c r="Z546" s="358"/>
      <c r="AA546" s="359"/>
      <c r="AB546" s="360"/>
    </row>
    <row r="547" spans="1:28" s="361" customFormat="1" ht="15" hidden="1" customHeight="1">
      <c r="A547" s="354"/>
      <c r="B547" s="755"/>
      <c r="C547" s="28" t="s">
        <v>1748</v>
      </c>
      <c r="D547" s="895"/>
      <c r="E547" s="896"/>
      <c r="F547" s="897"/>
      <c r="G547" s="895"/>
      <c r="H547" s="896"/>
      <c r="I547" s="897"/>
      <c r="J547" s="832">
        <v>4</v>
      </c>
      <c r="K547" s="22">
        <f>(1.8*2+0.3*2)</f>
        <v>4.2</v>
      </c>
      <c r="L547" s="898"/>
      <c r="M547" s="839">
        <v>6.15</v>
      </c>
      <c r="N547" s="785">
        <f t="shared" si="43"/>
        <v>103.32000000000001</v>
      </c>
      <c r="O547" s="899"/>
      <c r="P547" s="833"/>
      <c r="Q547" s="861"/>
      <c r="R547" s="862">
        <f t="shared" si="42"/>
        <v>103.32000000000001</v>
      </c>
      <c r="S547" s="447" t="s">
        <v>821</v>
      </c>
      <c r="T547" s="835" t="s">
        <v>56</v>
      </c>
      <c r="U547" s="843" t="s">
        <v>1757</v>
      </c>
      <c r="V547" s="1418">
        <f t="shared" si="41"/>
        <v>0</v>
      </c>
      <c r="W547" s="357"/>
      <c r="X547" s="357"/>
      <c r="Y547" s="357"/>
      <c r="Z547" s="358"/>
      <c r="AA547" s="359"/>
      <c r="AB547" s="360"/>
    </row>
    <row r="548" spans="1:28" s="361" customFormat="1" ht="15" hidden="1" customHeight="1">
      <c r="A548" s="354"/>
      <c r="B548" s="755"/>
      <c r="C548" s="28" t="s">
        <v>1748</v>
      </c>
      <c r="D548" s="895"/>
      <c r="E548" s="896"/>
      <c r="F548" s="897"/>
      <c r="G548" s="895"/>
      <c r="H548" s="896"/>
      <c r="I548" s="897"/>
      <c r="J548" s="832">
        <v>1</v>
      </c>
      <c r="K548" s="837">
        <v>29.8</v>
      </c>
      <c r="L548" s="898"/>
      <c r="M548" s="839">
        <v>1.1499999999999999</v>
      </c>
      <c r="N548" s="785">
        <f t="shared" si="43"/>
        <v>34.269999999999996</v>
      </c>
      <c r="O548" s="899"/>
      <c r="P548" s="833"/>
      <c r="Q548" s="861"/>
      <c r="R548" s="900">
        <f t="shared" si="42"/>
        <v>34.269999999999996</v>
      </c>
      <c r="S548" s="447" t="s">
        <v>821</v>
      </c>
      <c r="T548" s="835" t="s">
        <v>56</v>
      </c>
      <c r="U548" s="843" t="s">
        <v>1758</v>
      </c>
      <c r="V548" s="1418">
        <f t="shared" si="41"/>
        <v>0</v>
      </c>
      <c r="W548" s="357"/>
      <c r="X548" s="357"/>
      <c r="Y548" s="357"/>
      <c r="Z548" s="358"/>
      <c r="AA548" s="359"/>
      <c r="AB548" s="360"/>
    </row>
    <row r="549" spans="1:28" s="361" customFormat="1" ht="15" hidden="1" customHeight="1">
      <c r="A549" s="354"/>
      <c r="B549" s="755"/>
      <c r="C549" s="28" t="s">
        <v>1748</v>
      </c>
      <c r="D549" s="895"/>
      <c r="E549" s="896"/>
      <c r="F549" s="897"/>
      <c r="G549" s="895"/>
      <c r="H549" s="896"/>
      <c r="I549" s="897"/>
      <c r="J549" s="832">
        <v>2</v>
      </c>
      <c r="K549" s="837">
        <f>(0.35*2+0.3)</f>
        <v>1</v>
      </c>
      <c r="L549" s="898"/>
      <c r="M549" s="839">
        <v>2.5499999999999998</v>
      </c>
      <c r="N549" s="785">
        <f t="shared" si="43"/>
        <v>5.0999999999999996</v>
      </c>
      <c r="O549" s="899"/>
      <c r="P549" s="833"/>
      <c r="Q549" s="861"/>
      <c r="R549" s="900">
        <f t="shared" si="42"/>
        <v>5.0999999999999996</v>
      </c>
      <c r="S549" s="447" t="s">
        <v>821</v>
      </c>
      <c r="T549" s="835" t="s">
        <v>56</v>
      </c>
      <c r="U549" s="843" t="s">
        <v>1759</v>
      </c>
      <c r="V549" s="1418">
        <f t="shared" si="41"/>
        <v>0</v>
      </c>
      <c r="W549" s="357"/>
      <c r="X549" s="357"/>
      <c r="Y549" s="357"/>
      <c r="Z549" s="358"/>
      <c r="AA549" s="359"/>
      <c r="AB549" s="360"/>
    </row>
    <row r="550" spans="1:28" s="361" customFormat="1" ht="15" hidden="1" customHeight="1">
      <c r="A550" s="354"/>
      <c r="B550" s="755"/>
      <c r="C550" s="28" t="s">
        <v>1748</v>
      </c>
      <c r="D550" s="895"/>
      <c r="E550" s="896"/>
      <c r="F550" s="897"/>
      <c r="G550" s="895"/>
      <c r="H550" s="896"/>
      <c r="I550" s="897"/>
      <c r="J550" s="832">
        <v>9</v>
      </c>
      <c r="K550" s="837">
        <f>(0.9*2)+(0.3*2)</f>
        <v>2.4</v>
      </c>
      <c r="L550" s="898"/>
      <c r="M550" s="839">
        <v>2.5499999999999998</v>
      </c>
      <c r="N550" s="785">
        <f t="shared" ref="N550:N555" si="44">K550*M550*J550</f>
        <v>55.079999999999991</v>
      </c>
      <c r="O550" s="899"/>
      <c r="P550" s="833"/>
      <c r="Q550" s="861"/>
      <c r="R550" s="900">
        <f t="shared" si="42"/>
        <v>55.079999999999991</v>
      </c>
      <c r="S550" s="447" t="s">
        <v>821</v>
      </c>
      <c r="T550" s="835" t="s">
        <v>56</v>
      </c>
      <c r="U550" s="843" t="s">
        <v>1760</v>
      </c>
      <c r="V550" s="1418">
        <f t="shared" si="41"/>
        <v>0</v>
      </c>
      <c r="W550" s="357"/>
      <c r="X550" s="357"/>
      <c r="Y550" s="357"/>
      <c r="Z550" s="358"/>
      <c r="AA550" s="359"/>
      <c r="AB550" s="360"/>
    </row>
    <row r="551" spans="1:28" s="361" customFormat="1" ht="15" hidden="1" customHeight="1">
      <c r="A551" s="354"/>
      <c r="B551" s="755"/>
      <c r="C551" s="28" t="s">
        <v>1748</v>
      </c>
      <c r="D551" s="895"/>
      <c r="E551" s="896"/>
      <c r="F551" s="897"/>
      <c r="G551" s="895"/>
      <c r="H551" s="896"/>
      <c r="I551" s="897"/>
      <c r="J551" s="832">
        <v>2</v>
      </c>
      <c r="K551" s="837">
        <f>9.84*2+0.5</f>
        <v>20.18</v>
      </c>
      <c r="L551" s="898"/>
      <c r="M551" s="839">
        <v>2.8</v>
      </c>
      <c r="N551" s="785">
        <f t="shared" si="44"/>
        <v>113.008</v>
      </c>
      <c r="O551" s="899"/>
      <c r="P551" s="833"/>
      <c r="Q551" s="861"/>
      <c r="R551" s="900">
        <f t="shared" si="42"/>
        <v>113.008</v>
      </c>
      <c r="S551" s="447" t="s">
        <v>821</v>
      </c>
      <c r="T551" s="835" t="s">
        <v>56</v>
      </c>
      <c r="U551" s="843" t="s">
        <v>1761</v>
      </c>
      <c r="V551" s="1418">
        <f t="shared" si="41"/>
        <v>0</v>
      </c>
      <c r="W551" s="357"/>
      <c r="X551" s="357"/>
      <c r="Y551" s="357"/>
      <c r="Z551" s="358"/>
      <c r="AA551" s="359"/>
      <c r="AB551" s="360"/>
    </row>
    <row r="552" spans="1:28" s="361" customFormat="1" ht="15" hidden="1" customHeight="1">
      <c r="A552" s="354"/>
      <c r="B552" s="755"/>
      <c r="C552" s="28" t="s">
        <v>1748</v>
      </c>
      <c r="D552" s="895"/>
      <c r="E552" s="896"/>
      <c r="F552" s="897"/>
      <c r="G552" s="895"/>
      <c r="H552" s="896"/>
      <c r="I552" s="897"/>
      <c r="J552" s="832">
        <v>2</v>
      </c>
      <c r="K552" s="837">
        <f>1.65*2+0.5</f>
        <v>3.8</v>
      </c>
      <c r="L552" s="898"/>
      <c r="M552" s="839">
        <v>2.8</v>
      </c>
      <c r="N552" s="785">
        <f t="shared" si="44"/>
        <v>21.279999999999998</v>
      </c>
      <c r="O552" s="899"/>
      <c r="P552" s="833"/>
      <c r="Q552" s="861"/>
      <c r="R552" s="900">
        <f>N552</f>
        <v>21.279999999999998</v>
      </c>
      <c r="S552" s="447" t="s">
        <v>821</v>
      </c>
      <c r="T552" s="835" t="s">
        <v>56</v>
      </c>
      <c r="U552" s="843" t="s">
        <v>1762</v>
      </c>
      <c r="V552" s="1418">
        <f t="shared" si="41"/>
        <v>0</v>
      </c>
      <c r="W552" s="357"/>
      <c r="X552" s="357"/>
      <c r="Y552" s="357"/>
      <c r="Z552" s="358"/>
      <c r="AA552" s="359"/>
      <c r="AB552" s="360"/>
    </row>
    <row r="553" spans="1:28" s="361" customFormat="1" ht="15" hidden="1" customHeight="1">
      <c r="A553" s="354"/>
      <c r="B553" s="755"/>
      <c r="C553" s="836" t="s">
        <v>1748</v>
      </c>
      <c r="D553" s="895"/>
      <c r="E553" s="896"/>
      <c r="F553" s="897"/>
      <c r="G553" s="895"/>
      <c r="H553" s="896"/>
      <c r="I553" s="897"/>
      <c r="J553" s="832">
        <v>9</v>
      </c>
      <c r="K553" s="837">
        <f>1.4*2+0.5*2</f>
        <v>3.8</v>
      </c>
      <c r="L553" s="898"/>
      <c r="M553" s="839">
        <v>1.79</v>
      </c>
      <c r="N553" s="785">
        <f t="shared" si="44"/>
        <v>61.217999999999996</v>
      </c>
      <c r="O553" s="899"/>
      <c r="P553" s="833"/>
      <c r="Q553" s="861"/>
      <c r="R553" s="900">
        <f>N553</f>
        <v>61.217999999999996</v>
      </c>
      <c r="S553" s="447" t="s">
        <v>821</v>
      </c>
      <c r="T553" s="835" t="s">
        <v>306</v>
      </c>
      <c r="U553" s="843" t="s">
        <v>1763</v>
      </c>
      <c r="V553" s="1418">
        <f t="shared" si="41"/>
        <v>0</v>
      </c>
      <c r="W553" s="357"/>
      <c r="X553" s="357"/>
      <c r="Y553" s="357"/>
      <c r="Z553" s="358"/>
      <c r="AA553" s="359"/>
      <c r="AB553" s="360"/>
    </row>
    <row r="554" spans="1:28" s="361" customFormat="1" ht="15" hidden="1" customHeight="1">
      <c r="A554" s="354"/>
      <c r="B554" s="831"/>
      <c r="C554" s="836" t="s">
        <v>1748</v>
      </c>
      <c r="D554" s="895"/>
      <c r="E554" s="896"/>
      <c r="F554" s="897"/>
      <c r="G554" s="895"/>
      <c r="H554" s="896"/>
      <c r="I554" s="897"/>
      <c r="J554" s="832">
        <v>2</v>
      </c>
      <c r="K554" s="837">
        <f>0.6*2+0.5</f>
        <v>1.7</v>
      </c>
      <c r="L554" s="898"/>
      <c r="M554" s="839">
        <v>1.79</v>
      </c>
      <c r="N554" s="785">
        <f t="shared" si="44"/>
        <v>6.0860000000000003</v>
      </c>
      <c r="O554" s="899"/>
      <c r="P554" s="833"/>
      <c r="Q554" s="861"/>
      <c r="R554" s="900">
        <f>N554</f>
        <v>6.0860000000000003</v>
      </c>
      <c r="S554" s="447" t="s">
        <v>821</v>
      </c>
      <c r="T554" s="835" t="s">
        <v>306</v>
      </c>
      <c r="U554" s="843" t="s">
        <v>1764</v>
      </c>
      <c r="V554" s="1418">
        <f t="shared" si="41"/>
        <v>0</v>
      </c>
      <c r="W554" s="357"/>
      <c r="X554" s="357"/>
      <c r="Y554" s="357"/>
      <c r="Z554" s="358"/>
      <c r="AA554" s="359"/>
      <c r="AB554" s="360"/>
    </row>
    <row r="555" spans="1:28" s="361" customFormat="1" ht="15" hidden="1" customHeight="1">
      <c r="A555" s="354"/>
      <c r="B555" s="831"/>
      <c r="C555" s="836" t="s">
        <v>1748</v>
      </c>
      <c r="D555" s="895"/>
      <c r="E555" s="896"/>
      <c r="F555" s="897"/>
      <c r="G555" s="895"/>
      <c r="H555" s="896"/>
      <c r="I555" s="897"/>
      <c r="J555" s="832">
        <v>1</v>
      </c>
      <c r="K555" s="837">
        <f>30.4*2</f>
        <v>60.8</v>
      </c>
      <c r="L555" s="898"/>
      <c r="M555" s="839">
        <v>0.89</v>
      </c>
      <c r="N555" s="785">
        <f t="shared" si="44"/>
        <v>54.111999999999995</v>
      </c>
      <c r="O555" s="899"/>
      <c r="P555" s="833"/>
      <c r="Q555" s="861"/>
      <c r="R555" s="900">
        <f>N555</f>
        <v>54.111999999999995</v>
      </c>
      <c r="S555" s="447" t="s">
        <v>821</v>
      </c>
      <c r="T555" s="835" t="s">
        <v>306</v>
      </c>
      <c r="U555" s="843" t="s">
        <v>1765</v>
      </c>
      <c r="V555" s="1418">
        <f t="shared" si="41"/>
        <v>0</v>
      </c>
      <c r="W555" s="357"/>
      <c r="X555" s="357"/>
      <c r="Y555" s="357"/>
      <c r="Z555" s="358"/>
      <c r="AA555" s="359"/>
      <c r="AB555" s="360"/>
    </row>
    <row r="556" spans="1:28" s="361" customFormat="1" ht="15" hidden="1" customHeight="1">
      <c r="A556" s="354"/>
      <c r="B556" s="831"/>
      <c r="C556" s="836" t="s">
        <v>1766</v>
      </c>
      <c r="D556" s="895"/>
      <c r="E556" s="896"/>
      <c r="F556" s="897"/>
      <c r="G556" s="895"/>
      <c r="H556" s="896"/>
      <c r="I556" s="897"/>
      <c r="J556" s="832">
        <v>1</v>
      </c>
      <c r="K556" s="837">
        <f>30.4*2</f>
        <v>60.8</v>
      </c>
      <c r="L556" s="898"/>
      <c r="M556" s="839">
        <v>0.89</v>
      </c>
      <c r="N556" s="785">
        <f t="shared" ref="N556:N578" si="45">K556*M556*J556</f>
        <v>54.111999999999995</v>
      </c>
      <c r="O556" s="899"/>
      <c r="P556" s="833"/>
      <c r="Q556" s="861"/>
      <c r="R556" s="900">
        <f>-N556</f>
        <v>-54.111999999999995</v>
      </c>
      <c r="S556" s="447" t="s">
        <v>821</v>
      </c>
      <c r="T556" s="835" t="s">
        <v>307</v>
      </c>
      <c r="U556" s="843" t="s">
        <v>1767</v>
      </c>
      <c r="V556" s="1418">
        <f t="shared" si="41"/>
        <v>0</v>
      </c>
      <c r="W556" s="357"/>
      <c r="X556" s="357"/>
      <c r="Y556" s="357"/>
      <c r="Z556" s="358"/>
      <c r="AA556" s="359"/>
      <c r="AB556" s="360"/>
    </row>
    <row r="557" spans="1:28" s="361" customFormat="1" ht="15" hidden="1" customHeight="1">
      <c r="A557" s="354"/>
      <c r="B557" s="831"/>
      <c r="C557" s="836" t="s">
        <v>1748</v>
      </c>
      <c r="D557" s="895"/>
      <c r="E557" s="896"/>
      <c r="F557" s="897"/>
      <c r="G557" s="895"/>
      <c r="H557" s="896"/>
      <c r="I557" s="897"/>
      <c r="J557" s="832">
        <v>1</v>
      </c>
      <c r="K557" s="837">
        <f>29.8*2</f>
        <v>59.6</v>
      </c>
      <c r="L557" s="898"/>
      <c r="M557" s="839">
        <v>0.89</v>
      </c>
      <c r="N557" s="785">
        <f t="shared" si="45"/>
        <v>53.044000000000004</v>
      </c>
      <c r="O557" s="899"/>
      <c r="P557" s="833"/>
      <c r="Q557" s="861"/>
      <c r="R557" s="900">
        <f>N557</f>
        <v>53.044000000000004</v>
      </c>
      <c r="S557" s="447" t="s">
        <v>821</v>
      </c>
      <c r="T557" s="835" t="s">
        <v>307</v>
      </c>
      <c r="U557" s="843" t="s">
        <v>1765</v>
      </c>
      <c r="V557" s="1418">
        <f t="shared" si="41"/>
        <v>0</v>
      </c>
      <c r="W557" s="357"/>
      <c r="X557" s="357"/>
      <c r="Y557" s="357"/>
      <c r="Z557" s="358"/>
      <c r="AA557" s="359"/>
      <c r="AB557" s="360"/>
    </row>
    <row r="558" spans="1:28" s="361" customFormat="1" ht="15" hidden="1" customHeight="1">
      <c r="A558" s="354"/>
      <c r="B558" s="831"/>
      <c r="C558" s="836" t="s">
        <v>1748</v>
      </c>
      <c r="D558" s="895"/>
      <c r="E558" s="896"/>
      <c r="F558" s="897"/>
      <c r="G558" s="895"/>
      <c r="H558" s="896"/>
      <c r="I558" s="897"/>
      <c r="J558" s="832">
        <v>2</v>
      </c>
      <c r="K558" s="837">
        <v>1.2</v>
      </c>
      <c r="L558" s="898"/>
      <c r="M558" s="839">
        <v>1.6</v>
      </c>
      <c r="N558" s="785">
        <f t="shared" si="45"/>
        <v>3.84</v>
      </c>
      <c r="O558" s="899"/>
      <c r="P558" s="833"/>
      <c r="Q558" s="861"/>
      <c r="R558" s="900">
        <f>N558</f>
        <v>3.84</v>
      </c>
      <c r="S558" s="447" t="s">
        <v>821</v>
      </c>
      <c r="T558" s="835" t="s">
        <v>307</v>
      </c>
      <c r="U558" s="843" t="s">
        <v>1768</v>
      </c>
      <c r="V558" s="1418">
        <f t="shared" si="41"/>
        <v>0</v>
      </c>
      <c r="W558" s="357"/>
      <c r="X558" s="357"/>
      <c r="Y558" s="357"/>
      <c r="Z558" s="358"/>
      <c r="AA558" s="359"/>
      <c r="AB558" s="360"/>
    </row>
    <row r="559" spans="1:28" s="361" customFormat="1" ht="15" hidden="1" customHeight="1">
      <c r="A559" s="354"/>
      <c r="B559" s="831"/>
      <c r="C559" s="836" t="s">
        <v>1748</v>
      </c>
      <c r="D559" s="895"/>
      <c r="E559" s="896"/>
      <c r="F559" s="897"/>
      <c r="G559" s="895"/>
      <c r="H559" s="896"/>
      <c r="I559" s="897"/>
      <c r="J559" s="832">
        <v>2</v>
      </c>
      <c r="K559" s="837">
        <v>4</v>
      </c>
      <c r="L559" s="898"/>
      <c r="M559" s="839">
        <v>0.15</v>
      </c>
      <c r="N559" s="785">
        <f t="shared" si="45"/>
        <v>1.2</v>
      </c>
      <c r="O559" s="899"/>
      <c r="P559" s="833"/>
      <c r="Q559" s="861"/>
      <c r="R559" s="900">
        <f>N559</f>
        <v>1.2</v>
      </c>
      <c r="S559" s="447" t="s">
        <v>821</v>
      </c>
      <c r="T559" s="835" t="s">
        <v>307</v>
      </c>
      <c r="U559" s="843" t="s">
        <v>1768</v>
      </c>
      <c r="V559" s="1418">
        <f t="shared" si="41"/>
        <v>0</v>
      </c>
      <c r="W559" s="357"/>
      <c r="X559" s="357"/>
      <c r="Y559" s="357"/>
      <c r="Z559" s="358"/>
      <c r="AA559" s="359"/>
      <c r="AB559" s="360"/>
    </row>
    <row r="560" spans="1:28" s="361" customFormat="1" ht="15" hidden="1" customHeight="1">
      <c r="A560" s="354"/>
      <c r="B560" s="831"/>
      <c r="C560" s="836" t="s">
        <v>1748</v>
      </c>
      <c r="D560" s="895"/>
      <c r="E560" s="896"/>
      <c r="F560" s="897"/>
      <c r="G560" s="895"/>
      <c r="H560" s="896"/>
      <c r="I560" s="897"/>
      <c r="J560" s="832">
        <v>1</v>
      </c>
      <c r="K560" s="837">
        <v>2.66</v>
      </c>
      <c r="L560" s="898"/>
      <c r="M560" s="839">
        <v>1.65</v>
      </c>
      <c r="N560" s="785">
        <f t="shared" si="45"/>
        <v>4.3890000000000002</v>
      </c>
      <c r="O560" s="899"/>
      <c r="P560" s="833">
        <f>-2.54*0.45*J560</f>
        <v>-1.143</v>
      </c>
      <c r="Q560" s="861"/>
      <c r="R560" s="900">
        <f t="shared" ref="R560:R566" si="46">N560+P560</f>
        <v>3.2460000000000004</v>
      </c>
      <c r="S560" s="447" t="s">
        <v>821</v>
      </c>
      <c r="T560" s="835" t="s">
        <v>307</v>
      </c>
      <c r="U560" s="843" t="s">
        <v>1769</v>
      </c>
      <c r="V560" s="1418">
        <f t="shared" si="41"/>
        <v>0</v>
      </c>
      <c r="W560" s="357"/>
      <c r="X560" s="357"/>
      <c r="Y560" s="357"/>
      <c r="Z560" s="358"/>
      <c r="AA560" s="359"/>
      <c r="AB560" s="360"/>
    </row>
    <row r="561" spans="1:28" s="361" customFormat="1" ht="15" hidden="1" customHeight="1">
      <c r="A561" s="354"/>
      <c r="B561" s="831"/>
      <c r="C561" s="836" t="s">
        <v>1748</v>
      </c>
      <c r="D561" s="895"/>
      <c r="E561" s="896"/>
      <c r="F561" s="897"/>
      <c r="G561" s="895"/>
      <c r="H561" s="896"/>
      <c r="I561" s="897"/>
      <c r="J561" s="832">
        <v>1</v>
      </c>
      <c r="K561" s="837">
        <v>2.68</v>
      </c>
      <c r="L561" s="898"/>
      <c r="M561" s="839">
        <v>1.65</v>
      </c>
      <c r="N561" s="785">
        <f t="shared" si="45"/>
        <v>4.4219999999999997</v>
      </c>
      <c r="O561" s="899"/>
      <c r="P561" s="833">
        <f>-2.54*0.45*J561</f>
        <v>-1.143</v>
      </c>
      <c r="Q561" s="861"/>
      <c r="R561" s="900">
        <f t="shared" si="46"/>
        <v>3.2789999999999999</v>
      </c>
      <c r="S561" s="447" t="s">
        <v>821</v>
      </c>
      <c r="T561" s="835" t="s">
        <v>307</v>
      </c>
      <c r="U561" s="843" t="s">
        <v>1770</v>
      </c>
      <c r="V561" s="1418">
        <f t="shared" si="41"/>
        <v>0</v>
      </c>
      <c r="W561" s="357"/>
      <c r="X561" s="357"/>
      <c r="Y561" s="357"/>
      <c r="Z561" s="358"/>
      <c r="AA561" s="359"/>
      <c r="AB561" s="360"/>
    </row>
    <row r="562" spans="1:28" s="361" customFormat="1" ht="15" hidden="1" customHeight="1">
      <c r="A562" s="354"/>
      <c r="B562" s="831"/>
      <c r="C562" s="836" t="s">
        <v>1748</v>
      </c>
      <c r="D562" s="895"/>
      <c r="E562" s="896"/>
      <c r="F562" s="897"/>
      <c r="G562" s="895"/>
      <c r="H562" s="896"/>
      <c r="I562" s="897"/>
      <c r="J562" s="832">
        <v>8</v>
      </c>
      <c r="K562" s="837">
        <v>2.54</v>
      </c>
      <c r="L562" s="898"/>
      <c r="M562" s="898">
        <v>1.65</v>
      </c>
      <c r="N562" s="785">
        <f t="shared" si="45"/>
        <v>33.527999999999999</v>
      </c>
      <c r="O562" s="899"/>
      <c r="P562" s="833">
        <f>-2.54*0.45*J562</f>
        <v>-9.1440000000000001</v>
      </c>
      <c r="Q562" s="861"/>
      <c r="R562" s="900">
        <f t="shared" si="46"/>
        <v>24.384</v>
      </c>
      <c r="S562" s="447" t="s">
        <v>821</v>
      </c>
      <c r="T562" s="835" t="s">
        <v>307</v>
      </c>
      <c r="U562" s="843" t="s">
        <v>1771</v>
      </c>
      <c r="V562" s="1418">
        <f t="shared" si="41"/>
        <v>0</v>
      </c>
      <c r="W562" s="357"/>
      <c r="X562" s="357"/>
      <c r="Y562" s="357"/>
      <c r="Z562" s="358"/>
      <c r="AA562" s="359"/>
      <c r="AB562" s="360"/>
    </row>
    <row r="563" spans="1:28" s="361" customFormat="1" ht="15" hidden="1" customHeight="1">
      <c r="A563" s="354"/>
      <c r="B563" s="831"/>
      <c r="C563" s="836" t="s">
        <v>1748</v>
      </c>
      <c r="D563" s="895"/>
      <c r="E563" s="896"/>
      <c r="F563" s="897"/>
      <c r="G563" s="895"/>
      <c r="H563" s="896"/>
      <c r="I563" s="897"/>
      <c r="J563" s="832">
        <v>10</v>
      </c>
      <c r="K563" s="837">
        <f>2.54*2+0.45*2</f>
        <v>5.98</v>
      </c>
      <c r="L563" s="898"/>
      <c r="M563" s="951">
        <v>0.15</v>
      </c>
      <c r="N563" s="785">
        <f t="shared" si="45"/>
        <v>8.9700000000000006</v>
      </c>
      <c r="O563" s="899"/>
      <c r="P563" s="833"/>
      <c r="Q563" s="861"/>
      <c r="R563" s="900">
        <f t="shared" si="46"/>
        <v>8.9700000000000006</v>
      </c>
      <c r="S563" s="447" t="s">
        <v>821</v>
      </c>
      <c r="T563" s="835" t="s">
        <v>307</v>
      </c>
      <c r="U563" s="843" t="s">
        <v>1772</v>
      </c>
      <c r="V563" s="1418">
        <f t="shared" si="41"/>
        <v>0</v>
      </c>
      <c r="W563" s="357"/>
      <c r="X563" s="357"/>
      <c r="Y563" s="357"/>
      <c r="Z563" s="358"/>
      <c r="AA563" s="359"/>
      <c r="AB563" s="360"/>
    </row>
    <row r="564" spans="1:28" s="361" customFormat="1" ht="15" hidden="1" customHeight="1">
      <c r="A564" s="354"/>
      <c r="B564" s="831"/>
      <c r="C564" s="836" t="s">
        <v>1748</v>
      </c>
      <c r="D564" s="895"/>
      <c r="E564" s="896"/>
      <c r="F564" s="897"/>
      <c r="G564" s="895"/>
      <c r="H564" s="896"/>
      <c r="I564" s="897"/>
      <c r="J564" s="832">
        <v>9</v>
      </c>
      <c r="K564" s="837">
        <f>1.46-0.3</f>
        <v>1.1599999999999999</v>
      </c>
      <c r="L564" s="898"/>
      <c r="M564" s="951">
        <v>1.65</v>
      </c>
      <c r="N564" s="785">
        <f t="shared" si="45"/>
        <v>17.225999999999999</v>
      </c>
      <c r="O564" s="899"/>
      <c r="P564" s="833"/>
      <c r="Q564" s="861"/>
      <c r="R564" s="900">
        <f t="shared" si="46"/>
        <v>17.225999999999999</v>
      </c>
      <c r="S564" s="447" t="s">
        <v>821</v>
      </c>
      <c r="T564" s="835" t="s">
        <v>307</v>
      </c>
      <c r="U564" s="843" t="s">
        <v>1773</v>
      </c>
      <c r="V564" s="1418">
        <f t="shared" si="41"/>
        <v>0</v>
      </c>
      <c r="W564" s="357"/>
      <c r="X564" s="357"/>
      <c r="Y564" s="357"/>
      <c r="Z564" s="358"/>
      <c r="AA564" s="359"/>
      <c r="AB564" s="360"/>
    </row>
    <row r="565" spans="1:28" s="361" customFormat="1" ht="15" hidden="1" customHeight="1">
      <c r="A565" s="354"/>
      <c r="B565" s="831"/>
      <c r="C565" s="836" t="s">
        <v>1748</v>
      </c>
      <c r="D565" s="895"/>
      <c r="E565" s="896"/>
      <c r="F565" s="897"/>
      <c r="G565" s="895"/>
      <c r="H565" s="896"/>
      <c r="I565" s="897"/>
      <c r="J565" s="832">
        <v>2</v>
      </c>
      <c r="K565" s="837">
        <v>5.75</v>
      </c>
      <c r="L565" s="898"/>
      <c r="M565" s="898">
        <v>2.6</v>
      </c>
      <c r="N565" s="785">
        <f t="shared" si="45"/>
        <v>29.900000000000002</v>
      </c>
      <c r="O565" s="899"/>
      <c r="P565" s="833"/>
      <c r="Q565" s="861"/>
      <c r="R565" s="900">
        <f t="shared" si="46"/>
        <v>29.900000000000002</v>
      </c>
      <c r="S565" s="447" t="s">
        <v>821</v>
      </c>
      <c r="T565" s="835" t="s">
        <v>307</v>
      </c>
      <c r="U565" s="843" t="s">
        <v>1774</v>
      </c>
      <c r="V565" s="1418">
        <f t="shared" si="41"/>
        <v>0</v>
      </c>
      <c r="W565" s="357"/>
      <c r="X565" s="357"/>
      <c r="Y565" s="357"/>
      <c r="Z565" s="358"/>
      <c r="AA565" s="359"/>
      <c r="AB565" s="360"/>
    </row>
    <row r="566" spans="1:28" s="361" customFormat="1" ht="15" hidden="1" customHeight="1">
      <c r="A566" s="354"/>
      <c r="B566" s="831"/>
      <c r="C566" s="836" t="s">
        <v>1748</v>
      </c>
      <c r="D566" s="895"/>
      <c r="E566" s="896"/>
      <c r="F566" s="897"/>
      <c r="G566" s="895"/>
      <c r="H566" s="896"/>
      <c r="I566" s="897"/>
      <c r="J566" s="832">
        <v>3</v>
      </c>
      <c r="K566" s="837">
        <v>5.7</v>
      </c>
      <c r="L566" s="898"/>
      <c r="M566" s="839">
        <v>2.6</v>
      </c>
      <c r="N566" s="785">
        <f t="shared" si="45"/>
        <v>44.46</v>
      </c>
      <c r="O566" s="899"/>
      <c r="P566" s="833"/>
      <c r="Q566" s="861"/>
      <c r="R566" s="900">
        <f t="shared" si="46"/>
        <v>44.46</v>
      </c>
      <c r="S566" s="447" t="s">
        <v>821</v>
      </c>
      <c r="T566" s="835" t="s">
        <v>307</v>
      </c>
      <c r="U566" s="843" t="s">
        <v>1775</v>
      </c>
      <c r="V566" s="1418">
        <f t="shared" si="41"/>
        <v>0</v>
      </c>
      <c r="W566" s="357"/>
      <c r="X566" s="357"/>
      <c r="Y566" s="357"/>
      <c r="Z566" s="358"/>
      <c r="AA566" s="359"/>
      <c r="AB566" s="360"/>
    </row>
    <row r="567" spans="1:28" s="361" customFormat="1" ht="15" hidden="1" customHeight="1">
      <c r="A567" s="354"/>
      <c r="B567" s="831"/>
      <c r="C567" s="836" t="s">
        <v>1748</v>
      </c>
      <c r="D567" s="895"/>
      <c r="E567" s="896"/>
      <c r="F567" s="897"/>
      <c r="G567" s="895"/>
      <c r="H567" s="896"/>
      <c r="I567" s="897"/>
      <c r="J567" s="832">
        <v>2</v>
      </c>
      <c r="K567" s="837">
        <v>29.8</v>
      </c>
      <c r="L567" s="898"/>
      <c r="M567" s="839">
        <v>0.2</v>
      </c>
      <c r="N567" s="728">
        <f t="shared" si="45"/>
        <v>11.920000000000002</v>
      </c>
      <c r="O567" s="899"/>
      <c r="P567" s="833"/>
      <c r="Q567" s="861"/>
      <c r="R567" s="900">
        <f t="shared" ref="R567:R577" si="47">N567</f>
        <v>11.920000000000002</v>
      </c>
      <c r="S567" s="447" t="s">
        <v>821</v>
      </c>
      <c r="T567" s="835" t="s">
        <v>307</v>
      </c>
      <c r="U567" s="843" t="s">
        <v>1776</v>
      </c>
      <c r="V567" s="1418">
        <f t="shared" si="41"/>
        <v>0</v>
      </c>
      <c r="W567" s="357"/>
      <c r="X567" s="357"/>
      <c r="Y567" s="357"/>
      <c r="Z567" s="358"/>
      <c r="AA567" s="359"/>
      <c r="AB567" s="360"/>
    </row>
    <row r="568" spans="1:28" s="361" customFormat="1" ht="15" hidden="1" customHeight="1">
      <c r="A568" s="354"/>
      <c r="B568" s="831"/>
      <c r="C568" s="836" t="s">
        <v>1748</v>
      </c>
      <c r="D568" s="895"/>
      <c r="E568" s="896"/>
      <c r="F568" s="897"/>
      <c r="G568" s="895"/>
      <c r="H568" s="896"/>
      <c r="I568" s="897"/>
      <c r="J568" s="832">
        <v>4</v>
      </c>
      <c r="K568" s="837">
        <f>1.3-0.4</f>
        <v>0.9</v>
      </c>
      <c r="L568" s="898"/>
      <c r="M568" s="951">
        <v>0.8</v>
      </c>
      <c r="N568" s="785">
        <f>K568*M568*J568</f>
        <v>2.8800000000000003</v>
      </c>
      <c r="O568" s="899"/>
      <c r="P568" s="833"/>
      <c r="Q568" s="861"/>
      <c r="R568" s="900">
        <f>N568+P568</f>
        <v>2.8800000000000003</v>
      </c>
      <c r="S568" s="447" t="s">
        <v>821</v>
      </c>
      <c r="T568" s="835" t="s">
        <v>307</v>
      </c>
      <c r="U568" s="843" t="s">
        <v>1777</v>
      </c>
      <c r="V568" s="1418">
        <f t="shared" si="41"/>
        <v>0</v>
      </c>
      <c r="W568" s="357"/>
      <c r="X568" s="357"/>
      <c r="Y568" s="357"/>
      <c r="Z568" s="358"/>
      <c r="AA568" s="359"/>
      <c r="AB568" s="360"/>
    </row>
    <row r="569" spans="1:28" s="361" customFormat="1" ht="15" hidden="1" customHeight="1">
      <c r="A569" s="354"/>
      <c r="B569" s="831"/>
      <c r="C569" s="836" t="s">
        <v>1748</v>
      </c>
      <c r="D569" s="895"/>
      <c r="E569" s="896"/>
      <c r="F569" s="897"/>
      <c r="G569" s="895"/>
      <c r="H569" s="896"/>
      <c r="I569" s="897"/>
      <c r="J569" s="832">
        <v>4</v>
      </c>
      <c r="K569" s="22">
        <f>(1.8*2+0.3*2)</f>
        <v>4.2</v>
      </c>
      <c r="L569" s="898"/>
      <c r="M569" s="839">
        <v>0.65</v>
      </c>
      <c r="N569" s="785">
        <f>K569*M569*J569</f>
        <v>10.920000000000002</v>
      </c>
      <c r="O569" s="899"/>
      <c r="P569" s="833"/>
      <c r="Q569" s="861"/>
      <c r="R569" s="900">
        <f>N569+P569</f>
        <v>10.920000000000002</v>
      </c>
      <c r="S569" s="447" t="s">
        <v>821</v>
      </c>
      <c r="T569" s="835" t="s">
        <v>307</v>
      </c>
      <c r="U569" s="843" t="s">
        <v>1778</v>
      </c>
      <c r="V569" s="1418">
        <f t="shared" si="41"/>
        <v>0</v>
      </c>
      <c r="W569" s="357"/>
      <c r="X569" s="357"/>
      <c r="Y569" s="357"/>
      <c r="Z569" s="358"/>
      <c r="AA569" s="359"/>
      <c r="AB569" s="360"/>
    </row>
    <row r="570" spans="1:28" s="361" customFormat="1" ht="15" hidden="1" customHeight="1">
      <c r="A570" s="354"/>
      <c r="B570" s="831"/>
      <c r="C570" s="836" t="s">
        <v>1748</v>
      </c>
      <c r="D570" s="895"/>
      <c r="E570" s="896"/>
      <c r="F570" s="897"/>
      <c r="G570" s="895"/>
      <c r="H570" s="896"/>
      <c r="I570" s="897"/>
      <c r="J570" s="832">
        <v>2</v>
      </c>
      <c r="K570" s="837">
        <f>1.65*2+0.5</f>
        <v>3.8</v>
      </c>
      <c r="L570" s="898"/>
      <c r="M570" s="839">
        <v>0.69</v>
      </c>
      <c r="N570" s="728">
        <f t="shared" si="45"/>
        <v>5.2439999999999998</v>
      </c>
      <c r="O570" s="899"/>
      <c r="P570" s="833"/>
      <c r="Q570" s="861"/>
      <c r="R570" s="900">
        <f t="shared" si="47"/>
        <v>5.2439999999999998</v>
      </c>
      <c r="S570" s="447" t="s">
        <v>821</v>
      </c>
      <c r="T570" s="835" t="s">
        <v>307</v>
      </c>
      <c r="U570" s="843" t="s">
        <v>1779</v>
      </c>
      <c r="V570" s="1418">
        <f t="shared" si="41"/>
        <v>0</v>
      </c>
      <c r="W570" s="357"/>
      <c r="X570" s="357"/>
      <c r="Y570" s="357"/>
      <c r="Z570" s="358"/>
      <c r="AA570" s="359"/>
      <c r="AB570" s="360"/>
    </row>
    <row r="571" spans="1:28" s="361" customFormat="1" ht="15" hidden="1" customHeight="1">
      <c r="A571" s="354"/>
      <c r="B571" s="831"/>
      <c r="C571" s="836" t="s">
        <v>1748</v>
      </c>
      <c r="D571" s="895"/>
      <c r="E571" s="896"/>
      <c r="F571" s="897"/>
      <c r="G571" s="895"/>
      <c r="H571" s="896"/>
      <c r="I571" s="897"/>
      <c r="J571" s="832">
        <v>1</v>
      </c>
      <c r="K571" s="837">
        <f>29.8*2</f>
        <v>59.6</v>
      </c>
      <c r="L571" s="898"/>
      <c r="M571" s="839">
        <v>2.0499999999999998</v>
      </c>
      <c r="N571" s="728">
        <f t="shared" si="45"/>
        <v>122.17999999999999</v>
      </c>
      <c r="O571" s="899"/>
      <c r="P571" s="833"/>
      <c r="Q571" s="861"/>
      <c r="R571" s="900">
        <f t="shared" si="47"/>
        <v>122.17999999999999</v>
      </c>
      <c r="S571" s="447" t="s">
        <v>821</v>
      </c>
      <c r="T571" s="835" t="s">
        <v>307</v>
      </c>
      <c r="U571" s="843" t="s">
        <v>1780</v>
      </c>
      <c r="V571" s="1418">
        <f t="shared" si="41"/>
        <v>0</v>
      </c>
      <c r="W571" s="357"/>
      <c r="X571" s="357"/>
      <c r="Y571" s="357"/>
      <c r="Z571" s="358"/>
      <c r="AA571" s="359"/>
      <c r="AB571" s="360"/>
    </row>
    <row r="572" spans="1:28" s="361" customFormat="1" ht="15" hidden="1" customHeight="1">
      <c r="A572" s="354"/>
      <c r="B572" s="831"/>
      <c r="C572" s="836" t="s">
        <v>1748</v>
      </c>
      <c r="D572" s="895"/>
      <c r="E572" s="896"/>
      <c r="F572" s="897"/>
      <c r="G572" s="895"/>
      <c r="H572" s="896"/>
      <c r="I572" s="897"/>
      <c r="J572" s="832">
        <v>1</v>
      </c>
      <c r="K572" s="837">
        <f>0.2*2+0.2*2</f>
        <v>0.8</v>
      </c>
      <c r="L572" s="898"/>
      <c r="M572" s="839">
        <f>4.54-0.2</f>
        <v>4.34</v>
      </c>
      <c r="N572" s="728">
        <f t="shared" si="45"/>
        <v>3.472</v>
      </c>
      <c r="O572" s="899"/>
      <c r="P572" s="833"/>
      <c r="Q572" s="861"/>
      <c r="R572" s="900">
        <f t="shared" si="47"/>
        <v>3.472</v>
      </c>
      <c r="S572" s="447" t="s">
        <v>821</v>
      </c>
      <c r="T572" s="835" t="s">
        <v>307</v>
      </c>
      <c r="U572" s="843" t="s">
        <v>1781</v>
      </c>
      <c r="V572" s="1418">
        <f t="shared" si="41"/>
        <v>0</v>
      </c>
      <c r="W572" s="357"/>
      <c r="X572" s="357"/>
      <c r="Y572" s="357"/>
      <c r="Z572" s="358"/>
      <c r="AA572" s="359"/>
      <c r="AB572" s="360"/>
    </row>
    <row r="573" spans="1:28" s="361" customFormat="1" ht="15" hidden="1" customHeight="1">
      <c r="A573" s="354"/>
      <c r="B573" s="831"/>
      <c r="C573" s="836" t="s">
        <v>1748</v>
      </c>
      <c r="D573" s="895"/>
      <c r="E573" s="896"/>
      <c r="F573" s="897"/>
      <c r="G573" s="895"/>
      <c r="H573" s="896"/>
      <c r="I573" s="897"/>
      <c r="J573" s="832">
        <v>9</v>
      </c>
      <c r="K573" s="837">
        <f>0.55*2+0.2*2</f>
        <v>1.5</v>
      </c>
      <c r="L573" s="898"/>
      <c r="M573" s="839">
        <f>4.54-0.2</f>
        <v>4.34</v>
      </c>
      <c r="N573" s="728">
        <f t="shared" si="45"/>
        <v>58.589999999999996</v>
      </c>
      <c r="O573" s="899"/>
      <c r="P573" s="833"/>
      <c r="Q573" s="861"/>
      <c r="R573" s="900">
        <f t="shared" si="47"/>
        <v>58.589999999999996</v>
      </c>
      <c r="S573" s="447" t="s">
        <v>821</v>
      </c>
      <c r="T573" s="835" t="s">
        <v>307</v>
      </c>
      <c r="U573" s="843" t="s">
        <v>1782</v>
      </c>
      <c r="V573" s="1418">
        <f t="shared" si="41"/>
        <v>0</v>
      </c>
      <c r="W573" s="357"/>
      <c r="X573" s="357"/>
      <c r="Y573" s="357"/>
      <c r="Z573" s="358"/>
      <c r="AA573" s="359"/>
      <c r="AB573" s="360"/>
    </row>
    <row r="574" spans="1:28" s="361" customFormat="1" ht="15" hidden="1" customHeight="1">
      <c r="A574" s="354"/>
      <c r="B574" s="831"/>
      <c r="C574" s="836" t="s">
        <v>1748</v>
      </c>
      <c r="D574" s="895"/>
      <c r="E574" s="896"/>
      <c r="F574" s="897"/>
      <c r="G574" s="895"/>
      <c r="H574" s="896"/>
      <c r="I574" s="897"/>
      <c r="J574" s="832">
        <v>1</v>
      </c>
      <c r="K574" s="837">
        <f>0.2*15+0.2*2</f>
        <v>3.4</v>
      </c>
      <c r="L574" s="898"/>
      <c r="M574" s="839">
        <f>4.54-0.2</f>
        <v>4.34</v>
      </c>
      <c r="N574" s="728">
        <f t="shared" si="45"/>
        <v>14.755999999999998</v>
      </c>
      <c r="O574" s="899"/>
      <c r="P574" s="833"/>
      <c r="Q574" s="861"/>
      <c r="R574" s="900">
        <f t="shared" si="47"/>
        <v>14.755999999999998</v>
      </c>
      <c r="S574" s="447" t="s">
        <v>821</v>
      </c>
      <c r="T574" s="835" t="s">
        <v>307</v>
      </c>
      <c r="U574" s="843" t="s">
        <v>1783</v>
      </c>
      <c r="V574" s="1418">
        <f t="shared" si="41"/>
        <v>0</v>
      </c>
      <c r="W574" s="357"/>
      <c r="X574" s="357"/>
      <c r="Y574" s="357"/>
      <c r="Z574" s="358"/>
      <c r="AA574" s="359"/>
      <c r="AB574" s="360"/>
    </row>
    <row r="575" spans="1:28" s="361" customFormat="1" ht="15" hidden="1" customHeight="1">
      <c r="A575" s="354"/>
      <c r="B575" s="831"/>
      <c r="C575" s="836" t="s">
        <v>1748</v>
      </c>
      <c r="D575" s="895"/>
      <c r="E575" s="896"/>
      <c r="F575" s="897"/>
      <c r="G575" s="895"/>
      <c r="H575" s="896"/>
      <c r="I575" s="897"/>
      <c r="J575" s="832">
        <v>1</v>
      </c>
      <c r="K575" s="837">
        <f>30.8 + 2.8*2</f>
        <v>36.4</v>
      </c>
      <c r="L575" s="898"/>
      <c r="M575" s="839">
        <v>0.15</v>
      </c>
      <c r="N575" s="728">
        <f t="shared" si="45"/>
        <v>5.46</v>
      </c>
      <c r="O575" s="899"/>
      <c r="P575" s="833"/>
      <c r="Q575" s="861"/>
      <c r="R575" s="900">
        <f t="shared" si="47"/>
        <v>5.46</v>
      </c>
      <c r="S575" s="447" t="s">
        <v>821</v>
      </c>
      <c r="T575" s="835" t="s">
        <v>314</v>
      </c>
      <c r="U575" s="843" t="s">
        <v>1784</v>
      </c>
      <c r="V575" s="1418">
        <f t="shared" si="41"/>
        <v>0</v>
      </c>
      <c r="W575" s="357"/>
      <c r="X575" s="357"/>
      <c r="Y575" s="357"/>
      <c r="Z575" s="358"/>
      <c r="AA575" s="359"/>
      <c r="AB575" s="360"/>
    </row>
    <row r="576" spans="1:28" s="361" customFormat="1" ht="15" hidden="1" customHeight="1">
      <c r="A576" s="354"/>
      <c r="B576" s="831"/>
      <c r="C576" s="836" t="s">
        <v>1748</v>
      </c>
      <c r="D576" s="895"/>
      <c r="E576" s="896"/>
      <c r="F576" s="897"/>
      <c r="G576" s="895"/>
      <c r="H576" s="896"/>
      <c r="I576" s="897"/>
      <c r="J576" s="832">
        <v>20</v>
      </c>
      <c r="K576" s="837">
        <v>1.5</v>
      </c>
      <c r="L576" s="898"/>
      <c r="M576" s="839">
        <v>0.19</v>
      </c>
      <c r="N576" s="728">
        <f t="shared" si="45"/>
        <v>5.7000000000000011</v>
      </c>
      <c r="O576" s="899"/>
      <c r="P576" s="833"/>
      <c r="Q576" s="861"/>
      <c r="R576" s="900">
        <f t="shared" si="47"/>
        <v>5.7000000000000011</v>
      </c>
      <c r="S576" s="447" t="s">
        <v>821</v>
      </c>
      <c r="T576" s="835" t="s">
        <v>316</v>
      </c>
      <c r="U576" s="843" t="s">
        <v>1785</v>
      </c>
      <c r="V576" s="1418">
        <f t="shared" si="41"/>
        <v>0</v>
      </c>
      <c r="W576" s="357"/>
      <c r="X576" s="357"/>
      <c r="Y576" s="357"/>
      <c r="Z576" s="358"/>
      <c r="AA576" s="359"/>
      <c r="AB576" s="360"/>
    </row>
    <row r="577" spans="1:28" s="361" customFormat="1" ht="15" hidden="1" customHeight="1">
      <c r="A577" s="354"/>
      <c r="B577" s="831"/>
      <c r="C577" s="836" t="s">
        <v>1748</v>
      </c>
      <c r="D577" s="895"/>
      <c r="E577" s="896"/>
      <c r="F577" s="897"/>
      <c r="G577" s="895"/>
      <c r="H577" s="896"/>
      <c r="I577" s="897"/>
      <c r="J577" s="832">
        <v>4</v>
      </c>
      <c r="K577" s="837">
        <v>2.8</v>
      </c>
      <c r="L577" s="898"/>
      <c r="M577" s="839">
        <v>2.2000000000000002</v>
      </c>
      <c r="N577" s="728">
        <f t="shared" si="45"/>
        <v>24.64</v>
      </c>
      <c r="O577" s="899"/>
      <c r="P577" s="833"/>
      <c r="Q577" s="861"/>
      <c r="R577" s="900">
        <f t="shared" si="47"/>
        <v>24.64</v>
      </c>
      <c r="S577" s="447" t="s">
        <v>821</v>
      </c>
      <c r="T577" s="835" t="s">
        <v>316</v>
      </c>
      <c r="U577" s="843" t="s">
        <v>1786</v>
      </c>
      <c r="V577" s="1418">
        <f t="shared" si="41"/>
        <v>0</v>
      </c>
      <c r="W577" s="357"/>
      <c r="X577" s="357"/>
      <c r="Y577" s="357"/>
      <c r="Z577" s="358"/>
      <c r="AA577" s="359"/>
      <c r="AB577" s="360"/>
    </row>
    <row r="578" spans="1:28" s="361" customFormat="1" ht="15" hidden="1" customHeight="1">
      <c r="A578" s="354"/>
      <c r="B578" s="831"/>
      <c r="C578" s="836" t="s">
        <v>1748</v>
      </c>
      <c r="D578" s="895"/>
      <c r="E578" s="896"/>
      <c r="F578" s="897"/>
      <c r="G578" s="895"/>
      <c r="H578" s="896"/>
      <c r="I578" s="897"/>
      <c r="J578" s="832">
        <v>2</v>
      </c>
      <c r="K578" s="837">
        <v>0.2</v>
      </c>
      <c r="L578" s="898"/>
      <c r="M578" s="839">
        <v>2.2000000000000002</v>
      </c>
      <c r="N578" s="728">
        <f t="shared" si="45"/>
        <v>0.88000000000000012</v>
      </c>
      <c r="O578" s="899"/>
      <c r="P578" s="833"/>
      <c r="Q578" s="861"/>
      <c r="R578" s="900">
        <f>N578</f>
        <v>0.88000000000000012</v>
      </c>
      <c r="S578" s="447" t="s">
        <v>821</v>
      </c>
      <c r="T578" s="835" t="s">
        <v>316</v>
      </c>
      <c r="U578" s="843" t="s">
        <v>1786</v>
      </c>
      <c r="V578" s="1418">
        <f t="shared" si="41"/>
        <v>0</v>
      </c>
      <c r="W578" s="357"/>
      <c r="X578" s="357"/>
      <c r="Y578" s="357"/>
      <c r="Z578" s="358"/>
      <c r="AA578" s="359"/>
      <c r="AB578" s="360"/>
    </row>
    <row r="579" spans="1:28" s="361" customFormat="1" ht="15" hidden="1" customHeight="1">
      <c r="A579" s="354"/>
      <c r="B579" s="831"/>
      <c r="C579" s="836" t="s">
        <v>1748</v>
      </c>
      <c r="D579" s="895"/>
      <c r="E579" s="896"/>
      <c r="F579" s="897"/>
      <c r="G579" s="895"/>
      <c r="H579" s="896"/>
      <c r="I579" s="897"/>
      <c r="J579" s="832">
        <v>20</v>
      </c>
      <c r="K579" s="837">
        <v>2.2000000000000002</v>
      </c>
      <c r="L579" s="898"/>
      <c r="M579" s="839">
        <v>0.2</v>
      </c>
      <c r="N579" s="728">
        <f t="shared" ref="N579:N584" si="48">K579*M579*J579</f>
        <v>8.8000000000000007</v>
      </c>
      <c r="O579" s="899"/>
      <c r="P579" s="833"/>
      <c r="Q579" s="861"/>
      <c r="R579" s="900">
        <f t="shared" ref="R579:R584" si="49">N579+P579</f>
        <v>8.8000000000000007</v>
      </c>
      <c r="S579" s="447" t="s">
        <v>821</v>
      </c>
      <c r="T579" s="835" t="s">
        <v>316</v>
      </c>
      <c r="U579" s="843" t="s">
        <v>1787</v>
      </c>
      <c r="V579" s="1418">
        <f>V593</f>
        <v>0</v>
      </c>
      <c r="W579" s="357"/>
      <c r="X579" s="357"/>
      <c r="Y579" s="357"/>
      <c r="Z579" s="358"/>
      <c r="AA579" s="359"/>
      <c r="AB579" s="360"/>
    </row>
    <row r="580" spans="1:28" s="361" customFormat="1" ht="15" hidden="1" customHeight="1">
      <c r="A580" s="354"/>
      <c r="B580" s="831"/>
      <c r="C580" s="836" t="s">
        <v>1748</v>
      </c>
      <c r="D580" s="895"/>
      <c r="E580" s="896"/>
      <c r="F580" s="897"/>
      <c r="G580" s="895"/>
      <c r="H580" s="896"/>
      <c r="I580" s="897"/>
      <c r="J580" s="832">
        <v>2</v>
      </c>
      <c r="K580" s="837">
        <v>30.4</v>
      </c>
      <c r="L580" s="898"/>
      <c r="M580" s="839">
        <v>2.2000000000000002</v>
      </c>
      <c r="N580" s="728">
        <f t="shared" si="48"/>
        <v>133.76</v>
      </c>
      <c r="O580" s="899"/>
      <c r="P580" s="833">
        <f>-(1.25*2.5)</f>
        <v>-3.125</v>
      </c>
      <c r="Q580" s="861"/>
      <c r="R580" s="900">
        <f t="shared" si="49"/>
        <v>130.63499999999999</v>
      </c>
      <c r="S580" s="447" t="s">
        <v>821</v>
      </c>
      <c r="T580" s="835" t="s">
        <v>316</v>
      </c>
      <c r="U580" s="843" t="s">
        <v>1787</v>
      </c>
      <c r="V580" s="1418">
        <f t="shared" si="41"/>
        <v>0</v>
      </c>
      <c r="W580" s="357"/>
      <c r="X580" s="357"/>
      <c r="Y580" s="357"/>
      <c r="Z580" s="358"/>
      <c r="AA580" s="359"/>
      <c r="AB580" s="360"/>
    </row>
    <row r="581" spans="1:28" s="361" customFormat="1" ht="30" hidden="1">
      <c r="A581" s="354"/>
      <c r="B581" s="831"/>
      <c r="C581" s="836" t="s">
        <v>1748</v>
      </c>
      <c r="D581" s="895"/>
      <c r="E581" s="896"/>
      <c r="F581" s="897"/>
      <c r="G581" s="895"/>
      <c r="H581" s="896"/>
      <c r="I581" s="897"/>
      <c r="J581" s="832">
        <v>2</v>
      </c>
      <c r="K581" s="837">
        <v>30.4</v>
      </c>
      <c r="L581" s="898"/>
      <c r="M581" s="839">
        <v>0.71</v>
      </c>
      <c r="N581" s="728">
        <f t="shared" si="48"/>
        <v>43.167999999999999</v>
      </c>
      <c r="O581" s="899"/>
      <c r="P581" s="833"/>
      <c r="Q581" s="861"/>
      <c r="R581" s="900">
        <f t="shared" si="49"/>
        <v>43.167999999999999</v>
      </c>
      <c r="S581" s="447" t="s">
        <v>821</v>
      </c>
      <c r="T581" s="835" t="s">
        <v>317</v>
      </c>
      <c r="U581" s="843" t="s">
        <v>1788</v>
      </c>
      <c r="V581" s="1418">
        <f t="shared" si="41"/>
        <v>0</v>
      </c>
      <c r="W581" s="357"/>
      <c r="X581" s="357"/>
      <c r="Y581" s="357"/>
      <c r="Z581" s="358"/>
      <c r="AA581" s="359"/>
      <c r="AB581" s="360"/>
    </row>
    <row r="582" spans="1:28" s="361" customFormat="1" ht="30" hidden="1">
      <c r="A582" s="354"/>
      <c r="B582" s="831"/>
      <c r="C582" s="836" t="s">
        <v>1748</v>
      </c>
      <c r="D582" s="895"/>
      <c r="E582" s="896"/>
      <c r="F582" s="897"/>
      <c r="G582" s="895"/>
      <c r="H582" s="896"/>
      <c r="I582" s="897"/>
      <c r="J582" s="832">
        <v>20</v>
      </c>
      <c r="K582" s="837">
        <v>2.6</v>
      </c>
      <c r="L582" s="898"/>
      <c r="M582" s="839">
        <v>0.25</v>
      </c>
      <c r="N582" s="728">
        <f t="shared" si="48"/>
        <v>13</v>
      </c>
      <c r="O582" s="899"/>
      <c r="P582" s="833"/>
      <c r="Q582" s="861"/>
      <c r="R582" s="900">
        <f t="shared" si="49"/>
        <v>13</v>
      </c>
      <c r="S582" s="447" t="s">
        <v>821</v>
      </c>
      <c r="T582" s="835" t="s">
        <v>317</v>
      </c>
      <c r="U582" s="843" t="s">
        <v>1789</v>
      </c>
      <c r="V582" s="1418">
        <f t="shared" si="41"/>
        <v>0</v>
      </c>
      <c r="W582" s="357"/>
      <c r="X582" s="357"/>
      <c r="Y582" s="357"/>
      <c r="Z582" s="358"/>
      <c r="AA582" s="359"/>
      <c r="AB582" s="360"/>
    </row>
    <row r="583" spans="1:28" s="361" customFormat="1" ht="30" hidden="1">
      <c r="A583" s="354"/>
      <c r="B583" s="831"/>
      <c r="C583" s="836" t="s">
        <v>1748</v>
      </c>
      <c r="D583" s="895"/>
      <c r="E583" s="896"/>
      <c r="F583" s="897"/>
      <c r="G583" s="895"/>
      <c r="H583" s="896"/>
      <c r="I583" s="897"/>
      <c r="J583" s="832">
        <v>1</v>
      </c>
      <c r="K583" s="837">
        <v>30.4</v>
      </c>
      <c r="L583" s="898"/>
      <c r="M583" s="839">
        <v>2.6</v>
      </c>
      <c r="N583" s="728">
        <f t="shared" si="48"/>
        <v>79.039999999999992</v>
      </c>
      <c r="O583" s="899"/>
      <c r="P583" s="833"/>
      <c r="Q583" s="861"/>
      <c r="R583" s="900">
        <f t="shared" si="49"/>
        <v>79.039999999999992</v>
      </c>
      <c r="S583" s="447" t="s">
        <v>821</v>
      </c>
      <c r="T583" s="835" t="s">
        <v>317</v>
      </c>
      <c r="U583" s="1093" t="s">
        <v>1790</v>
      </c>
      <c r="V583" s="1418">
        <f t="shared" si="41"/>
        <v>0</v>
      </c>
      <c r="W583" s="357"/>
      <c r="X583" s="357"/>
      <c r="Y583" s="357"/>
      <c r="Z583" s="358"/>
      <c r="AA583" s="359"/>
      <c r="AB583" s="360"/>
    </row>
    <row r="584" spans="1:28" s="361" customFormat="1" ht="30" hidden="1">
      <c r="A584" s="354"/>
      <c r="B584" s="831"/>
      <c r="C584" s="836" t="s">
        <v>1748</v>
      </c>
      <c r="D584" s="895"/>
      <c r="E584" s="896"/>
      <c r="F584" s="897"/>
      <c r="G584" s="895"/>
      <c r="H584" s="896"/>
      <c r="I584" s="897"/>
      <c r="J584" s="832">
        <v>4</v>
      </c>
      <c r="K584" s="837">
        <v>2.8</v>
      </c>
      <c r="L584" s="898"/>
      <c r="M584" s="839">
        <v>0.3</v>
      </c>
      <c r="N584" s="728">
        <f t="shared" si="48"/>
        <v>3.36</v>
      </c>
      <c r="O584" s="899"/>
      <c r="P584" s="833"/>
      <c r="Q584" s="861"/>
      <c r="R584" s="900">
        <f t="shared" si="49"/>
        <v>3.36</v>
      </c>
      <c r="S584" s="447" t="s">
        <v>821</v>
      </c>
      <c r="T584" s="835" t="s">
        <v>317</v>
      </c>
      <c r="U584" s="843" t="s">
        <v>1791</v>
      </c>
      <c r="V584" s="1418">
        <f t="shared" si="41"/>
        <v>0</v>
      </c>
      <c r="W584" s="357"/>
      <c r="X584" s="357"/>
      <c r="Y584" s="357"/>
      <c r="Z584" s="358"/>
      <c r="AA584" s="359"/>
      <c r="AB584" s="360"/>
    </row>
    <row r="585" spans="1:28" s="361" customFormat="1" ht="30" hidden="1">
      <c r="A585" s="354"/>
      <c r="B585" s="831"/>
      <c r="C585" s="836" t="s">
        <v>1748</v>
      </c>
      <c r="D585" s="895"/>
      <c r="E585" s="896"/>
      <c r="F585" s="897"/>
      <c r="G585" s="895"/>
      <c r="H585" s="896"/>
      <c r="I585" s="897"/>
      <c r="J585" s="832">
        <v>2</v>
      </c>
      <c r="K585" s="837">
        <v>30.4</v>
      </c>
      <c r="L585" s="898"/>
      <c r="M585" s="839">
        <v>0.3</v>
      </c>
      <c r="N585" s="728">
        <f t="shared" ref="N585:N593" si="50">K585*M585*J585</f>
        <v>18.239999999999998</v>
      </c>
      <c r="O585" s="899"/>
      <c r="P585" s="833"/>
      <c r="Q585" s="861"/>
      <c r="R585" s="900">
        <f t="shared" ref="R585:R587" si="51">N585+P585</f>
        <v>18.239999999999998</v>
      </c>
      <c r="S585" s="447" t="s">
        <v>821</v>
      </c>
      <c r="T585" s="835" t="s">
        <v>317</v>
      </c>
      <c r="U585" s="843" t="s">
        <v>1787</v>
      </c>
      <c r="V585" s="1418">
        <f t="shared" si="41"/>
        <v>0</v>
      </c>
      <c r="W585" s="357"/>
      <c r="X585" s="357"/>
      <c r="Y585" s="357"/>
      <c r="Z585" s="358"/>
      <c r="AA585" s="359"/>
      <c r="AB585" s="360"/>
    </row>
    <row r="586" spans="1:28" s="361" customFormat="1" ht="15" hidden="1">
      <c r="A586" s="354"/>
      <c r="B586" s="831"/>
      <c r="C586" s="836" t="s">
        <v>1748</v>
      </c>
      <c r="D586" s="895"/>
      <c r="E586" s="896"/>
      <c r="F586" s="897"/>
      <c r="G586" s="895"/>
      <c r="H586" s="896"/>
      <c r="I586" s="897"/>
      <c r="J586" s="832">
        <v>2</v>
      </c>
      <c r="K586" s="837">
        <v>6.64</v>
      </c>
      <c r="L586" s="898"/>
      <c r="M586" s="839">
        <v>0.25</v>
      </c>
      <c r="N586" s="728">
        <f t="shared" si="50"/>
        <v>3.32</v>
      </c>
      <c r="O586" s="899"/>
      <c r="P586" s="833"/>
      <c r="Q586" s="861"/>
      <c r="R586" s="900">
        <f t="shared" si="51"/>
        <v>3.32</v>
      </c>
      <c r="S586" s="792" t="s">
        <v>821</v>
      </c>
      <c r="T586" s="835" t="s">
        <v>321</v>
      </c>
      <c r="U586" s="843" t="s">
        <v>1792</v>
      </c>
      <c r="V586" s="1418">
        <f t="shared" si="41"/>
        <v>0</v>
      </c>
      <c r="W586" s="357"/>
      <c r="X586" s="357"/>
      <c r="Y586" s="357"/>
      <c r="Z586" s="358"/>
      <c r="AA586" s="359"/>
      <c r="AB586" s="360"/>
    </row>
    <row r="587" spans="1:28" s="361" customFormat="1" ht="15" hidden="1">
      <c r="A587" s="354"/>
      <c r="B587" s="831"/>
      <c r="C587" s="836" t="s">
        <v>1748</v>
      </c>
      <c r="D587" s="895"/>
      <c r="E587" s="896"/>
      <c r="F587" s="897"/>
      <c r="G587" s="895"/>
      <c r="H587" s="896"/>
      <c r="I587" s="897"/>
      <c r="J587" s="832">
        <v>2</v>
      </c>
      <c r="K587" s="837">
        <v>26</v>
      </c>
      <c r="L587" s="898"/>
      <c r="M587" s="839">
        <v>0.25</v>
      </c>
      <c r="N587" s="728">
        <f t="shared" si="50"/>
        <v>13</v>
      </c>
      <c r="O587" s="899"/>
      <c r="P587" s="833"/>
      <c r="Q587" s="861"/>
      <c r="R587" s="900">
        <f t="shared" si="51"/>
        <v>13</v>
      </c>
      <c r="S587" s="792" t="s">
        <v>821</v>
      </c>
      <c r="T587" s="835" t="s">
        <v>321</v>
      </c>
      <c r="U587" s="843" t="s">
        <v>1792</v>
      </c>
      <c r="V587" s="1418">
        <f t="shared" si="41"/>
        <v>0</v>
      </c>
      <c r="W587" s="357"/>
      <c r="X587" s="357"/>
      <c r="Y587" s="357"/>
      <c r="Z587" s="358"/>
      <c r="AA587" s="359"/>
      <c r="AB587" s="360"/>
    </row>
    <row r="588" spans="1:28" s="361" customFormat="1" ht="15" hidden="1">
      <c r="A588" s="354"/>
      <c r="B588" s="831"/>
      <c r="C588" s="836" t="s">
        <v>1748</v>
      </c>
      <c r="D588" s="895"/>
      <c r="E588" s="896"/>
      <c r="F588" s="897"/>
      <c r="G588" s="895"/>
      <c r="H588" s="896"/>
      <c r="I588" s="897"/>
      <c r="J588" s="832">
        <v>1</v>
      </c>
      <c r="K588" s="837">
        <v>41.42</v>
      </c>
      <c r="L588" s="898"/>
      <c r="M588" s="839">
        <v>0.5</v>
      </c>
      <c r="N588" s="728">
        <f t="shared" si="50"/>
        <v>20.71</v>
      </c>
      <c r="O588" s="899"/>
      <c r="P588" s="833"/>
      <c r="Q588" s="861"/>
      <c r="R588" s="900">
        <v>20.71</v>
      </c>
      <c r="S588" s="792" t="s">
        <v>821</v>
      </c>
      <c r="T588" s="835" t="s">
        <v>321</v>
      </c>
      <c r="U588" s="843" t="s">
        <v>1793</v>
      </c>
      <c r="V588" s="1418">
        <f t="shared" si="41"/>
        <v>0</v>
      </c>
      <c r="W588" s="357"/>
      <c r="X588" s="357"/>
      <c r="Y588" s="357"/>
      <c r="Z588" s="358"/>
      <c r="AA588" s="359"/>
      <c r="AB588" s="360"/>
    </row>
    <row r="589" spans="1:28" s="361" customFormat="1" ht="15" hidden="1">
      <c r="A589" s="354"/>
      <c r="B589" s="831"/>
      <c r="C589" s="836" t="s">
        <v>1748</v>
      </c>
      <c r="D589" s="895"/>
      <c r="E589" s="896"/>
      <c r="F589" s="897"/>
      <c r="G589" s="895"/>
      <c r="H589" s="896"/>
      <c r="I589" s="897"/>
      <c r="J589" s="832">
        <v>1</v>
      </c>
      <c r="K589" s="837">
        <v>64.36</v>
      </c>
      <c r="L589" s="898"/>
      <c r="M589" s="839">
        <v>0.5</v>
      </c>
      <c r="N589" s="728">
        <f t="shared" si="50"/>
        <v>32.18</v>
      </c>
      <c r="O589" s="899"/>
      <c r="P589" s="833"/>
      <c r="Q589" s="861"/>
      <c r="R589" s="900">
        <v>32.18</v>
      </c>
      <c r="S589" s="792" t="s">
        <v>821</v>
      </c>
      <c r="T589" s="835" t="s">
        <v>321</v>
      </c>
      <c r="U589" s="843" t="s">
        <v>1793</v>
      </c>
      <c r="V589" s="1418">
        <f t="shared" si="41"/>
        <v>0</v>
      </c>
      <c r="W589" s="357"/>
      <c r="X589" s="357"/>
      <c r="Y589" s="357"/>
      <c r="Z589" s="358"/>
      <c r="AA589" s="359"/>
      <c r="AB589" s="360"/>
    </row>
    <row r="590" spans="1:28" s="361" customFormat="1" ht="15" hidden="1">
      <c r="A590" s="354"/>
      <c r="B590" s="831"/>
      <c r="C590" s="836" t="s">
        <v>1748</v>
      </c>
      <c r="D590" s="895"/>
      <c r="E590" s="896"/>
      <c r="F590" s="897"/>
      <c r="G590" s="895"/>
      <c r="H590" s="896"/>
      <c r="I590" s="897"/>
      <c r="J590" s="832">
        <v>2</v>
      </c>
      <c r="K590" s="837">
        <v>34.700000000000003</v>
      </c>
      <c r="L590" s="898"/>
      <c r="M590" s="839">
        <v>0.25</v>
      </c>
      <c r="N590" s="728">
        <v>291.48</v>
      </c>
      <c r="O590" s="899"/>
      <c r="P590" s="833"/>
      <c r="Q590" s="861"/>
      <c r="R590" s="900">
        <v>32.18</v>
      </c>
      <c r="S590" s="792" t="s">
        <v>821</v>
      </c>
      <c r="T590" s="835" t="s">
        <v>322</v>
      </c>
      <c r="U590" s="843" t="s">
        <v>1794</v>
      </c>
      <c r="V590" s="1418">
        <f t="shared" si="41"/>
        <v>0</v>
      </c>
      <c r="W590" s="357"/>
      <c r="X590" s="357"/>
      <c r="Y590" s="357"/>
      <c r="Z590" s="358"/>
      <c r="AA590" s="359"/>
      <c r="AB590" s="360"/>
    </row>
    <row r="591" spans="1:28" s="361" customFormat="1" ht="15" hidden="1">
      <c r="A591" s="354"/>
      <c r="B591" s="831"/>
      <c r="C591" s="836" t="s">
        <v>1748</v>
      </c>
      <c r="D591" s="895"/>
      <c r="E591" s="896"/>
      <c r="F591" s="897"/>
      <c r="G591" s="895"/>
      <c r="H591" s="896"/>
      <c r="I591" s="897"/>
      <c r="J591" s="832">
        <v>2</v>
      </c>
      <c r="K591" s="837">
        <v>34.700000000000003</v>
      </c>
      <c r="L591" s="898"/>
      <c r="M591" s="839">
        <v>4.2</v>
      </c>
      <c r="N591" s="728">
        <v>291.48</v>
      </c>
      <c r="O591" s="899"/>
      <c r="P591" s="833"/>
      <c r="Q591" s="861"/>
      <c r="R591" s="900">
        <v>32.18</v>
      </c>
      <c r="S591" s="792" t="s">
        <v>821</v>
      </c>
      <c r="T591" s="835" t="s">
        <v>322</v>
      </c>
      <c r="U591" s="843" t="s">
        <v>1794</v>
      </c>
      <c r="V591" s="1418">
        <f t="shared" si="41"/>
        <v>0</v>
      </c>
      <c r="W591" s="357"/>
      <c r="X591" s="357"/>
      <c r="Y591" s="357"/>
      <c r="Z591" s="358"/>
      <c r="AA591" s="359"/>
      <c r="AB591" s="360"/>
    </row>
    <row r="592" spans="1:28" s="361" customFormat="1" ht="15" hidden="1">
      <c r="A592" s="354"/>
      <c r="B592" s="831"/>
      <c r="C592" s="836" t="s">
        <v>1748</v>
      </c>
      <c r="D592" s="895"/>
      <c r="E592" s="896"/>
      <c r="F592" s="897"/>
      <c r="G592" s="895"/>
      <c r="H592" s="896"/>
      <c r="I592" s="897"/>
      <c r="J592" s="832">
        <v>1</v>
      </c>
      <c r="K592" s="837">
        <v>38.26</v>
      </c>
      <c r="L592" s="898"/>
      <c r="M592" s="839">
        <v>0.28000000000000003</v>
      </c>
      <c r="N592" s="728">
        <f t="shared" ref="N592" si="52">K592*M592*J592</f>
        <v>10.7128</v>
      </c>
      <c r="O592" s="899"/>
      <c r="P592" s="833"/>
      <c r="Q592" s="861"/>
      <c r="R592" s="900">
        <f>N592</f>
        <v>10.7128</v>
      </c>
      <c r="S592" s="792" t="s">
        <v>821</v>
      </c>
      <c r="T592" s="835" t="s">
        <v>324</v>
      </c>
      <c r="U592" s="843" t="s">
        <v>1795</v>
      </c>
      <c r="V592" s="1418">
        <f t="shared" si="41"/>
        <v>0</v>
      </c>
      <c r="W592" s="357"/>
      <c r="X592" s="357"/>
      <c r="Y592" s="357"/>
      <c r="Z592" s="358"/>
      <c r="AA592" s="359"/>
      <c r="AB592" s="360"/>
    </row>
    <row r="593" spans="1:36" s="361" customFormat="1" ht="15" hidden="1">
      <c r="A593" s="354"/>
      <c r="B593" s="766"/>
      <c r="C593" s="890" t="s">
        <v>1748</v>
      </c>
      <c r="D593" s="1221"/>
      <c r="E593" s="932"/>
      <c r="F593" s="1222"/>
      <c r="G593" s="1221"/>
      <c r="H593" s="932"/>
      <c r="I593" s="1222"/>
      <c r="J593" s="933">
        <v>2</v>
      </c>
      <c r="K593" s="934">
        <v>8.1999999999999993</v>
      </c>
      <c r="L593" s="935"/>
      <c r="M593" s="935">
        <v>0.28000000000000003</v>
      </c>
      <c r="N593" s="728">
        <f t="shared" si="50"/>
        <v>4.5919999999999996</v>
      </c>
      <c r="O593" s="939"/>
      <c r="P593" s="1223"/>
      <c r="Q593" s="937"/>
      <c r="R593" s="900">
        <f>N593</f>
        <v>4.5919999999999996</v>
      </c>
      <c r="S593" s="1224" t="s">
        <v>821</v>
      </c>
      <c r="T593" s="938" t="s">
        <v>324</v>
      </c>
      <c r="U593" s="1094" t="s">
        <v>1795</v>
      </c>
      <c r="V593" s="1418">
        <f t="shared" si="41"/>
        <v>0</v>
      </c>
      <c r="W593" s="357"/>
      <c r="X593" s="357"/>
      <c r="Y593" s="357"/>
      <c r="Z593" s="358"/>
      <c r="AA593" s="359"/>
      <c r="AB593" s="360"/>
    </row>
    <row r="594" spans="1:36" s="77" customFormat="1" ht="15.6" hidden="1">
      <c r="A594" s="370"/>
      <c r="B594" s="499"/>
      <c r="C594" s="37"/>
      <c r="D594" s="1929" t="s">
        <v>1520</v>
      </c>
      <c r="E594" s="1930"/>
      <c r="F594" s="1930"/>
      <c r="G594" s="1930"/>
      <c r="H594" s="1930"/>
      <c r="I594" s="1931"/>
      <c r="J594" s="1932">
        <f>VLOOKUP(A596,'11 - FINANCEIRA'!_xlnm.Print_Area,6,FALSE)</f>
        <v>2907.69</v>
      </c>
      <c r="K594" s="1933"/>
      <c r="L594" s="1343" t="str">
        <f>VLOOKUP(A596,'11 - FINANCEIRA'!_xlnm.Print_Area,4,FALSE)</f>
        <v>m²</v>
      </c>
      <c r="M594" s="1934" t="s">
        <v>1521</v>
      </c>
      <c r="N594" s="1935"/>
      <c r="O594" s="1935"/>
      <c r="P594" s="1935"/>
      <c r="Q594" s="1936"/>
      <c r="R594" s="726">
        <f>SUM(R539:R593)</f>
        <v>2346.9467999999997</v>
      </c>
      <c r="S594" s="1344" t="str">
        <f>L594</f>
        <v>m²</v>
      </c>
      <c r="T594" s="373"/>
      <c r="U594" s="486"/>
      <c r="V594" s="1418">
        <f t="shared" si="41"/>
        <v>0</v>
      </c>
      <c r="AB594" s="15"/>
    </row>
    <row r="595" spans="1:36" s="77" customFormat="1" ht="15.6" hidden="1">
      <c r="A595" s="370"/>
      <c r="B595" s="499"/>
      <c r="C595" s="725"/>
      <c r="D595" s="1937" t="s">
        <v>1522</v>
      </c>
      <c r="E595" s="1938"/>
      <c r="F595" s="1938"/>
      <c r="G595" s="1938"/>
      <c r="H595" s="1938"/>
      <c r="I595" s="1939"/>
      <c r="J595" s="1943">
        <f>R594/J594</f>
        <v>0.80715165646956855</v>
      </c>
      <c r="K595" s="1944"/>
      <c r="L595" s="1947"/>
      <c r="M595" s="1934" t="s">
        <v>1523</v>
      </c>
      <c r="N595" s="1935"/>
      <c r="O595" s="1935"/>
      <c r="P595" s="1935"/>
      <c r="Q595" s="1936"/>
      <c r="R595" s="726">
        <f>VLOOKUP(A596,'11 - FINANCEIRA'!_xlnm.Print_Area,8,FALSE)</f>
        <v>2346.9467999999997</v>
      </c>
      <c r="S595" s="727" t="str">
        <f>L594</f>
        <v>m²</v>
      </c>
      <c r="T595" s="373"/>
      <c r="U595" s="486"/>
      <c r="V595" s="1418">
        <f t="shared" si="41"/>
        <v>0</v>
      </c>
      <c r="AB595" s="15"/>
    </row>
    <row r="596" spans="1:36" s="77" customFormat="1" ht="15.6" hidden="1">
      <c r="A596" s="364" t="s">
        <v>372</v>
      </c>
      <c r="B596" s="499"/>
      <c r="C596" s="37"/>
      <c r="D596" s="2013"/>
      <c r="E596" s="2014"/>
      <c r="F596" s="2014"/>
      <c r="G596" s="2014"/>
      <c r="H596" s="2014"/>
      <c r="I596" s="2015"/>
      <c r="J596" s="2016"/>
      <c r="K596" s="2017"/>
      <c r="L596" s="1962"/>
      <c r="M596" s="2007" t="s">
        <v>1524</v>
      </c>
      <c r="N596" s="2008"/>
      <c r="O596" s="2008"/>
      <c r="P596" s="2008"/>
      <c r="Q596" s="2009"/>
      <c r="R596" s="1345">
        <f>R594-R595</f>
        <v>0</v>
      </c>
      <c r="S596" s="1346" t="str">
        <f>L594</f>
        <v>m²</v>
      </c>
      <c r="T596" s="373"/>
      <c r="U596" s="486"/>
      <c r="V596" s="1418">
        <f>R596</f>
        <v>0</v>
      </c>
      <c r="AB596" s="15"/>
    </row>
    <row r="597" spans="1:36" s="77" customFormat="1" ht="15.6" hidden="1">
      <c r="A597" s="370"/>
      <c r="B597" s="1347"/>
      <c r="C597" s="1348"/>
      <c r="D597" s="1349"/>
      <c r="E597" s="1350"/>
      <c r="F597" s="1349"/>
      <c r="G597" s="1349"/>
      <c r="H597" s="1349"/>
      <c r="I597" s="1349"/>
      <c r="J597" s="1351"/>
      <c r="K597" s="1352"/>
      <c r="L597" s="1353"/>
      <c r="M597" s="1354"/>
      <c r="N597" s="1354"/>
      <c r="O597" s="1354"/>
      <c r="P597" s="1354"/>
      <c r="Q597" s="1354"/>
      <c r="R597" s="1355"/>
      <c r="S597" s="1356"/>
      <c r="T597" s="1357"/>
      <c r="U597" s="1358"/>
      <c r="V597" s="1420">
        <f>SUM(V537:V596)</f>
        <v>0</v>
      </c>
      <c r="AB597" s="15"/>
    </row>
    <row r="598" spans="1:36" s="352" customFormat="1" ht="15.6">
      <c r="A598" s="351"/>
      <c r="B598" s="1963" t="str">
        <f>VLOOKUP(A647,'11 - FINANCEIRA'!_xlnm.Print_Area,1,FALSE)</f>
        <v>2.2.9</v>
      </c>
      <c r="C598" s="1965" t="str">
        <f>VLOOKUP(A647,'11 - FINANCEIRA'!_xlnm.Print_Area,3,FALSE)</f>
        <v>Concreto para bombeamento fck = 40 mpa</v>
      </c>
      <c r="D598" s="1967" t="s">
        <v>1503</v>
      </c>
      <c r="E598" s="1968"/>
      <c r="F598" s="1968"/>
      <c r="G598" s="1968"/>
      <c r="H598" s="1968"/>
      <c r="I598" s="1969"/>
      <c r="J598" s="1914" t="s">
        <v>804</v>
      </c>
      <c r="K598" s="1914" t="s">
        <v>1505</v>
      </c>
      <c r="L598" s="1914" t="s">
        <v>1506</v>
      </c>
      <c r="M598" s="1914" t="s">
        <v>1746</v>
      </c>
      <c r="N598" s="1914" t="s">
        <v>1508</v>
      </c>
      <c r="O598" s="1914" t="s">
        <v>1509</v>
      </c>
      <c r="P598" s="1341" t="s">
        <v>1747</v>
      </c>
      <c r="Q598" s="1914" t="s">
        <v>1493</v>
      </c>
      <c r="R598" s="1916" t="s">
        <v>804</v>
      </c>
      <c r="S598" s="1914" t="s">
        <v>1511</v>
      </c>
      <c r="T598" s="1914" t="s">
        <v>1512</v>
      </c>
      <c r="U598" s="1918" t="s">
        <v>1513</v>
      </c>
      <c r="V598" s="1418">
        <f t="shared" ref="V598:V646" si="53">V599</f>
        <v>19.370000000000005</v>
      </c>
      <c r="W598" s="16"/>
      <c r="X598" s="16"/>
      <c r="Y598" s="16"/>
      <c r="Z598" s="17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</row>
    <row r="599" spans="1:36" s="352" customFormat="1" ht="15.6">
      <c r="A599" s="351"/>
      <c r="B599" s="1964" t="e">
        <f>LEFT(#REF!,5)</f>
        <v>#REF!</v>
      </c>
      <c r="C599" s="1966" t="e">
        <f>VLOOKUP(LEFT(#REF!,5),'11 - FINANCEIRA'!_xlnm.Print_Area,2,FALSE)</f>
        <v>#REF!</v>
      </c>
      <c r="D599" s="1920" t="s">
        <v>1514</v>
      </c>
      <c r="E599" s="1921"/>
      <c r="F599" s="1922"/>
      <c r="G599" s="1923" t="s">
        <v>1515</v>
      </c>
      <c r="H599" s="1924"/>
      <c r="I599" s="1925"/>
      <c r="J599" s="1915"/>
      <c r="K599" s="1915"/>
      <c r="L599" s="1915"/>
      <c r="M599" s="1915"/>
      <c r="N599" s="1915"/>
      <c r="O599" s="1915"/>
      <c r="P599" s="353" t="s">
        <v>853</v>
      </c>
      <c r="Q599" s="1915"/>
      <c r="R599" s="1917"/>
      <c r="S599" s="1915"/>
      <c r="T599" s="1915"/>
      <c r="U599" s="1919"/>
      <c r="V599" s="1418">
        <f t="shared" si="53"/>
        <v>19.370000000000005</v>
      </c>
      <c r="W599" s="16"/>
      <c r="X599" s="16"/>
      <c r="Y599" s="16"/>
      <c r="Z599" s="17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</row>
    <row r="600" spans="1:36" s="361" customFormat="1" ht="15" customHeight="1">
      <c r="A600" s="354"/>
      <c r="B600" s="755"/>
      <c r="C600" s="28" t="s">
        <v>872</v>
      </c>
      <c r="D600" s="18"/>
      <c r="E600" s="19"/>
      <c r="F600" s="20"/>
      <c r="G600" s="18"/>
      <c r="H600" s="19"/>
      <c r="I600" s="20"/>
      <c r="J600" s="21"/>
      <c r="K600" s="22">
        <v>30.8</v>
      </c>
      <c r="L600" s="783">
        <v>9.9019999999999992</v>
      </c>
      <c r="M600" s="24">
        <v>0.5</v>
      </c>
      <c r="N600" s="728">
        <f>K600*L600</f>
        <v>304.98159999999996</v>
      </c>
      <c r="O600" s="845">
        <f>K600*L600*M600</f>
        <v>152.49079999999998</v>
      </c>
      <c r="P600" s="23"/>
      <c r="Q600" s="729"/>
      <c r="R600" s="1109">
        <f t="shared" ref="R600:R605" si="54">O600</f>
        <v>152.49079999999998</v>
      </c>
      <c r="S600" s="447" t="s">
        <v>853</v>
      </c>
      <c r="T600" s="446" t="s">
        <v>304</v>
      </c>
      <c r="U600" s="793" t="s">
        <v>1796</v>
      </c>
      <c r="V600" s="1418">
        <f t="shared" si="53"/>
        <v>19.370000000000005</v>
      </c>
      <c r="W600" s="357"/>
      <c r="X600" s="357"/>
      <c r="Y600" s="357"/>
      <c r="Z600" s="358"/>
      <c r="AA600" s="359"/>
      <c r="AB600" s="360"/>
    </row>
    <row r="601" spans="1:36" s="361" customFormat="1" ht="15" customHeight="1">
      <c r="A601" s="354"/>
      <c r="B601" s="755"/>
      <c r="C601" s="28" t="s">
        <v>872</v>
      </c>
      <c r="D601" s="18"/>
      <c r="E601" s="19"/>
      <c r="F601" s="20"/>
      <c r="G601" s="18"/>
      <c r="H601" s="19"/>
      <c r="I601" s="20"/>
      <c r="J601" s="21">
        <v>1</v>
      </c>
      <c r="K601" s="22"/>
      <c r="L601" s="783">
        <v>0.5</v>
      </c>
      <c r="M601" s="24">
        <v>4.2</v>
      </c>
      <c r="N601" s="728">
        <v>29.42</v>
      </c>
      <c r="O601" s="845">
        <f t="shared" ref="O601:O611" si="55">N601*M601</f>
        <v>123.56400000000001</v>
      </c>
      <c r="P601" s="23"/>
      <c r="Q601" s="729"/>
      <c r="R601" s="862">
        <f t="shared" si="54"/>
        <v>123.56400000000001</v>
      </c>
      <c r="S601" s="447" t="s">
        <v>853</v>
      </c>
      <c r="T601" s="446" t="s">
        <v>305</v>
      </c>
      <c r="U601" s="793" t="s">
        <v>1750</v>
      </c>
      <c r="V601" s="1418">
        <f t="shared" si="53"/>
        <v>19.370000000000005</v>
      </c>
      <c r="W601" s="357"/>
      <c r="X601" s="357"/>
      <c r="Y601" s="357"/>
      <c r="Z601" s="358"/>
      <c r="AA601" s="359"/>
      <c r="AB601" s="360"/>
    </row>
    <row r="602" spans="1:36" s="361" customFormat="1" ht="15" customHeight="1">
      <c r="A602" s="354"/>
      <c r="B602" s="755"/>
      <c r="C602" s="28" t="s">
        <v>872</v>
      </c>
      <c r="D602" s="18"/>
      <c r="E602" s="19"/>
      <c r="F602" s="20"/>
      <c r="G602" s="18"/>
      <c r="H602" s="19"/>
      <c r="I602" s="20"/>
      <c r="J602" s="867">
        <v>9</v>
      </c>
      <c r="K602" s="868">
        <v>4.2</v>
      </c>
      <c r="L602" s="873">
        <v>0.2</v>
      </c>
      <c r="M602" s="870">
        <v>4.0999999999999996</v>
      </c>
      <c r="N602" s="874">
        <f t="shared" ref="N602:N611" si="56">K602*L602*J602</f>
        <v>7.5600000000000005</v>
      </c>
      <c r="O602" s="940">
        <f t="shared" si="55"/>
        <v>30.995999999999999</v>
      </c>
      <c r="P602" s="869"/>
      <c r="Q602" s="878"/>
      <c r="R602" s="941">
        <f t="shared" si="54"/>
        <v>30.995999999999999</v>
      </c>
      <c r="S602" s="927" t="s">
        <v>853</v>
      </c>
      <c r="T602" s="872" t="s">
        <v>305</v>
      </c>
      <c r="U602" s="846" t="s">
        <v>1751</v>
      </c>
      <c r="V602" s="1418">
        <f t="shared" si="53"/>
        <v>19.370000000000005</v>
      </c>
      <c r="W602" s="357"/>
      <c r="X602" s="357"/>
      <c r="Y602" s="357"/>
      <c r="Z602" s="358"/>
      <c r="AA602" s="359"/>
      <c r="AB602" s="360"/>
    </row>
    <row r="603" spans="1:36" s="361" customFormat="1" ht="15" customHeight="1">
      <c r="A603" s="354"/>
      <c r="B603" s="755"/>
      <c r="C603" s="28" t="s">
        <v>872</v>
      </c>
      <c r="D603" s="18"/>
      <c r="E603" s="19"/>
      <c r="F603" s="20"/>
      <c r="G603" s="18"/>
      <c r="H603" s="19"/>
      <c r="I603" s="20"/>
      <c r="J603" s="867">
        <v>1</v>
      </c>
      <c r="K603" s="868">
        <v>29.8</v>
      </c>
      <c r="L603" s="873">
        <v>0.3</v>
      </c>
      <c r="M603" s="870">
        <v>1.5</v>
      </c>
      <c r="N603" s="874">
        <f t="shared" si="56"/>
        <v>8.94</v>
      </c>
      <c r="O603" s="940">
        <f t="shared" si="55"/>
        <v>13.41</v>
      </c>
      <c r="P603" s="869"/>
      <c r="Q603" s="878"/>
      <c r="R603" s="941">
        <f t="shared" si="54"/>
        <v>13.41</v>
      </c>
      <c r="S603" s="927" t="s">
        <v>853</v>
      </c>
      <c r="T603" s="872" t="s">
        <v>305</v>
      </c>
      <c r="U603" s="846" t="s">
        <v>1752</v>
      </c>
      <c r="V603" s="1418">
        <f t="shared" si="53"/>
        <v>19.370000000000005</v>
      </c>
      <c r="W603" s="357"/>
      <c r="X603" s="357"/>
      <c r="Y603" s="357"/>
      <c r="Z603" s="358"/>
      <c r="AA603" s="359"/>
      <c r="AB603" s="360"/>
    </row>
    <row r="604" spans="1:36" s="361" customFormat="1" ht="15" customHeight="1">
      <c r="A604" s="354"/>
      <c r="B604" s="755"/>
      <c r="C604" s="28" t="s">
        <v>872</v>
      </c>
      <c r="D604" s="18"/>
      <c r="E604" s="19"/>
      <c r="F604" s="20"/>
      <c r="G604" s="18"/>
      <c r="H604" s="19"/>
      <c r="I604" s="20"/>
      <c r="J604" s="867">
        <v>1</v>
      </c>
      <c r="K604" s="868">
        <v>29.8</v>
      </c>
      <c r="L604" s="873">
        <v>0.2</v>
      </c>
      <c r="M604" s="870">
        <v>1.5</v>
      </c>
      <c r="N604" s="874">
        <f t="shared" si="56"/>
        <v>5.9600000000000009</v>
      </c>
      <c r="O604" s="940">
        <f t="shared" si="55"/>
        <v>8.9400000000000013</v>
      </c>
      <c r="P604" s="869"/>
      <c r="Q604" s="878"/>
      <c r="R604" s="941">
        <f t="shared" si="54"/>
        <v>8.9400000000000013</v>
      </c>
      <c r="S604" s="927" t="s">
        <v>853</v>
      </c>
      <c r="T604" s="872" t="s">
        <v>305</v>
      </c>
      <c r="U604" s="846" t="s">
        <v>1753</v>
      </c>
      <c r="V604" s="1418">
        <f t="shared" si="53"/>
        <v>19.370000000000005</v>
      </c>
      <c r="W604" s="357"/>
      <c r="X604" s="357"/>
      <c r="Y604" s="357"/>
      <c r="Z604" s="358"/>
      <c r="AA604" s="359"/>
      <c r="AB604" s="360"/>
    </row>
    <row r="605" spans="1:36" s="361" customFormat="1" ht="15" customHeight="1">
      <c r="A605" s="354"/>
      <c r="B605" s="755"/>
      <c r="C605" s="28" t="s">
        <v>872</v>
      </c>
      <c r="D605" s="18"/>
      <c r="E605" s="19"/>
      <c r="F605" s="20"/>
      <c r="G605" s="18"/>
      <c r="H605" s="19"/>
      <c r="I605" s="20"/>
      <c r="J605" s="867">
        <v>2</v>
      </c>
      <c r="K605" s="868">
        <v>1.65</v>
      </c>
      <c r="L605" s="873">
        <v>0.5</v>
      </c>
      <c r="M605" s="870">
        <v>4.2</v>
      </c>
      <c r="N605" s="874">
        <f t="shared" si="56"/>
        <v>1.65</v>
      </c>
      <c r="O605" s="940">
        <f t="shared" si="55"/>
        <v>6.93</v>
      </c>
      <c r="P605" s="869"/>
      <c r="Q605" s="878"/>
      <c r="R605" s="941">
        <f t="shared" si="54"/>
        <v>6.93</v>
      </c>
      <c r="S605" s="927" t="s">
        <v>853</v>
      </c>
      <c r="T605" s="872" t="s">
        <v>305</v>
      </c>
      <c r="U605" s="846" t="s">
        <v>1754</v>
      </c>
      <c r="V605" s="1418">
        <f t="shared" si="53"/>
        <v>19.370000000000005</v>
      </c>
      <c r="W605" s="357"/>
      <c r="X605" s="357"/>
      <c r="Y605" s="357"/>
      <c r="Z605" s="358"/>
      <c r="AA605" s="359"/>
      <c r="AB605" s="360"/>
    </row>
    <row r="606" spans="1:36" s="361" customFormat="1" ht="15" customHeight="1">
      <c r="A606" s="354"/>
      <c r="B606" s="755"/>
      <c r="C606" s="28" t="s">
        <v>872</v>
      </c>
      <c r="D606" s="18"/>
      <c r="E606" s="19"/>
      <c r="F606" s="20"/>
      <c r="G606" s="18"/>
      <c r="H606" s="19"/>
      <c r="I606" s="20"/>
      <c r="J606" s="867">
        <v>1</v>
      </c>
      <c r="K606" s="868">
        <v>29.8</v>
      </c>
      <c r="L606" s="873">
        <v>2.4300000000000002</v>
      </c>
      <c r="M606" s="870">
        <v>0.2</v>
      </c>
      <c r="N606" s="874">
        <f t="shared" si="56"/>
        <v>72.414000000000001</v>
      </c>
      <c r="O606" s="940">
        <f t="shared" si="55"/>
        <v>14.482800000000001</v>
      </c>
      <c r="P606" s="869"/>
      <c r="Q606" s="878"/>
      <c r="R606" s="941">
        <f t="shared" ref="R606:R611" si="57">O606</f>
        <v>14.482800000000001</v>
      </c>
      <c r="S606" s="927" t="s">
        <v>853</v>
      </c>
      <c r="T606" s="872" t="s">
        <v>56</v>
      </c>
      <c r="U606" s="846" t="s">
        <v>1755</v>
      </c>
      <c r="V606" s="1418">
        <f t="shared" si="53"/>
        <v>19.370000000000005</v>
      </c>
      <c r="W606" s="357"/>
      <c r="X606" s="357"/>
      <c r="Y606" s="357"/>
      <c r="Z606" s="358"/>
      <c r="AA606" s="359"/>
      <c r="AB606" s="360"/>
    </row>
    <row r="607" spans="1:36" s="361" customFormat="1" ht="15" customHeight="1">
      <c r="A607" s="354"/>
      <c r="B607" s="755"/>
      <c r="C607" s="28" t="s">
        <v>872</v>
      </c>
      <c r="D607" s="895"/>
      <c r="E607" s="896"/>
      <c r="F607" s="897"/>
      <c r="G607" s="895"/>
      <c r="H607" s="896"/>
      <c r="I607" s="897"/>
      <c r="J607" s="917">
        <v>1</v>
      </c>
      <c r="K607" s="868">
        <v>29.8</v>
      </c>
      <c r="L607" s="942">
        <v>0.3</v>
      </c>
      <c r="M607" s="920">
        <v>0.7</v>
      </c>
      <c r="N607" s="874">
        <f t="shared" si="56"/>
        <v>8.94</v>
      </c>
      <c r="O607" s="940">
        <f t="shared" si="55"/>
        <v>6.2579999999999991</v>
      </c>
      <c r="P607" s="919"/>
      <c r="Q607" s="943"/>
      <c r="R607" s="941">
        <f t="shared" si="57"/>
        <v>6.2579999999999991</v>
      </c>
      <c r="S607" s="927" t="s">
        <v>853</v>
      </c>
      <c r="T607" s="944" t="s">
        <v>56</v>
      </c>
      <c r="U607" s="945" t="s">
        <v>1756</v>
      </c>
      <c r="V607" s="1418">
        <f t="shared" si="53"/>
        <v>19.370000000000005</v>
      </c>
      <c r="W607" s="357"/>
      <c r="X607" s="357"/>
      <c r="Y607" s="357"/>
      <c r="Z607" s="358"/>
      <c r="AA607" s="359"/>
      <c r="AB607" s="360"/>
    </row>
    <row r="608" spans="1:36" s="361" customFormat="1" ht="15" customHeight="1">
      <c r="A608" s="354"/>
      <c r="B608" s="755"/>
      <c r="C608" s="28" t="s">
        <v>872</v>
      </c>
      <c r="D608" s="895"/>
      <c r="E608" s="896"/>
      <c r="F608" s="897"/>
      <c r="G608" s="895"/>
      <c r="H608" s="896"/>
      <c r="I608" s="897"/>
      <c r="J608" s="917">
        <v>4</v>
      </c>
      <c r="K608" s="868">
        <v>1.8</v>
      </c>
      <c r="L608" s="942">
        <v>0.3</v>
      </c>
      <c r="M608" s="920">
        <v>6.15</v>
      </c>
      <c r="N608" s="874">
        <f t="shared" si="56"/>
        <v>2.16</v>
      </c>
      <c r="O608" s="940">
        <f t="shared" si="55"/>
        <v>13.284000000000002</v>
      </c>
      <c r="P608" s="919"/>
      <c r="Q608" s="943"/>
      <c r="R608" s="941">
        <f t="shared" si="57"/>
        <v>13.284000000000002</v>
      </c>
      <c r="S608" s="927" t="s">
        <v>853</v>
      </c>
      <c r="T608" s="944" t="s">
        <v>56</v>
      </c>
      <c r="U608" s="945" t="s">
        <v>1757</v>
      </c>
      <c r="V608" s="1418">
        <f t="shared" si="53"/>
        <v>19.370000000000005</v>
      </c>
      <c r="W608" s="357"/>
      <c r="X608" s="357"/>
      <c r="Y608" s="357"/>
      <c r="Z608" s="358"/>
      <c r="AA608" s="359"/>
      <c r="AB608" s="360"/>
    </row>
    <row r="609" spans="1:28" s="361" customFormat="1" ht="15" customHeight="1">
      <c r="A609" s="354"/>
      <c r="B609" s="755"/>
      <c r="C609" s="836" t="s">
        <v>872</v>
      </c>
      <c r="D609" s="895"/>
      <c r="E609" s="896"/>
      <c r="F609" s="897"/>
      <c r="G609" s="895"/>
      <c r="H609" s="896"/>
      <c r="I609" s="897"/>
      <c r="J609" s="917">
        <v>1</v>
      </c>
      <c r="K609" s="918">
        <v>29.8</v>
      </c>
      <c r="L609" s="942">
        <v>1.2</v>
      </c>
      <c r="M609" s="920">
        <v>0.15</v>
      </c>
      <c r="N609" s="946">
        <f t="shared" si="56"/>
        <v>35.76</v>
      </c>
      <c r="O609" s="947">
        <f t="shared" si="55"/>
        <v>5.3639999999999999</v>
      </c>
      <c r="P609" s="919"/>
      <c r="Q609" s="943"/>
      <c r="R609" s="948">
        <f t="shared" si="57"/>
        <v>5.3639999999999999</v>
      </c>
      <c r="S609" s="927" t="s">
        <v>853</v>
      </c>
      <c r="T609" s="944" t="s">
        <v>56</v>
      </c>
      <c r="U609" s="945" t="s">
        <v>1758</v>
      </c>
      <c r="V609" s="1418">
        <f t="shared" si="53"/>
        <v>19.370000000000005</v>
      </c>
      <c r="W609" s="357"/>
      <c r="X609" s="357"/>
      <c r="Y609" s="357"/>
      <c r="Z609" s="358"/>
      <c r="AA609" s="359"/>
      <c r="AB609" s="360"/>
    </row>
    <row r="610" spans="1:28" s="361" customFormat="1" ht="15" customHeight="1">
      <c r="A610" s="354"/>
      <c r="B610" s="755"/>
      <c r="C610" s="836" t="s">
        <v>872</v>
      </c>
      <c r="D610" s="895"/>
      <c r="E610" s="896"/>
      <c r="F610" s="897"/>
      <c r="G610" s="895"/>
      <c r="H610" s="896"/>
      <c r="I610" s="897"/>
      <c r="J610" s="917">
        <v>1</v>
      </c>
      <c r="K610" s="918">
        <f>29.8-21</f>
        <v>8.8000000000000007</v>
      </c>
      <c r="L610" s="942">
        <v>0.3</v>
      </c>
      <c r="M610" s="920">
        <v>2.5499999999999998</v>
      </c>
      <c r="N610" s="946">
        <f t="shared" si="56"/>
        <v>2.64</v>
      </c>
      <c r="O610" s="947">
        <f t="shared" si="55"/>
        <v>6.7320000000000002</v>
      </c>
      <c r="P610" s="919"/>
      <c r="Q610" s="943"/>
      <c r="R610" s="948">
        <f t="shared" si="57"/>
        <v>6.7320000000000002</v>
      </c>
      <c r="S610" s="927" t="s">
        <v>853</v>
      </c>
      <c r="T610" s="944" t="s">
        <v>56</v>
      </c>
      <c r="U610" s="945" t="s">
        <v>1797</v>
      </c>
      <c r="V610" s="1418">
        <f t="shared" si="53"/>
        <v>19.370000000000005</v>
      </c>
      <c r="W610" s="357"/>
      <c r="X610" s="357"/>
      <c r="Y610" s="357"/>
      <c r="Z610" s="358"/>
      <c r="AA610" s="359"/>
      <c r="AB610" s="360"/>
    </row>
    <row r="611" spans="1:28" s="361" customFormat="1" ht="15" customHeight="1">
      <c r="A611" s="354"/>
      <c r="B611" s="755"/>
      <c r="C611" s="836" t="s">
        <v>872</v>
      </c>
      <c r="D611" s="895"/>
      <c r="E611" s="896"/>
      <c r="F611" s="897"/>
      <c r="G611" s="895"/>
      <c r="H611" s="896"/>
      <c r="I611" s="897"/>
      <c r="J611" s="917">
        <v>2</v>
      </c>
      <c r="K611" s="918">
        <v>9.84</v>
      </c>
      <c r="L611" s="942">
        <v>0.5</v>
      </c>
      <c r="M611" s="920">
        <v>2.8</v>
      </c>
      <c r="N611" s="946">
        <f t="shared" si="56"/>
        <v>9.84</v>
      </c>
      <c r="O611" s="947">
        <f t="shared" si="55"/>
        <v>27.552</v>
      </c>
      <c r="P611" s="919"/>
      <c r="Q611" s="943"/>
      <c r="R611" s="948">
        <f t="shared" si="57"/>
        <v>27.552</v>
      </c>
      <c r="S611" s="927" t="s">
        <v>853</v>
      </c>
      <c r="T611" s="944" t="s">
        <v>56</v>
      </c>
      <c r="U611" s="945" t="s">
        <v>1761</v>
      </c>
      <c r="V611" s="1418">
        <f t="shared" si="53"/>
        <v>19.370000000000005</v>
      </c>
      <c r="W611" s="357"/>
      <c r="X611" s="357"/>
      <c r="Y611" s="357"/>
      <c r="Z611" s="358"/>
      <c r="AA611" s="359"/>
      <c r="AB611" s="360"/>
    </row>
    <row r="612" spans="1:28" s="361" customFormat="1" ht="15" customHeight="1">
      <c r="A612" s="354"/>
      <c r="B612" s="755"/>
      <c r="C612" s="836" t="s">
        <v>872</v>
      </c>
      <c r="D612" s="895"/>
      <c r="E612" s="896"/>
      <c r="F612" s="897"/>
      <c r="G612" s="895"/>
      <c r="H612" s="896"/>
      <c r="I612" s="897"/>
      <c r="J612" s="917">
        <v>2</v>
      </c>
      <c r="K612" s="918">
        <v>1.65</v>
      </c>
      <c r="L612" s="942">
        <v>0.5</v>
      </c>
      <c r="M612" s="920">
        <v>2.8</v>
      </c>
      <c r="N612" s="946">
        <f>K612*L612*J612</f>
        <v>1.65</v>
      </c>
      <c r="O612" s="947">
        <f>N612*M612</f>
        <v>4.6199999999999992</v>
      </c>
      <c r="P612" s="919"/>
      <c r="Q612" s="943"/>
      <c r="R612" s="948">
        <f>O612</f>
        <v>4.6199999999999992</v>
      </c>
      <c r="S612" s="927" t="s">
        <v>853</v>
      </c>
      <c r="T612" s="944" t="s">
        <v>56</v>
      </c>
      <c r="U612" s="945" t="s">
        <v>1762</v>
      </c>
      <c r="V612" s="1418">
        <f t="shared" si="53"/>
        <v>19.370000000000005</v>
      </c>
      <c r="W612" s="357"/>
      <c r="X612" s="357"/>
      <c r="Y612" s="357"/>
      <c r="Z612" s="358"/>
      <c r="AA612" s="359"/>
      <c r="AB612" s="360"/>
    </row>
    <row r="613" spans="1:28" s="361" customFormat="1" ht="15" customHeight="1">
      <c r="A613" s="354"/>
      <c r="B613" s="831"/>
      <c r="C613" s="836" t="s">
        <v>872</v>
      </c>
      <c r="D613" s="895"/>
      <c r="E613" s="896"/>
      <c r="F613" s="897"/>
      <c r="G613" s="895"/>
      <c r="H613" s="896"/>
      <c r="I613" s="897"/>
      <c r="J613" s="917">
        <v>9</v>
      </c>
      <c r="K613" s="918">
        <v>1.4</v>
      </c>
      <c r="L613" s="942">
        <v>0.5</v>
      </c>
      <c r="M613" s="920">
        <v>1.79</v>
      </c>
      <c r="N613" s="946">
        <f t="shared" ref="N613:N627" si="58">K613*L613*J613</f>
        <v>6.3</v>
      </c>
      <c r="O613" s="947">
        <f t="shared" ref="O613:O627" si="59">N613*M613</f>
        <v>11.276999999999999</v>
      </c>
      <c r="P613" s="919"/>
      <c r="Q613" s="943"/>
      <c r="R613" s="948">
        <f>O613</f>
        <v>11.276999999999999</v>
      </c>
      <c r="S613" s="927" t="s">
        <v>853</v>
      </c>
      <c r="T613" s="944" t="s">
        <v>306</v>
      </c>
      <c r="U613" s="945" t="s">
        <v>1798</v>
      </c>
      <c r="V613" s="1418">
        <f t="shared" si="53"/>
        <v>19.370000000000005</v>
      </c>
      <c r="W613" s="357"/>
      <c r="X613" s="357"/>
      <c r="Y613" s="357"/>
      <c r="Z613" s="358"/>
      <c r="AA613" s="359"/>
      <c r="AB613" s="360"/>
    </row>
    <row r="614" spans="1:28" s="361" customFormat="1" ht="15" customHeight="1">
      <c r="A614" s="354"/>
      <c r="B614" s="831"/>
      <c r="C614" s="836" t="s">
        <v>872</v>
      </c>
      <c r="D614" s="895"/>
      <c r="E614" s="896"/>
      <c r="F614" s="897"/>
      <c r="G614" s="895"/>
      <c r="H614" s="896"/>
      <c r="I614" s="897"/>
      <c r="J614" s="917">
        <v>2</v>
      </c>
      <c r="K614" s="918">
        <v>0.6</v>
      </c>
      <c r="L614" s="942">
        <v>0.5</v>
      </c>
      <c r="M614" s="920">
        <v>1.79</v>
      </c>
      <c r="N614" s="946">
        <f t="shared" si="58"/>
        <v>0.6</v>
      </c>
      <c r="O614" s="947">
        <f t="shared" si="59"/>
        <v>1.0740000000000001</v>
      </c>
      <c r="P614" s="919"/>
      <c r="Q614" s="943"/>
      <c r="R614" s="948">
        <f t="shared" ref="R614:R627" si="60">O614</f>
        <v>1.0740000000000001</v>
      </c>
      <c r="S614" s="927" t="s">
        <v>853</v>
      </c>
      <c r="T614" s="944" t="s">
        <v>306</v>
      </c>
      <c r="U614" s="945" t="s">
        <v>1764</v>
      </c>
      <c r="V614" s="1418">
        <f t="shared" si="53"/>
        <v>19.370000000000005</v>
      </c>
      <c r="W614" s="357"/>
      <c r="X614" s="357"/>
      <c r="Y614" s="357"/>
      <c r="Z614" s="358"/>
      <c r="AA614" s="359"/>
      <c r="AB614" s="360"/>
    </row>
    <row r="615" spans="1:28" s="361" customFormat="1" ht="15" customHeight="1">
      <c r="A615" s="354"/>
      <c r="B615" s="831"/>
      <c r="C615" s="836" t="s">
        <v>872</v>
      </c>
      <c r="D615" s="895"/>
      <c r="E615" s="896"/>
      <c r="F615" s="897"/>
      <c r="G615" s="895"/>
      <c r="H615" s="896"/>
      <c r="I615" s="897"/>
      <c r="J615" s="917">
        <v>1</v>
      </c>
      <c r="K615" s="918">
        <v>30.4</v>
      </c>
      <c r="L615" s="942">
        <v>0.3</v>
      </c>
      <c r="M615" s="920">
        <v>0.89</v>
      </c>
      <c r="N615" s="946">
        <f t="shared" si="58"/>
        <v>9.1199999999999992</v>
      </c>
      <c r="O615" s="947">
        <f t="shared" si="59"/>
        <v>8.1167999999999996</v>
      </c>
      <c r="P615" s="919"/>
      <c r="Q615" s="943"/>
      <c r="R615" s="948">
        <f t="shared" si="60"/>
        <v>8.1167999999999996</v>
      </c>
      <c r="S615" s="927" t="s">
        <v>853</v>
      </c>
      <c r="T615" s="944" t="s">
        <v>306</v>
      </c>
      <c r="U615" s="945" t="s">
        <v>1799</v>
      </c>
      <c r="V615" s="1418">
        <f t="shared" si="53"/>
        <v>19.370000000000005</v>
      </c>
      <c r="W615" s="357"/>
      <c r="X615" s="357"/>
      <c r="Y615" s="357"/>
      <c r="Z615" s="358"/>
      <c r="AA615" s="359"/>
      <c r="AB615" s="360"/>
    </row>
    <row r="616" spans="1:28" s="361" customFormat="1" ht="15" customHeight="1">
      <c r="A616" s="354"/>
      <c r="B616" s="831"/>
      <c r="C616" s="836" t="s">
        <v>1800</v>
      </c>
      <c r="D616" s="895"/>
      <c r="E616" s="896"/>
      <c r="F616" s="897"/>
      <c r="G616" s="895"/>
      <c r="H616" s="896"/>
      <c r="I616" s="897"/>
      <c r="J616" s="917">
        <v>1</v>
      </c>
      <c r="K616" s="918">
        <v>30.4</v>
      </c>
      <c r="L616" s="942">
        <v>0.3</v>
      </c>
      <c r="M616" s="920">
        <v>0.89</v>
      </c>
      <c r="N616" s="946">
        <f>K616*L616*J616</f>
        <v>9.1199999999999992</v>
      </c>
      <c r="O616" s="947">
        <f>N616*M616</f>
        <v>8.1167999999999996</v>
      </c>
      <c r="P616" s="919"/>
      <c r="Q616" s="943"/>
      <c r="R616" s="948">
        <f>-O616</f>
        <v>-8.1167999999999996</v>
      </c>
      <c r="S616" s="927" t="s">
        <v>853</v>
      </c>
      <c r="T616" s="944" t="s">
        <v>307</v>
      </c>
      <c r="U616" s="945" t="s">
        <v>1767</v>
      </c>
      <c r="V616" s="1418">
        <f t="shared" si="53"/>
        <v>19.370000000000005</v>
      </c>
      <c r="W616" s="357"/>
      <c r="X616" s="357"/>
      <c r="Y616" s="357"/>
      <c r="Z616" s="358"/>
      <c r="AA616" s="359"/>
      <c r="AB616" s="360"/>
    </row>
    <row r="617" spans="1:28" s="361" customFormat="1" ht="15" customHeight="1">
      <c r="A617" s="354"/>
      <c r="B617" s="831"/>
      <c r="C617" s="836" t="s">
        <v>872</v>
      </c>
      <c r="D617" s="895"/>
      <c r="E617" s="896"/>
      <c r="F617" s="897"/>
      <c r="G617" s="895"/>
      <c r="H617" s="896"/>
      <c r="I617" s="897"/>
      <c r="J617" s="917">
        <v>1</v>
      </c>
      <c r="K617" s="918">
        <v>29.8</v>
      </c>
      <c r="L617" s="942">
        <v>0.3</v>
      </c>
      <c r="M617" s="920">
        <v>0.89</v>
      </c>
      <c r="N617" s="946">
        <f>K617*L617*J617</f>
        <v>8.94</v>
      </c>
      <c r="O617" s="947">
        <f>N617*M617</f>
        <v>7.9565999999999999</v>
      </c>
      <c r="P617" s="919"/>
      <c r="Q617" s="943"/>
      <c r="R617" s="948">
        <f>O617</f>
        <v>7.9565999999999999</v>
      </c>
      <c r="S617" s="927" t="s">
        <v>853</v>
      </c>
      <c r="T617" s="944" t="s">
        <v>307</v>
      </c>
      <c r="U617" s="945" t="s">
        <v>1799</v>
      </c>
      <c r="V617" s="1418">
        <f t="shared" si="53"/>
        <v>19.370000000000005</v>
      </c>
      <c r="W617" s="357"/>
      <c r="X617" s="357"/>
      <c r="Y617" s="357"/>
      <c r="Z617" s="358"/>
      <c r="AA617" s="359"/>
      <c r="AB617" s="360"/>
    </row>
    <row r="618" spans="1:28" s="361" customFormat="1" ht="15" customHeight="1">
      <c r="A618" s="354"/>
      <c r="B618" s="831"/>
      <c r="C618" s="836" t="s">
        <v>872</v>
      </c>
      <c r="D618" s="895"/>
      <c r="E618" s="896"/>
      <c r="F618" s="897"/>
      <c r="G618" s="895"/>
      <c r="H618" s="896"/>
      <c r="I618" s="897"/>
      <c r="J618" s="917">
        <v>2</v>
      </c>
      <c r="K618" s="918">
        <v>1.6</v>
      </c>
      <c r="L618" s="942">
        <v>1.2</v>
      </c>
      <c r="M618" s="920">
        <v>0.15</v>
      </c>
      <c r="N618" s="946">
        <f t="shared" si="58"/>
        <v>3.84</v>
      </c>
      <c r="O618" s="947">
        <f t="shared" si="59"/>
        <v>0.57599999999999996</v>
      </c>
      <c r="P618" s="919"/>
      <c r="Q618" s="943"/>
      <c r="R618" s="948">
        <f t="shared" si="60"/>
        <v>0.57599999999999996</v>
      </c>
      <c r="S618" s="894" t="s">
        <v>853</v>
      </c>
      <c r="T618" s="944" t="s">
        <v>307</v>
      </c>
      <c r="U618" s="945" t="s">
        <v>1768</v>
      </c>
      <c r="V618" s="1418">
        <f t="shared" si="53"/>
        <v>19.370000000000005</v>
      </c>
      <c r="W618" s="357"/>
      <c r="X618" s="357"/>
      <c r="Y618" s="357"/>
      <c r="Z618" s="358"/>
      <c r="AA618" s="359"/>
      <c r="AB618" s="360"/>
    </row>
    <row r="619" spans="1:28" s="361" customFormat="1" ht="15" customHeight="1">
      <c r="A619" s="354"/>
      <c r="B619" s="831"/>
      <c r="C619" s="836" t="s">
        <v>872</v>
      </c>
      <c r="D619" s="895"/>
      <c r="E619" s="896"/>
      <c r="F619" s="897"/>
      <c r="G619" s="895"/>
      <c r="H619" s="896"/>
      <c r="I619" s="897"/>
      <c r="J619" s="917">
        <v>1</v>
      </c>
      <c r="K619" s="918">
        <v>2.66</v>
      </c>
      <c r="L619" s="942">
        <v>1.65</v>
      </c>
      <c r="M619" s="920">
        <v>0.15</v>
      </c>
      <c r="N619" s="946">
        <f t="shared" si="58"/>
        <v>4.3890000000000002</v>
      </c>
      <c r="O619" s="947">
        <f t="shared" si="59"/>
        <v>0.65834999999999999</v>
      </c>
      <c r="P619" s="919">
        <f>-(2.54*0.45)*(0.15)</f>
        <v>-0.17144999999999999</v>
      </c>
      <c r="Q619" s="943"/>
      <c r="R619" s="948">
        <f>O619-P619</f>
        <v>0.82979999999999998</v>
      </c>
      <c r="S619" s="894" t="s">
        <v>853</v>
      </c>
      <c r="T619" s="944" t="s">
        <v>307</v>
      </c>
      <c r="U619" s="945" t="s">
        <v>1801</v>
      </c>
      <c r="V619" s="1418">
        <f t="shared" si="53"/>
        <v>19.370000000000005</v>
      </c>
      <c r="W619" s="357"/>
      <c r="X619" s="357"/>
      <c r="Y619" s="357"/>
      <c r="Z619" s="358"/>
      <c r="AA619" s="359"/>
      <c r="AB619" s="360"/>
    </row>
    <row r="620" spans="1:28" s="361" customFormat="1" ht="15" customHeight="1">
      <c r="A620" s="354"/>
      <c r="B620" s="831"/>
      <c r="C620" s="836" t="s">
        <v>872</v>
      </c>
      <c r="D620" s="895"/>
      <c r="E620" s="896"/>
      <c r="F620" s="897"/>
      <c r="G620" s="895"/>
      <c r="H620" s="896"/>
      <c r="I620" s="897"/>
      <c r="J620" s="917">
        <v>1</v>
      </c>
      <c r="K620" s="918">
        <v>2.68</v>
      </c>
      <c r="L620" s="942">
        <v>1.65</v>
      </c>
      <c r="M620" s="920">
        <v>0.15</v>
      </c>
      <c r="N620" s="946">
        <f t="shared" si="58"/>
        <v>4.4219999999999997</v>
      </c>
      <c r="O620" s="947">
        <f t="shared" si="59"/>
        <v>0.66329999999999989</v>
      </c>
      <c r="P620" s="919">
        <f>-(2.54*0.45)*(0.15)</f>
        <v>-0.17144999999999999</v>
      </c>
      <c r="Q620" s="943"/>
      <c r="R620" s="948">
        <f>O620-P620</f>
        <v>0.83474999999999988</v>
      </c>
      <c r="S620" s="894" t="s">
        <v>853</v>
      </c>
      <c r="T620" s="944" t="s">
        <v>307</v>
      </c>
      <c r="U620" s="945" t="s">
        <v>1770</v>
      </c>
      <c r="V620" s="1418">
        <f t="shared" si="53"/>
        <v>19.370000000000005</v>
      </c>
      <c r="W620" s="357"/>
      <c r="X620" s="357"/>
      <c r="Y620" s="357"/>
      <c r="Z620" s="358"/>
      <c r="AA620" s="359"/>
      <c r="AB620" s="360"/>
    </row>
    <row r="621" spans="1:28" s="361" customFormat="1" ht="15" customHeight="1">
      <c r="A621" s="354"/>
      <c r="B621" s="831"/>
      <c r="C621" s="836" t="s">
        <v>872</v>
      </c>
      <c r="D621" s="895"/>
      <c r="E621" s="896"/>
      <c r="F621" s="897"/>
      <c r="G621" s="895"/>
      <c r="H621" s="896"/>
      <c r="I621" s="897"/>
      <c r="J621" s="917">
        <v>8</v>
      </c>
      <c r="K621" s="918">
        <v>2.54</v>
      </c>
      <c r="L621" s="942">
        <v>1.2</v>
      </c>
      <c r="M621" s="920">
        <v>0.15</v>
      </c>
      <c r="N621" s="946">
        <f t="shared" si="58"/>
        <v>24.384</v>
      </c>
      <c r="O621" s="947">
        <f t="shared" si="59"/>
        <v>3.6576</v>
      </c>
      <c r="P621" s="919"/>
      <c r="Q621" s="943"/>
      <c r="R621" s="948">
        <f t="shared" si="60"/>
        <v>3.6576</v>
      </c>
      <c r="S621" s="894" t="s">
        <v>853</v>
      </c>
      <c r="T621" s="944" t="s">
        <v>307</v>
      </c>
      <c r="U621" s="945" t="s">
        <v>1771</v>
      </c>
      <c r="V621" s="1418">
        <f t="shared" si="53"/>
        <v>19.370000000000005</v>
      </c>
      <c r="W621" s="357"/>
      <c r="X621" s="357"/>
      <c r="Y621" s="357"/>
      <c r="Z621" s="358"/>
      <c r="AA621" s="359"/>
      <c r="AB621" s="360"/>
    </row>
    <row r="622" spans="1:28" s="361" customFormat="1" ht="15" customHeight="1">
      <c r="A622" s="354"/>
      <c r="B622" s="831"/>
      <c r="C622" s="836" t="s">
        <v>872</v>
      </c>
      <c r="D622" s="895"/>
      <c r="E622" s="896"/>
      <c r="F622" s="897"/>
      <c r="G622" s="895"/>
      <c r="H622" s="896"/>
      <c r="I622" s="897"/>
      <c r="J622" s="917">
        <v>9</v>
      </c>
      <c r="K622" s="918">
        <v>0.46</v>
      </c>
      <c r="L622" s="942">
        <v>1.65</v>
      </c>
      <c r="M622" s="920">
        <v>0.5</v>
      </c>
      <c r="N622" s="946">
        <f>K622*L622*J622</f>
        <v>6.8310000000000004</v>
      </c>
      <c r="O622" s="947">
        <f>N622*M622</f>
        <v>3.4155000000000002</v>
      </c>
      <c r="P622" s="919"/>
      <c r="Q622" s="943"/>
      <c r="R622" s="948">
        <f t="shared" si="60"/>
        <v>3.4155000000000002</v>
      </c>
      <c r="S622" s="894" t="s">
        <v>853</v>
      </c>
      <c r="T622" s="944" t="s">
        <v>307</v>
      </c>
      <c r="U622" s="945" t="s">
        <v>1802</v>
      </c>
      <c r="V622" s="1418">
        <f t="shared" si="53"/>
        <v>19.370000000000005</v>
      </c>
      <c r="W622" s="357"/>
      <c r="X622" s="357"/>
      <c r="Y622" s="357"/>
      <c r="Z622" s="358"/>
      <c r="AA622" s="359"/>
      <c r="AB622" s="360"/>
    </row>
    <row r="623" spans="1:28" s="361" customFormat="1" ht="15" customHeight="1">
      <c r="A623" s="354"/>
      <c r="B623" s="831"/>
      <c r="C623" s="836" t="s">
        <v>872</v>
      </c>
      <c r="D623" s="895"/>
      <c r="E623" s="896"/>
      <c r="F623" s="897"/>
      <c r="G623" s="895"/>
      <c r="H623" s="896"/>
      <c r="I623" s="897"/>
      <c r="J623" s="917">
        <v>2</v>
      </c>
      <c r="K623" s="918">
        <v>5.75</v>
      </c>
      <c r="L623" s="942">
        <v>2.6</v>
      </c>
      <c r="M623" s="920">
        <v>0.2</v>
      </c>
      <c r="N623" s="946">
        <f t="shared" si="58"/>
        <v>29.900000000000002</v>
      </c>
      <c r="O623" s="947">
        <f t="shared" si="59"/>
        <v>5.98</v>
      </c>
      <c r="P623" s="919"/>
      <c r="Q623" s="943"/>
      <c r="R623" s="948">
        <f t="shared" si="60"/>
        <v>5.98</v>
      </c>
      <c r="S623" s="894" t="s">
        <v>853</v>
      </c>
      <c r="T623" s="944" t="s">
        <v>307</v>
      </c>
      <c r="U623" s="945" t="s">
        <v>1774</v>
      </c>
      <c r="V623" s="1418">
        <f t="shared" si="53"/>
        <v>19.370000000000005</v>
      </c>
      <c r="W623" s="357"/>
      <c r="X623" s="357"/>
      <c r="Y623" s="357"/>
      <c r="Z623" s="358"/>
      <c r="AA623" s="359"/>
      <c r="AB623" s="360"/>
    </row>
    <row r="624" spans="1:28" s="361" customFormat="1" ht="15" customHeight="1">
      <c r="A624" s="354"/>
      <c r="B624" s="831"/>
      <c r="C624" s="836" t="s">
        <v>872</v>
      </c>
      <c r="D624" s="895"/>
      <c r="E624" s="896"/>
      <c r="F624" s="897"/>
      <c r="G624" s="895"/>
      <c r="H624" s="896"/>
      <c r="I624" s="897"/>
      <c r="J624" s="917">
        <v>3</v>
      </c>
      <c r="K624" s="918">
        <v>5.7</v>
      </c>
      <c r="L624" s="942">
        <v>2.6</v>
      </c>
      <c r="M624" s="920">
        <v>0.2</v>
      </c>
      <c r="N624" s="946">
        <f>K624*L624*J624</f>
        <v>44.46</v>
      </c>
      <c r="O624" s="947">
        <f>N624*M624</f>
        <v>8.8920000000000012</v>
      </c>
      <c r="P624" s="919"/>
      <c r="Q624" s="943"/>
      <c r="R624" s="948">
        <f t="shared" si="60"/>
        <v>8.8920000000000012</v>
      </c>
      <c r="S624" s="894" t="s">
        <v>853</v>
      </c>
      <c r="T624" s="944" t="s">
        <v>307</v>
      </c>
      <c r="U624" s="945" t="s">
        <v>1775</v>
      </c>
      <c r="V624" s="1418">
        <f t="shared" si="53"/>
        <v>19.370000000000005</v>
      </c>
      <c r="W624" s="357"/>
      <c r="X624" s="357"/>
      <c r="Y624" s="357"/>
      <c r="Z624" s="358"/>
      <c r="AA624" s="359"/>
      <c r="AB624" s="360"/>
    </row>
    <row r="625" spans="1:28" s="361" customFormat="1" ht="15" customHeight="1">
      <c r="A625" s="354"/>
      <c r="B625" s="831"/>
      <c r="C625" s="836" t="s">
        <v>872</v>
      </c>
      <c r="D625" s="895"/>
      <c r="E625" s="896"/>
      <c r="F625" s="897"/>
      <c r="G625" s="895"/>
      <c r="H625" s="896"/>
      <c r="I625" s="897"/>
      <c r="J625" s="917">
        <v>4</v>
      </c>
      <c r="K625" s="918">
        <v>0.3</v>
      </c>
      <c r="L625" s="942">
        <v>0.8</v>
      </c>
      <c r="M625" s="920">
        <v>0.5</v>
      </c>
      <c r="N625" s="946">
        <f>K625*L625*J625</f>
        <v>0.96</v>
      </c>
      <c r="O625" s="947">
        <f>N625*M625</f>
        <v>0.48</v>
      </c>
      <c r="P625" s="919"/>
      <c r="Q625" s="943"/>
      <c r="R625" s="948">
        <f>O625</f>
        <v>0.48</v>
      </c>
      <c r="S625" s="894" t="s">
        <v>853</v>
      </c>
      <c r="T625" s="944" t="s">
        <v>307</v>
      </c>
      <c r="U625" s="945" t="s">
        <v>1803</v>
      </c>
      <c r="V625" s="1418">
        <f t="shared" si="53"/>
        <v>19.370000000000005</v>
      </c>
      <c r="W625" s="357"/>
      <c r="X625" s="357"/>
      <c r="Y625" s="357"/>
      <c r="Z625" s="358"/>
      <c r="AA625" s="359"/>
      <c r="AB625" s="360"/>
    </row>
    <row r="626" spans="1:28" s="361" customFormat="1" ht="15" customHeight="1">
      <c r="A626" s="354"/>
      <c r="B626" s="831"/>
      <c r="C626" s="836" t="s">
        <v>872</v>
      </c>
      <c r="D626" s="895"/>
      <c r="E626" s="896"/>
      <c r="F626" s="897"/>
      <c r="G626" s="895"/>
      <c r="H626" s="896"/>
      <c r="I626" s="897"/>
      <c r="J626" s="917">
        <v>4</v>
      </c>
      <c r="K626" s="918">
        <v>1.8</v>
      </c>
      <c r="L626" s="942">
        <v>0.3</v>
      </c>
      <c r="M626" s="920">
        <v>0.85</v>
      </c>
      <c r="N626" s="946">
        <f>K626*L626*J626</f>
        <v>2.16</v>
      </c>
      <c r="O626" s="947">
        <f>N626*M626</f>
        <v>1.8360000000000001</v>
      </c>
      <c r="P626" s="919"/>
      <c r="Q626" s="943"/>
      <c r="R626" s="948">
        <f>O626</f>
        <v>1.8360000000000001</v>
      </c>
      <c r="S626" s="894" t="s">
        <v>853</v>
      </c>
      <c r="T626" s="944" t="s">
        <v>307</v>
      </c>
      <c r="U626" s="945" t="s">
        <v>1778</v>
      </c>
      <c r="V626" s="1418">
        <f t="shared" si="53"/>
        <v>19.370000000000005</v>
      </c>
      <c r="W626" s="357"/>
      <c r="X626" s="357"/>
      <c r="Y626" s="357"/>
      <c r="Z626" s="358"/>
      <c r="AA626" s="359"/>
      <c r="AB626" s="360"/>
    </row>
    <row r="627" spans="1:28" s="361" customFormat="1" ht="15" customHeight="1">
      <c r="A627" s="354"/>
      <c r="B627" s="831"/>
      <c r="C627" s="836" t="s">
        <v>872</v>
      </c>
      <c r="D627" s="895"/>
      <c r="E627" s="896"/>
      <c r="F627" s="897"/>
      <c r="G627" s="895"/>
      <c r="H627" s="896"/>
      <c r="I627" s="897"/>
      <c r="J627" s="917">
        <v>2</v>
      </c>
      <c r="K627" s="918">
        <v>1.65</v>
      </c>
      <c r="L627" s="942">
        <v>0.5</v>
      </c>
      <c r="M627" s="920">
        <v>0.69</v>
      </c>
      <c r="N627" s="946">
        <f t="shared" si="58"/>
        <v>1.65</v>
      </c>
      <c r="O627" s="947">
        <f t="shared" si="59"/>
        <v>1.1384999999999998</v>
      </c>
      <c r="P627" s="919"/>
      <c r="Q627" s="943"/>
      <c r="R627" s="948">
        <f t="shared" si="60"/>
        <v>1.1384999999999998</v>
      </c>
      <c r="S627" s="894" t="s">
        <v>853</v>
      </c>
      <c r="T627" s="944" t="s">
        <v>307</v>
      </c>
      <c r="U627" s="945" t="s">
        <v>1779</v>
      </c>
      <c r="V627" s="1418">
        <f t="shared" si="53"/>
        <v>19.370000000000005</v>
      </c>
      <c r="W627" s="357"/>
      <c r="X627" s="357"/>
      <c r="Y627" s="357"/>
      <c r="Z627" s="358"/>
      <c r="AA627" s="359"/>
      <c r="AB627" s="360"/>
    </row>
    <row r="628" spans="1:28" s="361" customFormat="1" ht="15" customHeight="1">
      <c r="A628" s="354"/>
      <c r="B628" s="831"/>
      <c r="C628" s="836" t="s">
        <v>872</v>
      </c>
      <c r="D628" s="895"/>
      <c r="E628" s="896"/>
      <c r="F628" s="897"/>
      <c r="G628" s="895"/>
      <c r="H628" s="896"/>
      <c r="I628" s="897"/>
      <c r="J628" s="917">
        <v>1</v>
      </c>
      <c r="K628" s="918">
        <v>29.8</v>
      </c>
      <c r="L628" s="942">
        <v>0.3</v>
      </c>
      <c r="M628" s="920">
        <v>2.0499999999999998</v>
      </c>
      <c r="N628" s="946">
        <f t="shared" ref="N628:N639" si="61">K628*L628*J628</f>
        <v>8.94</v>
      </c>
      <c r="O628" s="947">
        <f t="shared" ref="O628:O639" si="62">N628*M628</f>
        <v>18.326999999999998</v>
      </c>
      <c r="P628" s="919"/>
      <c r="Q628" s="943"/>
      <c r="R628" s="948">
        <f t="shared" ref="R628:R634" si="63">O628</f>
        <v>18.326999999999998</v>
      </c>
      <c r="S628" s="894" t="s">
        <v>853</v>
      </c>
      <c r="T628" s="944" t="s">
        <v>307</v>
      </c>
      <c r="U628" s="945" t="s">
        <v>1780</v>
      </c>
      <c r="V628" s="1418">
        <f t="shared" si="53"/>
        <v>19.370000000000005</v>
      </c>
      <c r="W628" s="357"/>
      <c r="X628" s="357"/>
      <c r="Y628" s="357"/>
      <c r="Z628" s="358"/>
      <c r="AA628" s="359"/>
      <c r="AB628" s="360"/>
    </row>
    <row r="629" spans="1:28" s="361" customFormat="1" ht="15" customHeight="1">
      <c r="A629" s="354"/>
      <c r="B629" s="831"/>
      <c r="C629" s="836" t="s">
        <v>872</v>
      </c>
      <c r="D629" s="895"/>
      <c r="E629" s="896"/>
      <c r="F629" s="897"/>
      <c r="G629" s="895"/>
      <c r="H629" s="896"/>
      <c r="I629" s="897"/>
      <c r="J629" s="832">
        <v>1</v>
      </c>
      <c r="K629" s="837">
        <v>0.2</v>
      </c>
      <c r="L629" s="898">
        <v>0.2</v>
      </c>
      <c r="M629" s="839">
        <v>4.54</v>
      </c>
      <c r="N629" s="840">
        <f t="shared" si="61"/>
        <v>4.0000000000000008E-2</v>
      </c>
      <c r="O629" s="899">
        <f t="shared" si="62"/>
        <v>0.18160000000000004</v>
      </c>
      <c r="P629" s="833"/>
      <c r="Q629" s="861"/>
      <c r="R629" s="900">
        <f t="shared" si="63"/>
        <v>0.18160000000000004</v>
      </c>
      <c r="S629" s="792" t="s">
        <v>853</v>
      </c>
      <c r="T629" s="835" t="s">
        <v>307</v>
      </c>
      <c r="U629" s="843" t="s">
        <v>1781</v>
      </c>
      <c r="V629" s="1418">
        <f t="shared" si="53"/>
        <v>19.370000000000005</v>
      </c>
      <c r="W629" s="357"/>
      <c r="X629" s="357"/>
      <c r="Y629" s="357"/>
      <c r="Z629" s="358"/>
      <c r="AA629" s="359"/>
      <c r="AB629" s="360"/>
    </row>
    <row r="630" spans="1:28" s="361" customFormat="1" ht="15" customHeight="1">
      <c r="A630" s="354"/>
      <c r="B630" s="831"/>
      <c r="C630" s="836" t="s">
        <v>872</v>
      </c>
      <c r="D630" s="895"/>
      <c r="E630" s="896"/>
      <c r="F630" s="897"/>
      <c r="G630" s="895"/>
      <c r="H630" s="896"/>
      <c r="I630" s="897"/>
      <c r="J630" s="832">
        <v>9</v>
      </c>
      <c r="K630" s="837">
        <v>0.55000000000000004</v>
      </c>
      <c r="L630" s="898">
        <v>0.2</v>
      </c>
      <c r="M630" s="839">
        <v>4.54</v>
      </c>
      <c r="N630" s="840">
        <f t="shared" si="61"/>
        <v>0.9900000000000001</v>
      </c>
      <c r="O630" s="899">
        <f t="shared" si="62"/>
        <v>4.4946000000000002</v>
      </c>
      <c r="P630" s="833"/>
      <c r="Q630" s="861"/>
      <c r="R630" s="900">
        <f t="shared" si="63"/>
        <v>4.4946000000000002</v>
      </c>
      <c r="S630" s="792" t="s">
        <v>853</v>
      </c>
      <c r="T630" s="835" t="s">
        <v>307</v>
      </c>
      <c r="U630" s="843" t="s">
        <v>1782</v>
      </c>
      <c r="V630" s="1418">
        <f t="shared" si="53"/>
        <v>19.370000000000005</v>
      </c>
      <c r="W630" s="357"/>
      <c r="X630" s="357"/>
      <c r="Y630" s="357"/>
      <c r="Z630" s="358"/>
      <c r="AA630" s="359"/>
      <c r="AB630" s="360"/>
    </row>
    <row r="631" spans="1:28" s="361" customFormat="1" ht="15" customHeight="1">
      <c r="A631" s="354"/>
      <c r="B631" s="831"/>
      <c r="C631" s="836" t="s">
        <v>872</v>
      </c>
      <c r="D631" s="895"/>
      <c r="E631" s="896"/>
      <c r="F631" s="897"/>
      <c r="G631" s="895"/>
      <c r="H631" s="896"/>
      <c r="I631" s="897"/>
      <c r="J631" s="832">
        <v>1</v>
      </c>
      <c r="K631" s="837">
        <v>0.15</v>
      </c>
      <c r="L631" s="898">
        <v>0.2</v>
      </c>
      <c r="M631" s="839">
        <v>4.54</v>
      </c>
      <c r="N631" s="840">
        <f t="shared" si="61"/>
        <v>0.03</v>
      </c>
      <c r="O631" s="899">
        <f t="shared" si="62"/>
        <v>0.13619999999999999</v>
      </c>
      <c r="P631" s="833"/>
      <c r="Q631" s="861"/>
      <c r="R631" s="900">
        <f t="shared" si="63"/>
        <v>0.13619999999999999</v>
      </c>
      <c r="S631" s="792" t="s">
        <v>853</v>
      </c>
      <c r="T631" s="835" t="s">
        <v>307</v>
      </c>
      <c r="U631" s="843" t="s">
        <v>1783</v>
      </c>
      <c r="V631" s="1418">
        <f t="shared" si="53"/>
        <v>19.370000000000005</v>
      </c>
      <c r="W631" s="357"/>
      <c r="X631" s="357"/>
      <c r="Y631" s="357"/>
      <c r="Z631" s="358"/>
      <c r="AA631" s="359"/>
      <c r="AB631" s="360"/>
    </row>
    <row r="632" spans="1:28" s="361" customFormat="1" ht="15" customHeight="1">
      <c r="A632" s="354"/>
      <c r="B632" s="1002"/>
      <c r="C632" s="836" t="s">
        <v>872</v>
      </c>
      <c r="D632" s="895"/>
      <c r="E632" s="896"/>
      <c r="F632" s="897"/>
      <c r="G632" s="895"/>
      <c r="H632" s="896"/>
      <c r="I632" s="897"/>
      <c r="J632" s="832">
        <v>1</v>
      </c>
      <c r="K632" s="837">
        <v>30.8</v>
      </c>
      <c r="L632" s="898">
        <v>2.8</v>
      </c>
      <c r="M632" s="839">
        <v>0.15</v>
      </c>
      <c r="N632" s="840">
        <f t="shared" si="61"/>
        <v>86.24</v>
      </c>
      <c r="O632" s="899">
        <f t="shared" si="62"/>
        <v>12.935999999999998</v>
      </c>
      <c r="P632" s="833"/>
      <c r="Q632" s="861"/>
      <c r="R632" s="900">
        <f t="shared" si="63"/>
        <v>12.935999999999998</v>
      </c>
      <c r="S632" s="792" t="s">
        <v>853</v>
      </c>
      <c r="T632" s="835" t="s">
        <v>314</v>
      </c>
      <c r="U632" s="843" t="s">
        <v>1784</v>
      </c>
      <c r="V632" s="1418">
        <f t="shared" si="53"/>
        <v>19.370000000000005</v>
      </c>
      <c r="W632" s="357"/>
      <c r="X632" s="357"/>
      <c r="Y632" s="357"/>
      <c r="Z632" s="358"/>
      <c r="AA632" s="359"/>
      <c r="AB632" s="360"/>
    </row>
    <row r="633" spans="1:28" s="361" customFormat="1" ht="45">
      <c r="A633" s="354"/>
      <c r="B633" s="1002"/>
      <c r="C633" s="836" t="s">
        <v>872</v>
      </c>
      <c r="D633" s="895"/>
      <c r="E633" s="896"/>
      <c r="F633" s="897"/>
      <c r="G633" s="895"/>
      <c r="H633" s="896"/>
      <c r="I633" s="897"/>
      <c r="J633" s="832">
        <v>10</v>
      </c>
      <c r="K633" s="837">
        <v>1.5</v>
      </c>
      <c r="L633" s="898">
        <v>0.5</v>
      </c>
      <c r="M633" s="839">
        <v>0.19</v>
      </c>
      <c r="N633" s="840">
        <f t="shared" si="61"/>
        <v>7.5</v>
      </c>
      <c r="O633" s="899">
        <f t="shared" si="62"/>
        <v>1.425</v>
      </c>
      <c r="P633" s="833"/>
      <c r="Q633" s="861"/>
      <c r="R633" s="900">
        <f t="shared" si="63"/>
        <v>1.425</v>
      </c>
      <c r="S633" s="792" t="s">
        <v>853</v>
      </c>
      <c r="T633" s="835" t="s">
        <v>316</v>
      </c>
      <c r="U633" s="843" t="s">
        <v>1785</v>
      </c>
      <c r="V633" s="1418">
        <f t="shared" si="53"/>
        <v>19.370000000000005</v>
      </c>
      <c r="W633" s="357"/>
      <c r="X633" s="357"/>
      <c r="Y633" s="357"/>
      <c r="Z633" s="358"/>
      <c r="AA633" s="359"/>
      <c r="AB633" s="360"/>
    </row>
    <row r="634" spans="1:28" s="361" customFormat="1" ht="47.4" customHeight="1">
      <c r="A634" s="354"/>
      <c r="B634" s="1002"/>
      <c r="C634" s="836" t="s">
        <v>872</v>
      </c>
      <c r="D634" s="895"/>
      <c r="E634" s="896"/>
      <c r="F634" s="897"/>
      <c r="G634" s="895"/>
      <c r="H634" s="896"/>
      <c r="I634" s="897"/>
      <c r="J634" s="832">
        <v>2</v>
      </c>
      <c r="K634" s="837">
        <v>2.8</v>
      </c>
      <c r="L634" s="898">
        <v>0.2</v>
      </c>
      <c r="M634" s="839">
        <v>2.2000000000000002</v>
      </c>
      <c r="N634" s="840">
        <f t="shared" si="61"/>
        <v>1.1199999999999999</v>
      </c>
      <c r="O634" s="899">
        <f t="shared" si="62"/>
        <v>2.464</v>
      </c>
      <c r="P634" s="833"/>
      <c r="Q634" s="861"/>
      <c r="R634" s="900">
        <f t="shared" si="63"/>
        <v>2.464</v>
      </c>
      <c r="S634" s="792" t="s">
        <v>853</v>
      </c>
      <c r="T634" s="835" t="s">
        <v>316</v>
      </c>
      <c r="U634" s="843" t="s">
        <v>1791</v>
      </c>
      <c r="V634" s="1418">
        <f t="shared" si="53"/>
        <v>19.370000000000005</v>
      </c>
      <c r="W634" s="357"/>
      <c r="X634" s="357"/>
      <c r="Y634" s="357"/>
      <c r="Z634" s="358"/>
      <c r="AA634" s="359"/>
      <c r="AB634" s="360"/>
    </row>
    <row r="635" spans="1:28" s="361" customFormat="1" ht="47.4" customHeight="1">
      <c r="A635" s="354"/>
      <c r="B635" s="1002"/>
      <c r="C635" s="836" t="s">
        <v>872</v>
      </c>
      <c r="D635" s="895"/>
      <c r="E635" s="896"/>
      <c r="F635" s="897"/>
      <c r="G635" s="895"/>
      <c r="H635" s="896"/>
      <c r="I635" s="897"/>
      <c r="J635" s="832">
        <v>1</v>
      </c>
      <c r="K635" s="837">
        <v>30.4</v>
      </c>
      <c r="L635" s="898">
        <v>0.2</v>
      </c>
      <c r="M635" s="839">
        <v>2.2000000000000002</v>
      </c>
      <c r="N635" s="840">
        <f t="shared" si="61"/>
        <v>6.08</v>
      </c>
      <c r="O635" s="899">
        <f t="shared" si="62"/>
        <v>13.376000000000001</v>
      </c>
      <c r="P635" s="833">
        <f>-(0.2*1.25*1.5)*10</f>
        <v>-3.75</v>
      </c>
      <c r="Q635" s="861"/>
      <c r="R635" s="900">
        <f>O635+P635</f>
        <v>9.6260000000000012</v>
      </c>
      <c r="S635" s="792" t="s">
        <v>853</v>
      </c>
      <c r="T635" s="835" t="s">
        <v>316</v>
      </c>
      <c r="U635" s="843" t="s">
        <v>1787</v>
      </c>
      <c r="V635" s="1418">
        <f t="shared" si="53"/>
        <v>19.370000000000005</v>
      </c>
      <c r="W635" s="357"/>
      <c r="X635" s="357"/>
      <c r="Y635" s="357"/>
      <c r="Z635" s="358"/>
      <c r="AA635" s="359"/>
      <c r="AB635" s="360"/>
    </row>
    <row r="636" spans="1:28" s="361" customFormat="1" ht="30">
      <c r="A636" s="354"/>
      <c r="B636" s="1002"/>
      <c r="C636" s="836" t="s">
        <v>872</v>
      </c>
      <c r="D636" s="895"/>
      <c r="E636" s="896"/>
      <c r="F636" s="897"/>
      <c r="G636" s="895"/>
      <c r="H636" s="896"/>
      <c r="I636" s="897"/>
      <c r="J636" s="832">
        <v>1</v>
      </c>
      <c r="K636" s="837">
        <v>30.8</v>
      </c>
      <c r="L636" s="898">
        <v>0.5</v>
      </c>
      <c r="M636" s="839">
        <v>0.71</v>
      </c>
      <c r="N636" s="840">
        <f t="shared" si="61"/>
        <v>15.4</v>
      </c>
      <c r="O636" s="899">
        <f t="shared" si="62"/>
        <v>10.933999999999999</v>
      </c>
      <c r="P636" s="833"/>
      <c r="Q636" s="861"/>
      <c r="R636" s="900">
        <f>O636+P636</f>
        <v>10.933999999999999</v>
      </c>
      <c r="S636" s="792" t="s">
        <v>853</v>
      </c>
      <c r="T636" s="835" t="s">
        <v>317</v>
      </c>
      <c r="U636" s="843" t="s">
        <v>1788</v>
      </c>
      <c r="V636" s="1418">
        <f t="shared" si="53"/>
        <v>19.370000000000005</v>
      </c>
      <c r="W636" s="357"/>
      <c r="X636" s="357"/>
      <c r="Y636" s="357"/>
      <c r="Z636" s="358"/>
      <c r="AA636" s="359"/>
      <c r="AB636" s="360"/>
    </row>
    <row r="637" spans="1:28" s="361" customFormat="1" ht="30">
      <c r="A637" s="354"/>
      <c r="B637" s="1002"/>
      <c r="C637" s="836" t="s">
        <v>872</v>
      </c>
      <c r="D637" s="895"/>
      <c r="E637" s="896"/>
      <c r="F637" s="897"/>
      <c r="G637" s="895"/>
      <c r="H637" s="896"/>
      <c r="I637" s="897"/>
      <c r="J637" s="832">
        <v>20</v>
      </c>
      <c r="K637" s="837">
        <v>2.6</v>
      </c>
      <c r="L637" s="898">
        <v>0.25</v>
      </c>
      <c r="M637" s="839">
        <v>0.14000000000000001</v>
      </c>
      <c r="N637" s="840">
        <f t="shared" si="61"/>
        <v>13</v>
      </c>
      <c r="O637" s="899">
        <f t="shared" si="62"/>
        <v>1.8200000000000003</v>
      </c>
      <c r="P637" s="833"/>
      <c r="Q637" s="861"/>
      <c r="R637" s="900">
        <f>O637+P637</f>
        <v>1.8200000000000003</v>
      </c>
      <c r="S637" s="792" t="s">
        <v>853</v>
      </c>
      <c r="T637" s="835" t="s">
        <v>317</v>
      </c>
      <c r="U637" s="843" t="s">
        <v>1789</v>
      </c>
      <c r="V637" s="1418">
        <f t="shared" si="53"/>
        <v>19.370000000000005</v>
      </c>
      <c r="W637" s="357"/>
      <c r="X637" s="357"/>
      <c r="Y637" s="357"/>
      <c r="Z637" s="358"/>
      <c r="AA637" s="359"/>
      <c r="AB637" s="360"/>
    </row>
    <row r="638" spans="1:28" s="361" customFormat="1" ht="30">
      <c r="A638" s="354"/>
      <c r="B638" s="1002"/>
      <c r="C638" s="836" t="s">
        <v>872</v>
      </c>
      <c r="D638" s="895"/>
      <c r="E638" s="896"/>
      <c r="F638" s="897"/>
      <c r="G638" s="895"/>
      <c r="H638" s="896"/>
      <c r="I638" s="897"/>
      <c r="J638" s="832">
        <v>1</v>
      </c>
      <c r="K638" s="837">
        <v>30.4</v>
      </c>
      <c r="L638" s="898">
        <v>0.15</v>
      </c>
      <c r="M638" s="839">
        <v>2.6</v>
      </c>
      <c r="N638" s="840">
        <f t="shared" si="61"/>
        <v>4.5599999999999996</v>
      </c>
      <c r="O638" s="899">
        <f t="shared" si="62"/>
        <v>11.856</v>
      </c>
      <c r="P638" s="833">
        <f>-(10*(1.5*1.5*0.15)+5*(0.62*0.62*0.15))</f>
        <v>-3.6632999999999996</v>
      </c>
      <c r="Q638" s="861"/>
      <c r="R638" s="900">
        <f>TRUNC(O638+P638,3)</f>
        <v>8.1920000000000002</v>
      </c>
      <c r="S638" s="792" t="s">
        <v>853</v>
      </c>
      <c r="T638" s="835" t="s">
        <v>317</v>
      </c>
      <c r="U638" s="1093" t="s">
        <v>1790</v>
      </c>
      <c r="V638" s="1418">
        <f t="shared" si="53"/>
        <v>19.370000000000005</v>
      </c>
      <c r="W638" s="357"/>
      <c r="X638" s="357"/>
      <c r="Y638" s="357"/>
      <c r="Z638" s="358"/>
      <c r="AA638" s="359"/>
      <c r="AB638" s="360"/>
    </row>
    <row r="639" spans="1:28" s="361" customFormat="1" ht="47.4" customHeight="1">
      <c r="A639" s="354"/>
      <c r="B639" s="1002"/>
      <c r="C639" s="836" t="s">
        <v>872</v>
      </c>
      <c r="D639" s="895"/>
      <c r="E639" s="896"/>
      <c r="F639" s="897"/>
      <c r="G639" s="895"/>
      <c r="H639" s="896"/>
      <c r="I639" s="897"/>
      <c r="J639" s="832">
        <v>2</v>
      </c>
      <c r="K639" s="837">
        <v>2.8</v>
      </c>
      <c r="L639" s="898">
        <v>0.2</v>
      </c>
      <c r="M639" s="839">
        <v>0.3</v>
      </c>
      <c r="N639" s="840">
        <f t="shared" si="61"/>
        <v>1.1199999999999999</v>
      </c>
      <c r="O639" s="899">
        <f t="shared" si="62"/>
        <v>0.33599999999999997</v>
      </c>
      <c r="P639" s="833"/>
      <c r="Q639" s="861"/>
      <c r="R639" s="900">
        <f>O639+P639</f>
        <v>0.33599999999999997</v>
      </c>
      <c r="S639" s="792" t="s">
        <v>853</v>
      </c>
      <c r="T639" s="835" t="s">
        <v>317</v>
      </c>
      <c r="U639" s="843" t="s">
        <v>1791</v>
      </c>
      <c r="V639" s="1418">
        <f t="shared" si="53"/>
        <v>19.370000000000005</v>
      </c>
      <c r="W639" s="357"/>
      <c r="X639" s="357"/>
      <c r="Y639" s="357"/>
      <c r="Z639" s="358"/>
      <c r="AA639" s="359"/>
      <c r="AB639" s="360"/>
    </row>
    <row r="640" spans="1:28" s="361" customFormat="1" ht="47.4" customHeight="1">
      <c r="A640" s="354"/>
      <c r="B640" s="1002"/>
      <c r="C640" s="836" t="s">
        <v>872</v>
      </c>
      <c r="D640" s="895"/>
      <c r="E640" s="896"/>
      <c r="F640" s="897"/>
      <c r="G640" s="895"/>
      <c r="H640" s="896"/>
      <c r="I640" s="897"/>
      <c r="J640" s="832">
        <v>1</v>
      </c>
      <c r="K640" s="837">
        <v>30.4</v>
      </c>
      <c r="L640" s="898">
        <v>0.2</v>
      </c>
      <c r="M640" s="839">
        <v>0.3</v>
      </c>
      <c r="N640" s="840">
        <v>6.08</v>
      </c>
      <c r="O640" s="899">
        <v>1.8239999999999998</v>
      </c>
      <c r="P640" s="833"/>
      <c r="Q640" s="861"/>
      <c r="R640" s="900">
        <v>1.8239999999999998</v>
      </c>
      <c r="S640" s="792" t="s">
        <v>853</v>
      </c>
      <c r="T640" s="835" t="s">
        <v>317</v>
      </c>
      <c r="U640" s="843" t="s">
        <v>1787</v>
      </c>
      <c r="V640" s="1418">
        <f t="shared" si="53"/>
        <v>19.370000000000005</v>
      </c>
      <c r="W640" s="357"/>
      <c r="X640" s="357"/>
      <c r="Y640" s="357"/>
      <c r="Z640" s="358"/>
      <c r="AA640" s="359"/>
      <c r="AB640" s="360"/>
    </row>
    <row r="641" spans="1:36" s="361" customFormat="1" ht="47.4" customHeight="1">
      <c r="A641" s="354"/>
      <c r="B641" s="1002"/>
      <c r="C641" s="836" t="s">
        <v>872</v>
      </c>
      <c r="D641" s="895"/>
      <c r="E641" s="896"/>
      <c r="F641" s="897"/>
      <c r="G641" s="895"/>
      <c r="H641" s="896"/>
      <c r="I641" s="897"/>
      <c r="J641" s="832"/>
      <c r="K641" s="837"/>
      <c r="L641" s="898"/>
      <c r="M641" s="839">
        <v>0.5</v>
      </c>
      <c r="N641" s="840">
        <v>624.37</v>
      </c>
      <c r="O641" s="899">
        <v>312.185</v>
      </c>
      <c r="P641" s="833"/>
      <c r="Q641" s="861"/>
      <c r="R641" s="900">
        <v>312.185</v>
      </c>
      <c r="S641" s="792" t="s">
        <v>853</v>
      </c>
      <c r="T641" s="835" t="s">
        <v>321</v>
      </c>
      <c r="U641" s="843" t="s">
        <v>1793</v>
      </c>
      <c r="V641" s="1418">
        <f>V644</f>
        <v>19.370000000000005</v>
      </c>
      <c r="W641" s="357"/>
      <c r="X641" s="357"/>
      <c r="Y641" s="357"/>
      <c r="Z641" s="358"/>
      <c r="AA641" s="359"/>
      <c r="AB641" s="360"/>
    </row>
    <row r="642" spans="1:36" s="361" customFormat="1" ht="47.4" customHeight="1">
      <c r="A642" s="354"/>
      <c r="B642" s="1002"/>
      <c r="C642" s="836" t="s">
        <v>872</v>
      </c>
      <c r="D642" s="895"/>
      <c r="E642" s="896"/>
      <c r="F642" s="897"/>
      <c r="G642" s="895"/>
      <c r="H642" s="896"/>
      <c r="I642" s="897"/>
      <c r="J642" s="832">
        <v>1</v>
      </c>
      <c r="K642" s="837">
        <v>34.700000000000003</v>
      </c>
      <c r="L642" s="898">
        <v>0.25</v>
      </c>
      <c r="M642" s="839">
        <v>4.2</v>
      </c>
      <c r="N642" s="840">
        <v>6.08</v>
      </c>
      <c r="O642" s="899">
        <v>25.536000000000001</v>
      </c>
      <c r="P642" s="833"/>
      <c r="Q642" s="861"/>
      <c r="R642" s="900">
        <v>25.536000000000001</v>
      </c>
      <c r="S642" s="792" t="s">
        <v>853</v>
      </c>
      <c r="T642" s="835" t="s">
        <v>322</v>
      </c>
      <c r="U642" s="843" t="s">
        <v>1804</v>
      </c>
      <c r="V642" s="1418">
        <f>V644</f>
        <v>19.370000000000005</v>
      </c>
      <c r="W642" s="357"/>
      <c r="X642" s="357"/>
      <c r="Y642" s="357"/>
      <c r="Z642" s="358"/>
      <c r="AA642" s="359"/>
      <c r="AB642" s="360"/>
    </row>
    <row r="643" spans="1:36" s="361" customFormat="1" ht="47.4" customHeight="1">
      <c r="A643" s="354"/>
      <c r="B643" s="1002"/>
      <c r="C643" s="836" t="s">
        <v>872</v>
      </c>
      <c r="D643" s="895"/>
      <c r="E643" s="896"/>
      <c r="F643" s="897"/>
      <c r="G643" s="895"/>
      <c r="H643" s="896"/>
      <c r="I643" s="897"/>
      <c r="J643" s="832">
        <v>1</v>
      </c>
      <c r="K643" s="837"/>
      <c r="L643" s="898"/>
      <c r="M643" s="839">
        <v>0.28000000000000003</v>
      </c>
      <c r="N643" s="840">
        <v>371.47</v>
      </c>
      <c r="O643" s="899">
        <f>M643*N643</f>
        <v>104.01160000000002</v>
      </c>
      <c r="P643" s="833"/>
      <c r="Q643" s="861"/>
      <c r="R643" s="900">
        <f>O643+P643</f>
        <v>104.01160000000002</v>
      </c>
      <c r="S643" s="792" t="s">
        <v>853</v>
      </c>
      <c r="T643" s="835" t="s">
        <v>324</v>
      </c>
      <c r="U643" s="843" t="s">
        <v>1795</v>
      </c>
      <c r="V643" s="1418"/>
      <c r="W643" s="357"/>
      <c r="X643" s="357"/>
      <c r="Y643" s="357"/>
      <c r="Z643" s="358"/>
      <c r="AA643" s="359"/>
      <c r="AB643" s="360"/>
    </row>
    <row r="644" spans="1:36" s="77" customFormat="1" ht="46.2" customHeight="1">
      <c r="A644" s="370"/>
      <c r="B644" s="455"/>
      <c r="C644" s="962" t="s">
        <v>872</v>
      </c>
      <c r="D644" s="1142"/>
      <c r="E644" s="1143"/>
      <c r="F644" s="1144"/>
      <c r="G644" s="1142"/>
      <c r="H644" s="1143"/>
      <c r="I644" s="1144"/>
      <c r="J644" s="1430">
        <v>1</v>
      </c>
      <c r="K644" s="1145">
        <v>29.8</v>
      </c>
      <c r="L644" s="1431">
        <v>1</v>
      </c>
      <c r="M644" s="1146">
        <v>0.65</v>
      </c>
      <c r="N644" s="798">
        <f>K644*L644</f>
        <v>29.8</v>
      </c>
      <c r="O644" s="1432">
        <f>K644*L644*M644</f>
        <v>19.37</v>
      </c>
      <c r="P644" s="1431"/>
      <c r="Q644" s="1433"/>
      <c r="R644" s="1434">
        <f>O644+P644</f>
        <v>19.37</v>
      </c>
      <c r="S644" s="1435" t="s">
        <v>853</v>
      </c>
      <c r="T644" s="1147" t="s">
        <v>332</v>
      </c>
      <c r="U644" s="1436" t="s">
        <v>2557</v>
      </c>
      <c r="V644" s="1418">
        <f>V645</f>
        <v>19.370000000000005</v>
      </c>
      <c r="AB644" s="15"/>
    </row>
    <row r="645" spans="1:36" s="77" customFormat="1" ht="15.6">
      <c r="A645" s="370"/>
      <c r="B645" s="499"/>
      <c r="C645" s="37"/>
      <c r="D645" s="1940" t="s">
        <v>1520</v>
      </c>
      <c r="E645" s="1941"/>
      <c r="F645" s="1941"/>
      <c r="G645" s="1941"/>
      <c r="H645" s="1941"/>
      <c r="I645" s="1942"/>
      <c r="J645" s="1955">
        <f>VLOOKUP(A647,'11 - FINANCEIRA'!_xlnm.Print_Area,6,FALSE)</f>
        <v>999.22</v>
      </c>
      <c r="K645" s="1956"/>
      <c r="L645" s="483" t="str">
        <f>VLOOKUP(A647,'11 - FINANCEIRA'!_xlnm.Print_Area,4,FALSE)</f>
        <v>m³</v>
      </c>
      <c r="M645" s="1957" t="s">
        <v>1521</v>
      </c>
      <c r="N645" s="1958"/>
      <c r="O645" s="1958"/>
      <c r="P645" s="1958"/>
      <c r="Q645" s="1959"/>
      <c r="R645" s="484">
        <f>SUM(R600:R644)</f>
        <v>996.37035000000003</v>
      </c>
      <c r="S645" s="485" t="str">
        <f>L645</f>
        <v>m³</v>
      </c>
      <c r="T645" s="373"/>
      <c r="U645" s="486"/>
      <c r="V645" s="1418">
        <f t="shared" si="53"/>
        <v>19.370000000000005</v>
      </c>
      <c r="AB645" s="15"/>
    </row>
    <row r="646" spans="1:36" s="77" customFormat="1" ht="15.6">
      <c r="A646" s="370"/>
      <c r="B646" s="499"/>
      <c r="C646" s="725"/>
      <c r="D646" s="1937" t="s">
        <v>1522</v>
      </c>
      <c r="E646" s="1938"/>
      <c r="F646" s="1938"/>
      <c r="G646" s="1938"/>
      <c r="H646" s="1938"/>
      <c r="I646" s="1939"/>
      <c r="J646" s="1943">
        <f>R645/J645</f>
        <v>0.99714812553791954</v>
      </c>
      <c r="K646" s="1944"/>
      <c r="L646" s="1947"/>
      <c r="M646" s="1934" t="s">
        <v>1523</v>
      </c>
      <c r="N646" s="1935"/>
      <c r="O646" s="1935"/>
      <c r="P646" s="1935"/>
      <c r="Q646" s="1936"/>
      <c r="R646" s="726">
        <f>VLOOKUP(A647,'11 - FINANCEIRA'!_xlnm.Print_Area,8,FALSE)</f>
        <v>977.00035000000003</v>
      </c>
      <c r="S646" s="727" t="str">
        <f>L645</f>
        <v>m³</v>
      </c>
      <c r="T646" s="373"/>
      <c r="U646" s="486"/>
      <c r="V646" s="1418">
        <f t="shared" si="53"/>
        <v>19.370000000000005</v>
      </c>
      <c r="AB646" s="15"/>
    </row>
    <row r="647" spans="1:36" s="77" customFormat="1" ht="15.6">
      <c r="A647" s="364" t="s">
        <v>373</v>
      </c>
      <c r="B647" s="499"/>
      <c r="C647" s="37"/>
      <c r="D647" s="2013"/>
      <c r="E647" s="2014"/>
      <c r="F647" s="2014"/>
      <c r="G647" s="2014"/>
      <c r="H647" s="2014"/>
      <c r="I647" s="2015"/>
      <c r="J647" s="2016"/>
      <c r="K647" s="2017"/>
      <c r="L647" s="1962"/>
      <c r="M647" s="2007" t="s">
        <v>1524</v>
      </c>
      <c r="N647" s="2008"/>
      <c r="O647" s="2008"/>
      <c r="P647" s="2008"/>
      <c r="Q647" s="2009"/>
      <c r="R647" s="1345">
        <f>R645-R646</f>
        <v>19.370000000000005</v>
      </c>
      <c r="S647" s="1346" t="str">
        <f>L645</f>
        <v>m³</v>
      </c>
      <c r="T647" s="373"/>
      <c r="U647" s="486"/>
      <c r="V647" s="1418">
        <f>R647</f>
        <v>19.370000000000005</v>
      </c>
      <c r="AB647" s="15"/>
    </row>
    <row r="648" spans="1:36" s="77" customFormat="1" ht="15.6">
      <c r="A648" s="370"/>
      <c r="B648" s="1347"/>
      <c r="C648" s="1348"/>
      <c r="D648" s="1349"/>
      <c r="E648" s="1350"/>
      <c r="F648" s="1349"/>
      <c r="G648" s="1349"/>
      <c r="H648" s="1349"/>
      <c r="I648" s="1349"/>
      <c r="J648" s="1351"/>
      <c r="K648" s="1352"/>
      <c r="L648" s="1353"/>
      <c r="M648" s="1354"/>
      <c r="N648" s="1354"/>
      <c r="O648" s="1354"/>
      <c r="P648" s="1354"/>
      <c r="Q648" s="1354"/>
      <c r="R648" s="1355"/>
      <c r="S648" s="1356"/>
      <c r="T648" s="1357"/>
      <c r="U648" s="1358"/>
      <c r="V648" s="1420">
        <f>SUM(V598:V647)</f>
        <v>949.13000000000022</v>
      </c>
      <c r="AB648" s="15"/>
    </row>
    <row r="649" spans="1:36" s="352" customFormat="1" ht="15.6">
      <c r="A649" s="351"/>
      <c r="B649" s="1963" t="str">
        <f>VLOOKUP(A698,'11 - FINANCEIRA'!_xlnm.Print_Area,1,FALSE)</f>
        <v>2.2.10</v>
      </c>
      <c r="C649" s="1965" t="str">
        <f>VLOOKUP(A698,'11 - FINANCEIRA'!_xlnm.Print_Area,3,FALSE)</f>
        <v xml:space="preserve">Servico de bombeamento de concreto </v>
      </c>
      <c r="D649" s="1967" t="s">
        <v>1503</v>
      </c>
      <c r="E649" s="1968"/>
      <c r="F649" s="1968"/>
      <c r="G649" s="1968"/>
      <c r="H649" s="1968"/>
      <c r="I649" s="1969"/>
      <c r="J649" s="1914" t="s">
        <v>804</v>
      </c>
      <c r="K649" s="1914" t="s">
        <v>1505</v>
      </c>
      <c r="L649" s="1914" t="s">
        <v>1506</v>
      </c>
      <c r="M649" s="1914" t="s">
        <v>1746</v>
      </c>
      <c r="N649" s="1914" t="s">
        <v>1508</v>
      </c>
      <c r="O649" s="1914" t="s">
        <v>1509</v>
      </c>
      <c r="P649" s="1341" t="s">
        <v>1510</v>
      </c>
      <c r="Q649" s="1914" t="s">
        <v>1493</v>
      </c>
      <c r="R649" s="1916" t="s">
        <v>804</v>
      </c>
      <c r="S649" s="1914" t="s">
        <v>1511</v>
      </c>
      <c r="T649" s="1914" t="s">
        <v>1512</v>
      </c>
      <c r="U649" s="1918" t="s">
        <v>1513</v>
      </c>
      <c r="V649" s="1418">
        <f t="shared" ref="V649:V697" si="64">V650</f>
        <v>19.370000000000005</v>
      </c>
      <c r="W649" s="16"/>
      <c r="X649" s="16"/>
      <c r="Y649" s="16"/>
      <c r="Z649" s="17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</row>
    <row r="650" spans="1:36" s="352" customFormat="1" ht="15.6">
      <c r="A650" s="351"/>
      <c r="B650" s="1964" t="e">
        <f>LEFT(#REF!,5)</f>
        <v>#REF!</v>
      </c>
      <c r="C650" s="1966" t="e">
        <f>VLOOKUP(LEFT(#REF!,5),'11 - FINANCEIRA'!_xlnm.Print_Area,2,FALSE)</f>
        <v>#REF!</v>
      </c>
      <c r="D650" s="1920" t="s">
        <v>1514</v>
      </c>
      <c r="E650" s="1921"/>
      <c r="F650" s="1922"/>
      <c r="G650" s="1923" t="s">
        <v>1515</v>
      </c>
      <c r="H650" s="1924"/>
      <c r="I650" s="1925"/>
      <c r="J650" s="1915"/>
      <c r="K650" s="1915"/>
      <c r="L650" s="1915"/>
      <c r="M650" s="1915"/>
      <c r="N650" s="1915"/>
      <c r="O650" s="1915"/>
      <c r="P650" s="353" t="s">
        <v>1516</v>
      </c>
      <c r="Q650" s="1915"/>
      <c r="R650" s="1917"/>
      <c r="S650" s="1915"/>
      <c r="T650" s="1915"/>
      <c r="U650" s="1919"/>
      <c r="V650" s="1418">
        <f t="shared" si="64"/>
        <v>19.370000000000005</v>
      </c>
      <c r="W650" s="16"/>
      <c r="X650" s="16"/>
      <c r="Y650" s="16"/>
      <c r="Z650" s="17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</row>
    <row r="651" spans="1:36" s="361" customFormat="1" ht="15" customHeight="1">
      <c r="A651" s="354"/>
      <c r="B651" s="755"/>
      <c r="C651" s="28" t="s">
        <v>874</v>
      </c>
      <c r="D651" s="18"/>
      <c r="E651" s="19"/>
      <c r="F651" s="20"/>
      <c r="G651" s="18"/>
      <c r="H651" s="19"/>
      <c r="I651" s="20"/>
      <c r="J651" s="21"/>
      <c r="K651" s="22">
        <v>30.8</v>
      </c>
      <c r="L651" s="783">
        <v>9.9019999999999992</v>
      </c>
      <c r="M651" s="24">
        <v>0.5</v>
      </c>
      <c r="N651" s="728">
        <f>K651*L651</f>
        <v>304.98159999999996</v>
      </c>
      <c r="O651" s="845">
        <f>K651*L651*M651</f>
        <v>152.49079999999998</v>
      </c>
      <c r="P651" s="23"/>
      <c r="Q651" s="729"/>
      <c r="R651" s="1109">
        <f t="shared" ref="R651:R656" si="65">O651</f>
        <v>152.49079999999998</v>
      </c>
      <c r="S651" s="447" t="s">
        <v>853</v>
      </c>
      <c r="T651" s="446" t="s">
        <v>304</v>
      </c>
      <c r="U651" s="793" t="s">
        <v>1805</v>
      </c>
      <c r="V651" s="1418">
        <f t="shared" si="64"/>
        <v>19.370000000000005</v>
      </c>
      <c r="W651" s="357"/>
      <c r="X651" s="357"/>
      <c r="Y651" s="357"/>
      <c r="Z651" s="358"/>
      <c r="AA651" s="359"/>
      <c r="AB651" s="360"/>
    </row>
    <row r="652" spans="1:36" s="361" customFormat="1" ht="15">
      <c r="A652" s="354"/>
      <c r="B652" s="755"/>
      <c r="C652" s="28" t="s">
        <v>874</v>
      </c>
      <c r="D652" s="18"/>
      <c r="E652" s="19"/>
      <c r="F652" s="20"/>
      <c r="G652" s="18"/>
      <c r="H652" s="19"/>
      <c r="I652" s="20"/>
      <c r="J652" s="21">
        <v>1</v>
      </c>
      <c r="K652" s="22"/>
      <c r="L652" s="783">
        <v>0.5</v>
      </c>
      <c r="M652" s="24">
        <v>4.2</v>
      </c>
      <c r="N652" s="728">
        <v>29.42</v>
      </c>
      <c r="O652" s="845">
        <f t="shared" ref="O652:O665" si="66">N652*M652</f>
        <v>123.56400000000001</v>
      </c>
      <c r="P652" s="23"/>
      <c r="Q652" s="729"/>
      <c r="R652" s="862">
        <f t="shared" si="65"/>
        <v>123.56400000000001</v>
      </c>
      <c r="S652" s="447" t="s">
        <v>853</v>
      </c>
      <c r="T652" s="446" t="s">
        <v>305</v>
      </c>
      <c r="U652" s="793" t="s">
        <v>1750</v>
      </c>
      <c r="V652" s="1418">
        <f t="shared" si="64"/>
        <v>19.370000000000005</v>
      </c>
      <c r="W652" s="357"/>
      <c r="X652" s="357"/>
      <c r="Y652" s="357"/>
      <c r="Z652" s="358"/>
      <c r="AA652" s="359"/>
      <c r="AB652" s="360"/>
    </row>
    <row r="653" spans="1:36" s="361" customFormat="1" ht="15">
      <c r="A653" s="354"/>
      <c r="B653" s="755"/>
      <c r="C653" s="28" t="s">
        <v>874</v>
      </c>
      <c r="D653" s="18"/>
      <c r="E653" s="19"/>
      <c r="F653" s="20"/>
      <c r="G653" s="18"/>
      <c r="H653" s="19"/>
      <c r="I653" s="20"/>
      <c r="J653" s="21">
        <v>9</v>
      </c>
      <c r="K653" s="22">
        <v>4.2</v>
      </c>
      <c r="L653" s="783">
        <v>0.2</v>
      </c>
      <c r="M653" s="24">
        <v>4.0999999999999996</v>
      </c>
      <c r="N653" s="728">
        <f t="shared" ref="N653:N665" si="67">K653*L653*J653</f>
        <v>7.5600000000000005</v>
      </c>
      <c r="O653" s="845">
        <f t="shared" si="66"/>
        <v>30.995999999999999</v>
      </c>
      <c r="P653" s="23"/>
      <c r="Q653" s="729"/>
      <c r="R653" s="862">
        <f t="shared" si="65"/>
        <v>30.995999999999999</v>
      </c>
      <c r="S653" s="447" t="s">
        <v>853</v>
      </c>
      <c r="T653" s="446" t="s">
        <v>305</v>
      </c>
      <c r="U653" s="793" t="s">
        <v>1751</v>
      </c>
      <c r="V653" s="1418">
        <f t="shared" si="64"/>
        <v>19.370000000000005</v>
      </c>
      <c r="W653" s="357"/>
      <c r="X653" s="357"/>
      <c r="Y653" s="357"/>
      <c r="Z653" s="358"/>
      <c r="AA653" s="359"/>
      <c r="AB653" s="360"/>
    </row>
    <row r="654" spans="1:36" s="361" customFormat="1" ht="15">
      <c r="A654" s="354"/>
      <c r="B654" s="755"/>
      <c r="C654" s="28" t="s">
        <v>874</v>
      </c>
      <c r="D654" s="18"/>
      <c r="E654" s="19"/>
      <c r="F654" s="20"/>
      <c r="G654" s="18"/>
      <c r="H654" s="19"/>
      <c r="I654" s="20"/>
      <c r="J654" s="21">
        <v>1</v>
      </c>
      <c r="K654" s="22">
        <v>29.8</v>
      </c>
      <c r="L654" s="783">
        <v>0.3</v>
      </c>
      <c r="M654" s="24">
        <v>1.5</v>
      </c>
      <c r="N654" s="728">
        <f t="shared" si="67"/>
        <v>8.94</v>
      </c>
      <c r="O654" s="845">
        <f t="shared" si="66"/>
        <v>13.41</v>
      </c>
      <c r="P654" s="23"/>
      <c r="Q654" s="729"/>
      <c r="R654" s="862">
        <f t="shared" si="65"/>
        <v>13.41</v>
      </c>
      <c r="S654" s="447" t="s">
        <v>853</v>
      </c>
      <c r="T654" s="446" t="s">
        <v>305</v>
      </c>
      <c r="U654" s="793" t="s">
        <v>1752</v>
      </c>
      <c r="V654" s="1418">
        <f t="shared" si="64"/>
        <v>19.370000000000005</v>
      </c>
      <c r="W654" s="357"/>
      <c r="X654" s="357"/>
      <c r="Y654" s="357"/>
      <c r="Z654" s="358"/>
      <c r="AA654" s="359"/>
      <c r="AB654" s="360"/>
    </row>
    <row r="655" spans="1:36" s="361" customFormat="1" ht="15">
      <c r="A655" s="354"/>
      <c r="B655" s="755"/>
      <c r="C655" s="28" t="s">
        <v>874</v>
      </c>
      <c r="D655" s="18"/>
      <c r="E655" s="19"/>
      <c r="F655" s="20"/>
      <c r="G655" s="18"/>
      <c r="H655" s="19"/>
      <c r="I655" s="20"/>
      <c r="J655" s="21">
        <v>1</v>
      </c>
      <c r="K655" s="22">
        <v>29.8</v>
      </c>
      <c r="L655" s="783">
        <v>0.2</v>
      </c>
      <c r="M655" s="24">
        <v>1.5</v>
      </c>
      <c r="N655" s="728">
        <f t="shared" si="67"/>
        <v>5.9600000000000009</v>
      </c>
      <c r="O655" s="845">
        <f t="shared" si="66"/>
        <v>8.9400000000000013</v>
      </c>
      <c r="P655" s="23"/>
      <c r="Q655" s="729"/>
      <c r="R655" s="862">
        <f t="shared" si="65"/>
        <v>8.9400000000000013</v>
      </c>
      <c r="S655" s="447" t="s">
        <v>853</v>
      </c>
      <c r="T655" s="446" t="s">
        <v>305</v>
      </c>
      <c r="U655" s="793" t="s">
        <v>1753</v>
      </c>
      <c r="V655" s="1418">
        <f t="shared" si="64"/>
        <v>19.370000000000005</v>
      </c>
      <c r="W655" s="357"/>
      <c r="X655" s="357"/>
      <c r="Y655" s="357"/>
      <c r="Z655" s="358"/>
      <c r="AA655" s="359"/>
      <c r="AB655" s="360"/>
    </row>
    <row r="656" spans="1:36" s="361" customFormat="1" ht="15">
      <c r="A656" s="354"/>
      <c r="B656" s="755"/>
      <c r="C656" s="28" t="s">
        <v>874</v>
      </c>
      <c r="D656" s="18"/>
      <c r="E656" s="19"/>
      <c r="F656" s="20"/>
      <c r="G656" s="18"/>
      <c r="H656" s="19"/>
      <c r="I656" s="20"/>
      <c r="J656" s="21">
        <v>2</v>
      </c>
      <c r="K656" s="22">
        <v>1.65</v>
      </c>
      <c r="L656" s="783">
        <v>0.5</v>
      </c>
      <c r="M656" s="24">
        <v>4.2</v>
      </c>
      <c r="N656" s="728">
        <f t="shared" si="67"/>
        <v>1.65</v>
      </c>
      <c r="O656" s="845">
        <f t="shared" si="66"/>
        <v>6.93</v>
      </c>
      <c r="P656" s="23"/>
      <c r="Q656" s="729"/>
      <c r="R656" s="862">
        <f t="shared" si="65"/>
        <v>6.93</v>
      </c>
      <c r="S656" s="447" t="s">
        <v>853</v>
      </c>
      <c r="T656" s="446" t="s">
        <v>305</v>
      </c>
      <c r="U656" s="793" t="s">
        <v>1754</v>
      </c>
      <c r="V656" s="1418">
        <f t="shared" si="64"/>
        <v>19.370000000000005</v>
      </c>
      <c r="W656" s="357"/>
      <c r="X656" s="357"/>
      <c r="Y656" s="357"/>
      <c r="Z656" s="358"/>
      <c r="AA656" s="359"/>
      <c r="AB656" s="360"/>
    </row>
    <row r="657" spans="1:28" s="361" customFormat="1" ht="15">
      <c r="A657" s="354"/>
      <c r="B657" s="755"/>
      <c r="C657" s="28" t="s">
        <v>874</v>
      </c>
      <c r="D657" s="18"/>
      <c r="E657" s="19"/>
      <c r="F657" s="20"/>
      <c r="G657" s="18"/>
      <c r="H657" s="19"/>
      <c r="I657" s="20"/>
      <c r="J657" s="21">
        <v>1</v>
      </c>
      <c r="K657" s="22">
        <v>29.8</v>
      </c>
      <c r="L657" s="783">
        <v>2.4300000000000002</v>
      </c>
      <c r="M657" s="24">
        <v>0.2</v>
      </c>
      <c r="N657" s="728">
        <f t="shared" si="67"/>
        <v>72.414000000000001</v>
      </c>
      <c r="O657" s="845">
        <f t="shared" si="66"/>
        <v>14.482800000000001</v>
      </c>
      <c r="P657" s="23"/>
      <c r="Q657" s="729"/>
      <c r="R657" s="862">
        <f t="shared" ref="R657:R662" si="68">O657</f>
        <v>14.482800000000001</v>
      </c>
      <c r="S657" s="447" t="s">
        <v>853</v>
      </c>
      <c r="T657" s="446" t="s">
        <v>56</v>
      </c>
      <c r="U657" s="793" t="s">
        <v>1755</v>
      </c>
      <c r="V657" s="1418">
        <f t="shared" si="64"/>
        <v>19.370000000000005</v>
      </c>
      <c r="W657" s="357"/>
      <c r="X657" s="357"/>
      <c r="Y657" s="357"/>
      <c r="Z657" s="358"/>
      <c r="AA657" s="359"/>
      <c r="AB657" s="360"/>
    </row>
    <row r="658" spans="1:28" s="361" customFormat="1" ht="15">
      <c r="A658" s="354"/>
      <c r="B658" s="755"/>
      <c r="C658" s="28" t="s">
        <v>874</v>
      </c>
      <c r="D658" s="895"/>
      <c r="E658" s="896"/>
      <c r="F658" s="897"/>
      <c r="G658" s="895"/>
      <c r="H658" s="896"/>
      <c r="I658" s="897"/>
      <c r="J658" s="832">
        <v>1</v>
      </c>
      <c r="K658" s="22">
        <v>29.8</v>
      </c>
      <c r="L658" s="898">
        <v>0.3</v>
      </c>
      <c r="M658" s="839">
        <v>0.7</v>
      </c>
      <c r="N658" s="728">
        <f t="shared" si="67"/>
        <v>8.94</v>
      </c>
      <c r="O658" s="845">
        <f t="shared" si="66"/>
        <v>6.2579999999999991</v>
      </c>
      <c r="P658" s="833"/>
      <c r="Q658" s="861"/>
      <c r="R658" s="862">
        <f t="shared" si="68"/>
        <v>6.2579999999999991</v>
      </c>
      <c r="S658" s="447" t="s">
        <v>853</v>
      </c>
      <c r="T658" s="835" t="s">
        <v>56</v>
      </c>
      <c r="U658" s="843" t="s">
        <v>1756</v>
      </c>
      <c r="V658" s="1418">
        <f t="shared" si="64"/>
        <v>19.370000000000005</v>
      </c>
      <c r="W658" s="357"/>
      <c r="X658" s="357"/>
      <c r="Y658" s="357"/>
      <c r="Z658" s="358"/>
      <c r="AA658" s="359"/>
      <c r="AB658" s="360"/>
    </row>
    <row r="659" spans="1:28" s="361" customFormat="1" ht="15">
      <c r="A659" s="354"/>
      <c r="B659" s="755"/>
      <c r="C659" s="28" t="s">
        <v>874</v>
      </c>
      <c r="D659" s="895"/>
      <c r="E659" s="896"/>
      <c r="F659" s="897"/>
      <c r="G659" s="895"/>
      <c r="H659" s="896"/>
      <c r="I659" s="897"/>
      <c r="J659" s="832">
        <v>4</v>
      </c>
      <c r="K659" s="22">
        <v>1.8</v>
      </c>
      <c r="L659" s="898">
        <v>0.3</v>
      </c>
      <c r="M659" s="839">
        <v>6.15</v>
      </c>
      <c r="N659" s="728">
        <f t="shared" si="67"/>
        <v>2.16</v>
      </c>
      <c r="O659" s="845">
        <f t="shared" si="66"/>
        <v>13.284000000000002</v>
      </c>
      <c r="P659" s="833"/>
      <c r="Q659" s="861"/>
      <c r="R659" s="862">
        <f t="shared" si="68"/>
        <v>13.284000000000002</v>
      </c>
      <c r="S659" s="447" t="s">
        <v>853</v>
      </c>
      <c r="T659" s="835" t="s">
        <v>56</v>
      </c>
      <c r="U659" s="843" t="s">
        <v>1757</v>
      </c>
      <c r="V659" s="1418">
        <f t="shared" si="64"/>
        <v>19.370000000000005</v>
      </c>
      <c r="W659" s="357"/>
      <c r="X659" s="357"/>
      <c r="Y659" s="357"/>
      <c r="Z659" s="358"/>
      <c r="AA659" s="359"/>
      <c r="AB659" s="360"/>
    </row>
    <row r="660" spans="1:28" s="361" customFormat="1" ht="15">
      <c r="A660" s="354"/>
      <c r="B660" s="755"/>
      <c r="C660" s="28" t="s">
        <v>874</v>
      </c>
      <c r="D660" s="895"/>
      <c r="E660" s="896"/>
      <c r="F660" s="897"/>
      <c r="G660" s="895"/>
      <c r="H660" s="896"/>
      <c r="I660" s="897"/>
      <c r="J660" s="832">
        <v>1</v>
      </c>
      <c r="K660" s="837">
        <v>29.8</v>
      </c>
      <c r="L660" s="898">
        <v>1.2</v>
      </c>
      <c r="M660" s="839">
        <v>0.15</v>
      </c>
      <c r="N660" s="840">
        <f t="shared" si="67"/>
        <v>35.76</v>
      </c>
      <c r="O660" s="899">
        <f t="shared" si="66"/>
        <v>5.3639999999999999</v>
      </c>
      <c r="P660" s="833"/>
      <c r="Q660" s="861"/>
      <c r="R660" s="900">
        <f t="shared" si="68"/>
        <v>5.3639999999999999</v>
      </c>
      <c r="S660" s="447" t="s">
        <v>853</v>
      </c>
      <c r="T660" s="835" t="s">
        <v>56</v>
      </c>
      <c r="U660" s="843" t="s">
        <v>1758</v>
      </c>
      <c r="V660" s="1418">
        <f t="shared" si="64"/>
        <v>19.370000000000005</v>
      </c>
      <c r="W660" s="357"/>
      <c r="X660" s="357"/>
      <c r="Y660" s="357"/>
      <c r="Z660" s="358"/>
      <c r="AA660" s="359"/>
      <c r="AB660" s="360"/>
    </row>
    <row r="661" spans="1:28" s="361" customFormat="1" ht="15">
      <c r="A661" s="354"/>
      <c r="B661" s="755"/>
      <c r="C661" s="28" t="s">
        <v>874</v>
      </c>
      <c r="D661" s="895"/>
      <c r="E661" s="896"/>
      <c r="F661" s="897"/>
      <c r="G661" s="895"/>
      <c r="H661" s="896"/>
      <c r="I661" s="897"/>
      <c r="J661" s="832">
        <v>1</v>
      </c>
      <c r="K661" s="837">
        <f>29.8-21</f>
        <v>8.8000000000000007</v>
      </c>
      <c r="L661" s="898">
        <v>0.3</v>
      </c>
      <c r="M661" s="839">
        <v>2.5499999999999998</v>
      </c>
      <c r="N661" s="840">
        <f t="shared" si="67"/>
        <v>2.64</v>
      </c>
      <c r="O661" s="899">
        <f t="shared" si="66"/>
        <v>6.7320000000000002</v>
      </c>
      <c r="P661" s="833"/>
      <c r="Q661" s="861"/>
      <c r="R661" s="900">
        <f t="shared" si="68"/>
        <v>6.7320000000000002</v>
      </c>
      <c r="S661" s="447" t="s">
        <v>853</v>
      </c>
      <c r="T661" s="835" t="s">
        <v>56</v>
      </c>
      <c r="U661" s="843" t="s">
        <v>1797</v>
      </c>
      <c r="V661" s="1418">
        <f t="shared" si="64"/>
        <v>19.370000000000005</v>
      </c>
      <c r="W661" s="357"/>
      <c r="X661" s="357"/>
      <c r="Y661" s="357"/>
      <c r="Z661" s="358"/>
      <c r="AA661" s="359"/>
      <c r="AB661" s="360"/>
    </row>
    <row r="662" spans="1:28" s="361" customFormat="1" ht="15">
      <c r="A662" s="354"/>
      <c r="B662" s="755"/>
      <c r="C662" s="28" t="s">
        <v>874</v>
      </c>
      <c r="D662" s="895"/>
      <c r="E662" s="896"/>
      <c r="F662" s="897"/>
      <c r="G662" s="895"/>
      <c r="H662" s="896"/>
      <c r="I662" s="897"/>
      <c r="J662" s="832">
        <v>2</v>
      </c>
      <c r="K662" s="837">
        <v>9.84</v>
      </c>
      <c r="L662" s="898">
        <v>0.5</v>
      </c>
      <c r="M662" s="839">
        <v>2.8</v>
      </c>
      <c r="N662" s="840">
        <f t="shared" si="67"/>
        <v>9.84</v>
      </c>
      <c r="O662" s="899">
        <f t="shared" si="66"/>
        <v>27.552</v>
      </c>
      <c r="P662" s="833"/>
      <c r="Q662" s="861"/>
      <c r="R662" s="900">
        <f t="shared" si="68"/>
        <v>27.552</v>
      </c>
      <c r="S662" s="447" t="s">
        <v>853</v>
      </c>
      <c r="T662" s="835" t="s">
        <v>56</v>
      </c>
      <c r="U662" s="843" t="s">
        <v>1761</v>
      </c>
      <c r="V662" s="1418">
        <f t="shared" si="64"/>
        <v>19.370000000000005</v>
      </c>
      <c r="W662" s="357"/>
      <c r="X662" s="357"/>
      <c r="Y662" s="357"/>
      <c r="Z662" s="358"/>
      <c r="AA662" s="359"/>
      <c r="AB662" s="360"/>
    </row>
    <row r="663" spans="1:28" s="361" customFormat="1" ht="15">
      <c r="A663" s="354"/>
      <c r="B663" s="755"/>
      <c r="C663" s="28" t="s">
        <v>874</v>
      </c>
      <c r="D663" s="895"/>
      <c r="E663" s="896"/>
      <c r="F663" s="897"/>
      <c r="G663" s="895"/>
      <c r="H663" s="896"/>
      <c r="I663" s="897"/>
      <c r="J663" s="832">
        <v>2</v>
      </c>
      <c r="K663" s="837">
        <v>1.65</v>
      </c>
      <c r="L663" s="898">
        <v>0.5</v>
      </c>
      <c r="M663" s="839">
        <v>2.8</v>
      </c>
      <c r="N663" s="840">
        <f t="shared" si="67"/>
        <v>1.65</v>
      </c>
      <c r="O663" s="899">
        <f t="shared" si="66"/>
        <v>4.6199999999999992</v>
      </c>
      <c r="P663" s="833"/>
      <c r="Q663" s="861"/>
      <c r="R663" s="900">
        <f>O663</f>
        <v>4.6199999999999992</v>
      </c>
      <c r="S663" s="447" t="s">
        <v>853</v>
      </c>
      <c r="T663" s="835" t="s">
        <v>56</v>
      </c>
      <c r="U663" s="843" t="s">
        <v>1762</v>
      </c>
      <c r="V663" s="1418">
        <f t="shared" si="64"/>
        <v>19.370000000000005</v>
      </c>
      <c r="W663" s="357"/>
      <c r="X663" s="357"/>
      <c r="Y663" s="357"/>
      <c r="Z663" s="358"/>
      <c r="AA663" s="359"/>
      <c r="AB663" s="360"/>
    </row>
    <row r="664" spans="1:28" s="361" customFormat="1" ht="15">
      <c r="A664" s="354"/>
      <c r="B664" s="831"/>
      <c r="C664" s="836" t="s">
        <v>874</v>
      </c>
      <c r="D664" s="895"/>
      <c r="E664" s="896"/>
      <c r="F664" s="897"/>
      <c r="G664" s="895"/>
      <c r="H664" s="896"/>
      <c r="I664" s="897"/>
      <c r="J664" s="832">
        <v>9</v>
      </c>
      <c r="K664" s="837">
        <v>1.4</v>
      </c>
      <c r="L664" s="898">
        <v>0.5</v>
      </c>
      <c r="M664" s="839">
        <v>1.79</v>
      </c>
      <c r="N664" s="840">
        <f t="shared" si="67"/>
        <v>6.3</v>
      </c>
      <c r="O664" s="899">
        <f t="shared" si="66"/>
        <v>11.276999999999999</v>
      </c>
      <c r="P664" s="833"/>
      <c r="Q664" s="861"/>
      <c r="R664" s="900">
        <f>O664</f>
        <v>11.276999999999999</v>
      </c>
      <c r="S664" s="447" t="s">
        <v>853</v>
      </c>
      <c r="T664" s="835" t="s">
        <v>306</v>
      </c>
      <c r="U664" s="843" t="s">
        <v>1763</v>
      </c>
      <c r="V664" s="1418">
        <f t="shared" si="64"/>
        <v>19.370000000000005</v>
      </c>
      <c r="W664" s="357"/>
      <c r="X664" s="357"/>
      <c r="Y664" s="357"/>
      <c r="Z664" s="358"/>
      <c r="AA664" s="359"/>
      <c r="AB664" s="360"/>
    </row>
    <row r="665" spans="1:28" s="361" customFormat="1" ht="15">
      <c r="A665" s="354"/>
      <c r="B665" s="831"/>
      <c r="C665" s="836" t="s">
        <v>874</v>
      </c>
      <c r="D665" s="895"/>
      <c r="E665" s="896"/>
      <c r="F665" s="897"/>
      <c r="G665" s="895"/>
      <c r="H665" s="896"/>
      <c r="I665" s="897"/>
      <c r="J665" s="832">
        <v>2</v>
      </c>
      <c r="K665" s="837">
        <v>0.6</v>
      </c>
      <c r="L665" s="898">
        <v>0.5</v>
      </c>
      <c r="M665" s="839">
        <v>1.79</v>
      </c>
      <c r="N665" s="840">
        <f t="shared" si="67"/>
        <v>0.6</v>
      </c>
      <c r="O665" s="899">
        <f t="shared" si="66"/>
        <v>1.0740000000000001</v>
      </c>
      <c r="P665" s="833"/>
      <c r="Q665" s="861"/>
      <c r="R665" s="900">
        <f>O665</f>
        <v>1.0740000000000001</v>
      </c>
      <c r="S665" s="447" t="s">
        <v>853</v>
      </c>
      <c r="T665" s="835" t="s">
        <v>306</v>
      </c>
      <c r="U665" s="843" t="s">
        <v>1764</v>
      </c>
      <c r="V665" s="1418">
        <f t="shared" si="64"/>
        <v>19.370000000000005</v>
      </c>
      <c r="W665" s="357"/>
      <c r="X665" s="357"/>
      <c r="Y665" s="357"/>
      <c r="Z665" s="358"/>
      <c r="AA665" s="359"/>
      <c r="AB665" s="360"/>
    </row>
    <row r="666" spans="1:28" s="361" customFormat="1" ht="15">
      <c r="A666" s="354"/>
      <c r="B666" s="831"/>
      <c r="C666" s="836" t="s">
        <v>874</v>
      </c>
      <c r="D666" s="895"/>
      <c r="E666" s="896"/>
      <c r="F666" s="897"/>
      <c r="G666" s="895"/>
      <c r="H666" s="896"/>
      <c r="I666" s="897"/>
      <c r="J666" s="832">
        <v>1</v>
      </c>
      <c r="K666" s="837">
        <v>30.4</v>
      </c>
      <c r="L666" s="898">
        <v>0.3</v>
      </c>
      <c r="M666" s="839">
        <v>0.89</v>
      </c>
      <c r="N666" s="840">
        <f t="shared" ref="N666:N685" si="69">K666*L666*J666</f>
        <v>9.1199999999999992</v>
      </c>
      <c r="O666" s="899">
        <f t="shared" ref="O666:O685" si="70">N666*M666</f>
        <v>8.1167999999999996</v>
      </c>
      <c r="P666" s="833"/>
      <c r="Q666" s="861"/>
      <c r="R666" s="900">
        <f>O666</f>
        <v>8.1167999999999996</v>
      </c>
      <c r="S666" s="447" t="s">
        <v>853</v>
      </c>
      <c r="T666" s="835" t="s">
        <v>306</v>
      </c>
      <c r="U666" s="843" t="s">
        <v>1765</v>
      </c>
      <c r="V666" s="1418">
        <f t="shared" si="64"/>
        <v>19.370000000000005</v>
      </c>
      <c r="W666" s="357"/>
      <c r="X666" s="357"/>
      <c r="Y666" s="357"/>
      <c r="Z666" s="358"/>
      <c r="AA666" s="359"/>
      <c r="AB666" s="360"/>
    </row>
    <row r="667" spans="1:28" s="361" customFormat="1" ht="15" customHeight="1">
      <c r="A667" s="354"/>
      <c r="B667" s="831"/>
      <c r="C667" s="836" t="s">
        <v>1806</v>
      </c>
      <c r="D667" s="895"/>
      <c r="E667" s="896"/>
      <c r="F667" s="897"/>
      <c r="G667" s="895"/>
      <c r="H667" s="896"/>
      <c r="I667" s="897"/>
      <c r="J667" s="832">
        <v>1</v>
      </c>
      <c r="K667" s="837">
        <v>30.4</v>
      </c>
      <c r="L667" s="898">
        <v>0.3</v>
      </c>
      <c r="M667" s="839">
        <v>0.89</v>
      </c>
      <c r="N667" s="840">
        <f t="shared" si="69"/>
        <v>9.1199999999999992</v>
      </c>
      <c r="O667" s="899">
        <f t="shared" si="70"/>
        <v>8.1167999999999996</v>
      </c>
      <c r="P667" s="833"/>
      <c r="Q667" s="861"/>
      <c r="R667" s="900">
        <f>-O667</f>
        <v>-8.1167999999999996</v>
      </c>
      <c r="S667" s="447" t="s">
        <v>853</v>
      </c>
      <c r="T667" s="835" t="s">
        <v>306</v>
      </c>
      <c r="U667" s="843" t="s">
        <v>1767</v>
      </c>
      <c r="V667" s="1418">
        <f t="shared" si="64"/>
        <v>19.370000000000005</v>
      </c>
      <c r="W667" s="357"/>
      <c r="X667" s="357"/>
      <c r="Y667" s="357"/>
      <c r="Z667" s="358"/>
      <c r="AA667" s="359"/>
      <c r="AB667" s="360"/>
    </row>
    <row r="668" spans="1:28" s="361" customFormat="1" ht="15" customHeight="1">
      <c r="A668" s="354"/>
      <c r="B668" s="831"/>
      <c r="C668" s="836" t="s">
        <v>874</v>
      </c>
      <c r="D668" s="895"/>
      <c r="E668" s="896"/>
      <c r="F668" s="897"/>
      <c r="G668" s="895"/>
      <c r="H668" s="896"/>
      <c r="I668" s="897"/>
      <c r="J668" s="832">
        <v>1</v>
      </c>
      <c r="K668" s="837">
        <v>29.8</v>
      </c>
      <c r="L668" s="898">
        <v>0.3</v>
      </c>
      <c r="M668" s="839">
        <v>0.89</v>
      </c>
      <c r="N668" s="840">
        <f t="shared" si="69"/>
        <v>8.94</v>
      </c>
      <c r="O668" s="899">
        <f t="shared" si="70"/>
        <v>7.9565999999999999</v>
      </c>
      <c r="P668" s="833"/>
      <c r="Q668" s="861"/>
      <c r="R668" s="900">
        <f>O668</f>
        <v>7.9565999999999999</v>
      </c>
      <c r="S668" s="447" t="s">
        <v>853</v>
      </c>
      <c r="T668" s="835" t="s">
        <v>307</v>
      </c>
      <c r="U668" s="843" t="s">
        <v>1799</v>
      </c>
      <c r="V668" s="1418">
        <f t="shared" si="64"/>
        <v>19.370000000000005</v>
      </c>
      <c r="W668" s="357"/>
      <c r="X668" s="357"/>
      <c r="Y668" s="357"/>
      <c r="Z668" s="358"/>
      <c r="AA668" s="359"/>
      <c r="AB668" s="360"/>
    </row>
    <row r="669" spans="1:28" s="361" customFormat="1" ht="15" customHeight="1">
      <c r="A669" s="354"/>
      <c r="B669" s="831"/>
      <c r="C669" s="836" t="s">
        <v>874</v>
      </c>
      <c r="D669" s="895"/>
      <c r="E669" s="896"/>
      <c r="F669" s="897"/>
      <c r="G669" s="895"/>
      <c r="H669" s="896"/>
      <c r="I669" s="897"/>
      <c r="J669" s="832">
        <v>2</v>
      </c>
      <c r="K669" s="837">
        <v>1.6</v>
      </c>
      <c r="L669" s="898">
        <v>1.2</v>
      </c>
      <c r="M669" s="839">
        <v>0.15</v>
      </c>
      <c r="N669" s="840">
        <f t="shared" si="69"/>
        <v>3.84</v>
      </c>
      <c r="O669" s="899">
        <f t="shared" si="70"/>
        <v>0.57599999999999996</v>
      </c>
      <c r="P669" s="833"/>
      <c r="Q669" s="861"/>
      <c r="R669" s="900">
        <f>O669</f>
        <v>0.57599999999999996</v>
      </c>
      <c r="S669" s="792" t="s">
        <v>853</v>
      </c>
      <c r="T669" s="835" t="s">
        <v>307</v>
      </c>
      <c r="U669" s="843" t="s">
        <v>1768</v>
      </c>
      <c r="V669" s="1418">
        <f t="shared" si="64"/>
        <v>19.370000000000005</v>
      </c>
      <c r="W669" s="357"/>
      <c r="X669" s="357"/>
      <c r="Y669" s="357"/>
      <c r="Z669" s="358"/>
      <c r="AA669" s="359"/>
      <c r="AB669" s="360"/>
    </row>
    <row r="670" spans="1:28" s="361" customFormat="1" ht="15" customHeight="1">
      <c r="A670" s="354"/>
      <c r="B670" s="831"/>
      <c r="C670" s="836" t="s">
        <v>874</v>
      </c>
      <c r="D670" s="895"/>
      <c r="E670" s="896"/>
      <c r="F670" s="897"/>
      <c r="G670" s="895"/>
      <c r="H670" s="896"/>
      <c r="I670" s="897"/>
      <c r="J670" s="832">
        <v>1</v>
      </c>
      <c r="K670" s="837">
        <v>2.66</v>
      </c>
      <c r="L670" s="898">
        <v>1.65</v>
      </c>
      <c r="M670" s="839">
        <v>0.15</v>
      </c>
      <c r="N670" s="840">
        <f t="shared" si="69"/>
        <v>4.3890000000000002</v>
      </c>
      <c r="O670" s="899">
        <f t="shared" si="70"/>
        <v>0.65834999999999999</v>
      </c>
      <c r="P670" s="833">
        <f>-(2.54*0.45)*(0.15)</f>
        <v>-0.17144999999999999</v>
      </c>
      <c r="Q670" s="861"/>
      <c r="R670" s="900">
        <f>O670-P670</f>
        <v>0.82979999999999998</v>
      </c>
      <c r="S670" s="792" t="s">
        <v>853</v>
      </c>
      <c r="T670" s="835" t="s">
        <v>307</v>
      </c>
      <c r="U670" s="843" t="s">
        <v>1801</v>
      </c>
      <c r="V670" s="1418">
        <f t="shared" si="64"/>
        <v>19.370000000000005</v>
      </c>
      <c r="W670" s="357"/>
      <c r="X670" s="357"/>
      <c r="Y670" s="357"/>
      <c r="Z670" s="358"/>
      <c r="AA670" s="359"/>
      <c r="AB670" s="360"/>
    </row>
    <row r="671" spans="1:28" s="361" customFormat="1" ht="15" customHeight="1">
      <c r="A671" s="354"/>
      <c r="B671" s="831"/>
      <c r="C671" s="836" t="s">
        <v>874</v>
      </c>
      <c r="D671" s="895"/>
      <c r="E671" s="896"/>
      <c r="F671" s="897"/>
      <c r="G671" s="895"/>
      <c r="H671" s="896"/>
      <c r="I671" s="897"/>
      <c r="J671" s="832">
        <v>1</v>
      </c>
      <c r="K671" s="837">
        <v>2.68</v>
      </c>
      <c r="L671" s="898">
        <v>1.65</v>
      </c>
      <c r="M671" s="839">
        <v>0.15</v>
      </c>
      <c r="N671" s="840">
        <f t="shared" si="69"/>
        <v>4.4219999999999997</v>
      </c>
      <c r="O671" s="899">
        <f t="shared" si="70"/>
        <v>0.66329999999999989</v>
      </c>
      <c r="P671" s="833">
        <f>-(2.54*0.45)*(0.15)</f>
        <v>-0.17144999999999999</v>
      </c>
      <c r="Q671" s="861"/>
      <c r="R671" s="900">
        <f>O671-P671</f>
        <v>0.83474999999999988</v>
      </c>
      <c r="S671" s="792" t="s">
        <v>853</v>
      </c>
      <c r="T671" s="835" t="s">
        <v>307</v>
      </c>
      <c r="U671" s="843" t="s">
        <v>1770</v>
      </c>
      <c r="V671" s="1418">
        <f t="shared" si="64"/>
        <v>19.370000000000005</v>
      </c>
      <c r="W671" s="357"/>
      <c r="X671" s="357"/>
      <c r="Y671" s="357"/>
      <c r="Z671" s="358"/>
      <c r="AA671" s="359"/>
      <c r="AB671" s="360"/>
    </row>
    <row r="672" spans="1:28" s="361" customFormat="1" ht="15" customHeight="1">
      <c r="A672" s="354"/>
      <c r="B672" s="831"/>
      <c r="C672" s="836" t="s">
        <v>874</v>
      </c>
      <c r="D672" s="895"/>
      <c r="E672" s="896"/>
      <c r="F672" s="897"/>
      <c r="G672" s="895"/>
      <c r="H672" s="896"/>
      <c r="I672" s="897"/>
      <c r="J672" s="832">
        <v>8</v>
      </c>
      <c r="K672" s="837">
        <v>2.54</v>
      </c>
      <c r="L672" s="898">
        <v>1.2</v>
      </c>
      <c r="M672" s="839">
        <v>0.15</v>
      </c>
      <c r="N672" s="840">
        <f t="shared" si="69"/>
        <v>24.384</v>
      </c>
      <c r="O672" s="899">
        <f t="shared" si="70"/>
        <v>3.6576</v>
      </c>
      <c r="P672" s="833"/>
      <c r="Q672" s="861"/>
      <c r="R672" s="900">
        <f t="shared" ref="R672:R685" si="71">O672</f>
        <v>3.6576</v>
      </c>
      <c r="S672" s="792" t="s">
        <v>853</v>
      </c>
      <c r="T672" s="835" t="s">
        <v>307</v>
      </c>
      <c r="U672" s="843" t="s">
        <v>1771</v>
      </c>
      <c r="V672" s="1418">
        <f t="shared" si="64"/>
        <v>19.370000000000005</v>
      </c>
      <c r="W672" s="357"/>
      <c r="X672" s="357"/>
      <c r="Y672" s="357"/>
      <c r="Z672" s="358"/>
      <c r="AA672" s="359"/>
      <c r="AB672" s="360"/>
    </row>
    <row r="673" spans="1:28" s="361" customFormat="1" ht="15" customHeight="1">
      <c r="A673" s="354"/>
      <c r="B673" s="831"/>
      <c r="C673" s="836" t="s">
        <v>874</v>
      </c>
      <c r="D673" s="895"/>
      <c r="E673" s="896"/>
      <c r="F673" s="897"/>
      <c r="G673" s="895"/>
      <c r="H673" s="896"/>
      <c r="I673" s="897"/>
      <c r="J673" s="832">
        <v>9</v>
      </c>
      <c r="K673" s="837">
        <v>0.46</v>
      </c>
      <c r="L673" s="898">
        <v>1.65</v>
      </c>
      <c r="M673" s="839">
        <v>0.5</v>
      </c>
      <c r="N673" s="840">
        <f t="shared" si="69"/>
        <v>6.8310000000000004</v>
      </c>
      <c r="O673" s="899">
        <f t="shared" si="70"/>
        <v>3.4155000000000002</v>
      </c>
      <c r="P673" s="833"/>
      <c r="Q673" s="861"/>
      <c r="R673" s="900">
        <f t="shared" si="71"/>
        <v>3.4155000000000002</v>
      </c>
      <c r="S673" s="792" t="s">
        <v>853</v>
      </c>
      <c r="T673" s="835" t="s">
        <v>307</v>
      </c>
      <c r="U673" s="843" t="s">
        <v>1802</v>
      </c>
      <c r="V673" s="1418">
        <f t="shared" si="64"/>
        <v>19.370000000000005</v>
      </c>
      <c r="W673" s="357"/>
      <c r="X673" s="357"/>
      <c r="Y673" s="357"/>
      <c r="Z673" s="358"/>
      <c r="AA673" s="359"/>
      <c r="AB673" s="360"/>
    </row>
    <row r="674" spans="1:28" s="361" customFormat="1" ht="15" customHeight="1">
      <c r="A674" s="354"/>
      <c r="B674" s="831"/>
      <c r="C674" s="836" t="s">
        <v>874</v>
      </c>
      <c r="D674" s="895"/>
      <c r="E674" s="896"/>
      <c r="F674" s="897"/>
      <c r="G674" s="895"/>
      <c r="H674" s="896"/>
      <c r="I674" s="897"/>
      <c r="J674" s="832">
        <v>2</v>
      </c>
      <c r="K674" s="837">
        <v>5.75</v>
      </c>
      <c r="L674" s="898">
        <v>2.6</v>
      </c>
      <c r="M674" s="839">
        <v>0.2</v>
      </c>
      <c r="N674" s="840">
        <f t="shared" si="69"/>
        <v>29.900000000000002</v>
      </c>
      <c r="O674" s="899">
        <f t="shared" si="70"/>
        <v>5.98</v>
      </c>
      <c r="P674" s="833"/>
      <c r="Q674" s="861"/>
      <c r="R674" s="900">
        <f t="shared" si="71"/>
        <v>5.98</v>
      </c>
      <c r="S674" s="792" t="s">
        <v>853</v>
      </c>
      <c r="T674" s="835" t="s">
        <v>307</v>
      </c>
      <c r="U674" s="843" t="s">
        <v>1774</v>
      </c>
      <c r="V674" s="1418">
        <f t="shared" si="64"/>
        <v>19.370000000000005</v>
      </c>
      <c r="W674" s="357"/>
      <c r="X674" s="357"/>
      <c r="Y674" s="357"/>
      <c r="Z674" s="358"/>
      <c r="AA674" s="359"/>
      <c r="AB674" s="360"/>
    </row>
    <row r="675" spans="1:28" s="361" customFormat="1" ht="15" customHeight="1">
      <c r="A675" s="354"/>
      <c r="B675" s="831"/>
      <c r="C675" s="836" t="s">
        <v>874</v>
      </c>
      <c r="D675" s="895"/>
      <c r="E675" s="896"/>
      <c r="F675" s="897"/>
      <c r="G675" s="895"/>
      <c r="H675" s="896"/>
      <c r="I675" s="897"/>
      <c r="J675" s="832">
        <v>3</v>
      </c>
      <c r="K675" s="837">
        <v>5.7</v>
      </c>
      <c r="L675" s="898">
        <v>2.6</v>
      </c>
      <c r="M675" s="839">
        <v>0.2</v>
      </c>
      <c r="N675" s="840">
        <f t="shared" si="69"/>
        <v>44.46</v>
      </c>
      <c r="O675" s="899">
        <f t="shared" si="70"/>
        <v>8.8920000000000012</v>
      </c>
      <c r="P675" s="833"/>
      <c r="Q675" s="861"/>
      <c r="R675" s="900">
        <f t="shared" si="71"/>
        <v>8.8920000000000012</v>
      </c>
      <c r="S675" s="792" t="s">
        <v>853</v>
      </c>
      <c r="T675" s="835" t="s">
        <v>307</v>
      </c>
      <c r="U675" s="843" t="s">
        <v>1775</v>
      </c>
      <c r="V675" s="1418">
        <f t="shared" si="64"/>
        <v>19.370000000000005</v>
      </c>
      <c r="W675" s="357"/>
      <c r="X675" s="357"/>
      <c r="Y675" s="357"/>
      <c r="Z675" s="358"/>
      <c r="AA675" s="359"/>
      <c r="AB675" s="360"/>
    </row>
    <row r="676" spans="1:28" s="361" customFormat="1" ht="15" customHeight="1">
      <c r="A676" s="354"/>
      <c r="B676" s="831"/>
      <c r="C676" s="836" t="s">
        <v>874</v>
      </c>
      <c r="D676" s="895"/>
      <c r="E676" s="896"/>
      <c r="F676" s="897"/>
      <c r="G676" s="895"/>
      <c r="H676" s="896"/>
      <c r="I676" s="897"/>
      <c r="J676" s="832">
        <v>4</v>
      </c>
      <c r="K676" s="837">
        <v>0.3</v>
      </c>
      <c r="L676" s="898">
        <v>0.8</v>
      </c>
      <c r="M676" s="839">
        <v>0.5</v>
      </c>
      <c r="N676" s="840">
        <f t="shared" si="69"/>
        <v>0.96</v>
      </c>
      <c r="O676" s="899">
        <f t="shared" si="70"/>
        <v>0.48</v>
      </c>
      <c r="P676" s="833"/>
      <c r="Q676" s="861"/>
      <c r="R676" s="900">
        <f t="shared" si="71"/>
        <v>0.48</v>
      </c>
      <c r="S676" s="792" t="s">
        <v>853</v>
      </c>
      <c r="T676" s="835" t="s">
        <v>307</v>
      </c>
      <c r="U676" s="843" t="s">
        <v>1803</v>
      </c>
      <c r="V676" s="1418">
        <f t="shared" si="64"/>
        <v>19.370000000000005</v>
      </c>
      <c r="W676" s="357"/>
      <c r="X676" s="357"/>
      <c r="Y676" s="357"/>
      <c r="Z676" s="358"/>
      <c r="AA676" s="359"/>
      <c r="AB676" s="360"/>
    </row>
    <row r="677" spans="1:28" s="361" customFormat="1" ht="15" customHeight="1">
      <c r="A677" s="354"/>
      <c r="B677" s="831"/>
      <c r="C677" s="836" t="s">
        <v>874</v>
      </c>
      <c r="D677" s="895"/>
      <c r="E677" s="896"/>
      <c r="F677" s="897"/>
      <c r="G677" s="895"/>
      <c r="H677" s="896"/>
      <c r="I677" s="897"/>
      <c r="J677" s="832">
        <v>4</v>
      </c>
      <c r="K677" s="837">
        <v>1.8</v>
      </c>
      <c r="L677" s="898">
        <v>0.3</v>
      </c>
      <c r="M677" s="839">
        <f>7-M659</f>
        <v>0.84999999999999964</v>
      </c>
      <c r="N677" s="840">
        <f t="shared" si="69"/>
        <v>2.16</v>
      </c>
      <c r="O677" s="899">
        <f t="shared" si="70"/>
        <v>1.8359999999999994</v>
      </c>
      <c r="P677" s="833"/>
      <c r="Q677" s="861"/>
      <c r="R677" s="900">
        <f t="shared" si="71"/>
        <v>1.8359999999999994</v>
      </c>
      <c r="S677" s="792" t="s">
        <v>853</v>
      </c>
      <c r="T677" s="835" t="s">
        <v>307</v>
      </c>
      <c r="U677" s="843" t="s">
        <v>1778</v>
      </c>
      <c r="V677" s="1418">
        <f t="shared" si="64"/>
        <v>19.370000000000005</v>
      </c>
      <c r="W677" s="357"/>
      <c r="X677" s="357"/>
      <c r="Y677" s="357"/>
      <c r="Z677" s="358"/>
      <c r="AA677" s="359"/>
      <c r="AB677" s="360"/>
    </row>
    <row r="678" spans="1:28" s="361" customFormat="1" ht="15" customHeight="1">
      <c r="A678" s="354"/>
      <c r="B678" s="831"/>
      <c r="C678" s="836" t="s">
        <v>874</v>
      </c>
      <c r="D678" s="895"/>
      <c r="E678" s="896"/>
      <c r="F678" s="897"/>
      <c r="G678" s="895"/>
      <c r="H678" s="896"/>
      <c r="I678" s="897"/>
      <c r="J678" s="832">
        <v>2</v>
      </c>
      <c r="K678" s="837">
        <v>1.65</v>
      </c>
      <c r="L678" s="898">
        <v>0.5</v>
      </c>
      <c r="M678" s="839">
        <v>0.69</v>
      </c>
      <c r="N678" s="840">
        <f t="shared" si="69"/>
        <v>1.65</v>
      </c>
      <c r="O678" s="899">
        <f t="shared" si="70"/>
        <v>1.1384999999999998</v>
      </c>
      <c r="P678" s="833"/>
      <c r="Q678" s="861"/>
      <c r="R678" s="900">
        <f t="shared" si="71"/>
        <v>1.1384999999999998</v>
      </c>
      <c r="S678" s="792" t="s">
        <v>853</v>
      </c>
      <c r="T678" s="835" t="s">
        <v>307</v>
      </c>
      <c r="U678" s="843" t="s">
        <v>1779</v>
      </c>
      <c r="V678" s="1418">
        <f t="shared" si="64"/>
        <v>19.370000000000005</v>
      </c>
      <c r="W678" s="357"/>
      <c r="X678" s="357"/>
      <c r="Y678" s="357"/>
      <c r="Z678" s="358"/>
      <c r="AA678" s="359"/>
      <c r="AB678" s="360"/>
    </row>
    <row r="679" spans="1:28" s="361" customFormat="1" ht="15" customHeight="1">
      <c r="A679" s="354"/>
      <c r="B679" s="831"/>
      <c r="C679" s="836" t="s">
        <v>874</v>
      </c>
      <c r="D679" s="895"/>
      <c r="E679" s="896"/>
      <c r="F679" s="897"/>
      <c r="G679" s="895"/>
      <c r="H679" s="896"/>
      <c r="I679" s="897"/>
      <c r="J679" s="832">
        <v>1</v>
      </c>
      <c r="K679" s="837">
        <v>29.8</v>
      </c>
      <c r="L679" s="898">
        <v>0.3</v>
      </c>
      <c r="M679" s="839">
        <f>2.94-M668</f>
        <v>2.0499999999999998</v>
      </c>
      <c r="N679" s="840">
        <f t="shared" si="69"/>
        <v>8.94</v>
      </c>
      <c r="O679" s="899">
        <f t="shared" si="70"/>
        <v>18.326999999999998</v>
      </c>
      <c r="P679" s="833"/>
      <c r="Q679" s="861"/>
      <c r="R679" s="900">
        <f t="shared" si="71"/>
        <v>18.326999999999998</v>
      </c>
      <c r="S679" s="792" t="s">
        <v>853</v>
      </c>
      <c r="T679" s="835" t="s">
        <v>307</v>
      </c>
      <c r="U679" s="843" t="s">
        <v>1780</v>
      </c>
      <c r="V679" s="1418">
        <f t="shared" si="64"/>
        <v>19.370000000000005</v>
      </c>
      <c r="W679" s="357"/>
      <c r="X679" s="357"/>
      <c r="Y679" s="357"/>
      <c r="Z679" s="358"/>
      <c r="AA679" s="359"/>
      <c r="AB679" s="360"/>
    </row>
    <row r="680" spans="1:28" s="361" customFormat="1" ht="15" customHeight="1">
      <c r="A680" s="354"/>
      <c r="B680" s="831"/>
      <c r="C680" s="836" t="s">
        <v>874</v>
      </c>
      <c r="D680" s="895"/>
      <c r="E680" s="896"/>
      <c r="F680" s="897"/>
      <c r="G680" s="895"/>
      <c r="H680" s="896"/>
      <c r="I680" s="897"/>
      <c r="J680" s="832">
        <v>1</v>
      </c>
      <c r="K680" s="837">
        <v>0.2</v>
      </c>
      <c r="L680" s="898">
        <v>0.2</v>
      </c>
      <c r="M680" s="839">
        <v>4.54</v>
      </c>
      <c r="N680" s="840">
        <f t="shared" si="69"/>
        <v>4.0000000000000008E-2</v>
      </c>
      <c r="O680" s="899">
        <f t="shared" si="70"/>
        <v>0.18160000000000004</v>
      </c>
      <c r="P680" s="833"/>
      <c r="Q680" s="861"/>
      <c r="R680" s="900">
        <f t="shared" si="71"/>
        <v>0.18160000000000004</v>
      </c>
      <c r="S680" s="792" t="s">
        <v>853</v>
      </c>
      <c r="T680" s="835" t="s">
        <v>307</v>
      </c>
      <c r="U680" s="843" t="s">
        <v>1781</v>
      </c>
      <c r="V680" s="1418">
        <f t="shared" si="64"/>
        <v>19.370000000000005</v>
      </c>
      <c r="W680" s="357"/>
      <c r="X680" s="357"/>
      <c r="Y680" s="357"/>
      <c r="Z680" s="358"/>
      <c r="AA680" s="359"/>
      <c r="AB680" s="360"/>
    </row>
    <row r="681" spans="1:28" s="361" customFormat="1" ht="15" customHeight="1">
      <c r="A681" s="354"/>
      <c r="B681" s="831"/>
      <c r="C681" s="836" t="s">
        <v>874</v>
      </c>
      <c r="D681" s="895"/>
      <c r="E681" s="896"/>
      <c r="F681" s="897"/>
      <c r="G681" s="895"/>
      <c r="H681" s="896"/>
      <c r="I681" s="897"/>
      <c r="J681" s="832">
        <v>9</v>
      </c>
      <c r="K681" s="837">
        <v>0.55000000000000004</v>
      </c>
      <c r="L681" s="898">
        <v>0.2</v>
      </c>
      <c r="M681" s="839">
        <v>4.54</v>
      </c>
      <c r="N681" s="840">
        <f t="shared" si="69"/>
        <v>0.9900000000000001</v>
      </c>
      <c r="O681" s="899">
        <f t="shared" si="70"/>
        <v>4.4946000000000002</v>
      </c>
      <c r="P681" s="833"/>
      <c r="Q681" s="861"/>
      <c r="R681" s="900">
        <f t="shared" si="71"/>
        <v>4.4946000000000002</v>
      </c>
      <c r="S681" s="792" t="s">
        <v>853</v>
      </c>
      <c r="T681" s="835" t="s">
        <v>307</v>
      </c>
      <c r="U681" s="843" t="s">
        <v>1782</v>
      </c>
      <c r="V681" s="1418">
        <f t="shared" si="64"/>
        <v>19.370000000000005</v>
      </c>
      <c r="W681" s="357"/>
      <c r="X681" s="357"/>
      <c r="Y681" s="357"/>
      <c r="Z681" s="358"/>
      <c r="AA681" s="359"/>
      <c r="AB681" s="360"/>
    </row>
    <row r="682" spans="1:28" s="361" customFormat="1" ht="15" customHeight="1">
      <c r="A682" s="354"/>
      <c r="B682" s="831"/>
      <c r="C682" s="836" t="s">
        <v>874</v>
      </c>
      <c r="D682" s="895"/>
      <c r="E682" s="896"/>
      <c r="F682" s="897"/>
      <c r="G682" s="895"/>
      <c r="H682" s="896"/>
      <c r="I682" s="897"/>
      <c r="J682" s="832">
        <v>1</v>
      </c>
      <c r="K682" s="837">
        <v>0.15</v>
      </c>
      <c r="L682" s="898">
        <v>0.2</v>
      </c>
      <c r="M682" s="839">
        <v>4.54</v>
      </c>
      <c r="N682" s="840">
        <f t="shared" si="69"/>
        <v>0.03</v>
      </c>
      <c r="O682" s="899">
        <f t="shared" si="70"/>
        <v>0.13619999999999999</v>
      </c>
      <c r="P682" s="833"/>
      <c r="Q682" s="861"/>
      <c r="R682" s="900">
        <f t="shared" si="71"/>
        <v>0.13619999999999999</v>
      </c>
      <c r="S682" s="792" t="s">
        <v>853</v>
      </c>
      <c r="T682" s="835" t="s">
        <v>307</v>
      </c>
      <c r="U682" s="843" t="s">
        <v>1783</v>
      </c>
      <c r="V682" s="1418">
        <f t="shared" si="64"/>
        <v>19.370000000000005</v>
      </c>
      <c r="W682" s="357"/>
      <c r="X682" s="357"/>
      <c r="Y682" s="357"/>
      <c r="Z682" s="358"/>
      <c r="AA682" s="359"/>
      <c r="AB682" s="360"/>
    </row>
    <row r="683" spans="1:28" s="361" customFormat="1" ht="15" customHeight="1">
      <c r="A683" s="354"/>
      <c r="B683" s="831"/>
      <c r="C683" s="836" t="s">
        <v>874</v>
      </c>
      <c r="D683" s="895"/>
      <c r="E683" s="896"/>
      <c r="F683" s="897"/>
      <c r="G683" s="895"/>
      <c r="H683" s="896"/>
      <c r="I683" s="897"/>
      <c r="J683" s="832">
        <v>1</v>
      </c>
      <c r="K683" s="837">
        <v>30.8</v>
      </c>
      <c r="L683" s="898">
        <v>2.8</v>
      </c>
      <c r="M683" s="839">
        <v>0.15</v>
      </c>
      <c r="N683" s="840">
        <f t="shared" si="69"/>
        <v>86.24</v>
      </c>
      <c r="O683" s="899">
        <f t="shared" si="70"/>
        <v>12.935999999999998</v>
      </c>
      <c r="P683" s="833"/>
      <c r="Q683" s="861"/>
      <c r="R683" s="900">
        <f t="shared" si="71"/>
        <v>12.935999999999998</v>
      </c>
      <c r="S683" s="792" t="s">
        <v>853</v>
      </c>
      <c r="T683" s="835" t="s">
        <v>314</v>
      </c>
      <c r="U683" s="843" t="s">
        <v>1784</v>
      </c>
      <c r="V683" s="1418">
        <f t="shared" si="64"/>
        <v>19.370000000000005</v>
      </c>
      <c r="W683" s="357"/>
      <c r="X683" s="357"/>
      <c r="Y683" s="357"/>
      <c r="Z683" s="358"/>
      <c r="AA683" s="359"/>
      <c r="AB683" s="360"/>
    </row>
    <row r="684" spans="1:28" s="361" customFormat="1" ht="45.6" customHeight="1">
      <c r="A684" s="354"/>
      <c r="B684" s="831"/>
      <c r="C684" s="836" t="s">
        <v>874</v>
      </c>
      <c r="D684" s="895"/>
      <c r="E684" s="896"/>
      <c r="F684" s="897"/>
      <c r="G684" s="895"/>
      <c r="H684" s="896"/>
      <c r="I684" s="897"/>
      <c r="J684" s="832">
        <v>10</v>
      </c>
      <c r="K684" s="837">
        <v>1.5</v>
      </c>
      <c r="L684" s="898">
        <v>0.5</v>
      </c>
      <c r="M684" s="839">
        <v>0.19</v>
      </c>
      <c r="N684" s="840">
        <f t="shared" si="69"/>
        <v>7.5</v>
      </c>
      <c r="O684" s="899">
        <f t="shared" si="70"/>
        <v>1.425</v>
      </c>
      <c r="P684" s="833"/>
      <c r="Q684" s="861"/>
      <c r="R684" s="900">
        <f t="shared" si="71"/>
        <v>1.425</v>
      </c>
      <c r="S684" s="792" t="s">
        <v>853</v>
      </c>
      <c r="T684" s="835" t="s">
        <v>316</v>
      </c>
      <c r="U684" s="843" t="s">
        <v>1785</v>
      </c>
      <c r="V684" s="1418">
        <f t="shared" si="64"/>
        <v>19.370000000000005</v>
      </c>
      <c r="W684" s="357"/>
      <c r="X684" s="357"/>
      <c r="Y684" s="357"/>
      <c r="Z684" s="358"/>
      <c r="AA684" s="359"/>
      <c r="AB684" s="360"/>
    </row>
    <row r="685" spans="1:28" s="361" customFormat="1" ht="43.95" customHeight="1">
      <c r="A685" s="354"/>
      <c r="B685" s="831"/>
      <c r="C685" s="836" t="s">
        <v>874</v>
      </c>
      <c r="D685" s="895"/>
      <c r="E685" s="896"/>
      <c r="F685" s="897"/>
      <c r="G685" s="895"/>
      <c r="H685" s="896"/>
      <c r="I685" s="897"/>
      <c r="J685" s="832">
        <v>2</v>
      </c>
      <c r="K685" s="837">
        <v>2.8</v>
      </c>
      <c r="L685" s="898">
        <v>0.2</v>
      </c>
      <c r="M685" s="839">
        <v>2.2000000000000002</v>
      </c>
      <c r="N685" s="840">
        <f t="shared" si="69"/>
        <v>1.1199999999999999</v>
      </c>
      <c r="O685" s="899">
        <f t="shared" si="70"/>
        <v>2.464</v>
      </c>
      <c r="P685" s="833"/>
      <c r="Q685" s="861"/>
      <c r="R685" s="900">
        <f t="shared" si="71"/>
        <v>2.464</v>
      </c>
      <c r="S685" s="792" t="s">
        <v>853</v>
      </c>
      <c r="T685" s="835" t="s">
        <v>316</v>
      </c>
      <c r="U685" s="843" t="s">
        <v>1791</v>
      </c>
      <c r="V685" s="1418">
        <f t="shared" si="64"/>
        <v>19.370000000000005</v>
      </c>
      <c r="W685" s="357"/>
      <c r="X685" s="357"/>
      <c r="Y685" s="357"/>
      <c r="Z685" s="358"/>
      <c r="AA685" s="359"/>
      <c r="AB685" s="360"/>
    </row>
    <row r="686" spans="1:28" s="361" customFormat="1" ht="43.95" customHeight="1">
      <c r="A686" s="354"/>
      <c r="B686" s="831"/>
      <c r="C686" s="836" t="s">
        <v>874</v>
      </c>
      <c r="D686" s="895"/>
      <c r="E686" s="896"/>
      <c r="F686" s="897"/>
      <c r="G686" s="895"/>
      <c r="H686" s="896"/>
      <c r="I686" s="897"/>
      <c r="J686" s="832">
        <v>1</v>
      </c>
      <c r="K686" s="837">
        <v>30.4</v>
      </c>
      <c r="L686" s="898">
        <v>0.2</v>
      </c>
      <c r="M686" s="839">
        <v>2.2000000000000002</v>
      </c>
      <c r="N686" s="840">
        <f t="shared" ref="N686:N690" si="72">K686*L686*J686</f>
        <v>6.08</v>
      </c>
      <c r="O686" s="899">
        <f t="shared" ref="O686:O690" si="73">N686*M686</f>
        <v>13.376000000000001</v>
      </c>
      <c r="P686" s="833">
        <f>-(0.2*1.25*1.5)*10</f>
        <v>-3.75</v>
      </c>
      <c r="Q686" s="861"/>
      <c r="R686" s="900">
        <f>O686+P686</f>
        <v>9.6260000000000012</v>
      </c>
      <c r="S686" s="792" t="s">
        <v>853</v>
      </c>
      <c r="T686" s="835" t="s">
        <v>316</v>
      </c>
      <c r="U686" s="843" t="s">
        <v>1787</v>
      </c>
      <c r="V686" s="1418">
        <f t="shared" si="64"/>
        <v>19.370000000000005</v>
      </c>
      <c r="W686" s="357"/>
      <c r="X686" s="357"/>
      <c r="Y686" s="357"/>
      <c r="Z686" s="358"/>
      <c r="AA686" s="359"/>
      <c r="AB686" s="360"/>
    </row>
    <row r="687" spans="1:28" s="361" customFormat="1" ht="30">
      <c r="A687" s="354"/>
      <c r="B687" s="831"/>
      <c r="C687" s="836" t="s">
        <v>874</v>
      </c>
      <c r="D687" s="895"/>
      <c r="E687" s="896"/>
      <c r="F687" s="897"/>
      <c r="G687" s="895"/>
      <c r="H687" s="896"/>
      <c r="I687" s="897"/>
      <c r="J687" s="832">
        <v>1</v>
      </c>
      <c r="K687" s="837">
        <v>30.8</v>
      </c>
      <c r="L687" s="898">
        <v>0.5</v>
      </c>
      <c r="M687" s="839">
        <v>0.71</v>
      </c>
      <c r="N687" s="840">
        <f t="shared" si="72"/>
        <v>15.4</v>
      </c>
      <c r="O687" s="899">
        <f t="shared" si="73"/>
        <v>10.933999999999999</v>
      </c>
      <c r="P687" s="833"/>
      <c r="Q687" s="861"/>
      <c r="R687" s="900">
        <f>O687+P687</f>
        <v>10.933999999999999</v>
      </c>
      <c r="S687" s="792" t="s">
        <v>853</v>
      </c>
      <c r="T687" s="835" t="s">
        <v>317</v>
      </c>
      <c r="U687" s="843" t="s">
        <v>1788</v>
      </c>
      <c r="V687" s="1418">
        <f t="shared" si="64"/>
        <v>19.370000000000005</v>
      </c>
      <c r="W687" s="357"/>
      <c r="X687" s="357"/>
      <c r="Y687" s="357"/>
      <c r="Z687" s="358"/>
      <c r="AA687" s="359"/>
      <c r="AB687" s="360"/>
    </row>
    <row r="688" spans="1:28" s="361" customFormat="1" ht="30">
      <c r="A688" s="354"/>
      <c r="B688" s="1002"/>
      <c r="C688" s="836" t="s">
        <v>874</v>
      </c>
      <c r="D688" s="895"/>
      <c r="E688" s="896"/>
      <c r="F688" s="897"/>
      <c r="G688" s="895"/>
      <c r="H688" s="896"/>
      <c r="I688" s="897"/>
      <c r="J688" s="832">
        <v>20</v>
      </c>
      <c r="K688" s="837">
        <v>2.6</v>
      </c>
      <c r="L688" s="898">
        <v>0.25</v>
      </c>
      <c r="M688" s="839">
        <v>0.14000000000000001</v>
      </c>
      <c r="N688" s="840">
        <f t="shared" si="72"/>
        <v>13</v>
      </c>
      <c r="O688" s="899">
        <f t="shared" si="73"/>
        <v>1.8200000000000003</v>
      </c>
      <c r="P688" s="833"/>
      <c r="Q688" s="861"/>
      <c r="R688" s="900">
        <f>O688+P688</f>
        <v>1.8200000000000003</v>
      </c>
      <c r="S688" s="792" t="s">
        <v>853</v>
      </c>
      <c r="T688" s="835" t="s">
        <v>317</v>
      </c>
      <c r="U688" s="843" t="s">
        <v>1789</v>
      </c>
      <c r="V688" s="1418">
        <f t="shared" si="64"/>
        <v>19.370000000000005</v>
      </c>
      <c r="W688" s="357"/>
      <c r="X688" s="357"/>
      <c r="Y688" s="357"/>
      <c r="Z688" s="358"/>
      <c r="AA688" s="359"/>
      <c r="AB688" s="360"/>
    </row>
    <row r="689" spans="1:36" s="361" customFormat="1" ht="30">
      <c r="A689" s="354"/>
      <c r="B689" s="1002"/>
      <c r="C689" s="836" t="s">
        <v>874</v>
      </c>
      <c r="D689" s="895"/>
      <c r="E689" s="896"/>
      <c r="F689" s="897"/>
      <c r="G689" s="895"/>
      <c r="H689" s="896"/>
      <c r="I689" s="897"/>
      <c r="J689" s="832">
        <v>1</v>
      </c>
      <c r="K689" s="837">
        <v>30.4</v>
      </c>
      <c r="L689" s="898">
        <v>0.15</v>
      </c>
      <c r="M689" s="839">
        <v>2.6</v>
      </c>
      <c r="N689" s="840">
        <f t="shared" si="72"/>
        <v>4.5599999999999996</v>
      </c>
      <c r="O689" s="899">
        <f t="shared" si="73"/>
        <v>11.856</v>
      </c>
      <c r="P689" s="833">
        <f>-(10*(1.5*1.5*0.15)+5*(0.62*0.62*0.15))</f>
        <v>-3.6632999999999996</v>
      </c>
      <c r="Q689" s="861"/>
      <c r="R689" s="900">
        <f>TRUNC(O689+P689,3)</f>
        <v>8.1920000000000002</v>
      </c>
      <c r="S689" s="792" t="s">
        <v>853</v>
      </c>
      <c r="T689" s="835" t="s">
        <v>317</v>
      </c>
      <c r="U689" s="1093" t="s">
        <v>1790</v>
      </c>
      <c r="V689" s="1418">
        <f t="shared" si="64"/>
        <v>19.370000000000005</v>
      </c>
      <c r="W689" s="357"/>
      <c r="X689" s="357"/>
      <c r="Y689" s="357"/>
      <c r="Z689" s="358"/>
      <c r="AA689" s="359"/>
      <c r="AB689" s="360"/>
    </row>
    <row r="690" spans="1:36" s="361" customFormat="1" ht="43.95" customHeight="1">
      <c r="A690" s="354"/>
      <c r="B690" s="1002"/>
      <c r="C690" s="836" t="s">
        <v>874</v>
      </c>
      <c r="D690" s="895"/>
      <c r="E690" s="896"/>
      <c r="F690" s="897"/>
      <c r="G690" s="895"/>
      <c r="H690" s="896"/>
      <c r="I690" s="897"/>
      <c r="J690" s="832">
        <v>2</v>
      </c>
      <c r="K690" s="837">
        <v>2.8</v>
      </c>
      <c r="L690" s="898">
        <v>0.2</v>
      </c>
      <c r="M690" s="839">
        <v>0.3</v>
      </c>
      <c r="N690" s="840">
        <f t="shared" si="72"/>
        <v>1.1199999999999999</v>
      </c>
      <c r="O690" s="899">
        <f t="shared" si="73"/>
        <v>0.33599999999999997</v>
      </c>
      <c r="P690" s="833"/>
      <c r="Q690" s="861"/>
      <c r="R690" s="900">
        <f>O690+P690</f>
        <v>0.33599999999999997</v>
      </c>
      <c r="S690" s="792" t="s">
        <v>853</v>
      </c>
      <c r="T690" s="835" t="s">
        <v>317</v>
      </c>
      <c r="U690" s="843" t="s">
        <v>1791</v>
      </c>
      <c r="V690" s="1418">
        <f t="shared" si="64"/>
        <v>19.370000000000005</v>
      </c>
      <c r="W690" s="357"/>
      <c r="X690" s="357"/>
      <c r="Y690" s="357"/>
      <c r="Z690" s="358"/>
      <c r="AA690" s="359"/>
      <c r="AB690" s="360"/>
    </row>
    <row r="691" spans="1:36" s="361" customFormat="1" ht="43.95" customHeight="1">
      <c r="A691" s="354"/>
      <c r="B691" s="1002"/>
      <c r="C691" s="836" t="s">
        <v>874</v>
      </c>
      <c r="D691" s="895"/>
      <c r="E691" s="896"/>
      <c r="F691" s="897"/>
      <c r="G691" s="895"/>
      <c r="H691" s="896"/>
      <c r="I691" s="897"/>
      <c r="J691" s="832">
        <v>1</v>
      </c>
      <c r="K691" s="837">
        <v>30.4</v>
      </c>
      <c r="L691" s="898">
        <v>0.2</v>
      </c>
      <c r="M691" s="839">
        <v>0.3</v>
      </c>
      <c r="N691" s="840">
        <v>6.08</v>
      </c>
      <c r="O691" s="899">
        <v>1.8239999999999998</v>
      </c>
      <c r="P691" s="833"/>
      <c r="Q691" s="861"/>
      <c r="R691" s="900">
        <v>1.8239999999999998</v>
      </c>
      <c r="S691" s="792" t="s">
        <v>853</v>
      </c>
      <c r="T691" s="835" t="s">
        <v>317</v>
      </c>
      <c r="U691" s="843" t="s">
        <v>1787</v>
      </c>
      <c r="V691" s="1418">
        <f t="shared" si="64"/>
        <v>19.370000000000005</v>
      </c>
      <c r="W691" s="357"/>
      <c r="X691" s="357"/>
      <c r="Y691" s="357"/>
      <c r="Z691" s="358"/>
      <c r="AA691" s="359"/>
      <c r="AB691" s="360"/>
    </row>
    <row r="692" spans="1:36" s="361" customFormat="1" ht="43.95" customHeight="1">
      <c r="A692" s="354"/>
      <c r="B692" s="1002"/>
      <c r="C692" s="836" t="s">
        <v>874</v>
      </c>
      <c r="D692" s="895"/>
      <c r="E692" s="896"/>
      <c r="F692" s="897"/>
      <c r="G692" s="895"/>
      <c r="H692" s="896"/>
      <c r="I692" s="897"/>
      <c r="J692" s="832"/>
      <c r="K692" s="837"/>
      <c r="L692" s="898"/>
      <c r="M692" s="839">
        <v>0.5</v>
      </c>
      <c r="N692" s="840">
        <v>624.37</v>
      </c>
      <c r="O692" s="899">
        <v>312.185</v>
      </c>
      <c r="P692" s="833"/>
      <c r="Q692" s="861"/>
      <c r="R692" s="900">
        <v>312.185</v>
      </c>
      <c r="S692" s="792" t="s">
        <v>853</v>
      </c>
      <c r="T692" s="835" t="s">
        <v>321</v>
      </c>
      <c r="U692" s="843" t="s">
        <v>1807</v>
      </c>
      <c r="V692" s="1418">
        <f t="shared" si="64"/>
        <v>19.370000000000005</v>
      </c>
      <c r="W692" s="357"/>
      <c r="X692" s="357"/>
      <c r="Y692" s="357"/>
      <c r="Z692" s="358"/>
      <c r="AA692" s="359"/>
      <c r="AB692" s="360"/>
    </row>
    <row r="693" spans="1:36" s="361" customFormat="1" ht="43.95" customHeight="1">
      <c r="A693" s="354"/>
      <c r="B693" s="1002"/>
      <c r="C693" s="836" t="s">
        <v>874</v>
      </c>
      <c r="D693" s="895"/>
      <c r="E693" s="896"/>
      <c r="F693" s="897"/>
      <c r="G693" s="895"/>
      <c r="H693" s="896"/>
      <c r="I693" s="897"/>
      <c r="J693" s="832">
        <v>1</v>
      </c>
      <c r="K693" s="837">
        <v>34.700000000000003</v>
      </c>
      <c r="L693" s="898">
        <v>0.25</v>
      </c>
      <c r="M693" s="839">
        <v>4.2</v>
      </c>
      <c r="N693" s="840">
        <v>6.08</v>
      </c>
      <c r="O693" s="899">
        <v>25.536000000000001</v>
      </c>
      <c r="P693" s="833"/>
      <c r="Q693" s="861"/>
      <c r="R693" s="900">
        <v>25.536000000000001</v>
      </c>
      <c r="S693" s="792" t="s">
        <v>853</v>
      </c>
      <c r="T693" s="835" t="s">
        <v>322</v>
      </c>
      <c r="U693" s="843" t="s">
        <v>1804</v>
      </c>
      <c r="V693" s="1418">
        <f>V695</f>
        <v>19.370000000000005</v>
      </c>
      <c r="W693" s="357"/>
      <c r="X693" s="357"/>
      <c r="Y693" s="357"/>
      <c r="Z693" s="358"/>
      <c r="AA693" s="359"/>
      <c r="AB693" s="360"/>
    </row>
    <row r="694" spans="1:36" s="361" customFormat="1" ht="43.95" customHeight="1">
      <c r="A694" s="354"/>
      <c r="B694" s="1002"/>
      <c r="C694" s="836" t="s">
        <v>874</v>
      </c>
      <c r="D694" s="895"/>
      <c r="E694" s="896"/>
      <c r="F694" s="897"/>
      <c r="G694" s="895"/>
      <c r="H694" s="896"/>
      <c r="I694" s="897"/>
      <c r="J694" s="832">
        <v>1</v>
      </c>
      <c r="K694" s="837"/>
      <c r="L694" s="898"/>
      <c r="M694" s="839">
        <v>0.28000000000000003</v>
      </c>
      <c r="N694" s="840">
        <v>371.47</v>
      </c>
      <c r="O694" s="899">
        <f>M694*N694</f>
        <v>104.01160000000002</v>
      </c>
      <c r="P694" s="833"/>
      <c r="Q694" s="861"/>
      <c r="R694" s="900">
        <f>O694+P694</f>
        <v>104.01160000000002</v>
      </c>
      <c r="S694" s="792" t="s">
        <v>853</v>
      </c>
      <c r="T694" s="835" t="s">
        <v>324</v>
      </c>
      <c r="U694" s="843" t="s">
        <v>1795</v>
      </c>
      <c r="V694" s="1418"/>
      <c r="W694" s="357"/>
      <c r="X694" s="357"/>
      <c r="Y694" s="357"/>
      <c r="Z694" s="358"/>
      <c r="AA694" s="359"/>
      <c r="AB694" s="360"/>
    </row>
    <row r="695" spans="1:36" s="361" customFormat="1" ht="45" customHeight="1">
      <c r="A695" s="354"/>
      <c r="B695" s="1084"/>
      <c r="C695" s="962" t="s">
        <v>874</v>
      </c>
      <c r="D695" s="1142"/>
      <c r="E695" s="1143"/>
      <c r="F695" s="1144"/>
      <c r="G695" s="1142"/>
      <c r="H695" s="1143"/>
      <c r="I695" s="1144"/>
      <c r="J695" s="1430">
        <v>1</v>
      </c>
      <c r="K695" s="1145">
        <v>29.8</v>
      </c>
      <c r="L695" s="1431">
        <v>1</v>
      </c>
      <c r="M695" s="1146">
        <v>0.65</v>
      </c>
      <c r="N695" s="798">
        <f>K695*L695</f>
        <v>29.8</v>
      </c>
      <c r="O695" s="1432">
        <f>K695*L695*M695</f>
        <v>19.37</v>
      </c>
      <c r="P695" s="1431"/>
      <c r="Q695" s="1433"/>
      <c r="R695" s="1434">
        <f>O695+P695</f>
        <v>19.37</v>
      </c>
      <c r="S695" s="1435" t="s">
        <v>853</v>
      </c>
      <c r="T695" s="1147" t="s">
        <v>332</v>
      </c>
      <c r="U695" s="1436" t="s">
        <v>2557</v>
      </c>
      <c r="V695" s="1418">
        <f t="shared" si="64"/>
        <v>19.370000000000005</v>
      </c>
      <c r="W695" s="357"/>
      <c r="X695" s="357"/>
      <c r="Y695" s="357"/>
      <c r="Z695" s="358"/>
      <c r="AA695" s="359"/>
      <c r="AB695" s="360"/>
    </row>
    <row r="696" spans="1:36" s="77" customFormat="1" ht="15.6">
      <c r="A696" s="370"/>
      <c r="B696" s="499"/>
      <c r="C696" s="37"/>
      <c r="D696" s="1940" t="s">
        <v>1520</v>
      </c>
      <c r="E696" s="1941"/>
      <c r="F696" s="1941"/>
      <c r="G696" s="1941"/>
      <c r="H696" s="1941"/>
      <c r="I696" s="1942"/>
      <c r="J696" s="1955">
        <f>VLOOKUP(A698,'11 - FINANCEIRA'!_xlnm.Print_Area,6,FALSE)</f>
        <v>999.22</v>
      </c>
      <c r="K696" s="1956"/>
      <c r="L696" s="483" t="str">
        <f>VLOOKUP(A698,'11 - FINANCEIRA'!_xlnm.Print_Area,4,FALSE)</f>
        <v>m³</v>
      </c>
      <c r="M696" s="1957" t="s">
        <v>1521</v>
      </c>
      <c r="N696" s="1958"/>
      <c r="O696" s="1958"/>
      <c r="P696" s="1958"/>
      <c r="Q696" s="1959"/>
      <c r="R696" s="484">
        <f>SUM(R651:R695)</f>
        <v>996.37035000000003</v>
      </c>
      <c r="S696" s="485" t="str">
        <f>L696</f>
        <v>m³</v>
      </c>
      <c r="T696" s="373"/>
      <c r="U696" s="486"/>
      <c r="V696" s="1418">
        <f t="shared" si="64"/>
        <v>19.370000000000005</v>
      </c>
      <c r="AB696" s="15"/>
    </row>
    <row r="697" spans="1:36" s="77" customFormat="1" ht="15.6">
      <c r="A697" s="370"/>
      <c r="B697" s="499"/>
      <c r="C697" s="725"/>
      <c r="D697" s="1937" t="s">
        <v>1522</v>
      </c>
      <c r="E697" s="1938"/>
      <c r="F697" s="1938"/>
      <c r="G697" s="1938"/>
      <c r="H697" s="1938"/>
      <c r="I697" s="1939"/>
      <c r="J697" s="1943">
        <f>R696/J696</f>
        <v>0.99714812553791954</v>
      </c>
      <c r="K697" s="1944"/>
      <c r="L697" s="1947"/>
      <c r="M697" s="1934" t="s">
        <v>1523</v>
      </c>
      <c r="N697" s="1935"/>
      <c r="O697" s="1935"/>
      <c r="P697" s="1935"/>
      <c r="Q697" s="1936"/>
      <c r="R697" s="726">
        <f>VLOOKUP(A698,'11 - FINANCEIRA'!_xlnm.Print_Area,8,FALSE)</f>
        <v>977.00035000000003</v>
      </c>
      <c r="S697" s="727" t="str">
        <f>L696</f>
        <v>m³</v>
      </c>
      <c r="T697" s="373"/>
      <c r="U697" s="486"/>
      <c r="V697" s="1418">
        <f t="shared" si="64"/>
        <v>19.370000000000005</v>
      </c>
      <c r="AB697" s="15"/>
    </row>
    <row r="698" spans="1:36" s="77" customFormat="1" ht="15.6">
      <c r="A698" s="364" t="s">
        <v>374</v>
      </c>
      <c r="B698" s="499"/>
      <c r="C698" s="37"/>
      <c r="D698" s="2013"/>
      <c r="E698" s="2014"/>
      <c r="F698" s="2014"/>
      <c r="G698" s="2014"/>
      <c r="H698" s="2014"/>
      <c r="I698" s="2015"/>
      <c r="J698" s="2016"/>
      <c r="K698" s="2017"/>
      <c r="L698" s="1962"/>
      <c r="M698" s="2007" t="s">
        <v>1524</v>
      </c>
      <c r="N698" s="2008"/>
      <c r="O698" s="2008"/>
      <c r="P698" s="2008"/>
      <c r="Q698" s="2009"/>
      <c r="R698" s="1345">
        <f>R696-R697</f>
        <v>19.370000000000005</v>
      </c>
      <c r="S698" s="1346" t="str">
        <f>L696</f>
        <v>m³</v>
      </c>
      <c r="T698" s="373"/>
      <c r="U698" s="486"/>
      <c r="V698" s="1418">
        <f>R698</f>
        <v>19.370000000000005</v>
      </c>
      <c r="AB698" s="15"/>
    </row>
    <row r="699" spans="1:36" s="77" customFormat="1" ht="15.6">
      <c r="A699" s="370"/>
      <c r="B699" s="1347"/>
      <c r="C699" s="1348"/>
      <c r="D699" s="1349"/>
      <c r="E699" s="1350"/>
      <c r="F699" s="1349"/>
      <c r="G699" s="1349"/>
      <c r="H699" s="1349"/>
      <c r="I699" s="1349"/>
      <c r="J699" s="1351"/>
      <c r="K699" s="1352"/>
      <c r="L699" s="1353"/>
      <c r="M699" s="1354"/>
      <c r="N699" s="1354"/>
      <c r="O699" s="1354"/>
      <c r="P699" s="1354"/>
      <c r="Q699" s="1354"/>
      <c r="R699" s="1355"/>
      <c r="S699" s="1356"/>
      <c r="T699" s="1357"/>
      <c r="U699" s="1358"/>
      <c r="V699" s="1420">
        <f>SUM(V649:V698)</f>
        <v>949.13000000000022</v>
      </c>
      <c r="AB699" s="15"/>
    </row>
    <row r="700" spans="1:36" s="352" customFormat="1" ht="15.75" hidden="1" customHeight="1">
      <c r="A700" s="351"/>
      <c r="B700" s="1963" t="str">
        <f>VLOOKUP(A716,'11 - FINANCEIRA'!_xlnm.Print_Area,1,FALSE)</f>
        <v>2.2.11</v>
      </c>
      <c r="C700" s="1965" t="str">
        <f>VLOOKUP(A716,'11 - FINANCEIRA'!_xlnm.Print_Area,3,FALSE)</f>
        <v>Armação em aço ca-60 - fornecimento, preparo e colocação</v>
      </c>
      <c r="D700" s="1967" t="s">
        <v>1503</v>
      </c>
      <c r="E700" s="1968"/>
      <c r="F700" s="1968"/>
      <c r="G700" s="1968"/>
      <c r="H700" s="1968"/>
      <c r="I700" s="1969"/>
      <c r="J700" s="1914" t="s">
        <v>1808</v>
      </c>
      <c r="K700" s="1914" t="s">
        <v>1809</v>
      </c>
      <c r="L700" s="1914" t="s">
        <v>1810</v>
      </c>
      <c r="M700" s="1914" t="s">
        <v>1811</v>
      </c>
      <c r="N700" s="1914" t="s">
        <v>1508</v>
      </c>
      <c r="O700" s="1914" t="s">
        <v>1812</v>
      </c>
      <c r="P700" s="1341" t="s">
        <v>1510</v>
      </c>
      <c r="Q700" s="1914" t="s">
        <v>1813</v>
      </c>
      <c r="R700" s="1916" t="s">
        <v>804</v>
      </c>
      <c r="S700" s="1914" t="s">
        <v>1511</v>
      </c>
      <c r="T700" s="1914" t="s">
        <v>1512</v>
      </c>
      <c r="U700" s="1918" t="s">
        <v>1513</v>
      </c>
      <c r="V700" s="1418">
        <f t="shared" ref="V700:V715" si="74">V701</f>
        <v>0</v>
      </c>
      <c r="W700" s="16"/>
      <c r="X700" s="16"/>
      <c r="Y700" s="16"/>
      <c r="Z700" s="17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</row>
    <row r="701" spans="1:36" s="352" customFormat="1" ht="15.6" hidden="1">
      <c r="A701" s="351"/>
      <c r="B701" s="1964" t="e">
        <f>LEFT(#REF!,5)</f>
        <v>#REF!</v>
      </c>
      <c r="C701" s="1966" t="e">
        <f>VLOOKUP(LEFT(#REF!,5),'11 - FINANCEIRA'!_xlnm.Print_Area,2,FALSE)</f>
        <v>#REF!</v>
      </c>
      <c r="D701" s="1920" t="s">
        <v>1514</v>
      </c>
      <c r="E701" s="1921"/>
      <c r="F701" s="1922"/>
      <c r="G701" s="1923" t="s">
        <v>1515</v>
      </c>
      <c r="H701" s="1924"/>
      <c r="I701" s="1925"/>
      <c r="J701" s="1915"/>
      <c r="K701" s="1915"/>
      <c r="L701" s="1915"/>
      <c r="M701" s="1915"/>
      <c r="N701" s="1915"/>
      <c r="O701" s="1915"/>
      <c r="P701" s="353" t="s">
        <v>1516</v>
      </c>
      <c r="Q701" s="1915"/>
      <c r="R701" s="1917"/>
      <c r="S701" s="1915"/>
      <c r="T701" s="1915"/>
      <c r="U701" s="1919"/>
      <c r="V701" s="1418">
        <f t="shared" si="74"/>
        <v>0</v>
      </c>
      <c r="W701" s="16"/>
      <c r="X701" s="16"/>
      <c r="Y701" s="16"/>
      <c r="Z701" s="17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</row>
    <row r="702" spans="1:36" s="361" customFormat="1" ht="15" hidden="1">
      <c r="A702" s="354"/>
      <c r="B702" s="2061" t="s">
        <v>1814</v>
      </c>
      <c r="C702" s="2010" t="s">
        <v>1815</v>
      </c>
      <c r="D702" s="1423"/>
      <c r="E702" s="915"/>
      <c r="F702" s="916"/>
      <c r="G702" s="1423"/>
      <c r="H702" s="915"/>
      <c r="I702" s="916"/>
      <c r="J702" s="917">
        <v>5</v>
      </c>
      <c r="K702" s="918">
        <v>132</v>
      </c>
      <c r="L702" s="919">
        <v>112</v>
      </c>
      <c r="M702" s="870">
        <f t="shared" ref="M702:M708" si="75">L702*K702</f>
        <v>14784</v>
      </c>
      <c r="N702" s="928"/>
      <c r="O702" s="928"/>
      <c r="P702" s="919"/>
      <c r="Q702" s="839" t="s">
        <v>1816</v>
      </c>
      <c r="R702" s="2051">
        <v>136.94999999999999</v>
      </c>
      <c r="S702" s="2045" t="s">
        <v>1448</v>
      </c>
      <c r="T702" s="2092" t="s">
        <v>307</v>
      </c>
      <c r="U702" s="793"/>
      <c r="V702" s="1418">
        <f t="shared" si="74"/>
        <v>0</v>
      </c>
      <c r="W702" s="357"/>
      <c r="X702" s="357"/>
      <c r="Y702" s="357"/>
      <c r="Z702" s="358"/>
      <c r="AA702" s="359"/>
      <c r="AB702" s="360"/>
    </row>
    <row r="703" spans="1:36" s="361" customFormat="1" ht="15" hidden="1">
      <c r="A703" s="354"/>
      <c r="B703" s="2062"/>
      <c r="C703" s="2011"/>
      <c r="D703" s="1423"/>
      <c r="E703" s="915"/>
      <c r="F703" s="916"/>
      <c r="G703" s="1423"/>
      <c r="H703" s="915"/>
      <c r="I703" s="916"/>
      <c r="J703" s="917">
        <v>5</v>
      </c>
      <c r="K703" s="918">
        <v>14</v>
      </c>
      <c r="L703" s="919">
        <v>152</v>
      </c>
      <c r="M703" s="870">
        <f t="shared" si="75"/>
        <v>2128</v>
      </c>
      <c r="N703" s="928"/>
      <c r="O703" s="928"/>
      <c r="P703" s="919"/>
      <c r="Q703" s="839" t="s">
        <v>1817</v>
      </c>
      <c r="R703" s="2052"/>
      <c r="S703" s="2050"/>
      <c r="T703" s="2048"/>
      <c r="U703" s="793"/>
      <c r="V703" s="1418">
        <f t="shared" si="74"/>
        <v>0</v>
      </c>
      <c r="W703" s="357"/>
      <c r="X703" s="357"/>
      <c r="Y703" s="357"/>
      <c r="Z703" s="358"/>
      <c r="AA703" s="359"/>
      <c r="AB703" s="360"/>
    </row>
    <row r="704" spans="1:36" s="361" customFormat="1" ht="15" hidden="1">
      <c r="A704" s="354"/>
      <c r="B704" s="2062"/>
      <c r="C704" s="2011"/>
      <c r="D704" s="1423"/>
      <c r="E704" s="915"/>
      <c r="F704" s="916"/>
      <c r="G704" s="1423"/>
      <c r="H704" s="915"/>
      <c r="I704" s="916"/>
      <c r="J704" s="917">
        <v>5</v>
      </c>
      <c r="K704" s="918">
        <v>250</v>
      </c>
      <c r="L704" s="919">
        <v>252</v>
      </c>
      <c r="M704" s="870">
        <f t="shared" si="75"/>
        <v>63000</v>
      </c>
      <c r="N704" s="928"/>
      <c r="O704" s="928"/>
      <c r="P704" s="919"/>
      <c r="Q704" s="839" t="s">
        <v>1818</v>
      </c>
      <c r="R704" s="2052"/>
      <c r="S704" s="2050"/>
      <c r="T704" s="2048"/>
      <c r="U704" s="793"/>
      <c r="V704" s="1418">
        <f t="shared" si="74"/>
        <v>0</v>
      </c>
      <c r="W704" s="357"/>
      <c r="X704" s="357"/>
      <c r="Y704" s="357"/>
      <c r="Z704" s="358"/>
      <c r="AA704" s="359"/>
      <c r="AB704" s="360"/>
    </row>
    <row r="705" spans="1:36" s="361" customFormat="1" ht="15" hidden="1">
      <c r="A705" s="354"/>
      <c r="B705" s="2062"/>
      <c r="C705" s="2011"/>
      <c r="D705" s="1423"/>
      <c r="E705" s="915"/>
      <c r="F705" s="916"/>
      <c r="G705" s="1423"/>
      <c r="H705" s="915"/>
      <c r="I705" s="916"/>
      <c r="J705" s="917">
        <v>5</v>
      </c>
      <c r="K705" s="918">
        <v>34</v>
      </c>
      <c r="L705" s="919">
        <v>269</v>
      </c>
      <c r="M705" s="870">
        <f t="shared" si="75"/>
        <v>9146</v>
      </c>
      <c r="N705" s="928"/>
      <c r="O705" s="928"/>
      <c r="P705" s="919"/>
      <c r="Q705" s="839" t="s">
        <v>1819</v>
      </c>
      <c r="R705" s="2052"/>
      <c r="S705" s="2050"/>
      <c r="T705" s="2048"/>
      <c r="U705" s="793"/>
      <c r="V705" s="1418">
        <f t="shared" si="74"/>
        <v>0</v>
      </c>
      <c r="W705" s="357"/>
      <c r="X705" s="357"/>
      <c r="Y705" s="357"/>
      <c r="Z705" s="358"/>
      <c r="AA705" s="359"/>
      <c r="AB705" s="360"/>
    </row>
    <row r="706" spans="1:36" s="361" customFormat="1" ht="15" hidden="1">
      <c r="A706" s="354"/>
      <c r="B706" s="2062"/>
      <c r="C706" s="28" t="s">
        <v>1820</v>
      </c>
      <c r="D706" s="1423"/>
      <c r="E706" s="915"/>
      <c r="F706" s="916"/>
      <c r="G706" s="1423"/>
      <c r="H706" s="915"/>
      <c r="I706" s="916"/>
      <c r="J706" s="21">
        <v>5</v>
      </c>
      <c r="K706" s="22">
        <v>36</v>
      </c>
      <c r="L706" s="23">
        <v>185</v>
      </c>
      <c r="M706" s="870">
        <f t="shared" si="75"/>
        <v>6660</v>
      </c>
      <c r="N706" s="728"/>
      <c r="O706" s="25"/>
      <c r="P706" s="23"/>
      <c r="Q706" s="729" t="s">
        <v>1817</v>
      </c>
      <c r="R706" s="445">
        <v>10.24</v>
      </c>
      <c r="S706" s="792" t="s">
        <v>1448</v>
      </c>
      <c r="T706" s="2048"/>
      <c r="U706" s="793"/>
      <c r="V706" s="1418">
        <f t="shared" si="74"/>
        <v>0</v>
      </c>
      <c r="W706" s="357"/>
      <c r="X706" s="357"/>
      <c r="Y706" s="357"/>
      <c r="Z706" s="358"/>
      <c r="AA706" s="359"/>
      <c r="AB706" s="360"/>
    </row>
    <row r="707" spans="1:36" s="361" customFormat="1" ht="15" hidden="1">
      <c r="A707" s="354"/>
      <c r="B707" s="2062"/>
      <c r="C707" s="28" t="s">
        <v>1821</v>
      </c>
      <c r="D707" s="1423"/>
      <c r="E707" s="915"/>
      <c r="F707" s="916"/>
      <c r="G707" s="1423"/>
      <c r="H707" s="915"/>
      <c r="I707" s="916"/>
      <c r="J707" s="21">
        <v>5</v>
      </c>
      <c r="K707" s="22">
        <v>8</v>
      </c>
      <c r="L707" s="23">
        <v>100</v>
      </c>
      <c r="M707" s="870">
        <f t="shared" si="75"/>
        <v>800</v>
      </c>
      <c r="N707" s="728"/>
      <c r="O707" s="25"/>
      <c r="P707" s="23"/>
      <c r="Q707" s="729" t="s">
        <v>1817</v>
      </c>
      <c r="R707" s="445">
        <v>1.23</v>
      </c>
      <c r="S707" s="792" t="s">
        <v>1448</v>
      </c>
      <c r="T707" s="2048"/>
      <c r="U707" s="793"/>
      <c r="V707" s="1418">
        <f t="shared" si="74"/>
        <v>0</v>
      </c>
      <c r="W707" s="357"/>
      <c r="X707" s="357"/>
      <c r="Y707" s="357"/>
      <c r="Z707" s="358"/>
      <c r="AA707" s="359"/>
      <c r="AB707" s="360"/>
    </row>
    <row r="708" spans="1:36" s="361" customFormat="1" ht="15" hidden="1">
      <c r="A708" s="354"/>
      <c r="B708" s="2062"/>
      <c r="C708" s="2010" t="s">
        <v>1822</v>
      </c>
      <c r="D708" s="1423"/>
      <c r="E708" s="915"/>
      <c r="F708" s="916"/>
      <c r="G708" s="1423"/>
      <c r="H708" s="915"/>
      <c r="I708" s="916"/>
      <c r="J708" s="917">
        <v>5</v>
      </c>
      <c r="K708" s="918">
        <v>299</v>
      </c>
      <c r="L708" s="919">
        <v>142</v>
      </c>
      <c r="M708" s="870">
        <f t="shared" si="75"/>
        <v>42458</v>
      </c>
      <c r="N708" s="928"/>
      <c r="O708" s="928"/>
      <c r="P708" s="919"/>
      <c r="Q708" s="889" t="s">
        <v>1816</v>
      </c>
      <c r="R708" s="2051">
        <v>95</v>
      </c>
      <c r="S708" s="2045" t="s">
        <v>1448</v>
      </c>
      <c r="T708" s="2048"/>
      <c r="U708" s="793"/>
      <c r="V708" s="1418">
        <f t="shared" si="74"/>
        <v>0</v>
      </c>
      <c r="W708" s="357"/>
      <c r="X708" s="357"/>
      <c r="Y708" s="357"/>
      <c r="Z708" s="358"/>
      <c r="AA708" s="359"/>
      <c r="AB708" s="360"/>
    </row>
    <row r="709" spans="1:36" s="361" customFormat="1" ht="15" hidden="1">
      <c r="A709" s="354"/>
      <c r="B709" s="2062"/>
      <c r="C709" s="2012"/>
      <c r="D709" s="1423"/>
      <c r="E709" s="915"/>
      <c r="F709" s="916"/>
      <c r="G709" s="1423"/>
      <c r="H709" s="915"/>
      <c r="I709" s="916"/>
      <c r="J709" s="917">
        <v>5</v>
      </c>
      <c r="K709" s="918">
        <v>6</v>
      </c>
      <c r="L709" s="919">
        <f>M709/K709</f>
        <v>3172</v>
      </c>
      <c r="M709" s="870">
        <v>19032</v>
      </c>
      <c r="N709" s="928"/>
      <c r="O709" s="928"/>
      <c r="P709" s="919"/>
      <c r="Q709" s="889" t="s">
        <v>1817</v>
      </c>
      <c r="R709" s="2053"/>
      <c r="S709" s="2046"/>
      <c r="T709" s="2048"/>
      <c r="U709" s="793"/>
      <c r="V709" s="1418">
        <f t="shared" si="74"/>
        <v>0</v>
      </c>
      <c r="W709" s="357"/>
      <c r="X709" s="357"/>
      <c r="Y709" s="357"/>
      <c r="Z709" s="358"/>
      <c r="AA709" s="359"/>
      <c r="AB709" s="360"/>
    </row>
    <row r="710" spans="1:36" s="361" customFormat="1" ht="15" hidden="1">
      <c r="A710" s="354"/>
      <c r="B710" s="2062"/>
      <c r="C710" s="2010" t="s">
        <v>1823</v>
      </c>
      <c r="D710" s="1423"/>
      <c r="E710" s="915"/>
      <c r="F710" s="916"/>
      <c r="G710" s="1423"/>
      <c r="H710" s="915"/>
      <c r="I710" s="916"/>
      <c r="J710" s="917">
        <v>5</v>
      </c>
      <c r="K710" s="918">
        <v>144</v>
      </c>
      <c r="L710" s="919">
        <v>395</v>
      </c>
      <c r="M710" s="870">
        <f>L710*K710</f>
        <v>56880</v>
      </c>
      <c r="N710" s="928"/>
      <c r="O710" s="928"/>
      <c r="P710" s="919"/>
      <c r="Q710" s="889" t="s">
        <v>1817</v>
      </c>
      <c r="R710" s="2051">
        <v>118.3</v>
      </c>
      <c r="S710" s="2045" t="s">
        <v>1448</v>
      </c>
      <c r="T710" s="2048"/>
      <c r="U710" s="793"/>
      <c r="V710" s="1418">
        <f t="shared" si="74"/>
        <v>0</v>
      </c>
      <c r="W710" s="357"/>
      <c r="X710" s="357"/>
      <c r="Y710" s="357"/>
      <c r="Z710" s="358"/>
      <c r="AA710" s="359"/>
      <c r="AB710" s="360"/>
    </row>
    <row r="711" spans="1:36" s="361" customFormat="1" ht="15" hidden="1">
      <c r="A711" s="354"/>
      <c r="B711" s="2063"/>
      <c r="C711" s="2012"/>
      <c r="D711" s="1423"/>
      <c r="E711" s="915"/>
      <c r="F711" s="916"/>
      <c r="G711" s="1423"/>
      <c r="H711" s="915"/>
      <c r="I711" s="916"/>
      <c r="J711" s="917">
        <v>5</v>
      </c>
      <c r="K711" s="918">
        <v>576</v>
      </c>
      <c r="L711" s="919">
        <v>35</v>
      </c>
      <c r="M711" s="870">
        <f>L711*K711</f>
        <v>20160</v>
      </c>
      <c r="N711" s="928"/>
      <c r="O711" s="928"/>
      <c r="P711" s="919"/>
      <c r="Q711" s="889" t="s">
        <v>1818</v>
      </c>
      <c r="R711" s="2052"/>
      <c r="S711" s="2046"/>
      <c r="T711" s="2049"/>
      <c r="U711" s="793"/>
      <c r="V711" s="1418">
        <f t="shared" si="74"/>
        <v>0</v>
      </c>
      <c r="W711" s="357"/>
      <c r="X711" s="357"/>
      <c r="Y711" s="357"/>
      <c r="Z711" s="358"/>
      <c r="AA711" s="359"/>
      <c r="AB711" s="360"/>
    </row>
    <row r="712" spans="1:36" s="361" customFormat="1" ht="15" hidden="1">
      <c r="A712" s="354"/>
      <c r="B712" s="1039"/>
      <c r="C712" s="28" t="s">
        <v>1824</v>
      </c>
      <c r="D712" s="1423"/>
      <c r="E712" s="915"/>
      <c r="F712" s="916"/>
      <c r="G712" s="1423"/>
      <c r="H712" s="915"/>
      <c r="I712" s="916"/>
      <c r="J712" s="917">
        <v>5</v>
      </c>
      <c r="K712" s="918">
        <v>240</v>
      </c>
      <c r="L712" s="919">
        <v>83</v>
      </c>
      <c r="M712" s="870">
        <f>L712*K712</f>
        <v>19920</v>
      </c>
      <c r="N712" s="928"/>
      <c r="O712" s="928"/>
      <c r="P712" s="919"/>
      <c r="Q712" s="889" t="s">
        <v>1818</v>
      </c>
      <c r="R712" s="445">
        <v>30.58</v>
      </c>
      <c r="S712" s="1095" t="s">
        <v>1825</v>
      </c>
      <c r="T712" s="835" t="s">
        <v>317</v>
      </c>
      <c r="U712" s="843" t="s">
        <v>1826</v>
      </c>
      <c r="V712" s="1418">
        <f t="shared" si="74"/>
        <v>0</v>
      </c>
      <c r="W712" s="357"/>
      <c r="X712" s="357"/>
      <c r="Y712" s="357"/>
      <c r="Z712" s="358"/>
      <c r="AA712" s="359"/>
      <c r="AB712" s="360"/>
    </row>
    <row r="713" spans="1:36" s="77" customFormat="1" ht="15" hidden="1">
      <c r="A713" s="370"/>
      <c r="B713" s="29"/>
      <c r="C713" s="30" t="s">
        <v>1827</v>
      </c>
      <c r="D713" s="18"/>
      <c r="E713" s="19"/>
      <c r="F713" s="20"/>
      <c r="G713" s="18"/>
      <c r="H713" s="19"/>
      <c r="I713" s="20"/>
      <c r="J713" s="21"/>
      <c r="K713" s="22">
        <v>108</v>
      </c>
      <c r="L713" s="23"/>
      <c r="M713" s="24"/>
      <c r="N713" s="25">
        <v>14.7</v>
      </c>
      <c r="O713" s="25">
        <f>K713*N713</f>
        <v>1587.6</v>
      </c>
      <c r="P713" s="23">
        <v>5.37</v>
      </c>
      <c r="Q713" s="26"/>
      <c r="R713" s="371">
        <v>8525.4120000000003</v>
      </c>
      <c r="S713" s="27" t="s">
        <v>1448</v>
      </c>
      <c r="T713" s="938" t="s">
        <v>321</v>
      </c>
      <c r="U713" s="1094" t="s">
        <v>1828</v>
      </c>
      <c r="V713" s="1418">
        <f t="shared" si="74"/>
        <v>0</v>
      </c>
      <c r="AB713" s="15"/>
    </row>
    <row r="714" spans="1:36" s="77" customFormat="1" ht="15.6" hidden="1">
      <c r="A714" s="370"/>
      <c r="B714" s="499"/>
      <c r="C714" s="37"/>
      <c r="D714" s="1929" t="s">
        <v>1520</v>
      </c>
      <c r="E714" s="1930"/>
      <c r="F714" s="1930"/>
      <c r="G714" s="1930"/>
      <c r="H714" s="1930"/>
      <c r="I714" s="1931"/>
      <c r="J714" s="1932">
        <f>VLOOKUP(A716,'11 - FINANCEIRA'!_xlnm.Print_Area,6,FALSE)</f>
        <v>8920.56</v>
      </c>
      <c r="K714" s="1933"/>
      <c r="L714" s="1343" t="str">
        <f>VLOOKUP(A716,'11 - FINANCEIRA'!_xlnm.Print_Area,4,FALSE)</f>
        <v>Kg</v>
      </c>
      <c r="M714" s="1934" t="s">
        <v>1521</v>
      </c>
      <c r="N714" s="1935"/>
      <c r="O714" s="1935"/>
      <c r="P714" s="1935"/>
      <c r="Q714" s="1936"/>
      <c r="R714" s="726">
        <f>SUM(R702:R713)</f>
        <v>8917.7119999999995</v>
      </c>
      <c r="S714" s="1344" t="str">
        <f>L714</f>
        <v>Kg</v>
      </c>
      <c r="T714" s="373"/>
      <c r="U714" s="486"/>
      <c r="V714" s="1418">
        <f t="shared" si="74"/>
        <v>0</v>
      </c>
      <c r="AB714" s="15"/>
    </row>
    <row r="715" spans="1:36" s="77" customFormat="1" ht="15.6" hidden="1">
      <c r="A715" s="370"/>
      <c r="B715" s="499"/>
      <c r="C715" s="725"/>
      <c r="D715" s="1937" t="s">
        <v>1522</v>
      </c>
      <c r="E715" s="1938"/>
      <c r="F715" s="1938"/>
      <c r="G715" s="1938"/>
      <c r="H715" s="1938"/>
      <c r="I715" s="1939"/>
      <c r="J715" s="1943">
        <f>R714/J714</f>
        <v>0.9996807375321729</v>
      </c>
      <c r="K715" s="1944"/>
      <c r="L715" s="1947"/>
      <c r="M715" s="1934" t="s">
        <v>1523</v>
      </c>
      <c r="N715" s="1935"/>
      <c r="O715" s="1935"/>
      <c r="P715" s="1935"/>
      <c r="Q715" s="1936"/>
      <c r="R715" s="726">
        <f>VLOOKUP(A716,'11 - FINANCEIRA'!_xlnm.Print_Area,8,FALSE)</f>
        <v>8917.7119999999995</v>
      </c>
      <c r="S715" s="727" t="str">
        <f>L714</f>
        <v>Kg</v>
      </c>
      <c r="T715" s="373"/>
      <c r="U715" s="486"/>
      <c r="V715" s="1418">
        <f t="shared" si="74"/>
        <v>0</v>
      </c>
      <c r="AB715" s="15"/>
    </row>
    <row r="716" spans="1:36" s="77" customFormat="1" ht="15.6" hidden="1">
      <c r="A716" s="364" t="s">
        <v>375</v>
      </c>
      <c r="B716" s="499"/>
      <c r="C716" s="37"/>
      <c r="D716" s="2013"/>
      <c r="E716" s="2014"/>
      <c r="F716" s="2014"/>
      <c r="G716" s="2014"/>
      <c r="H716" s="2014"/>
      <c r="I716" s="2015"/>
      <c r="J716" s="2016"/>
      <c r="K716" s="2017"/>
      <c r="L716" s="1962"/>
      <c r="M716" s="2007" t="s">
        <v>1524</v>
      </c>
      <c r="N716" s="2008"/>
      <c r="O716" s="2008"/>
      <c r="P716" s="2008"/>
      <c r="Q716" s="2009"/>
      <c r="R716" s="1345">
        <f>R714-R715</f>
        <v>0</v>
      </c>
      <c r="S716" s="1346" t="str">
        <f>L714</f>
        <v>Kg</v>
      </c>
      <c r="T716" s="373"/>
      <c r="U716" s="486"/>
      <c r="V716" s="1418">
        <f>R716</f>
        <v>0</v>
      </c>
      <c r="AB716" s="15"/>
    </row>
    <row r="717" spans="1:36" s="77" customFormat="1" ht="15.6" hidden="1">
      <c r="A717" s="370"/>
      <c r="B717" s="1347"/>
      <c r="C717" s="1348"/>
      <c r="D717" s="1349"/>
      <c r="E717" s="1350"/>
      <c r="F717" s="1349"/>
      <c r="G717" s="1349"/>
      <c r="H717" s="1349"/>
      <c r="I717" s="1349"/>
      <c r="J717" s="1351"/>
      <c r="K717" s="1352"/>
      <c r="L717" s="1353"/>
      <c r="M717" s="1354"/>
      <c r="N717" s="1354"/>
      <c r="O717" s="1354"/>
      <c r="P717" s="1354"/>
      <c r="Q717" s="1354"/>
      <c r="R717" s="1355"/>
      <c r="S717" s="1356"/>
      <c r="T717" s="1357"/>
      <c r="U717" s="1358"/>
      <c r="V717" s="1420">
        <f>SUM(V700:V716)</f>
        <v>0</v>
      </c>
      <c r="AB717" s="15"/>
    </row>
    <row r="718" spans="1:36" s="352" customFormat="1" ht="15.6">
      <c r="A718" s="351"/>
      <c r="B718" s="1963" t="str">
        <f>VLOOKUP(A853,'11 - FINANCEIRA'!_xlnm.Print_Area,1,FALSE)</f>
        <v>2.2.12</v>
      </c>
      <c r="C718" s="1965" t="str">
        <f>VLOOKUP(A853,'11 - FINANCEIRA'!_xlnm.Print_Area,3,FALSE)</f>
        <v>Armação em aço ca-50 - fornecimento, preparo e colocação</v>
      </c>
      <c r="D718" s="1967"/>
      <c r="E718" s="1968"/>
      <c r="F718" s="1968"/>
      <c r="G718" s="1968"/>
      <c r="H718" s="1968"/>
      <c r="I718" s="1969"/>
      <c r="J718" s="1914" t="s">
        <v>1808</v>
      </c>
      <c r="K718" s="1914" t="s">
        <v>1809</v>
      </c>
      <c r="L718" s="1914" t="s">
        <v>1810</v>
      </c>
      <c r="M718" s="1914" t="s">
        <v>1811</v>
      </c>
      <c r="N718" s="1914" t="s">
        <v>1508</v>
      </c>
      <c r="O718" s="1914" t="s">
        <v>1509</v>
      </c>
      <c r="P718" s="1341" t="s">
        <v>1510</v>
      </c>
      <c r="Q718" s="1914" t="s">
        <v>1813</v>
      </c>
      <c r="R718" s="1916" t="s">
        <v>804</v>
      </c>
      <c r="S718" s="1914" t="s">
        <v>1511</v>
      </c>
      <c r="T718" s="1914" t="s">
        <v>1512</v>
      </c>
      <c r="U718" s="1918" t="s">
        <v>1513</v>
      </c>
      <c r="V718" s="1418">
        <f t="shared" ref="V718:V781" si="76">V719</f>
        <v>79.152919999993173</v>
      </c>
      <c r="W718" s="16"/>
      <c r="X718" s="16"/>
      <c r="Y718" s="16"/>
      <c r="Z718" s="17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</row>
    <row r="719" spans="1:36" s="352" customFormat="1" ht="15.6">
      <c r="A719" s="351"/>
      <c r="B719" s="1964" t="e">
        <f>LEFT(#REF!,5)</f>
        <v>#REF!</v>
      </c>
      <c r="C719" s="1966" t="e">
        <f>VLOOKUP(LEFT(#REF!,5),'11 - FINANCEIRA'!_xlnm.Print_Area,2,FALSE)</f>
        <v>#REF!</v>
      </c>
      <c r="D719" s="1920"/>
      <c r="E719" s="1921"/>
      <c r="F719" s="1922"/>
      <c r="G719" s="1923" t="s">
        <v>1547</v>
      </c>
      <c r="H719" s="1924"/>
      <c r="I719" s="1925"/>
      <c r="J719" s="1915"/>
      <c r="K719" s="1915"/>
      <c r="L719" s="1915"/>
      <c r="M719" s="1915"/>
      <c r="N719" s="1915"/>
      <c r="O719" s="1915"/>
      <c r="P719" s="353" t="s">
        <v>1516</v>
      </c>
      <c r="Q719" s="1915"/>
      <c r="R719" s="1917"/>
      <c r="S719" s="1915"/>
      <c r="T719" s="1915"/>
      <c r="U719" s="1919"/>
      <c r="V719" s="1418">
        <f t="shared" si="76"/>
        <v>79.152919999993173</v>
      </c>
      <c r="W719" s="16"/>
      <c r="X719" s="16"/>
      <c r="Y719" s="16"/>
      <c r="Z719" s="17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</row>
    <row r="720" spans="1:36" s="361" customFormat="1" ht="15" customHeight="1">
      <c r="A720" s="354"/>
      <c r="B720" s="2061"/>
      <c r="C720" s="2064" t="s">
        <v>1829</v>
      </c>
      <c r="D720" s="2106"/>
      <c r="E720" s="2107"/>
      <c r="F720" s="2108"/>
      <c r="G720" s="2106"/>
      <c r="H720" s="2107"/>
      <c r="I720" s="2108"/>
      <c r="J720" s="21">
        <v>20</v>
      </c>
      <c r="K720" s="22">
        <v>398</v>
      </c>
      <c r="L720" s="23">
        <v>975</v>
      </c>
      <c r="M720" s="24">
        <f>L720*K720</f>
        <v>388050</v>
      </c>
      <c r="N720" s="2096"/>
      <c r="O720" s="2095"/>
      <c r="P720" s="2096"/>
      <c r="Q720" s="839" t="s">
        <v>1818</v>
      </c>
      <c r="R720" s="2105">
        <v>19895</v>
      </c>
      <c r="S720" s="2095" t="s">
        <v>877</v>
      </c>
      <c r="T720" s="2092" t="s">
        <v>303</v>
      </c>
      <c r="U720" s="2093" t="s">
        <v>1830</v>
      </c>
      <c r="V720" s="1418">
        <f t="shared" si="76"/>
        <v>79.152919999993173</v>
      </c>
      <c r="W720" s="357"/>
      <c r="X720" s="357"/>
      <c r="Y720" s="357"/>
      <c r="Z720" s="358"/>
      <c r="AA720" s="359"/>
      <c r="AB720" s="360"/>
    </row>
    <row r="721" spans="1:28" s="361" customFormat="1" ht="15">
      <c r="A721" s="354"/>
      <c r="B721" s="2063"/>
      <c r="C721" s="2025"/>
      <c r="D721" s="2109"/>
      <c r="E721" s="2110"/>
      <c r="F721" s="2111"/>
      <c r="G721" s="2109"/>
      <c r="H721" s="2110"/>
      <c r="I721" s="2111"/>
      <c r="J721" s="21">
        <v>20</v>
      </c>
      <c r="K721" s="22">
        <v>132</v>
      </c>
      <c r="L721" s="23">
        <v>3172</v>
      </c>
      <c r="M721" s="24">
        <f>L721*K721</f>
        <v>418704</v>
      </c>
      <c r="N721" s="2097"/>
      <c r="O721" s="2044"/>
      <c r="P721" s="2097"/>
      <c r="Q721" s="839" t="s">
        <v>1819</v>
      </c>
      <c r="R721" s="2104"/>
      <c r="S721" s="2044"/>
      <c r="T721" s="2049"/>
      <c r="U721" s="2094"/>
      <c r="V721" s="1418">
        <f t="shared" si="76"/>
        <v>79.152919999993173</v>
      </c>
      <c r="W721" s="357"/>
      <c r="X721" s="357"/>
      <c r="Y721" s="357"/>
      <c r="Z721" s="358"/>
      <c r="AA721" s="359"/>
      <c r="AB721" s="360"/>
    </row>
    <row r="722" spans="1:28" s="361" customFormat="1" ht="15">
      <c r="A722" s="354"/>
      <c r="B722" s="2098"/>
      <c r="C722" s="2024" t="s">
        <v>1831</v>
      </c>
      <c r="D722" s="1424"/>
      <c r="E722" s="851"/>
      <c r="F722" s="852"/>
      <c r="G722" s="1424"/>
      <c r="H722" s="851"/>
      <c r="I722" s="852"/>
      <c r="J722" s="832">
        <v>10</v>
      </c>
      <c r="K722" s="837">
        <v>11</v>
      </c>
      <c r="L722" s="833">
        <v>5248</v>
      </c>
      <c r="M722" s="839">
        <f>L722*K722</f>
        <v>57728</v>
      </c>
      <c r="N722" s="853"/>
      <c r="O722" s="854"/>
      <c r="P722" s="853"/>
      <c r="Q722" s="839" t="s">
        <v>1816</v>
      </c>
      <c r="R722" s="2102">
        <v>13414.6</v>
      </c>
      <c r="S722" s="2043" t="s">
        <v>877</v>
      </c>
      <c r="T722" s="2047" t="s">
        <v>304</v>
      </c>
      <c r="U722" s="2040"/>
      <c r="V722" s="1418">
        <f t="shared" si="76"/>
        <v>79.152919999993173</v>
      </c>
      <c r="W722" s="357"/>
      <c r="X722" s="357"/>
      <c r="Y722" s="357"/>
      <c r="Z722" s="358"/>
      <c r="AA722" s="359"/>
      <c r="AB722" s="360"/>
    </row>
    <row r="723" spans="1:28" s="361" customFormat="1" ht="15">
      <c r="A723" s="354"/>
      <c r="B723" s="2062"/>
      <c r="C723" s="2057"/>
      <c r="D723" s="1424"/>
      <c r="E723" s="851"/>
      <c r="F723" s="852"/>
      <c r="G723" s="1424"/>
      <c r="H723" s="851"/>
      <c r="I723" s="852"/>
      <c r="J723" s="832">
        <v>20</v>
      </c>
      <c r="K723" s="837">
        <v>254</v>
      </c>
      <c r="L723" s="833">
        <v>338</v>
      </c>
      <c r="M723" s="839">
        <f>L723*K723</f>
        <v>85852</v>
      </c>
      <c r="N723" s="839"/>
      <c r="O723" s="839"/>
      <c r="P723" s="839"/>
      <c r="Q723" s="839" t="s">
        <v>1818</v>
      </c>
      <c r="R723" s="2103"/>
      <c r="S723" s="2099"/>
      <c r="T723" s="2048"/>
      <c r="U723" s="2041"/>
      <c r="V723" s="1418">
        <f t="shared" si="76"/>
        <v>79.152919999993173</v>
      </c>
      <c r="W723" s="357"/>
      <c r="X723" s="357"/>
      <c r="Y723" s="357"/>
      <c r="Z723" s="358"/>
      <c r="AA723" s="359"/>
      <c r="AB723" s="360"/>
    </row>
    <row r="724" spans="1:28" s="361" customFormat="1" ht="15">
      <c r="A724" s="354"/>
      <c r="B724" s="2062"/>
      <c r="C724" s="2057"/>
      <c r="D724" s="1424"/>
      <c r="E724" s="851"/>
      <c r="F724" s="852"/>
      <c r="G724" s="1424"/>
      <c r="H724" s="851"/>
      <c r="I724" s="852"/>
      <c r="J724" s="832">
        <v>20</v>
      </c>
      <c r="K724" s="837">
        <v>254</v>
      </c>
      <c r="L724" s="833">
        <v>378</v>
      </c>
      <c r="M724" s="839">
        <f>L724*K724</f>
        <v>96012</v>
      </c>
      <c r="N724" s="839"/>
      <c r="O724" s="839"/>
      <c r="P724" s="839"/>
      <c r="Q724" s="839" t="s">
        <v>1819</v>
      </c>
      <c r="R724" s="2103"/>
      <c r="S724" s="2099"/>
      <c r="T724" s="2048"/>
      <c r="U724" s="2041"/>
      <c r="V724" s="1418">
        <f t="shared" si="76"/>
        <v>79.152919999993173</v>
      </c>
      <c r="W724" s="357"/>
      <c r="X724" s="357"/>
      <c r="Y724" s="357"/>
      <c r="Z724" s="358"/>
      <c r="AA724" s="359"/>
      <c r="AB724" s="360"/>
    </row>
    <row r="725" spans="1:28" s="361" customFormat="1" ht="15">
      <c r="A725" s="354"/>
      <c r="B725" s="2062"/>
      <c r="C725" s="2057"/>
      <c r="D725" s="1424"/>
      <c r="E725" s="851"/>
      <c r="F725" s="852"/>
      <c r="G725" s="1424"/>
      <c r="H725" s="851"/>
      <c r="I725" s="852"/>
      <c r="J725" s="832">
        <v>20</v>
      </c>
      <c r="K725" s="837">
        <v>62</v>
      </c>
      <c r="L725" s="833">
        <v>464</v>
      </c>
      <c r="M725" s="839">
        <f t="shared" ref="M725:M732" si="77">L725*K725</f>
        <v>28768</v>
      </c>
      <c r="N725" s="839"/>
      <c r="O725" s="839"/>
      <c r="P725" s="839"/>
      <c r="Q725" s="839" t="s">
        <v>1832</v>
      </c>
      <c r="R725" s="2103"/>
      <c r="S725" s="2099"/>
      <c r="T725" s="2048"/>
      <c r="U725" s="2041"/>
      <c r="V725" s="1418">
        <f t="shared" si="76"/>
        <v>79.152919999993173</v>
      </c>
      <c r="W725" s="357"/>
      <c r="X725" s="357"/>
      <c r="Y725" s="357"/>
      <c r="Z725" s="358"/>
      <c r="AA725" s="359"/>
      <c r="AB725" s="360"/>
    </row>
    <row r="726" spans="1:28" s="361" customFormat="1" ht="15">
      <c r="A726" s="354"/>
      <c r="B726" s="2062"/>
      <c r="C726" s="2057"/>
      <c r="D726" s="1424"/>
      <c r="E726" s="851"/>
      <c r="F726" s="852"/>
      <c r="G726" s="1424"/>
      <c r="H726" s="851"/>
      <c r="I726" s="852"/>
      <c r="J726" s="832">
        <v>20</v>
      </c>
      <c r="K726" s="837">
        <v>62</v>
      </c>
      <c r="L726" s="833">
        <v>504</v>
      </c>
      <c r="M726" s="839">
        <f t="shared" si="77"/>
        <v>31248</v>
      </c>
      <c r="N726" s="839"/>
      <c r="O726" s="839"/>
      <c r="P726" s="839"/>
      <c r="Q726" s="839" t="s">
        <v>1833</v>
      </c>
      <c r="R726" s="2103"/>
      <c r="S726" s="2099"/>
      <c r="T726" s="2048"/>
      <c r="U726" s="2041"/>
      <c r="V726" s="1418">
        <f t="shared" si="76"/>
        <v>79.152919999993173</v>
      </c>
      <c r="W726" s="357"/>
      <c r="X726" s="357"/>
      <c r="Y726" s="357"/>
      <c r="Z726" s="358"/>
      <c r="AA726" s="359"/>
      <c r="AB726" s="360"/>
    </row>
    <row r="727" spans="1:28" s="361" customFormat="1" ht="15">
      <c r="A727" s="354"/>
      <c r="B727" s="2062"/>
      <c r="C727" s="2057"/>
      <c r="D727" s="1424"/>
      <c r="E727" s="851"/>
      <c r="F727" s="852"/>
      <c r="G727" s="1424"/>
      <c r="H727" s="851"/>
      <c r="I727" s="852"/>
      <c r="J727" s="832">
        <v>20</v>
      </c>
      <c r="K727" s="837">
        <v>192</v>
      </c>
      <c r="L727" s="833">
        <v>695</v>
      </c>
      <c r="M727" s="839">
        <f t="shared" si="77"/>
        <v>133440</v>
      </c>
      <c r="N727" s="839"/>
      <c r="O727" s="839"/>
      <c r="P727" s="839"/>
      <c r="Q727" s="839" t="s">
        <v>1834</v>
      </c>
      <c r="R727" s="2103"/>
      <c r="S727" s="2099"/>
      <c r="T727" s="2048"/>
      <c r="U727" s="2041"/>
      <c r="V727" s="1418">
        <f t="shared" si="76"/>
        <v>79.152919999993173</v>
      </c>
      <c r="W727" s="357"/>
      <c r="X727" s="357"/>
      <c r="Y727" s="357"/>
      <c r="Z727" s="358"/>
      <c r="AA727" s="359"/>
      <c r="AB727" s="360"/>
    </row>
    <row r="728" spans="1:28" s="361" customFormat="1" ht="15">
      <c r="A728" s="354"/>
      <c r="B728" s="2062"/>
      <c r="C728" s="2057"/>
      <c r="D728" s="1424"/>
      <c r="E728" s="851"/>
      <c r="F728" s="852"/>
      <c r="G728" s="1424"/>
      <c r="H728" s="851"/>
      <c r="I728" s="852"/>
      <c r="J728" s="832">
        <v>20</v>
      </c>
      <c r="K728" s="837">
        <v>192</v>
      </c>
      <c r="L728" s="833">
        <v>735</v>
      </c>
      <c r="M728" s="839">
        <f>L728*K728</f>
        <v>141120</v>
      </c>
      <c r="N728" s="839"/>
      <c r="O728" s="839"/>
      <c r="P728" s="839"/>
      <c r="Q728" s="839" t="s">
        <v>1835</v>
      </c>
      <c r="R728" s="2103"/>
      <c r="S728" s="2099"/>
      <c r="T728" s="2048"/>
      <c r="U728" s="2041"/>
      <c r="V728" s="1418">
        <f t="shared" si="76"/>
        <v>79.152919999993173</v>
      </c>
      <c r="W728" s="357"/>
      <c r="X728" s="357"/>
      <c r="Y728" s="357"/>
      <c r="Z728" s="358"/>
      <c r="AA728" s="359"/>
      <c r="AB728" s="360"/>
    </row>
    <row r="729" spans="1:28" s="361" customFormat="1" ht="15">
      <c r="A729" s="354"/>
      <c r="B729" s="2062"/>
      <c r="C729" s="2025"/>
      <c r="D729" s="1425"/>
      <c r="E729" s="858"/>
      <c r="F729" s="859"/>
      <c r="G729" s="1425"/>
      <c r="H729" s="858"/>
      <c r="I729" s="859"/>
      <c r="J729" s="832">
        <v>20</v>
      </c>
      <c r="K729" s="837">
        <v>4</v>
      </c>
      <c r="L729" s="833">
        <v>3280</v>
      </c>
      <c r="M729" s="839">
        <f t="shared" si="77"/>
        <v>13120</v>
      </c>
      <c r="N729" s="839"/>
      <c r="O729" s="839"/>
      <c r="P729" s="839"/>
      <c r="Q729" s="839" t="s">
        <v>1836</v>
      </c>
      <c r="R729" s="2104"/>
      <c r="S729" s="2044"/>
      <c r="T729" s="2048"/>
      <c r="U729" s="2041"/>
      <c r="V729" s="1418">
        <f t="shared" si="76"/>
        <v>79.152919999993173</v>
      </c>
      <c r="W729" s="357"/>
      <c r="X729" s="357"/>
      <c r="Y729" s="357"/>
      <c r="Z729" s="358"/>
      <c r="AA729" s="359"/>
      <c r="AB729" s="360"/>
    </row>
    <row r="730" spans="1:28" s="361" customFormat="1" ht="15">
      <c r="A730" s="354"/>
      <c r="B730" s="2062"/>
      <c r="C730" s="2010" t="s">
        <v>1837</v>
      </c>
      <c r="D730" s="1423"/>
      <c r="E730" s="915"/>
      <c r="F730" s="916"/>
      <c r="G730" s="1423"/>
      <c r="H730" s="915"/>
      <c r="I730" s="916"/>
      <c r="J730" s="917" t="s">
        <v>1838</v>
      </c>
      <c r="K730" s="918">
        <v>32</v>
      </c>
      <c r="L730" s="919">
        <v>136</v>
      </c>
      <c r="M730" s="920">
        <f t="shared" si="77"/>
        <v>4352</v>
      </c>
      <c r="N730" s="920"/>
      <c r="O730" s="920"/>
      <c r="P730" s="920"/>
      <c r="Q730" s="920" t="s">
        <v>1816</v>
      </c>
      <c r="R730" s="2051">
        <v>206.19</v>
      </c>
      <c r="S730" s="2045" t="s">
        <v>877</v>
      </c>
      <c r="T730" s="2048"/>
      <c r="U730" s="2041"/>
      <c r="V730" s="1418">
        <f t="shared" si="76"/>
        <v>79.152919999993173</v>
      </c>
      <c r="W730" s="357"/>
      <c r="X730" s="357"/>
      <c r="Y730" s="357"/>
      <c r="Z730" s="358"/>
      <c r="AA730" s="359"/>
      <c r="AB730" s="360"/>
    </row>
    <row r="731" spans="1:28" s="361" customFormat="1" ht="15">
      <c r="A731" s="354"/>
      <c r="B731" s="2062"/>
      <c r="C731" s="2011"/>
      <c r="D731" s="1423"/>
      <c r="E731" s="915"/>
      <c r="F731" s="916"/>
      <c r="G731" s="1423"/>
      <c r="H731" s="915"/>
      <c r="I731" s="916"/>
      <c r="J731" s="917" t="s">
        <v>1838</v>
      </c>
      <c r="K731" s="918">
        <v>14</v>
      </c>
      <c r="L731" s="919">
        <v>436</v>
      </c>
      <c r="M731" s="920">
        <f t="shared" si="77"/>
        <v>6104</v>
      </c>
      <c r="N731" s="920"/>
      <c r="O731" s="920"/>
      <c r="P731" s="920"/>
      <c r="Q731" s="920" t="s">
        <v>1817</v>
      </c>
      <c r="R731" s="2052"/>
      <c r="S731" s="2050"/>
      <c r="T731" s="2048"/>
      <c r="U731" s="2041"/>
      <c r="V731" s="1418">
        <f t="shared" si="76"/>
        <v>79.152919999993173</v>
      </c>
      <c r="W731" s="357"/>
      <c r="X731" s="357"/>
      <c r="Y731" s="357"/>
      <c r="Z731" s="358"/>
      <c r="AA731" s="359"/>
      <c r="AB731" s="360"/>
    </row>
    <row r="732" spans="1:28" s="361" customFormat="1" ht="15">
      <c r="A732" s="354"/>
      <c r="B732" s="2062"/>
      <c r="C732" s="2011"/>
      <c r="D732" s="1423"/>
      <c r="E732" s="915"/>
      <c r="F732" s="916"/>
      <c r="G732" s="1423"/>
      <c r="H732" s="915"/>
      <c r="I732" s="916"/>
      <c r="J732" s="917" t="s">
        <v>1839</v>
      </c>
      <c r="K732" s="918">
        <v>11</v>
      </c>
      <c r="L732" s="919">
        <v>976</v>
      </c>
      <c r="M732" s="920">
        <f t="shared" si="77"/>
        <v>10736</v>
      </c>
      <c r="N732" s="920"/>
      <c r="O732" s="920"/>
      <c r="P732" s="920"/>
      <c r="Q732" s="920" t="s">
        <v>1818</v>
      </c>
      <c r="R732" s="2052"/>
      <c r="S732" s="2050"/>
      <c r="T732" s="2048"/>
      <c r="U732" s="2041"/>
      <c r="V732" s="1418">
        <f t="shared" si="76"/>
        <v>79.152919999993173</v>
      </c>
      <c r="W732" s="357"/>
      <c r="X732" s="357"/>
      <c r="Y732" s="357"/>
      <c r="Z732" s="358"/>
      <c r="AA732" s="359"/>
      <c r="AB732" s="360"/>
    </row>
    <row r="733" spans="1:28" s="361" customFormat="1" ht="15">
      <c r="A733" s="354"/>
      <c r="B733" s="2062"/>
      <c r="C733" s="2011"/>
      <c r="D733" s="1423"/>
      <c r="E733" s="915"/>
      <c r="F733" s="916"/>
      <c r="G733" s="1423"/>
      <c r="H733" s="915"/>
      <c r="I733" s="916"/>
      <c r="J733" s="917" t="s">
        <v>1839</v>
      </c>
      <c r="K733" s="918">
        <v>154</v>
      </c>
      <c r="L733" s="919">
        <v>26</v>
      </c>
      <c r="M733" s="920">
        <f t="shared" ref="M733:M740" si="78">L733*K733</f>
        <v>4004</v>
      </c>
      <c r="N733" s="920"/>
      <c r="O733" s="920"/>
      <c r="P733" s="920"/>
      <c r="Q733" s="920" t="s">
        <v>1819</v>
      </c>
      <c r="R733" s="2052"/>
      <c r="S733" s="2050"/>
      <c r="T733" s="2048"/>
      <c r="U733" s="2041"/>
      <c r="V733" s="1418">
        <f t="shared" si="76"/>
        <v>79.152919999993173</v>
      </c>
      <c r="W733" s="357"/>
      <c r="X733" s="357"/>
      <c r="Y733" s="357"/>
      <c r="Z733" s="358"/>
      <c r="AA733" s="359"/>
      <c r="AB733" s="360"/>
    </row>
    <row r="734" spans="1:28" s="361" customFormat="1" ht="15">
      <c r="A734" s="354"/>
      <c r="B734" s="2062"/>
      <c r="C734" s="2011"/>
      <c r="D734" s="1423"/>
      <c r="E734" s="915"/>
      <c r="F734" s="916"/>
      <c r="G734" s="1423"/>
      <c r="H734" s="915"/>
      <c r="I734" s="916"/>
      <c r="J734" s="917" t="s">
        <v>1838</v>
      </c>
      <c r="K734" s="918">
        <v>18</v>
      </c>
      <c r="L734" s="919">
        <v>397</v>
      </c>
      <c r="M734" s="920">
        <f t="shared" si="78"/>
        <v>7146</v>
      </c>
      <c r="N734" s="920"/>
      <c r="O734" s="920"/>
      <c r="P734" s="920"/>
      <c r="Q734" s="920" t="s">
        <v>1832</v>
      </c>
      <c r="R734" s="2053"/>
      <c r="S734" s="2046"/>
      <c r="T734" s="2048"/>
      <c r="U734" s="2041"/>
      <c r="V734" s="1418">
        <f t="shared" si="76"/>
        <v>79.152919999993173</v>
      </c>
      <c r="W734" s="357"/>
      <c r="X734" s="357"/>
      <c r="Y734" s="357"/>
      <c r="Z734" s="358"/>
      <c r="AA734" s="359"/>
      <c r="AB734" s="360"/>
    </row>
    <row r="735" spans="1:28" s="361" customFormat="1" ht="15">
      <c r="A735" s="354"/>
      <c r="B735" s="2062"/>
      <c r="C735" s="2010" t="s">
        <v>1840</v>
      </c>
      <c r="D735" s="1423"/>
      <c r="E735" s="915"/>
      <c r="F735" s="916"/>
      <c r="G735" s="1423"/>
      <c r="H735" s="915"/>
      <c r="I735" s="916"/>
      <c r="J735" s="917">
        <v>20</v>
      </c>
      <c r="K735" s="918">
        <v>156</v>
      </c>
      <c r="L735" s="919">
        <v>3180</v>
      </c>
      <c r="M735" s="920">
        <f t="shared" si="78"/>
        <v>496080</v>
      </c>
      <c r="N735" s="920"/>
      <c r="O735" s="920"/>
      <c r="P735" s="920"/>
      <c r="Q735" s="920" t="s">
        <v>1817</v>
      </c>
      <c r="R735" s="2051">
        <v>1523.73</v>
      </c>
      <c r="S735" s="2045" t="s">
        <v>877</v>
      </c>
      <c r="T735" s="2048"/>
      <c r="U735" s="2041"/>
      <c r="V735" s="1418">
        <f t="shared" si="76"/>
        <v>79.152919999993173</v>
      </c>
      <c r="W735" s="357"/>
      <c r="X735" s="357"/>
      <c r="Y735" s="357"/>
      <c r="Z735" s="358"/>
      <c r="AA735" s="359"/>
      <c r="AB735" s="360"/>
    </row>
    <row r="736" spans="1:28" s="361" customFormat="1" ht="15">
      <c r="A736" s="354"/>
      <c r="B736" s="2062"/>
      <c r="C736" s="2012"/>
      <c r="D736" s="1423"/>
      <c r="E736" s="915"/>
      <c r="F736" s="916"/>
      <c r="G736" s="1423"/>
      <c r="H736" s="915"/>
      <c r="I736" s="916"/>
      <c r="J736" s="917">
        <v>20</v>
      </c>
      <c r="K736" s="918">
        <v>4</v>
      </c>
      <c r="L736" s="919">
        <v>3280</v>
      </c>
      <c r="M736" s="920">
        <f t="shared" si="78"/>
        <v>13120</v>
      </c>
      <c r="N736" s="920"/>
      <c r="O736" s="920"/>
      <c r="P736" s="920"/>
      <c r="Q736" s="920" t="s">
        <v>1836</v>
      </c>
      <c r="R736" s="2053"/>
      <c r="S736" s="2046"/>
      <c r="T736" s="2048"/>
      <c r="U736" s="2041"/>
      <c r="V736" s="1418">
        <f t="shared" si="76"/>
        <v>79.152919999993173</v>
      </c>
      <c r="W736" s="357"/>
      <c r="X736" s="357"/>
      <c r="Y736" s="357"/>
      <c r="Z736" s="358"/>
      <c r="AA736" s="359"/>
      <c r="AB736" s="360"/>
    </row>
    <row r="737" spans="1:28" s="361" customFormat="1" ht="15">
      <c r="A737" s="354"/>
      <c r="B737" s="2062"/>
      <c r="C737" s="2010" t="s">
        <v>1841</v>
      </c>
      <c r="D737" s="1423"/>
      <c r="E737" s="915"/>
      <c r="F737" s="916"/>
      <c r="G737" s="1423"/>
      <c r="H737" s="915"/>
      <c r="I737" s="916"/>
      <c r="J737" s="917">
        <v>8</v>
      </c>
      <c r="K737" s="918">
        <v>24</v>
      </c>
      <c r="L737" s="919">
        <v>3180</v>
      </c>
      <c r="M737" s="920">
        <f t="shared" si="78"/>
        <v>76320</v>
      </c>
      <c r="N737" s="920"/>
      <c r="O737" s="920"/>
      <c r="P737" s="920"/>
      <c r="Q737" s="920" t="s">
        <v>1816</v>
      </c>
      <c r="R737" s="2051">
        <v>2746.2</v>
      </c>
      <c r="S737" s="2045" t="s">
        <v>877</v>
      </c>
      <c r="T737" s="2048"/>
      <c r="U737" s="2041"/>
      <c r="V737" s="1418">
        <f t="shared" si="76"/>
        <v>79.152919999993173</v>
      </c>
      <c r="W737" s="357"/>
      <c r="X737" s="357"/>
      <c r="Y737" s="357"/>
      <c r="Z737" s="358"/>
      <c r="AA737" s="359"/>
      <c r="AB737" s="360"/>
    </row>
    <row r="738" spans="1:28" s="361" customFormat="1" ht="15">
      <c r="A738" s="354"/>
      <c r="B738" s="2062"/>
      <c r="C738" s="2011"/>
      <c r="D738" s="1423"/>
      <c r="E738" s="915"/>
      <c r="F738" s="916"/>
      <c r="G738" s="1423"/>
      <c r="H738" s="915"/>
      <c r="I738" s="916"/>
      <c r="J738" s="917">
        <v>16</v>
      </c>
      <c r="K738" s="918">
        <v>155</v>
      </c>
      <c r="L738" s="919">
        <v>300</v>
      </c>
      <c r="M738" s="920">
        <f t="shared" si="78"/>
        <v>46500</v>
      </c>
      <c r="N738" s="920"/>
      <c r="O738" s="920"/>
      <c r="P738" s="920"/>
      <c r="Q738" s="920" t="s">
        <v>1817</v>
      </c>
      <c r="R738" s="2052"/>
      <c r="S738" s="2050"/>
      <c r="T738" s="2048"/>
      <c r="U738" s="2041"/>
      <c r="V738" s="1418">
        <f t="shared" si="76"/>
        <v>79.152919999993173</v>
      </c>
      <c r="W738" s="357"/>
      <c r="X738" s="357"/>
      <c r="Y738" s="357"/>
      <c r="Z738" s="358"/>
      <c r="AA738" s="359"/>
      <c r="AB738" s="360"/>
    </row>
    <row r="739" spans="1:28" s="361" customFormat="1" ht="15">
      <c r="A739" s="354"/>
      <c r="B739" s="2062"/>
      <c r="C739" s="2011"/>
      <c r="D739" s="1423"/>
      <c r="E739" s="915"/>
      <c r="F739" s="916"/>
      <c r="G739" s="1423"/>
      <c r="H739" s="915"/>
      <c r="I739" s="916"/>
      <c r="J739" s="917">
        <v>16</v>
      </c>
      <c r="K739" s="918">
        <v>155</v>
      </c>
      <c r="L739" s="919">
        <v>618</v>
      </c>
      <c r="M739" s="920">
        <f t="shared" si="78"/>
        <v>95790</v>
      </c>
      <c r="N739" s="920"/>
      <c r="O739" s="920"/>
      <c r="P739" s="920"/>
      <c r="Q739" s="920" t="s">
        <v>1818</v>
      </c>
      <c r="R739" s="2052"/>
      <c r="S739" s="2050"/>
      <c r="T739" s="2048"/>
      <c r="U739" s="2041"/>
      <c r="V739" s="1418">
        <f t="shared" si="76"/>
        <v>79.152919999993173</v>
      </c>
      <c r="W739" s="357"/>
      <c r="X739" s="357"/>
      <c r="Y739" s="357"/>
      <c r="Z739" s="358"/>
      <c r="AA739" s="359"/>
      <c r="AB739" s="360"/>
    </row>
    <row r="740" spans="1:28" s="361" customFormat="1" ht="15">
      <c r="A740" s="354"/>
      <c r="B740" s="2062"/>
      <c r="C740" s="2012"/>
      <c r="D740" s="1423"/>
      <c r="E740" s="915"/>
      <c r="F740" s="916"/>
      <c r="G740" s="1423"/>
      <c r="H740" s="915"/>
      <c r="I740" s="916"/>
      <c r="J740" s="867">
        <v>16</v>
      </c>
      <c r="K740" s="868">
        <v>4</v>
      </c>
      <c r="L740" s="919">
        <v>3180</v>
      </c>
      <c r="M740" s="870">
        <f t="shared" si="78"/>
        <v>12720</v>
      </c>
      <c r="N740" s="875"/>
      <c r="O740" s="875"/>
      <c r="P740" s="869"/>
      <c r="Q740" s="889" t="s">
        <v>1819</v>
      </c>
      <c r="R740" s="2053"/>
      <c r="S740" s="2046"/>
      <c r="T740" s="2048"/>
      <c r="U740" s="2041"/>
      <c r="V740" s="1418">
        <f t="shared" si="76"/>
        <v>79.152919999993173</v>
      </c>
      <c r="W740" s="357"/>
      <c r="X740" s="357"/>
      <c r="Y740" s="357"/>
      <c r="Z740" s="358"/>
      <c r="AA740" s="359"/>
      <c r="AB740" s="360"/>
    </row>
    <row r="741" spans="1:28" s="361" customFormat="1" ht="15">
      <c r="A741" s="354"/>
      <c r="B741" s="2062"/>
      <c r="C741" s="2010" t="s">
        <v>1842</v>
      </c>
      <c r="D741" s="1423"/>
      <c r="E741" s="915"/>
      <c r="F741" s="916"/>
      <c r="G741" s="1423"/>
      <c r="H741" s="915"/>
      <c r="I741" s="916"/>
      <c r="J741" s="867">
        <v>20</v>
      </c>
      <c r="K741" s="868">
        <v>17</v>
      </c>
      <c r="L741" s="919">
        <v>338</v>
      </c>
      <c r="M741" s="870">
        <f t="shared" ref="M741:M773" si="79">L741*K741</f>
        <v>5746</v>
      </c>
      <c r="N741" s="875"/>
      <c r="O741" s="875"/>
      <c r="P741" s="869"/>
      <c r="Q741" s="889" t="s">
        <v>1817</v>
      </c>
      <c r="R741" s="2051">
        <v>332.33</v>
      </c>
      <c r="S741" s="2045" t="s">
        <v>877</v>
      </c>
      <c r="T741" s="2048"/>
      <c r="U741" s="2041"/>
      <c r="V741" s="1418">
        <f t="shared" si="76"/>
        <v>79.152919999993173</v>
      </c>
      <c r="W741" s="357"/>
      <c r="X741" s="357"/>
      <c r="Y741" s="357"/>
      <c r="Z741" s="358"/>
      <c r="AA741" s="359"/>
      <c r="AB741" s="360"/>
    </row>
    <row r="742" spans="1:28" s="361" customFormat="1" ht="15">
      <c r="A742" s="354"/>
      <c r="B742" s="2062"/>
      <c r="C742" s="2011"/>
      <c r="D742" s="1423"/>
      <c r="E742" s="915"/>
      <c r="F742" s="916"/>
      <c r="G742" s="1423"/>
      <c r="H742" s="915"/>
      <c r="I742" s="916"/>
      <c r="J742" s="867">
        <v>20</v>
      </c>
      <c r="K742" s="868">
        <v>17</v>
      </c>
      <c r="L742" s="869">
        <v>378</v>
      </c>
      <c r="M742" s="870">
        <f t="shared" si="79"/>
        <v>6426</v>
      </c>
      <c r="N742" s="875"/>
      <c r="O742" s="875"/>
      <c r="P742" s="869"/>
      <c r="Q742" s="889" t="s">
        <v>1818</v>
      </c>
      <c r="R742" s="2052"/>
      <c r="S742" s="2050"/>
      <c r="T742" s="2048"/>
      <c r="U742" s="2041"/>
      <c r="V742" s="1418">
        <f t="shared" si="76"/>
        <v>79.152919999993173</v>
      </c>
      <c r="W742" s="357"/>
      <c r="X742" s="357"/>
      <c r="Y742" s="357"/>
      <c r="Z742" s="358"/>
      <c r="AA742" s="359"/>
      <c r="AB742" s="360"/>
    </row>
    <row r="743" spans="1:28" s="361" customFormat="1" ht="15">
      <c r="A743" s="354"/>
      <c r="B743" s="2062"/>
      <c r="C743" s="2011"/>
      <c r="D743" s="1426"/>
      <c r="E743" s="921"/>
      <c r="F743" s="922"/>
      <c r="G743" s="1426"/>
      <c r="H743" s="921"/>
      <c r="I743" s="922"/>
      <c r="J743" s="867">
        <v>20</v>
      </c>
      <c r="K743" s="868">
        <v>4</v>
      </c>
      <c r="L743" s="869">
        <v>330</v>
      </c>
      <c r="M743" s="870">
        <f t="shared" si="79"/>
        <v>1320</v>
      </c>
      <c r="N743" s="875"/>
      <c r="O743" s="875"/>
      <c r="P743" s="869"/>
      <c r="Q743" s="889" t="s">
        <v>1819</v>
      </c>
      <c r="R743" s="2052"/>
      <c r="S743" s="2050"/>
      <c r="T743" s="2049"/>
      <c r="U743" s="2042"/>
      <c r="V743" s="1418">
        <f t="shared" si="76"/>
        <v>79.152919999993173</v>
      </c>
      <c r="W743" s="357"/>
      <c r="X743" s="357"/>
      <c r="Y743" s="357"/>
      <c r="Z743" s="358"/>
      <c r="AA743" s="359"/>
      <c r="AB743" s="360"/>
    </row>
    <row r="744" spans="1:28" s="361" customFormat="1" ht="15">
      <c r="A744" s="354"/>
      <c r="B744" s="2098"/>
      <c r="C744" s="2010" t="s">
        <v>1831</v>
      </c>
      <c r="D744" s="923"/>
      <c r="E744" s="924"/>
      <c r="F744" s="925"/>
      <c r="G744" s="923"/>
      <c r="H744" s="924"/>
      <c r="I744" s="925"/>
      <c r="J744" s="867">
        <v>10</v>
      </c>
      <c r="K744" s="868">
        <v>35</v>
      </c>
      <c r="L744" s="919">
        <v>5248</v>
      </c>
      <c r="M744" s="870">
        <f t="shared" si="79"/>
        <v>183680</v>
      </c>
      <c r="N744" s="875"/>
      <c r="O744" s="875"/>
      <c r="P744" s="869"/>
      <c r="Q744" s="889" t="s">
        <v>1816</v>
      </c>
      <c r="R744" s="2051">
        <v>1295.0450000000001</v>
      </c>
      <c r="S744" s="2045" t="s">
        <v>877</v>
      </c>
      <c r="T744" s="2047" t="s">
        <v>305</v>
      </c>
      <c r="U744" s="912"/>
      <c r="V744" s="1418">
        <f t="shared" si="76"/>
        <v>79.152919999993173</v>
      </c>
      <c r="W744" s="357"/>
      <c r="X744" s="357"/>
      <c r="Y744" s="357"/>
      <c r="Z744" s="358"/>
      <c r="AA744" s="359"/>
      <c r="AB744" s="360"/>
    </row>
    <row r="745" spans="1:28" s="361" customFormat="1" ht="15">
      <c r="A745" s="354"/>
      <c r="B745" s="2062"/>
      <c r="C745" s="2012"/>
      <c r="D745" s="1423"/>
      <c r="E745" s="915"/>
      <c r="F745" s="916"/>
      <c r="G745" s="1423"/>
      <c r="H745" s="915"/>
      <c r="I745" s="916"/>
      <c r="J745" s="867">
        <v>20</v>
      </c>
      <c r="K745" s="868">
        <v>2</v>
      </c>
      <c r="L745" s="919">
        <v>3280</v>
      </c>
      <c r="M745" s="870">
        <f t="shared" si="79"/>
        <v>6560</v>
      </c>
      <c r="N745" s="875"/>
      <c r="O745" s="875"/>
      <c r="P745" s="869"/>
      <c r="Q745" s="889" t="s">
        <v>1836</v>
      </c>
      <c r="R745" s="2053"/>
      <c r="S745" s="2046"/>
      <c r="T745" s="2048"/>
      <c r="U745" s="913"/>
      <c r="V745" s="1418">
        <f t="shared" si="76"/>
        <v>79.152919999993173</v>
      </c>
      <c r="W745" s="357"/>
      <c r="X745" s="357"/>
      <c r="Y745" s="357"/>
      <c r="Z745" s="358"/>
      <c r="AA745" s="359"/>
      <c r="AB745" s="360"/>
    </row>
    <row r="746" spans="1:28" s="361" customFormat="1" ht="15">
      <c r="A746" s="354"/>
      <c r="B746" s="2062"/>
      <c r="C746" s="2010" t="s">
        <v>1837</v>
      </c>
      <c r="D746" s="1423"/>
      <c r="E746" s="915"/>
      <c r="F746" s="916"/>
      <c r="G746" s="1423"/>
      <c r="H746" s="915"/>
      <c r="I746" s="916"/>
      <c r="J746" s="867" t="s">
        <v>1839</v>
      </c>
      <c r="K746" s="868">
        <v>10</v>
      </c>
      <c r="L746" s="919">
        <v>976</v>
      </c>
      <c r="M746" s="870">
        <f t="shared" si="79"/>
        <v>9760</v>
      </c>
      <c r="N746" s="875"/>
      <c r="O746" s="875"/>
      <c r="P746" s="869"/>
      <c r="Q746" s="889" t="s">
        <v>1818</v>
      </c>
      <c r="R746" s="2051">
        <v>32.9</v>
      </c>
      <c r="S746" s="2045" t="s">
        <v>877</v>
      </c>
      <c r="T746" s="2048"/>
      <c r="U746" s="913"/>
      <c r="V746" s="1418">
        <f t="shared" si="76"/>
        <v>79.152919999993173</v>
      </c>
      <c r="W746" s="357"/>
      <c r="X746" s="357"/>
      <c r="Y746" s="357"/>
      <c r="Z746" s="358"/>
      <c r="AA746" s="359"/>
      <c r="AB746" s="360"/>
    </row>
    <row r="747" spans="1:28" s="361" customFormat="1" ht="15">
      <c r="A747" s="354"/>
      <c r="B747" s="2062"/>
      <c r="C747" s="2012"/>
      <c r="D747" s="1423"/>
      <c r="E747" s="915"/>
      <c r="F747" s="916"/>
      <c r="G747" s="1423"/>
      <c r="H747" s="915"/>
      <c r="I747" s="916"/>
      <c r="J747" s="867" t="s">
        <v>1839</v>
      </c>
      <c r="K747" s="868">
        <v>140</v>
      </c>
      <c r="L747" s="919">
        <v>26</v>
      </c>
      <c r="M747" s="870">
        <f t="shared" si="79"/>
        <v>3640</v>
      </c>
      <c r="N747" s="875"/>
      <c r="O747" s="875"/>
      <c r="P747" s="869"/>
      <c r="Q747" s="889" t="s">
        <v>1819</v>
      </c>
      <c r="R747" s="2053"/>
      <c r="S747" s="2046"/>
      <c r="T747" s="2048"/>
      <c r="U747" s="913"/>
      <c r="V747" s="1418">
        <f t="shared" si="76"/>
        <v>79.152919999993173</v>
      </c>
      <c r="W747" s="357"/>
      <c r="X747" s="357"/>
      <c r="Y747" s="357"/>
      <c r="Z747" s="358"/>
      <c r="AA747" s="359"/>
      <c r="AB747" s="360"/>
    </row>
    <row r="748" spans="1:28" s="361" customFormat="1" ht="15">
      <c r="A748" s="354"/>
      <c r="B748" s="2062"/>
      <c r="C748" s="926" t="s">
        <v>1841</v>
      </c>
      <c r="D748" s="1423"/>
      <c r="E748" s="915"/>
      <c r="F748" s="916"/>
      <c r="G748" s="1423"/>
      <c r="H748" s="915"/>
      <c r="I748" s="916"/>
      <c r="J748" s="867">
        <v>16</v>
      </c>
      <c r="K748" s="868">
        <v>2</v>
      </c>
      <c r="L748" s="869">
        <v>3180</v>
      </c>
      <c r="M748" s="870">
        <f>L748*K748</f>
        <v>6360</v>
      </c>
      <c r="N748" s="875"/>
      <c r="O748" s="875"/>
      <c r="P748" s="869"/>
      <c r="Q748" s="889" t="s">
        <v>1819</v>
      </c>
      <c r="R748" s="927">
        <v>100.8</v>
      </c>
      <c r="S748" s="927" t="s">
        <v>877</v>
      </c>
      <c r="T748" s="2048"/>
      <c r="U748" s="913"/>
      <c r="V748" s="1418">
        <f t="shared" si="76"/>
        <v>79.152919999993173</v>
      </c>
      <c r="W748" s="357"/>
      <c r="X748" s="357"/>
      <c r="Y748" s="357"/>
      <c r="Z748" s="358"/>
      <c r="AA748" s="359"/>
      <c r="AB748" s="360"/>
    </row>
    <row r="749" spans="1:28" s="361" customFormat="1" ht="15">
      <c r="A749" s="354"/>
      <c r="B749" s="2062"/>
      <c r="C749" s="2010" t="s">
        <v>1842</v>
      </c>
      <c r="D749" s="1423"/>
      <c r="E749" s="915"/>
      <c r="F749" s="916"/>
      <c r="G749" s="1423"/>
      <c r="H749" s="915"/>
      <c r="I749" s="916"/>
      <c r="J749" s="867">
        <v>10</v>
      </c>
      <c r="K749" s="868">
        <v>46</v>
      </c>
      <c r="L749" s="919">
        <v>330</v>
      </c>
      <c r="M749" s="870">
        <f>L749*K749</f>
        <v>15180</v>
      </c>
      <c r="N749" s="875"/>
      <c r="O749" s="875"/>
      <c r="P749" s="869"/>
      <c r="Q749" s="889" t="s">
        <v>1816</v>
      </c>
      <c r="R749" s="2051">
        <v>813.05</v>
      </c>
      <c r="S749" s="2045" t="s">
        <v>877</v>
      </c>
      <c r="T749" s="2048"/>
      <c r="U749" s="913"/>
      <c r="V749" s="1418">
        <f t="shared" si="76"/>
        <v>79.152919999993173</v>
      </c>
      <c r="W749" s="357"/>
      <c r="X749" s="357"/>
      <c r="Y749" s="357"/>
      <c r="Z749" s="358"/>
      <c r="AA749" s="359"/>
      <c r="AB749" s="360"/>
    </row>
    <row r="750" spans="1:28" s="361" customFormat="1" ht="15">
      <c r="A750" s="354"/>
      <c r="B750" s="2062"/>
      <c r="C750" s="2011"/>
      <c r="D750" s="1423"/>
      <c r="E750" s="915"/>
      <c r="F750" s="916"/>
      <c r="G750" s="1423"/>
      <c r="H750" s="915"/>
      <c r="I750" s="916"/>
      <c r="J750" s="867">
        <v>20</v>
      </c>
      <c r="K750" s="868">
        <v>17</v>
      </c>
      <c r="L750" s="869">
        <v>839</v>
      </c>
      <c r="M750" s="870">
        <f>L750*K750</f>
        <v>14263</v>
      </c>
      <c r="N750" s="875"/>
      <c r="O750" s="875"/>
      <c r="P750" s="869"/>
      <c r="Q750" s="889" t="s">
        <v>1832</v>
      </c>
      <c r="R750" s="2052"/>
      <c r="S750" s="2050"/>
      <c r="T750" s="2048"/>
      <c r="U750" s="913"/>
      <c r="V750" s="1418">
        <f t="shared" si="76"/>
        <v>79.152919999993173</v>
      </c>
      <c r="W750" s="357"/>
      <c r="X750" s="357"/>
      <c r="Y750" s="357"/>
      <c r="Z750" s="358"/>
      <c r="AA750" s="359"/>
      <c r="AB750" s="360"/>
    </row>
    <row r="751" spans="1:28" s="361" customFormat="1" ht="15">
      <c r="A751" s="354"/>
      <c r="B751" s="2062"/>
      <c r="C751" s="2011"/>
      <c r="D751" s="1423"/>
      <c r="E751" s="915"/>
      <c r="F751" s="916"/>
      <c r="G751" s="1423"/>
      <c r="H751" s="915"/>
      <c r="I751" s="916"/>
      <c r="J751" s="867">
        <v>20</v>
      </c>
      <c r="K751" s="868">
        <v>17</v>
      </c>
      <c r="L751" s="869">
        <v>879</v>
      </c>
      <c r="M751" s="870">
        <f>L751*K751</f>
        <v>14943</v>
      </c>
      <c r="N751" s="875"/>
      <c r="O751" s="875"/>
      <c r="P751" s="869"/>
      <c r="Q751" s="889" t="s">
        <v>1833</v>
      </c>
      <c r="R751" s="2052"/>
      <c r="S751" s="2050"/>
      <c r="T751" s="2048"/>
      <c r="U751" s="913"/>
      <c r="V751" s="1418">
        <f t="shared" si="76"/>
        <v>79.152919999993173</v>
      </c>
      <c r="W751" s="357"/>
      <c r="X751" s="357"/>
      <c r="Y751" s="357"/>
      <c r="Z751" s="358"/>
      <c r="AA751" s="359"/>
      <c r="AB751" s="360"/>
    </row>
    <row r="752" spans="1:28" s="361" customFormat="1" ht="15">
      <c r="A752" s="354"/>
      <c r="B752" s="2062"/>
      <c r="C752" s="2010" t="s">
        <v>1843</v>
      </c>
      <c r="D752" s="1423"/>
      <c r="E752" s="915"/>
      <c r="F752" s="916"/>
      <c r="G752" s="1423"/>
      <c r="H752" s="915"/>
      <c r="I752" s="916"/>
      <c r="J752" s="867">
        <v>10</v>
      </c>
      <c r="K752" s="868">
        <v>10</v>
      </c>
      <c r="L752" s="869">
        <v>482</v>
      </c>
      <c r="M752" s="870">
        <f t="shared" si="79"/>
        <v>4820</v>
      </c>
      <c r="N752" s="875"/>
      <c r="O752" s="875"/>
      <c r="P752" s="869"/>
      <c r="Q752" s="889" t="s">
        <v>1816</v>
      </c>
      <c r="R752" s="2045">
        <v>145.99</v>
      </c>
      <c r="S752" s="2045" t="s">
        <v>877</v>
      </c>
      <c r="T752" s="2048"/>
      <c r="U752" s="913"/>
      <c r="V752" s="1418">
        <f t="shared" si="76"/>
        <v>79.152919999993173</v>
      </c>
      <c r="W752" s="357"/>
      <c r="X752" s="357"/>
      <c r="Y752" s="357"/>
      <c r="Z752" s="358"/>
      <c r="AA752" s="359"/>
      <c r="AB752" s="360"/>
    </row>
    <row r="753" spans="1:28" s="361" customFormat="1" ht="15">
      <c r="A753" s="354"/>
      <c r="B753" s="2062"/>
      <c r="C753" s="2011"/>
      <c r="D753" s="1423"/>
      <c r="E753" s="915"/>
      <c r="F753" s="916"/>
      <c r="G753" s="1423"/>
      <c r="H753" s="915"/>
      <c r="I753" s="916"/>
      <c r="J753" s="867">
        <v>10</v>
      </c>
      <c r="K753" s="868">
        <v>40</v>
      </c>
      <c r="L753" s="919">
        <v>340</v>
      </c>
      <c r="M753" s="870">
        <f t="shared" si="79"/>
        <v>13600</v>
      </c>
      <c r="N753" s="875"/>
      <c r="O753" s="875"/>
      <c r="P753" s="869"/>
      <c r="Q753" s="889" t="s">
        <v>1817</v>
      </c>
      <c r="R753" s="2050"/>
      <c r="S753" s="2050"/>
      <c r="T753" s="2048"/>
      <c r="U753" s="913"/>
      <c r="V753" s="1418">
        <f t="shared" si="76"/>
        <v>79.152919999993173</v>
      </c>
      <c r="W753" s="357"/>
      <c r="X753" s="357"/>
      <c r="Y753" s="357"/>
      <c r="Z753" s="358"/>
      <c r="AA753" s="359"/>
      <c r="AB753" s="360"/>
    </row>
    <row r="754" spans="1:28" s="361" customFormat="1" ht="15">
      <c r="A754" s="354"/>
      <c r="B754" s="2062"/>
      <c r="C754" s="2012"/>
      <c r="D754" s="1423"/>
      <c r="E754" s="915"/>
      <c r="F754" s="916"/>
      <c r="G754" s="1423"/>
      <c r="H754" s="915"/>
      <c r="I754" s="916"/>
      <c r="J754" s="867">
        <v>10</v>
      </c>
      <c r="K754" s="868">
        <v>20</v>
      </c>
      <c r="L754" s="919">
        <v>262</v>
      </c>
      <c r="M754" s="870">
        <f t="shared" si="79"/>
        <v>5240</v>
      </c>
      <c r="N754" s="875"/>
      <c r="O754" s="875"/>
      <c r="P754" s="869"/>
      <c r="Q754" s="889" t="s">
        <v>1818</v>
      </c>
      <c r="R754" s="2046"/>
      <c r="S754" s="2050"/>
      <c r="T754" s="2048"/>
      <c r="U754" s="913"/>
      <c r="V754" s="1418">
        <f t="shared" si="76"/>
        <v>79.152919999993173</v>
      </c>
      <c r="W754" s="357"/>
      <c r="X754" s="357"/>
      <c r="Y754" s="357"/>
      <c r="Z754" s="358"/>
      <c r="AA754" s="359"/>
      <c r="AB754" s="360"/>
    </row>
    <row r="755" spans="1:28" s="361" customFormat="1" ht="15">
      <c r="A755" s="354"/>
      <c r="B755" s="2062"/>
      <c r="C755" s="2010" t="s">
        <v>1844</v>
      </c>
      <c r="D755" s="1423"/>
      <c r="E755" s="915"/>
      <c r="F755" s="916"/>
      <c r="G755" s="1423"/>
      <c r="H755" s="915"/>
      <c r="I755" s="916"/>
      <c r="J755" s="867">
        <v>10</v>
      </c>
      <c r="K755" s="868">
        <v>90</v>
      </c>
      <c r="L755" s="869">
        <v>482</v>
      </c>
      <c r="M755" s="870">
        <f t="shared" si="79"/>
        <v>43380</v>
      </c>
      <c r="N755" s="875"/>
      <c r="O755" s="875"/>
      <c r="P755" s="869"/>
      <c r="Q755" s="889" t="s">
        <v>1816</v>
      </c>
      <c r="R755" s="2051">
        <v>1233.97</v>
      </c>
      <c r="S755" s="2045" t="s">
        <v>877</v>
      </c>
      <c r="T755" s="2048"/>
      <c r="U755" s="913"/>
      <c r="V755" s="1418">
        <f t="shared" si="76"/>
        <v>79.152919999993173</v>
      </c>
      <c r="W755" s="357"/>
      <c r="X755" s="357"/>
      <c r="Y755" s="357"/>
      <c r="Z755" s="358"/>
      <c r="AA755" s="359"/>
      <c r="AB755" s="360"/>
    </row>
    <row r="756" spans="1:28" s="361" customFormat="1" ht="15">
      <c r="A756" s="354"/>
      <c r="B756" s="2062"/>
      <c r="C756" s="2011"/>
      <c r="D756" s="1423"/>
      <c r="E756" s="915"/>
      <c r="F756" s="916"/>
      <c r="G756" s="1423"/>
      <c r="H756" s="915"/>
      <c r="I756" s="916"/>
      <c r="J756" s="867">
        <v>10</v>
      </c>
      <c r="K756" s="868">
        <v>180</v>
      </c>
      <c r="L756" s="869">
        <v>310</v>
      </c>
      <c r="M756" s="870">
        <f t="shared" si="79"/>
        <v>55800</v>
      </c>
      <c r="N756" s="875"/>
      <c r="O756" s="875"/>
      <c r="P756" s="869"/>
      <c r="Q756" s="889" t="s">
        <v>1817</v>
      </c>
      <c r="R756" s="2052"/>
      <c r="S756" s="2050"/>
      <c r="T756" s="2048"/>
      <c r="U756" s="913"/>
      <c r="V756" s="1418">
        <f t="shared" si="76"/>
        <v>79.152919999993173</v>
      </c>
      <c r="W756" s="357"/>
      <c r="X756" s="357"/>
      <c r="Y756" s="357"/>
      <c r="Z756" s="358"/>
      <c r="AA756" s="359"/>
      <c r="AB756" s="360"/>
    </row>
    <row r="757" spans="1:28" s="361" customFormat="1" ht="15">
      <c r="A757" s="354"/>
      <c r="B757" s="2062"/>
      <c r="C757" s="2011"/>
      <c r="D757" s="1423"/>
      <c r="E757" s="915"/>
      <c r="F757" s="916"/>
      <c r="G757" s="1423"/>
      <c r="H757" s="915"/>
      <c r="I757" s="916"/>
      <c r="J757" s="867">
        <v>10</v>
      </c>
      <c r="K757" s="868">
        <v>180</v>
      </c>
      <c r="L757" s="869">
        <v>220</v>
      </c>
      <c r="M757" s="870">
        <f t="shared" si="79"/>
        <v>39600</v>
      </c>
      <c r="N757" s="875"/>
      <c r="O757" s="875"/>
      <c r="P757" s="869"/>
      <c r="Q757" s="889" t="s">
        <v>1818</v>
      </c>
      <c r="R757" s="2052"/>
      <c r="S757" s="2050"/>
      <c r="T757" s="2048"/>
      <c r="U757" s="913"/>
      <c r="V757" s="1418">
        <f t="shared" si="76"/>
        <v>79.152919999993173</v>
      </c>
      <c r="W757" s="357"/>
      <c r="X757" s="357"/>
      <c r="Y757" s="357"/>
      <c r="Z757" s="358"/>
      <c r="AA757" s="359"/>
      <c r="AB757" s="360"/>
    </row>
    <row r="758" spans="1:28" s="361" customFormat="1" ht="15">
      <c r="A758" s="354"/>
      <c r="B758" s="2063"/>
      <c r="C758" s="2011"/>
      <c r="D758" s="1426"/>
      <c r="E758" s="921"/>
      <c r="F758" s="922"/>
      <c r="G758" s="1426"/>
      <c r="H758" s="921"/>
      <c r="I758" s="922"/>
      <c r="J758" s="867">
        <v>10</v>
      </c>
      <c r="K758" s="868">
        <v>180</v>
      </c>
      <c r="L758" s="869">
        <v>340</v>
      </c>
      <c r="M758" s="870">
        <f t="shared" si="79"/>
        <v>61200</v>
      </c>
      <c r="N758" s="875"/>
      <c r="O758" s="875"/>
      <c r="P758" s="869"/>
      <c r="Q758" s="889" t="s">
        <v>1819</v>
      </c>
      <c r="R758" s="2053"/>
      <c r="S758" s="2046"/>
      <c r="T758" s="2049"/>
      <c r="U758" s="914"/>
      <c r="V758" s="1418">
        <f t="shared" si="76"/>
        <v>79.152919999993173</v>
      </c>
      <c r="W758" s="357"/>
      <c r="X758" s="357"/>
      <c r="Y758" s="357"/>
      <c r="Z758" s="358"/>
      <c r="AA758" s="359"/>
      <c r="AB758" s="360"/>
    </row>
    <row r="759" spans="1:28" s="361" customFormat="1" ht="15">
      <c r="A759" s="354"/>
      <c r="B759" s="2098"/>
      <c r="C759" s="926" t="s">
        <v>1831</v>
      </c>
      <c r="D759" s="923"/>
      <c r="E759" s="924"/>
      <c r="F759" s="925"/>
      <c r="G759" s="923"/>
      <c r="H759" s="924"/>
      <c r="I759" s="925"/>
      <c r="J759" s="917">
        <v>10</v>
      </c>
      <c r="K759" s="918">
        <v>22</v>
      </c>
      <c r="L759" s="919">
        <v>5248</v>
      </c>
      <c r="M759" s="870">
        <f>L759*K759</f>
        <v>115456</v>
      </c>
      <c r="N759" s="928"/>
      <c r="O759" s="928"/>
      <c r="P759" s="919"/>
      <c r="Q759" s="929" t="s">
        <v>1816</v>
      </c>
      <c r="R759" s="930">
        <v>721.34900000000005</v>
      </c>
      <c r="S759" s="894" t="s">
        <v>1448</v>
      </c>
      <c r="T759" s="2047" t="s">
        <v>56</v>
      </c>
      <c r="U759" s="2040"/>
      <c r="V759" s="1418">
        <f t="shared" si="76"/>
        <v>79.152919999993173</v>
      </c>
      <c r="W759" s="357"/>
      <c r="X759" s="357"/>
      <c r="Y759" s="357"/>
      <c r="Z759" s="358"/>
      <c r="AA759" s="359"/>
      <c r="AB759" s="360"/>
    </row>
    <row r="760" spans="1:28" s="361" customFormat="1" ht="15">
      <c r="A760" s="354"/>
      <c r="B760" s="2062"/>
      <c r="C760" s="2010" t="s">
        <v>1837</v>
      </c>
      <c r="D760" s="1423"/>
      <c r="E760" s="915"/>
      <c r="F760" s="916"/>
      <c r="G760" s="1423"/>
      <c r="H760" s="915"/>
      <c r="I760" s="916"/>
      <c r="J760" s="917" t="s">
        <v>1839</v>
      </c>
      <c r="K760" s="918">
        <v>3</v>
      </c>
      <c r="L760" s="919">
        <v>402</v>
      </c>
      <c r="M760" s="870">
        <f>L760*K760</f>
        <v>1206</v>
      </c>
      <c r="N760" s="928"/>
      <c r="O760" s="928"/>
      <c r="P760" s="919"/>
      <c r="Q760" s="929" t="s">
        <v>1833</v>
      </c>
      <c r="R760" s="2051">
        <v>3.91</v>
      </c>
      <c r="S760" s="2045" t="s">
        <v>1448</v>
      </c>
      <c r="T760" s="2048"/>
      <c r="U760" s="2041"/>
      <c r="V760" s="1418">
        <f t="shared" si="76"/>
        <v>79.152919999993173</v>
      </c>
      <c r="W760" s="357"/>
      <c r="X760" s="357"/>
      <c r="Y760" s="357"/>
      <c r="Z760" s="358"/>
      <c r="AA760" s="359"/>
      <c r="AB760" s="360"/>
    </row>
    <row r="761" spans="1:28" s="361" customFormat="1" ht="15">
      <c r="A761" s="354"/>
      <c r="B761" s="2062"/>
      <c r="C761" s="2012"/>
      <c r="D761" s="1423"/>
      <c r="E761" s="915"/>
      <c r="F761" s="916"/>
      <c r="G761" s="1423"/>
      <c r="H761" s="915"/>
      <c r="I761" s="916"/>
      <c r="J761" s="917" t="s">
        <v>1839</v>
      </c>
      <c r="K761" s="918">
        <v>15</v>
      </c>
      <c r="L761" s="919">
        <v>26</v>
      </c>
      <c r="M761" s="870">
        <f>L761*K761</f>
        <v>390</v>
      </c>
      <c r="N761" s="928"/>
      <c r="O761" s="928"/>
      <c r="P761" s="919"/>
      <c r="Q761" s="929" t="s">
        <v>1834</v>
      </c>
      <c r="R761" s="2053"/>
      <c r="S761" s="2050"/>
      <c r="T761" s="2048"/>
      <c r="U761" s="2041"/>
      <c r="V761" s="1418">
        <f t="shared" si="76"/>
        <v>79.152919999993173</v>
      </c>
      <c r="W761" s="357"/>
      <c r="X761" s="357"/>
      <c r="Y761" s="357"/>
      <c r="Z761" s="358"/>
      <c r="AA761" s="359"/>
      <c r="AB761" s="360"/>
    </row>
    <row r="762" spans="1:28" s="361" customFormat="1" ht="15">
      <c r="A762" s="354"/>
      <c r="B762" s="2062"/>
      <c r="C762" s="931" t="s">
        <v>1842</v>
      </c>
      <c r="D762" s="1423"/>
      <c r="E762" s="915"/>
      <c r="F762" s="916"/>
      <c r="G762" s="1423"/>
      <c r="H762" s="915"/>
      <c r="I762" s="916"/>
      <c r="J762" s="917">
        <v>10</v>
      </c>
      <c r="K762" s="918">
        <v>22</v>
      </c>
      <c r="L762" s="919">
        <v>330</v>
      </c>
      <c r="M762" s="870">
        <f>L762*K762</f>
        <v>7260</v>
      </c>
      <c r="N762" s="928"/>
      <c r="O762" s="928"/>
      <c r="P762" s="919"/>
      <c r="Q762" s="929" t="s">
        <v>1816</v>
      </c>
      <c r="R762" s="930">
        <v>44.798000000000002</v>
      </c>
      <c r="S762" s="894" t="s">
        <v>1448</v>
      </c>
      <c r="T762" s="2048"/>
      <c r="U762" s="2041"/>
      <c r="V762" s="1418">
        <f t="shared" si="76"/>
        <v>79.152919999993173</v>
      </c>
      <c r="W762" s="357"/>
      <c r="X762" s="357"/>
      <c r="Y762" s="357"/>
      <c r="Z762" s="358"/>
      <c r="AA762" s="359"/>
      <c r="AB762" s="360"/>
    </row>
    <row r="763" spans="1:28" s="361" customFormat="1" ht="15">
      <c r="A763" s="354"/>
      <c r="B763" s="2062"/>
      <c r="C763" s="2010" t="s">
        <v>1843</v>
      </c>
      <c r="D763" s="1423"/>
      <c r="E763" s="915"/>
      <c r="F763" s="916"/>
      <c r="G763" s="1423"/>
      <c r="H763" s="915"/>
      <c r="I763" s="916"/>
      <c r="J763" s="917">
        <v>10</v>
      </c>
      <c r="K763" s="918">
        <v>60</v>
      </c>
      <c r="L763" s="919">
        <v>340</v>
      </c>
      <c r="M763" s="870">
        <f>L763*K763</f>
        <v>20400</v>
      </c>
      <c r="N763" s="928"/>
      <c r="O763" s="928"/>
      <c r="P763" s="919"/>
      <c r="Q763" s="929" t="s">
        <v>1817</v>
      </c>
      <c r="R763" s="2051">
        <v>174.38</v>
      </c>
      <c r="S763" s="2045" t="s">
        <v>1448</v>
      </c>
      <c r="T763" s="2048"/>
      <c r="U763" s="2041"/>
      <c r="V763" s="1418">
        <f t="shared" si="76"/>
        <v>79.152919999993173</v>
      </c>
      <c r="W763" s="357"/>
      <c r="X763" s="357"/>
      <c r="Y763" s="357"/>
      <c r="Z763" s="358"/>
      <c r="AA763" s="359"/>
      <c r="AB763" s="360"/>
    </row>
    <row r="764" spans="1:28" s="361" customFormat="1" ht="15">
      <c r="A764" s="354"/>
      <c r="B764" s="2062"/>
      <c r="C764" s="2012"/>
      <c r="D764" s="1423"/>
      <c r="E764" s="915"/>
      <c r="F764" s="916"/>
      <c r="G764" s="1423"/>
      <c r="H764" s="915"/>
      <c r="I764" s="916"/>
      <c r="J764" s="917">
        <v>10</v>
      </c>
      <c r="K764" s="918">
        <v>30</v>
      </c>
      <c r="L764" s="919">
        <v>262</v>
      </c>
      <c r="M764" s="870">
        <f t="shared" si="79"/>
        <v>7860</v>
      </c>
      <c r="N764" s="928"/>
      <c r="O764" s="928"/>
      <c r="P764" s="919"/>
      <c r="Q764" s="929" t="s">
        <v>1818</v>
      </c>
      <c r="R764" s="2053"/>
      <c r="S764" s="2050"/>
      <c r="T764" s="2048"/>
      <c r="U764" s="2041"/>
      <c r="V764" s="1418">
        <f t="shared" si="76"/>
        <v>79.152919999993173</v>
      </c>
      <c r="W764" s="357"/>
      <c r="X764" s="357"/>
      <c r="Y764" s="357"/>
      <c r="Z764" s="358"/>
      <c r="AA764" s="359"/>
      <c r="AB764" s="360"/>
    </row>
    <row r="765" spans="1:28" s="361" customFormat="1" ht="15">
      <c r="A765" s="354"/>
      <c r="B765" s="2062"/>
      <c r="C765" s="2010" t="s">
        <v>1844</v>
      </c>
      <c r="D765" s="1423"/>
      <c r="E765" s="915"/>
      <c r="F765" s="916"/>
      <c r="G765" s="1423"/>
      <c r="H765" s="915"/>
      <c r="I765" s="916"/>
      <c r="J765" s="917">
        <v>10</v>
      </c>
      <c r="K765" s="918">
        <v>45</v>
      </c>
      <c r="L765" s="919">
        <v>310</v>
      </c>
      <c r="M765" s="870">
        <f t="shared" si="79"/>
        <v>13950</v>
      </c>
      <c r="N765" s="928"/>
      <c r="O765" s="928"/>
      <c r="P765" s="919"/>
      <c r="Q765" s="889" t="s">
        <v>1817</v>
      </c>
      <c r="R765" s="2051">
        <v>1019.05</v>
      </c>
      <c r="S765" s="2045" t="s">
        <v>1448</v>
      </c>
      <c r="T765" s="2048"/>
      <c r="U765" s="2041"/>
      <c r="V765" s="1418">
        <f t="shared" si="76"/>
        <v>79.152919999993173</v>
      </c>
      <c r="W765" s="357"/>
      <c r="X765" s="357"/>
      <c r="Y765" s="357"/>
      <c r="Z765" s="358"/>
      <c r="AA765" s="359"/>
      <c r="AB765" s="360"/>
    </row>
    <row r="766" spans="1:28" s="361" customFormat="1" ht="15">
      <c r="A766" s="354"/>
      <c r="B766" s="2062"/>
      <c r="C766" s="2011"/>
      <c r="D766" s="1423"/>
      <c r="E766" s="915"/>
      <c r="F766" s="916"/>
      <c r="G766" s="1423"/>
      <c r="H766" s="915"/>
      <c r="I766" s="916"/>
      <c r="J766" s="917">
        <v>10</v>
      </c>
      <c r="K766" s="918">
        <v>270</v>
      </c>
      <c r="L766" s="919">
        <v>220</v>
      </c>
      <c r="M766" s="870">
        <f t="shared" si="79"/>
        <v>59400</v>
      </c>
      <c r="N766" s="928"/>
      <c r="O766" s="928"/>
      <c r="P766" s="919"/>
      <c r="Q766" s="889" t="s">
        <v>1818</v>
      </c>
      <c r="R766" s="2052"/>
      <c r="S766" s="2050"/>
      <c r="T766" s="2048"/>
      <c r="U766" s="2041"/>
      <c r="V766" s="1418">
        <f t="shared" si="76"/>
        <v>79.152919999993173</v>
      </c>
      <c r="W766" s="357"/>
      <c r="X766" s="357"/>
      <c r="Y766" s="357"/>
      <c r="Z766" s="358"/>
      <c r="AA766" s="359"/>
      <c r="AB766" s="360"/>
    </row>
    <row r="767" spans="1:28" s="361" customFormat="1" ht="15">
      <c r="A767" s="354"/>
      <c r="B767" s="2062"/>
      <c r="C767" s="2012"/>
      <c r="D767" s="1423"/>
      <c r="E767" s="915"/>
      <c r="F767" s="916"/>
      <c r="G767" s="1423"/>
      <c r="H767" s="915"/>
      <c r="I767" s="916"/>
      <c r="J767" s="917">
        <v>10</v>
      </c>
      <c r="K767" s="918">
        <v>270</v>
      </c>
      <c r="L767" s="919">
        <v>340</v>
      </c>
      <c r="M767" s="870">
        <f t="shared" si="79"/>
        <v>91800</v>
      </c>
      <c r="N767" s="928"/>
      <c r="O767" s="928"/>
      <c r="P767" s="919"/>
      <c r="Q767" s="889" t="s">
        <v>1819</v>
      </c>
      <c r="R767" s="2053"/>
      <c r="S767" s="2046"/>
      <c r="T767" s="2048"/>
      <c r="U767" s="2041"/>
      <c r="V767" s="1418">
        <f t="shared" si="76"/>
        <v>79.152919999993173</v>
      </c>
      <c r="W767" s="357"/>
      <c r="X767" s="357"/>
      <c r="Y767" s="357"/>
      <c r="Z767" s="358"/>
      <c r="AA767" s="359"/>
      <c r="AB767" s="360"/>
    </row>
    <row r="768" spans="1:28" s="361" customFormat="1" ht="15">
      <c r="A768" s="354"/>
      <c r="B768" s="2062"/>
      <c r="C768" s="2010" t="s">
        <v>1845</v>
      </c>
      <c r="D768" s="1423"/>
      <c r="E768" s="915"/>
      <c r="F768" s="916"/>
      <c r="G768" s="1423"/>
      <c r="H768" s="915"/>
      <c r="I768" s="916"/>
      <c r="J768" s="917">
        <v>8</v>
      </c>
      <c r="K768" s="918">
        <v>140</v>
      </c>
      <c r="L768" s="919">
        <v>32</v>
      </c>
      <c r="M768" s="870">
        <f t="shared" si="79"/>
        <v>4480</v>
      </c>
      <c r="N768" s="928"/>
      <c r="O768" s="928"/>
      <c r="P768" s="919"/>
      <c r="Q768" s="929" t="s">
        <v>1832</v>
      </c>
      <c r="R768" s="2051">
        <v>728.97</v>
      </c>
      <c r="S768" s="2045" t="s">
        <v>1448</v>
      </c>
      <c r="T768" s="2048"/>
      <c r="U768" s="2041"/>
      <c r="V768" s="1418">
        <f t="shared" si="76"/>
        <v>79.152919999993173</v>
      </c>
      <c r="W768" s="357"/>
      <c r="X768" s="357"/>
      <c r="Y768" s="357"/>
      <c r="Z768" s="358"/>
      <c r="AA768" s="359"/>
      <c r="AB768" s="360"/>
    </row>
    <row r="769" spans="1:28" s="361" customFormat="1" ht="15">
      <c r="A769" s="354"/>
      <c r="B769" s="2062"/>
      <c r="C769" s="2011"/>
      <c r="D769" s="1423"/>
      <c r="E769" s="915"/>
      <c r="F769" s="916"/>
      <c r="G769" s="1423"/>
      <c r="H769" s="915"/>
      <c r="I769" s="916"/>
      <c r="J769" s="917">
        <v>8</v>
      </c>
      <c r="K769" s="918">
        <v>140</v>
      </c>
      <c r="L769" s="919">
        <v>70</v>
      </c>
      <c r="M769" s="870">
        <f t="shared" si="79"/>
        <v>9800</v>
      </c>
      <c r="N769" s="928"/>
      <c r="O769" s="928"/>
      <c r="P769" s="919"/>
      <c r="Q769" s="929" t="s">
        <v>1833</v>
      </c>
      <c r="R769" s="2052"/>
      <c r="S769" s="2050"/>
      <c r="T769" s="2048"/>
      <c r="U769" s="2041"/>
      <c r="V769" s="1418">
        <f t="shared" si="76"/>
        <v>79.152919999993173</v>
      </c>
      <c r="W769" s="357"/>
      <c r="X769" s="357"/>
      <c r="Y769" s="357"/>
      <c r="Z769" s="358"/>
      <c r="AA769" s="359"/>
      <c r="AB769" s="360"/>
    </row>
    <row r="770" spans="1:28" s="361" customFormat="1" ht="15">
      <c r="A770" s="354"/>
      <c r="B770" s="2062"/>
      <c r="C770" s="2011"/>
      <c r="D770" s="1423"/>
      <c r="E770" s="915"/>
      <c r="F770" s="916"/>
      <c r="G770" s="1423"/>
      <c r="H770" s="915"/>
      <c r="I770" s="916"/>
      <c r="J770" s="917">
        <v>8</v>
      </c>
      <c r="K770" s="918">
        <v>28</v>
      </c>
      <c r="L770" s="919">
        <v>120</v>
      </c>
      <c r="M770" s="870">
        <f t="shared" si="79"/>
        <v>3360</v>
      </c>
      <c r="N770" s="928"/>
      <c r="O770" s="928"/>
      <c r="P770" s="919"/>
      <c r="Q770" s="929" t="s">
        <v>1846</v>
      </c>
      <c r="R770" s="2052"/>
      <c r="S770" s="2050"/>
      <c r="T770" s="2048"/>
      <c r="U770" s="2041"/>
      <c r="V770" s="1418">
        <f t="shared" si="76"/>
        <v>79.152919999993173</v>
      </c>
      <c r="W770" s="357"/>
      <c r="X770" s="357"/>
      <c r="Y770" s="357"/>
      <c r="Z770" s="358"/>
      <c r="AA770" s="359"/>
      <c r="AB770" s="360"/>
    </row>
    <row r="771" spans="1:28" s="361" customFormat="1" ht="15">
      <c r="A771" s="354"/>
      <c r="B771" s="2062"/>
      <c r="C771" s="2011"/>
      <c r="D771" s="1423"/>
      <c r="E771" s="915"/>
      <c r="F771" s="916"/>
      <c r="G771" s="1423"/>
      <c r="H771" s="915"/>
      <c r="I771" s="916"/>
      <c r="J771" s="917">
        <v>8</v>
      </c>
      <c r="K771" s="918">
        <v>126</v>
      </c>
      <c r="L771" s="919">
        <v>167</v>
      </c>
      <c r="M771" s="870">
        <f t="shared" si="79"/>
        <v>21042</v>
      </c>
      <c r="N771" s="928"/>
      <c r="O771" s="928"/>
      <c r="P771" s="919"/>
      <c r="Q771" s="929" t="s">
        <v>1847</v>
      </c>
      <c r="R771" s="2052"/>
      <c r="S771" s="2050"/>
      <c r="T771" s="2048"/>
      <c r="U771" s="2041"/>
      <c r="V771" s="1418">
        <f t="shared" si="76"/>
        <v>79.152919999993173</v>
      </c>
      <c r="W771" s="357"/>
      <c r="X771" s="357"/>
      <c r="Y771" s="357"/>
      <c r="Z771" s="358"/>
      <c r="AA771" s="359"/>
      <c r="AB771" s="360"/>
    </row>
    <row r="772" spans="1:28" s="361" customFormat="1" ht="15">
      <c r="A772" s="354"/>
      <c r="B772" s="2062"/>
      <c r="C772" s="2011"/>
      <c r="D772" s="1423"/>
      <c r="E772" s="915"/>
      <c r="F772" s="916"/>
      <c r="G772" s="1423"/>
      <c r="H772" s="915"/>
      <c r="I772" s="916"/>
      <c r="J772" s="917">
        <v>8</v>
      </c>
      <c r="K772" s="918">
        <v>160</v>
      </c>
      <c r="L772" s="919">
        <v>235</v>
      </c>
      <c r="M772" s="870">
        <f t="shared" si="79"/>
        <v>37600</v>
      </c>
      <c r="N772" s="928"/>
      <c r="O772" s="928"/>
      <c r="P772" s="919"/>
      <c r="Q772" s="929" t="s">
        <v>1848</v>
      </c>
      <c r="R772" s="2052"/>
      <c r="S772" s="2050"/>
      <c r="T772" s="2048"/>
      <c r="U772" s="2041"/>
      <c r="V772" s="1418">
        <f t="shared" si="76"/>
        <v>79.152919999993173</v>
      </c>
      <c r="W772" s="357"/>
      <c r="X772" s="357"/>
      <c r="Y772" s="357"/>
      <c r="Z772" s="358"/>
      <c r="AA772" s="359"/>
      <c r="AB772" s="360"/>
    </row>
    <row r="773" spans="1:28" s="361" customFormat="1" ht="15">
      <c r="A773" s="354"/>
      <c r="B773" s="2062"/>
      <c r="C773" s="2012"/>
      <c r="D773" s="1423"/>
      <c r="E773" s="915"/>
      <c r="F773" s="916"/>
      <c r="G773" s="1423"/>
      <c r="H773" s="915"/>
      <c r="I773" s="916"/>
      <c r="J773" s="917" t="s">
        <v>1838</v>
      </c>
      <c r="K773" s="918">
        <v>14</v>
      </c>
      <c r="L773" s="919">
        <v>3172</v>
      </c>
      <c r="M773" s="870">
        <f t="shared" si="79"/>
        <v>44408</v>
      </c>
      <c r="N773" s="928"/>
      <c r="O773" s="928"/>
      <c r="P773" s="919"/>
      <c r="Q773" s="929" t="s">
        <v>1849</v>
      </c>
      <c r="R773" s="2053"/>
      <c r="S773" s="2046"/>
      <c r="T773" s="2048"/>
      <c r="U773" s="2041"/>
      <c r="V773" s="1418">
        <f t="shared" si="76"/>
        <v>79.152919999993173</v>
      </c>
      <c r="W773" s="357"/>
      <c r="X773" s="357"/>
      <c r="Y773" s="357"/>
      <c r="Z773" s="358"/>
      <c r="AA773" s="359"/>
      <c r="AB773" s="360"/>
    </row>
    <row r="774" spans="1:28" s="361" customFormat="1" ht="15">
      <c r="A774" s="354"/>
      <c r="B774" s="2062"/>
      <c r="C774" s="2010" t="s">
        <v>1823</v>
      </c>
      <c r="D774" s="1423"/>
      <c r="E774" s="915"/>
      <c r="F774" s="916"/>
      <c r="G774" s="1423"/>
      <c r="H774" s="915"/>
      <c r="I774" s="916"/>
      <c r="J774" s="917">
        <v>16</v>
      </c>
      <c r="K774" s="918">
        <v>48</v>
      </c>
      <c r="L774" s="919">
        <v>696</v>
      </c>
      <c r="M774" s="870">
        <f t="shared" ref="M774:M780" si="80">L774*K774</f>
        <v>33408</v>
      </c>
      <c r="N774" s="928"/>
      <c r="O774" s="928"/>
      <c r="P774" s="919"/>
      <c r="Q774" s="889" t="s">
        <v>1816</v>
      </c>
      <c r="R774" s="2051">
        <v>748.3</v>
      </c>
      <c r="S774" s="2045" t="s">
        <v>1448</v>
      </c>
      <c r="T774" s="2048"/>
      <c r="U774" s="2041"/>
      <c r="V774" s="1418">
        <f t="shared" si="76"/>
        <v>79.152919999993173</v>
      </c>
      <c r="W774" s="357"/>
      <c r="X774" s="357"/>
      <c r="Y774" s="357"/>
      <c r="Z774" s="358"/>
      <c r="AA774" s="359"/>
      <c r="AB774" s="360"/>
    </row>
    <row r="775" spans="1:28" s="361" customFormat="1" ht="15">
      <c r="A775" s="354"/>
      <c r="B775" s="2062"/>
      <c r="C775" s="2011"/>
      <c r="D775" s="1423"/>
      <c r="E775" s="915"/>
      <c r="F775" s="916"/>
      <c r="G775" s="1423"/>
      <c r="H775" s="915"/>
      <c r="I775" s="916"/>
      <c r="J775" s="917">
        <v>5</v>
      </c>
      <c r="K775" s="918">
        <v>144</v>
      </c>
      <c r="L775" s="919">
        <v>395</v>
      </c>
      <c r="M775" s="870">
        <f t="shared" si="80"/>
        <v>56880</v>
      </c>
      <c r="N775" s="928"/>
      <c r="O775" s="928"/>
      <c r="P775" s="919"/>
      <c r="Q775" s="889" t="s">
        <v>1817</v>
      </c>
      <c r="R775" s="2052"/>
      <c r="S775" s="2050"/>
      <c r="T775" s="2048"/>
      <c r="U775" s="2041"/>
      <c r="V775" s="1418">
        <f t="shared" si="76"/>
        <v>79.152919999993173</v>
      </c>
      <c r="W775" s="357"/>
      <c r="X775" s="357"/>
      <c r="Y775" s="357"/>
      <c r="Z775" s="358"/>
      <c r="AA775" s="359"/>
      <c r="AB775" s="360"/>
    </row>
    <row r="776" spans="1:28" s="361" customFormat="1" ht="15">
      <c r="A776" s="354"/>
      <c r="B776" s="2062"/>
      <c r="C776" s="2011"/>
      <c r="D776" s="1423"/>
      <c r="E776" s="915"/>
      <c r="F776" s="916"/>
      <c r="G776" s="1423"/>
      <c r="H776" s="915"/>
      <c r="I776" s="916"/>
      <c r="J776" s="917">
        <v>5</v>
      </c>
      <c r="K776" s="918">
        <v>576</v>
      </c>
      <c r="L776" s="919">
        <v>35</v>
      </c>
      <c r="M776" s="870">
        <f t="shared" si="80"/>
        <v>20160</v>
      </c>
      <c r="N776" s="928"/>
      <c r="O776" s="928"/>
      <c r="P776" s="919"/>
      <c r="Q776" s="889" t="s">
        <v>1818</v>
      </c>
      <c r="R776" s="2052"/>
      <c r="S776" s="2050"/>
      <c r="T776" s="2048"/>
      <c r="U776" s="2041"/>
      <c r="V776" s="1418">
        <f t="shared" si="76"/>
        <v>79.152919999993173</v>
      </c>
      <c r="W776" s="357"/>
      <c r="X776" s="357"/>
      <c r="Y776" s="357"/>
      <c r="Z776" s="358"/>
      <c r="AA776" s="359"/>
      <c r="AB776" s="360"/>
    </row>
    <row r="777" spans="1:28" s="361" customFormat="1" ht="15">
      <c r="A777" s="354"/>
      <c r="B777" s="2062"/>
      <c r="C777" s="2011"/>
      <c r="D777" s="1423"/>
      <c r="E777" s="915"/>
      <c r="F777" s="916"/>
      <c r="G777" s="1423"/>
      <c r="H777" s="915"/>
      <c r="I777" s="916"/>
      <c r="J777" s="917">
        <v>16</v>
      </c>
      <c r="K777" s="918">
        <v>48</v>
      </c>
      <c r="L777" s="919">
        <v>136</v>
      </c>
      <c r="M777" s="870">
        <f t="shared" si="80"/>
        <v>6528</v>
      </c>
      <c r="N777" s="928"/>
      <c r="O777" s="928"/>
      <c r="P777" s="919"/>
      <c r="Q777" s="889" t="s">
        <v>1819</v>
      </c>
      <c r="R777" s="2052"/>
      <c r="S777" s="2050"/>
      <c r="T777" s="2048"/>
      <c r="U777" s="2041"/>
      <c r="V777" s="1418">
        <f t="shared" si="76"/>
        <v>79.152919999993173</v>
      </c>
      <c r="W777" s="357"/>
      <c r="X777" s="357"/>
      <c r="Y777" s="357"/>
      <c r="Z777" s="358"/>
      <c r="AA777" s="359"/>
      <c r="AB777" s="360"/>
    </row>
    <row r="778" spans="1:28" s="361" customFormat="1" ht="15">
      <c r="A778" s="354"/>
      <c r="B778" s="2062"/>
      <c r="C778" s="2010" t="s">
        <v>1822</v>
      </c>
      <c r="D778" s="1423"/>
      <c r="E778" s="915"/>
      <c r="F778" s="916"/>
      <c r="G778" s="1423"/>
      <c r="H778" s="915"/>
      <c r="I778" s="916"/>
      <c r="J778" s="917">
        <v>10</v>
      </c>
      <c r="K778" s="918">
        <v>306</v>
      </c>
      <c r="L778" s="919">
        <v>322</v>
      </c>
      <c r="M778" s="870">
        <f t="shared" si="80"/>
        <v>98532</v>
      </c>
      <c r="N778" s="928"/>
      <c r="O778" s="928"/>
      <c r="P778" s="919"/>
      <c r="Q778" s="889" t="s">
        <v>1816</v>
      </c>
      <c r="R778" s="2051">
        <v>1173</v>
      </c>
      <c r="S778" s="2045" t="s">
        <v>1448</v>
      </c>
      <c r="T778" s="2048"/>
      <c r="U778" s="2041"/>
      <c r="V778" s="1418">
        <f t="shared" si="76"/>
        <v>79.152919999993173</v>
      </c>
      <c r="W778" s="357"/>
      <c r="X778" s="357"/>
      <c r="Y778" s="357"/>
      <c r="Z778" s="358"/>
      <c r="AA778" s="359"/>
      <c r="AB778" s="360"/>
    </row>
    <row r="779" spans="1:28" s="361" customFormat="1" ht="15">
      <c r="A779" s="354"/>
      <c r="B779" s="2063"/>
      <c r="C779" s="2012"/>
      <c r="D779" s="1426"/>
      <c r="E779" s="921"/>
      <c r="F779" s="922"/>
      <c r="G779" s="1426"/>
      <c r="H779" s="921"/>
      <c r="I779" s="922"/>
      <c r="J779" s="917">
        <v>10</v>
      </c>
      <c r="K779" s="918">
        <v>28</v>
      </c>
      <c r="L779" s="919">
        <v>3272</v>
      </c>
      <c r="M779" s="870">
        <f t="shared" si="80"/>
        <v>91616</v>
      </c>
      <c r="N779" s="928"/>
      <c r="O779" s="928"/>
      <c r="P779" s="919"/>
      <c r="Q779" s="889" t="s">
        <v>1817</v>
      </c>
      <c r="R779" s="2053"/>
      <c r="S779" s="2046"/>
      <c r="T779" s="2049"/>
      <c r="U779" s="2041"/>
      <c r="V779" s="1418">
        <f t="shared" si="76"/>
        <v>79.152919999993173</v>
      </c>
      <c r="W779" s="357"/>
      <c r="X779" s="357"/>
      <c r="Y779" s="357"/>
      <c r="Z779" s="358"/>
      <c r="AA779" s="359"/>
      <c r="AB779" s="360"/>
    </row>
    <row r="780" spans="1:28" s="361" customFormat="1" ht="15">
      <c r="A780" s="354"/>
      <c r="B780" s="911"/>
      <c r="C780" s="909" t="s">
        <v>1842</v>
      </c>
      <c r="D780" s="855"/>
      <c r="E780" s="856"/>
      <c r="F780" s="857"/>
      <c r="G780" s="855"/>
      <c r="H780" s="856"/>
      <c r="I780" s="857"/>
      <c r="J780" s="21">
        <v>10</v>
      </c>
      <c r="K780" s="22">
        <v>4</v>
      </c>
      <c r="L780" s="23">
        <v>330</v>
      </c>
      <c r="M780" s="24">
        <f t="shared" si="80"/>
        <v>1320</v>
      </c>
      <c r="N780" s="25"/>
      <c r="O780" s="25"/>
      <c r="P780" s="23"/>
      <c r="Q780" s="26" t="s">
        <v>1816</v>
      </c>
      <c r="R780" s="447">
        <v>8.1449999999999996</v>
      </c>
      <c r="S780" s="447" t="s">
        <v>1448</v>
      </c>
      <c r="T780" s="835" t="s">
        <v>306</v>
      </c>
      <c r="U780" s="912"/>
      <c r="V780" s="1418">
        <f t="shared" si="76"/>
        <v>79.152919999993173</v>
      </c>
      <c r="W780" s="357"/>
      <c r="X780" s="357"/>
      <c r="Y780" s="357"/>
      <c r="Z780" s="358"/>
      <c r="AA780" s="359"/>
      <c r="AB780" s="360"/>
    </row>
    <row r="781" spans="1:28" s="361" customFormat="1" ht="15">
      <c r="A781" s="354"/>
      <c r="B781" s="952"/>
      <c r="C781" s="2024" t="s">
        <v>1850</v>
      </c>
      <c r="D781" s="855"/>
      <c r="E781" s="856"/>
      <c r="F781" s="857"/>
      <c r="G781" s="855"/>
      <c r="H781" s="856"/>
      <c r="I781" s="857"/>
      <c r="J781" s="917">
        <v>5</v>
      </c>
      <c r="K781" s="918">
        <v>144</v>
      </c>
      <c r="L781" s="919">
        <v>395</v>
      </c>
      <c r="M781" s="870">
        <f t="shared" ref="M781:M828" si="81">L781*K781</f>
        <v>56880</v>
      </c>
      <c r="N781" s="928"/>
      <c r="O781" s="928"/>
      <c r="P781" s="919"/>
      <c r="Q781" s="889" t="s">
        <v>1817</v>
      </c>
      <c r="R781" s="2051">
        <v>-118.3</v>
      </c>
      <c r="S781" s="2045" t="s">
        <v>1448</v>
      </c>
      <c r="T781" s="2047"/>
      <c r="U781" s="2040" t="s">
        <v>1851</v>
      </c>
      <c r="V781" s="1418">
        <f t="shared" si="76"/>
        <v>79.152919999993173</v>
      </c>
      <c r="W781" s="357"/>
      <c r="X781" s="357"/>
      <c r="Y781" s="357"/>
      <c r="Z781" s="358"/>
      <c r="AA781" s="359"/>
      <c r="AB781" s="360"/>
    </row>
    <row r="782" spans="1:28" s="361" customFormat="1" ht="15">
      <c r="A782" s="354"/>
      <c r="B782" s="953"/>
      <c r="C782" s="2025"/>
      <c r="D782" s="1423"/>
      <c r="E782" s="915"/>
      <c r="F782" s="916"/>
      <c r="G782" s="1423"/>
      <c r="H782" s="915"/>
      <c r="I782" s="916"/>
      <c r="J782" s="917">
        <v>5</v>
      </c>
      <c r="K782" s="918">
        <v>576</v>
      </c>
      <c r="L782" s="919">
        <v>35</v>
      </c>
      <c r="M782" s="870">
        <f t="shared" si="81"/>
        <v>20160</v>
      </c>
      <c r="N782" s="928"/>
      <c r="O782" s="928"/>
      <c r="P782" s="919"/>
      <c r="Q782" s="889" t="s">
        <v>1818</v>
      </c>
      <c r="R782" s="2053"/>
      <c r="S782" s="2046"/>
      <c r="T782" s="2049"/>
      <c r="U782" s="2042"/>
      <c r="V782" s="1418">
        <f t="shared" ref="V782:V847" si="82">V783</f>
        <v>79.152919999993173</v>
      </c>
      <c r="W782" s="357"/>
      <c r="X782" s="357"/>
      <c r="Y782" s="357"/>
      <c r="Z782" s="358"/>
      <c r="AA782" s="359"/>
      <c r="AB782" s="360"/>
    </row>
    <row r="783" spans="1:28" s="361" customFormat="1" ht="15">
      <c r="A783" s="354"/>
      <c r="B783" s="953"/>
      <c r="C783" s="2010" t="s">
        <v>1852</v>
      </c>
      <c r="D783" s="855"/>
      <c r="E783" s="856"/>
      <c r="F783" s="857"/>
      <c r="G783" s="855"/>
      <c r="H783" s="856"/>
      <c r="I783" s="857"/>
      <c r="J783" s="917">
        <v>10</v>
      </c>
      <c r="K783" s="918">
        <v>306</v>
      </c>
      <c r="L783" s="919">
        <v>322</v>
      </c>
      <c r="M783" s="870">
        <f t="shared" si="81"/>
        <v>98532</v>
      </c>
      <c r="N783" s="928"/>
      <c r="O783" s="928"/>
      <c r="P783" s="919"/>
      <c r="Q783" s="889" t="s">
        <v>1816</v>
      </c>
      <c r="R783" s="2051">
        <v>-1173</v>
      </c>
      <c r="S783" s="2045" t="s">
        <v>1448</v>
      </c>
      <c r="T783" s="2047"/>
      <c r="U783" s="2040" t="s">
        <v>1853</v>
      </c>
      <c r="V783" s="1418">
        <f t="shared" si="82"/>
        <v>79.152919999993173</v>
      </c>
      <c r="W783" s="357"/>
      <c r="X783" s="357"/>
      <c r="Y783" s="357"/>
      <c r="Z783" s="358"/>
      <c r="AA783" s="359"/>
      <c r="AB783" s="360"/>
    </row>
    <row r="784" spans="1:28" s="361" customFormat="1" ht="15">
      <c r="A784" s="354"/>
      <c r="B784" s="953"/>
      <c r="C784" s="2012"/>
      <c r="D784" s="1426"/>
      <c r="E784" s="921"/>
      <c r="F784" s="922"/>
      <c r="G784" s="1426"/>
      <c r="H784" s="921"/>
      <c r="I784" s="922"/>
      <c r="J784" s="917">
        <v>10</v>
      </c>
      <c r="K784" s="918">
        <v>28</v>
      </c>
      <c r="L784" s="919">
        <v>3272</v>
      </c>
      <c r="M784" s="870">
        <f t="shared" si="81"/>
        <v>91616</v>
      </c>
      <c r="N784" s="928"/>
      <c r="O784" s="928"/>
      <c r="P784" s="919"/>
      <c r="Q784" s="889" t="s">
        <v>1817</v>
      </c>
      <c r="R784" s="2053"/>
      <c r="S784" s="2046"/>
      <c r="T784" s="2049"/>
      <c r="U784" s="2042"/>
      <c r="V784" s="1418">
        <f t="shared" si="82"/>
        <v>79.152919999993173</v>
      </c>
      <c r="W784" s="357"/>
      <c r="X784" s="357"/>
      <c r="Y784" s="357"/>
      <c r="Z784" s="358"/>
      <c r="AA784" s="359"/>
      <c r="AB784" s="360"/>
    </row>
    <row r="785" spans="1:28" s="361" customFormat="1" ht="15">
      <c r="A785" s="354"/>
      <c r="B785" s="2001"/>
      <c r="C785" s="2010" t="s">
        <v>1815</v>
      </c>
      <c r="D785" s="1989"/>
      <c r="E785" s="1990"/>
      <c r="F785" s="1991"/>
      <c r="G785" s="1989"/>
      <c r="H785" s="1990"/>
      <c r="I785" s="1991"/>
      <c r="J785" s="832">
        <v>8</v>
      </c>
      <c r="K785" s="837">
        <v>132</v>
      </c>
      <c r="L785" s="833">
        <v>112</v>
      </c>
      <c r="M785" s="839">
        <f t="shared" si="81"/>
        <v>14784</v>
      </c>
      <c r="N785" s="841"/>
      <c r="O785" s="841"/>
      <c r="P785" s="833"/>
      <c r="Q785" s="860" t="s">
        <v>1854</v>
      </c>
      <c r="R785" s="2043">
        <v>1258.94</v>
      </c>
      <c r="S785" s="2043" t="s">
        <v>877</v>
      </c>
      <c r="T785" s="2047" t="s">
        <v>307</v>
      </c>
      <c r="U785" s="2040"/>
      <c r="V785" s="1418">
        <f t="shared" si="82"/>
        <v>79.152919999993173</v>
      </c>
      <c r="W785" s="357"/>
      <c r="X785" s="357"/>
      <c r="Y785" s="357"/>
      <c r="Z785" s="358"/>
      <c r="AA785" s="359"/>
      <c r="AB785" s="360"/>
    </row>
    <row r="786" spans="1:28" s="361" customFormat="1" ht="15">
      <c r="A786" s="354"/>
      <c r="B786" s="2002"/>
      <c r="C786" s="2011"/>
      <c r="D786" s="1992"/>
      <c r="E786" s="1993"/>
      <c r="F786" s="1994"/>
      <c r="G786" s="1992"/>
      <c r="H786" s="1993"/>
      <c r="I786" s="1994"/>
      <c r="J786" s="832">
        <v>8</v>
      </c>
      <c r="K786" s="837">
        <v>14</v>
      </c>
      <c r="L786" s="833">
        <v>152</v>
      </c>
      <c r="M786" s="839">
        <f t="shared" si="81"/>
        <v>2128</v>
      </c>
      <c r="N786" s="841"/>
      <c r="O786" s="841"/>
      <c r="P786" s="833"/>
      <c r="Q786" s="860" t="s">
        <v>1855</v>
      </c>
      <c r="R786" s="2099"/>
      <c r="S786" s="2099"/>
      <c r="T786" s="2048"/>
      <c r="U786" s="2041"/>
      <c r="V786" s="1418">
        <f t="shared" si="82"/>
        <v>79.152919999993173</v>
      </c>
      <c r="W786" s="357"/>
      <c r="X786" s="357"/>
      <c r="Y786" s="357"/>
      <c r="Z786" s="358"/>
      <c r="AA786" s="359"/>
      <c r="AB786" s="360"/>
    </row>
    <row r="787" spans="1:28" s="361" customFormat="1" ht="15">
      <c r="A787" s="354"/>
      <c r="B787" s="2002"/>
      <c r="C787" s="2011"/>
      <c r="D787" s="1992"/>
      <c r="E787" s="1993"/>
      <c r="F787" s="1994"/>
      <c r="G787" s="1992"/>
      <c r="H787" s="1993"/>
      <c r="I787" s="1994"/>
      <c r="J787" s="832">
        <v>8</v>
      </c>
      <c r="K787" s="837">
        <v>16</v>
      </c>
      <c r="L787" s="833">
        <v>162</v>
      </c>
      <c r="M787" s="839">
        <f t="shared" si="81"/>
        <v>2592</v>
      </c>
      <c r="N787" s="841"/>
      <c r="O787" s="841"/>
      <c r="P787" s="833"/>
      <c r="Q787" s="860" t="s">
        <v>1856</v>
      </c>
      <c r="R787" s="2099"/>
      <c r="S787" s="2099"/>
      <c r="T787" s="2048"/>
      <c r="U787" s="2041"/>
      <c r="V787" s="1418">
        <f t="shared" si="82"/>
        <v>79.152919999993173</v>
      </c>
      <c r="W787" s="357"/>
      <c r="X787" s="357"/>
      <c r="Y787" s="357"/>
      <c r="Z787" s="358"/>
      <c r="AA787" s="359"/>
      <c r="AB787" s="360"/>
    </row>
    <row r="788" spans="1:28" s="361" customFormat="1" ht="15">
      <c r="A788" s="354"/>
      <c r="B788" s="2002"/>
      <c r="C788" s="2011"/>
      <c r="D788" s="1992"/>
      <c r="E788" s="1993"/>
      <c r="F788" s="1994"/>
      <c r="G788" s="1992"/>
      <c r="H788" s="1993"/>
      <c r="I788" s="1994"/>
      <c r="J788" s="832">
        <v>8</v>
      </c>
      <c r="K788" s="837">
        <v>130</v>
      </c>
      <c r="L788" s="833">
        <v>252</v>
      </c>
      <c r="M788" s="839">
        <f t="shared" si="81"/>
        <v>32760</v>
      </c>
      <c r="N788" s="841"/>
      <c r="O788" s="841"/>
      <c r="P788" s="833"/>
      <c r="Q788" s="860" t="s">
        <v>1857</v>
      </c>
      <c r="R788" s="2099"/>
      <c r="S788" s="2099"/>
      <c r="T788" s="2048"/>
      <c r="U788" s="2041"/>
      <c r="V788" s="1418">
        <f t="shared" si="82"/>
        <v>79.152919999993173</v>
      </c>
      <c r="W788" s="357"/>
      <c r="X788" s="357"/>
      <c r="Y788" s="357"/>
      <c r="Z788" s="358"/>
      <c r="AA788" s="359"/>
      <c r="AB788" s="360"/>
    </row>
    <row r="789" spans="1:28" s="361" customFormat="1" ht="15">
      <c r="A789" s="354"/>
      <c r="B789" s="2002"/>
      <c r="C789" s="2011"/>
      <c r="D789" s="1992"/>
      <c r="E789" s="1993"/>
      <c r="F789" s="1994"/>
      <c r="G789" s="1992"/>
      <c r="H789" s="1993"/>
      <c r="I789" s="1994"/>
      <c r="J789" s="832">
        <v>8</v>
      </c>
      <c r="K789" s="837">
        <v>15</v>
      </c>
      <c r="L789" s="833">
        <v>269</v>
      </c>
      <c r="M789" s="839">
        <f t="shared" si="81"/>
        <v>4035</v>
      </c>
      <c r="N789" s="841"/>
      <c r="O789" s="841"/>
      <c r="P789" s="833"/>
      <c r="Q789" s="860" t="s">
        <v>1858</v>
      </c>
      <c r="R789" s="2099"/>
      <c r="S789" s="2099"/>
      <c r="T789" s="2048"/>
      <c r="U789" s="2041"/>
      <c r="V789" s="1418">
        <f t="shared" si="82"/>
        <v>79.152919999993173</v>
      </c>
      <c r="W789" s="357"/>
      <c r="X789" s="357"/>
      <c r="Y789" s="357"/>
      <c r="Z789" s="358"/>
      <c r="AA789" s="359"/>
      <c r="AB789" s="360"/>
    </row>
    <row r="790" spans="1:28" s="361" customFormat="1" ht="15">
      <c r="A790" s="354"/>
      <c r="B790" s="2002"/>
      <c r="C790" s="2011"/>
      <c r="D790" s="1992"/>
      <c r="E790" s="1993"/>
      <c r="F790" s="1994"/>
      <c r="G790" s="1992"/>
      <c r="H790" s="1993"/>
      <c r="I790" s="1994"/>
      <c r="J790" s="832">
        <v>8</v>
      </c>
      <c r="K790" s="837">
        <v>7</v>
      </c>
      <c r="L790" s="833">
        <v>3172</v>
      </c>
      <c r="M790" s="839">
        <f t="shared" si="81"/>
        <v>22204</v>
      </c>
      <c r="N790" s="841"/>
      <c r="O790" s="841"/>
      <c r="P790" s="833"/>
      <c r="Q790" s="860" t="s">
        <v>1859</v>
      </c>
      <c r="R790" s="2099"/>
      <c r="S790" s="2099"/>
      <c r="T790" s="2048"/>
      <c r="U790" s="2041"/>
      <c r="V790" s="1418">
        <f t="shared" si="82"/>
        <v>79.152919999993173</v>
      </c>
      <c r="W790" s="357"/>
      <c r="X790" s="357"/>
      <c r="Y790" s="357"/>
      <c r="Z790" s="358"/>
      <c r="AA790" s="359"/>
      <c r="AB790" s="360"/>
    </row>
    <row r="791" spans="1:28" s="361" customFormat="1" ht="15">
      <c r="A791" s="354"/>
      <c r="B791" s="2002"/>
      <c r="C791" s="2011"/>
      <c r="D791" s="1992"/>
      <c r="E791" s="1993"/>
      <c r="F791" s="1994"/>
      <c r="G791" s="1992"/>
      <c r="H791" s="1993"/>
      <c r="I791" s="1994"/>
      <c r="J791" s="832">
        <v>10</v>
      </c>
      <c r="K791" s="837">
        <v>16</v>
      </c>
      <c r="L791" s="833">
        <v>162</v>
      </c>
      <c r="M791" s="839">
        <f t="shared" si="81"/>
        <v>2592</v>
      </c>
      <c r="N791" s="841"/>
      <c r="O791" s="841"/>
      <c r="P791" s="833"/>
      <c r="Q791" s="860" t="s">
        <v>1860</v>
      </c>
      <c r="R791" s="2099"/>
      <c r="S791" s="2099"/>
      <c r="T791" s="2048"/>
      <c r="U791" s="2041"/>
      <c r="V791" s="1418">
        <f t="shared" si="82"/>
        <v>79.152919999993173</v>
      </c>
      <c r="W791" s="357"/>
      <c r="X791" s="357"/>
      <c r="Y791" s="357"/>
      <c r="Z791" s="358"/>
      <c r="AA791" s="359"/>
      <c r="AB791" s="360"/>
    </row>
    <row r="792" spans="1:28" s="361" customFormat="1" ht="15">
      <c r="A792" s="354"/>
      <c r="B792" s="2002"/>
      <c r="C792" s="2011"/>
      <c r="D792" s="1992"/>
      <c r="E792" s="1993"/>
      <c r="F792" s="1994"/>
      <c r="G792" s="1992"/>
      <c r="H792" s="1993"/>
      <c r="I792" s="1994"/>
      <c r="J792" s="832">
        <v>10</v>
      </c>
      <c r="K792" s="837">
        <v>7</v>
      </c>
      <c r="L792" s="833">
        <v>3172</v>
      </c>
      <c r="M792" s="839">
        <f t="shared" si="81"/>
        <v>22204</v>
      </c>
      <c r="N792" s="841"/>
      <c r="O792" s="841"/>
      <c r="P792" s="833"/>
      <c r="Q792" s="860" t="s">
        <v>1861</v>
      </c>
      <c r="R792" s="2099"/>
      <c r="S792" s="2099"/>
      <c r="T792" s="2048"/>
      <c r="U792" s="2041"/>
      <c r="V792" s="1418">
        <f t="shared" si="82"/>
        <v>79.152919999993173</v>
      </c>
      <c r="W792" s="357"/>
      <c r="X792" s="357"/>
      <c r="Y792" s="357"/>
      <c r="Z792" s="358"/>
      <c r="AA792" s="359"/>
      <c r="AB792" s="360"/>
    </row>
    <row r="793" spans="1:28" s="361" customFormat="1" ht="15">
      <c r="A793" s="354"/>
      <c r="B793" s="2002"/>
      <c r="C793" s="2011"/>
      <c r="D793" s="1992"/>
      <c r="E793" s="1993"/>
      <c r="F793" s="1994"/>
      <c r="G793" s="1992"/>
      <c r="H793" s="1993"/>
      <c r="I793" s="1994"/>
      <c r="J793" s="832" t="s">
        <v>1838</v>
      </c>
      <c r="K793" s="837">
        <v>18</v>
      </c>
      <c r="L793" s="833">
        <v>3172</v>
      </c>
      <c r="M793" s="839">
        <f t="shared" si="81"/>
        <v>57096</v>
      </c>
      <c r="N793" s="841"/>
      <c r="O793" s="841"/>
      <c r="P793" s="833"/>
      <c r="Q793" s="860" t="s">
        <v>1862</v>
      </c>
      <c r="R793" s="2099"/>
      <c r="S793" s="2099"/>
      <c r="T793" s="2048"/>
      <c r="U793" s="2041"/>
      <c r="V793" s="1418">
        <f t="shared" si="82"/>
        <v>79.152919999993173</v>
      </c>
      <c r="W793" s="357"/>
      <c r="X793" s="357"/>
      <c r="Y793" s="357"/>
      <c r="Z793" s="358"/>
      <c r="AA793" s="359"/>
      <c r="AB793" s="360"/>
    </row>
    <row r="794" spans="1:28" s="361" customFormat="1" ht="15">
      <c r="A794" s="354"/>
      <c r="B794" s="2002"/>
      <c r="C794" s="2011"/>
      <c r="D794" s="1992"/>
      <c r="E794" s="1993"/>
      <c r="F794" s="1994"/>
      <c r="G794" s="1992"/>
      <c r="H794" s="1993"/>
      <c r="I794" s="1994"/>
      <c r="J794" s="832">
        <v>16</v>
      </c>
      <c r="K794" s="837">
        <v>52</v>
      </c>
      <c r="L794" s="833">
        <v>300</v>
      </c>
      <c r="M794" s="839">
        <f t="shared" si="81"/>
        <v>15600</v>
      </c>
      <c r="N794" s="841"/>
      <c r="O794" s="841"/>
      <c r="P794" s="833"/>
      <c r="Q794" s="860" t="s">
        <v>1863</v>
      </c>
      <c r="R794" s="2044"/>
      <c r="S794" s="2044"/>
      <c r="T794" s="2048"/>
      <c r="U794" s="2041"/>
      <c r="V794" s="1418">
        <f t="shared" si="82"/>
        <v>79.152919999993173</v>
      </c>
      <c r="W794" s="357"/>
      <c r="X794" s="357"/>
      <c r="Y794" s="357"/>
      <c r="Z794" s="358"/>
      <c r="AA794" s="359"/>
      <c r="AB794" s="360"/>
    </row>
    <row r="795" spans="1:28" s="361" customFormat="1" ht="15">
      <c r="A795" s="354"/>
      <c r="B795" s="2002"/>
      <c r="C795" s="2024" t="s">
        <v>1820</v>
      </c>
      <c r="D795" s="1992"/>
      <c r="E795" s="1993"/>
      <c r="F795" s="1994"/>
      <c r="G795" s="1992"/>
      <c r="H795" s="1993"/>
      <c r="I795" s="1994"/>
      <c r="J795" s="832" t="s">
        <v>1838</v>
      </c>
      <c r="K795" s="837">
        <v>36</v>
      </c>
      <c r="L795" s="833">
        <v>250</v>
      </c>
      <c r="M795" s="839">
        <f t="shared" si="81"/>
        <v>9000</v>
      </c>
      <c r="N795" s="841"/>
      <c r="O795" s="841"/>
      <c r="P795" s="833"/>
      <c r="Q795" s="860" t="s">
        <v>1816</v>
      </c>
      <c r="R795" s="2043">
        <v>156.63</v>
      </c>
      <c r="S795" s="2045" t="s">
        <v>1448</v>
      </c>
      <c r="T795" s="2048"/>
      <c r="U795" s="2041"/>
      <c r="V795" s="1418">
        <f t="shared" si="82"/>
        <v>79.152919999993173</v>
      </c>
      <c r="W795" s="357"/>
      <c r="X795" s="357"/>
      <c r="Y795" s="357"/>
      <c r="Z795" s="358"/>
      <c r="AA795" s="359"/>
      <c r="AB795" s="360"/>
    </row>
    <row r="796" spans="1:28" s="361" customFormat="1" ht="15">
      <c r="A796" s="354"/>
      <c r="B796" s="2002"/>
      <c r="C796" s="2025"/>
      <c r="D796" s="1992"/>
      <c r="E796" s="1993"/>
      <c r="F796" s="1994"/>
      <c r="G796" s="1992"/>
      <c r="H796" s="1993"/>
      <c r="I796" s="1994"/>
      <c r="J796" s="832" t="s">
        <v>1839</v>
      </c>
      <c r="K796" s="837">
        <v>198</v>
      </c>
      <c r="L796" s="833">
        <v>144</v>
      </c>
      <c r="M796" s="839">
        <f t="shared" si="81"/>
        <v>28512</v>
      </c>
      <c r="N796" s="841"/>
      <c r="O796" s="841"/>
      <c r="P796" s="833"/>
      <c r="Q796" s="860" t="s">
        <v>1818</v>
      </c>
      <c r="R796" s="2044"/>
      <c r="S796" s="2046"/>
      <c r="T796" s="2048"/>
      <c r="U796" s="2041"/>
      <c r="V796" s="1418">
        <f t="shared" si="82"/>
        <v>79.152919999993173</v>
      </c>
      <c r="W796" s="357"/>
      <c r="X796" s="357"/>
      <c r="Y796" s="357"/>
      <c r="Z796" s="358"/>
      <c r="AA796" s="359"/>
      <c r="AB796" s="360"/>
    </row>
    <row r="797" spans="1:28" s="361" customFormat="1" ht="15">
      <c r="A797" s="354"/>
      <c r="B797" s="2002"/>
      <c r="C797" s="2024" t="s">
        <v>1821</v>
      </c>
      <c r="D797" s="1992"/>
      <c r="E797" s="1993"/>
      <c r="F797" s="1994"/>
      <c r="G797" s="1992"/>
      <c r="H797" s="1993"/>
      <c r="I797" s="1994"/>
      <c r="J797" s="832" t="s">
        <v>1838</v>
      </c>
      <c r="K797" s="837">
        <v>8</v>
      </c>
      <c r="L797" s="833">
        <v>175</v>
      </c>
      <c r="M797" s="839">
        <f t="shared" si="81"/>
        <v>1400</v>
      </c>
      <c r="N797" s="841"/>
      <c r="O797" s="841"/>
      <c r="P797" s="833"/>
      <c r="Q797" s="860" t="s">
        <v>1816</v>
      </c>
      <c r="R797" s="2043">
        <v>21.55</v>
      </c>
      <c r="S797" s="2045" t="s">
        <v>1448</v>
      </c>
      <c r="T797" s="2048"/>
      <c r="U797" s="2041"/>
      <c r="V797" s="1418">
        <f t="shared" si="82"/>
        <v>79.152919999993173</v>
      </c>
      <c r="W797" s="357"/>
      <c r="X797" s="357"/>
      <c r="Y797" s="357"/>
      <c r="Z797" s="358"/>
      <c r="AA797" s="359"/>
      <c r="AB797" s="360"/>
    </row>
    <row r="798" spans="1:28" s="361" customFormat="1" ht="15">
      <c r="A798" s="354"/>
      <c r="B798" s="2002"/>
      <c r="C798" s="2025"/>
      <c r="D798" s="1992"/>
      <c r="E798" s="1993"/>
      <c r="F798" s="1994"/>
      <c r="G798" s="1992"/>
      <c r="H798" s="1993"/>
      <c r="I798" s="1994"/>
      <c r="J798" s="832" t="s">
        <v>1839</v>
      </c>
      <c r="K798" s="837">
        <v>24</v>
      </c>
      <c r="L798" s="833">
        <v>136</v>
      </c>
      <c r="M798" s="839">
        <f t="shared" si="81"/>
        <v>3264</v>
      </c>
      <c r="N798" s="841"/>
      <c r="O798" s="841"/>
      <c r="P798" s="833"/>
      <c r="Q798" s="860" t="s">
        <v>1818</v>
      </c>
      <c r="R798" s="2044"/>
      <c r="S798" s="2046"/>
      <c r="T798" s="2048"/>
      <c r="U798" s="2041"/>
      <c r="V798" s="1418">
        <f t="shared" si="82"/>
        <v>79.152919999993173</v>
      </c>
      <c r="W798" s="357"/>
      <c r="X798" s="357"/>
      <c r="Y798" s="357"/>
      <c r="Z798" s="358"/>
      <c r="AA798" s="359"/>
      <c r="AB798" s="360"/>
    </row>
    <row r="799" spans="1:28" s="361" customFormat="1" ht="15">
      <c r="A799" s="354"/>
      <c r="B799" s="2002"/>
      <c r="C799" s="2024" t="s">
        <v>1864</v>
      </c>
      <c r="D799" s="1992"/>
      <c r="E799" s="1993"/>
      <c r="F799" s="1994"/>
      <c r="G799" s="1992"/>
      <c r="H799" s="1993"/>
      <c r="I799" s="1994"/>
      <c r="J799" s="832" t="s">
        <v>1839</v>
      </c>
      <c r="K799" s="837">
        <v>31</v>
      </c>
      <c r="L799" s="833">
        <v>60</v>
      </c>
      <c r="M799" s="839">
        <f t="shared" si="81"/>
        <v>1860</v>
      </c>
      <c r="N799" s="841"/>
      <c r="O799" s="841"/>
      <c r="P799" s="833"/>
      <c r="Q799" s="889" t="s">
        <v>1816</v>
      </c>
      <c r="R799" s="2043">
        <v>15.95</v>
      </c>
      <c r="S799" s="2045" t="s">
        <v>1448</v>
      </c>
      <c r="T799" s="2048"/>
      <c r="U799" s="2041"/>
      <c r="V799" s="1418">
        <f t="shared" si="82"/>
        <v>79.152919999993173</v>
      </c>
      <c r="W799" s="357"/>
      <c r="X799" s="357"/>
      <c r="Y799" s="357"/>
      <c r="Z799" s="358"/>
      <c r="AA799" s="359"/>
      <c r="AB799" s="360"/>
    </row>
    <row r="800" spans="1:28" s="361" customFormat="1" ht="15">
      <c r="A800" s="354"/>
      <c r="B800" s="2002"/>
      <c r="C800" s="2025"/>
      <c r="D800" s="1992"/>
      <c r="E800" s="1993"/>
      <c r="F800" s="1994"/>
      <c r="G800" s="1992"/>
      <c r="H800" s="1993"/>
      <c r="I800" s="1994"/>
      <c r="J800" s="832">
        <v>10</v>
      </c>
      <c r="K800" s="837">
        <v>4</v>
      </c>
      <c r="L800" s="833">
        <v>464</v>
      </c>
      <c r="M800" s="839">
        <f t="shared" si="81"/>
        <v>1856</v>
      </c>
      <c r="N800" s="841"/>
      <c r="O800" s="841"/>
      <c r="P800" s="833"/>
      <c r="Q800" s="889" t="s">
        <v>1817</v>
      </c>
      <c r="R800" s="2044"/>
      <c r="S800" s="2046"/>
      <c r="T800" s="2048"/>
      <c r="U800" s="2041"/>
      <c r="V800" s="1418">
        <f t="shared" si="82"/>
        <v>79.152919999993173</v>
      </c>
      <c r="W800" s="357"/>
      <c r="X800" s="357"/>
      <c r="Y800" s="357"/>
      <c r="Z800" s="358"/>
      <c r="AA800" s="359"/>
      <c r="AB800" s="360"/>
    </row>
    <row r="801" spans="1:28" s="361" customFormat="1" ht="15">
      <c r="A801" s="354"/>
      <c r="B801" s="2002"/>
      <c r="C801" s="2024" t="s">
        <v>1865</v>
      </c>
      <c r="D801" s="1992"/>
      <c r="E801" s="1993"/>
      <c r="F801" s="1994"/>
      <c r="G801" s="1992"/>
      <c r="H801" s="1993"/>
      <c r="I801" s="1994"/>
      <c r="J801" s="832" t="s">
        <v>1839</v>
      </c>
      <c r="K801" s="837">
        <v>279</v>
      </c>
      <c r="L801" s="833">
        <v>130</v>
      </c>
      <c r="M801" s="839">
        <f t="shared" si="81"/>
        <v>36270</v>
      </c>
      <c r="N801" s="841"/>
      <c r="O801" s="841"/>
      <c r="P801" s="833"/>
      <c r="Q801" s="889" t="s">
        <v>1816</v>
      </c>
      <c r="R801" s="2043">
        <v>242.61</v>
      </c>
      <c r="S801" s="2045" t="s">
        <v>1448</v>
      </c>
      <c r="T801" s="2048"/>
      <c r="U801" s="2041"/>
      <c r="V801" s="1418">
        <f t="shared" si="82"/>
        <v>79.152919999993173</v>
      </c>
      <c r="W801" s="357"/>
      <c r="X801" s="357"/>
      <c r="Y801" s="357"/>
      <c r="Z801" s="358"/>
      <c r="AA801" s="359"/>
      <c r="AB801" s="360"/>
    </row>
    <row r="802" spans="1:28" s="361" customFormat="1" ht="15">
      <c r="A802" s="354"/>
      <c r="B802" s="2002"/>
      <c r="C802" s="2025"/>
      <c r="D802" s="1992"/>
      <c r="E802" s="1993"/>
      <c r="F802" s="1994"/>
      <c r="G802" s="1992"/>
      <c r="H802" s="1993"/>
      <c r="I802" s="1994"/>
      <c r="J802" s="832">
        <v>10</v>
      </c>
      <c r="K802" s="837">
        <v>54</v>
      </c>
      <c r="L802" s="833">
        <v>464</v>
      </c>
      <c r="M802" s="839">
        <f t="shared" si="81"/>
        <v>25056</v>
      </c>
      <c r="N802" s="841"/>
      <c r="O802" s="841"/>
      <c r="P802" s="833"/>
      <c r="Q802" s="889" t="s">
        <v>1817</v>
      </c>
      <c r="R802" s="2044"/>
      <c r="S802" s="2046"/>
      <c r="T802" s="2048"/>
      <c r="U802" s="2041"/>
      <c r="V802" s="1418">
        <f t="shared" si="82"/>
        <v>79.152919999993173</v>
      </c>
      <c r="W802" s="357"/>
      <c r="X802" s="357"/>
      <c r="Y802" s="357"/>
      <c r="Z802" s="358"/>
      <c r="AA802" s="359"/>
      <c r="AB802" s="360"/>
    </row>
    <row r="803" spans="1:28" s="361" customFormat="1" ht="15">
      <c r="A803" s="354"/>
      <c r="B803" s="2002"/>
      <c r="C803" s="2024" t="s">
        <v>1866</v>
      </c>
      <c r="D803" s="1992"/>
      <c r="E803" s="1993"/>
      <c r="F803" s="1994"/>
      <c r="G803" s="1992"/>
      <c r="H803" s="1993"/>
      <c r="I803" s="1994"/>
      <c r="J803" s="832" t="s">
        <v>1839</v>
      </c>
      <c r="K803" s="837">
        <v>31</v>
      </c>
      <c r="L803" s="833">
        <v>50</v>
      </c>
      <c r="M803" s="839">
        <f t="shared" si="81"/>
        <v>1550</v>
      </c>
      <c r="N803" s="841"/>
      <c r="O803" s="841"/>
      <c r="P803" s="833"/>
      <c r="Q803" s="889" t="s">
        <v>1816</v>
      </c>
      <c r="R803" s="2043">
        <v>15.44</v>
      </c>
      <c r="S803" s="2045" t="s">
        <v>1448</v>
      </c>
      <c r="T803" s="2048"/>
      <c r="U803" s="2041"/>
      <c r="V803" s="1418">
        <f t="shared" si="82"/>
        <v>79.152919999993173</v>
      </c>
      <c r="W803" s="357"/>
      <c r="X803" s="357"/>
      <c r="Y803" s="357"/>
      <c r="Z803" s="358"/>
      <c r="AA803" s="359"/>
      <c r="AB803" s="360"/>
    </row>
    <row r="804" spans="1:28" s="361" customFormat="1" ht="15">
      <c r="A804" s="354"/>
      <c r="B804" s="2002"/>
      <c r="C804" s="2025"/>
      <c r="D804" s="1992"/>
      <c r="E804" s="1993"/>
      <c r="F804" s="1994"/>
      <c r="G804" s="1992"/>
      <c r="H804" s="1993"/>
      <c r="I804" s="1994"/>
      <c r="J804" s="832">
        <v>10</v>
      </c>
      <c r="K804" s="837">
        <v>4</v>
      </c>
      <c r="L804" s="833">
        <v>464</v>
      </c>
      <c r="M804" s="839">
        <f t="shared" si="81"/>
        <v>1856</v>
      </c>
      <c r="N804" s="841"/>
      <c r="O804" s="841"/>
      <c r="P804" s="833"/>
      <c r="Q804" s="889" t="s">
        <v>1817</v>
      </c>
      <c r="R804" s="2044"/>
      <c r="S804" s="2046"/>
      <c r="T804" s="2048"/>
      <c r="U804" s="2041"/>
      <c r="V804" s="1418">
        <f t="shared" si="82"/>
        <v>79.152919999993173</v>
      </c>
      <c r="W804" s="357"/>
      <c r="X804" s="357"/>
      <c r="Y804" s="357"/>
      <c r="Z804" s="358"/>
      <c r="AA804" s="359"/>
      <c r="AB804" s="360"/>
    </row>
    <row r="805" spans="1:28" s="361" customFormat="1" ht="15">
      <c r="A805" s="354"/>
      <c r="B805" s="2002"/>
      <c r="C805" s="2024" t="s">
        <v>1842</v>
      </c>
      <c r="D805" s="1992"/>
      <c r="E805" s="1993"/>
      <c r="F805" s="1994"/>
      <c r="G805" s="1992"/>
      <c r="H805" s="1993"/>
      <c r="I805" s="1994"/>
      <c r="J805" s="21">
        <v>10</v>
      </c>
      <c r="K805" s="22">
        <v>4</v>
      </c>
      <c r="L805" s="23">
        <v>330</v>
      </c>
      <c r="M805" s="24">
        <f>L805*K805</f>
        <v>1320</v>
      </c>
      <c r="N805" s="25"/>
      <c r="O805" s="25"/>
      <c r="P805" s="23"/>
      <c r="Q805" s="26" t="s">
        <v>1816</v>
      </c>
      <c r="R805" s="2043">
        <v>25.44</v>
      </c>
      <c r="S805" s="2045" t="s">
        <v>877</v>
      </c>
      <c r="T805" s="2048"/>
      <c r="U805" s="2041"/>
      <c r="V805" s="1418">
        <f t="shared" si="82"/>
        <v>79.152919999993173</v>
      </c>
      <c r="W805" s="357"/>
      <c r="X805" s="357"/>
      <c r="Y805" s="357"/>
      <c r="Z805" s="358"/>
      <c r="AA805" s="359"/>
      <c r="AB805" s="360"/>
    </row>
    <row r="806" spans="1:28" s="361" customFormat="1" ht="15">
      <c r="A806" s="354"/>
      <c r="B806" s="2002"/>
      <c r="C806" s="2025"/>
      <c r="D806" s="1992"/>
      <c r="E806" s="1993"/>
      <c r="F806" s="1994"/>
      <c r="G806" s="1992"/>
      <c r="H806" s="1993"/>
      <c r="I806" s="1994"/>
      <c r="J806" s="867">
        <v>20</v>
      </c>
      <c r="K806" s="868">
        <v>2</v>
      </c>
      <c r="L806" s="869">
        <v>330</v>
      </c>
      <c r="M806" s="870">
        <f t="shared" si="81"/>
        <v>660</v>
      </c>
      <c r="N806" s="841"/>
      <c r="O806" s="841"/>
      <c r="P806" s="833"/>
      <c r="Q806" s="929" t="s">
        <v>1832</v>
      </c>
      <c r="R806" s="2044"/>
      <c r="S806" s="2046"/>
      <c r="T806" s="2048"/>
      <c r="U806" s="2041"/>
      <c r="V806" s="1418">
        <f t="shared" si="82"/>
        <v>79.152919999993173</v>
      </c>
      <c r="W806" s="357"/>
      <c r="X806" s="357"/>
      <c r="Y806" s="357"/>
      <c r="Z806" s="358"/>
      <c r="AA806" s="359"/>
      <c r="AB806" s="360"/>
    </row>
    <row r="807" spans="1:28" s="361" customFormat="1" ht="15">
      <c r="A807" s="354"/>
      <c r="B807" s="2002"/>
      <c r="C807" s="2024" t="s">
        <v>1831</v>
      </c>
      <c r="D807" s="1992"/>
      <c r="E807" s="1993"/>
      <c r="F807" s="1994"/>
      <c r="G807" s="1992"/>
      <c r="H807" s="1993"/>
      <c r="I807" s="1994"/>
      <c r="J807" s="832">
        <v>20</v>
      </c>
      <c r="K807" s="837">
        <v>62</v>
      </c>
      <c r="L807" s="833">
        <v>222</v>
      </c>
      <c r="M807" s="839">
        <f t="shared" si="81"/>
        <v>13764</v>
      </c>
      <c r="N807" s="841"/>
      <c r="O807" s="841"/>
      <c r="P807" s="833"/>
      <c r="Q807" s="889" t="s">
        <v>1817</v>
      </c>
      <c r="R807" s="2043">
        <v>662.93</v>
      </c>
      <c r="S807" s="950" t="s">
        <v>877</v>
      </c>
      <c r="T807" s="2048"/>
      <c r="U807" s="2041"/>
      <c r="V807" s="1418">
        <f t="shared" si="82"/>
        <v>79.152919999993173</v>
      </c>
      <c r="W807" s="357"/>
      <c r="X807" s="357"/>
      <c r="Y807" s="357"/>
      <c r="Z807" s="358"/>
      <c r="AA807" s="359"/>
      <c r="AB807" s="360"/>
    </row>
    <row r="808" spans="1:28" s="361" customFormat="1" ht="15">
      <c r="A808" s="354"/>
      <c r="B808" s="2003"/>
      <c r="C808" s="2025"/>
      <c r="D808" s="1992"/>
      <c r="E808" s="1993"/>
      <c r="F808" s="1994"/>
      <c r="G808" s="1995"/>
      <c r="H808" s="1996"/>
      <c r="I808" s="1997"/>
      <c r="J808" s="832">
        <v>20</v>
      </c>
      <c r="K808" s="837">
        <v>4</v>
      </c>
      <c r="L808" s="833">
        <v>3280</v>
      </c>
      <c r="M808" s="839">
        <f t="shared" si="81"/>
        <v>13120</v>
      </c>
      <c r="N808" s="841"/>
      <c r="O808" s="841"/>
      <c r="P808" s="833"/>
      <c r="Q808" s="929" t="s">
        <v>1836</v>
      </c>
      <c r="R808" s="2044"/>
      <c r="S808" s="950"/>
      <c r="T808" s="2049"/>
      <c r="U808" s="949"/>
      <c r="V808" s="1418">
        <f t="shared" si="82"/>
        <v>79.152919999993173</v>
      </c>
      <c r="W808" s="357"/>
      <c r="X808" s="357"/>
      <c r="Y808" s="357"/>
      <c r="Z808" s="358"/>
      <c r="AA808" s="359"/>
      <c r="AB808" s="360"/>
    </row>
    <row r="809" spans="1:28" s="361" customFormat="1" ht="15">
      <c r="A809" s="354"/>
      <c r="B809" s="2018"/>
      <c r="C809" s="2010" t="s">
        <v>1867</v>
      </c>
      <c r="D809" s="1989"/>
      <c r="E809" s="1990"/>
      <c r="F809" s="1991"/>
      <c r="G809" s="1989"/>
      <c r="H809" s="1990"/>
      <c r="I809" s="1991"/>
      <c r="J809" s="917">
        <v>10</v>
      </c>
      <c r="K809" s="918">
        <v>306</v>
      </c>
      <c r="L809" s="919">
        <v>322</v>
      </c>
      <c r="M809" s="870">
        <f t="shared" si="81"/>
        <v>98532</v>
      </c>
      <c r="N809" s="928"/>
      <c r="O809" s="928"/>
      <c r="P809" s="919"/>
      <c r="Q809" s="889" t="s">
        <v>1816</v>
      </c>
      <c r="R809" s="2051">
        <v>1173</v>
      </c>
      <c r="S809" s="2045" t="s">
        <v>1448</v>
      </c>
      <c r="T809" s="2047" t="s">
        <v>314</v>
      </c>
      <c r="U809" s="2040"/>
      <c r="V809" s="1418">
        <f>V810</f>
        <v>79.152919999993173</v>
      </c>
      <c r="W809" s="357"/>
      <c r="X809" s="357"/>
      <c r="Y809" s="357"/>
      <c r="Z809" s="358"/>
      <c r="AA809" s="359"/>
      <c r="AB809" s="360"/>
    </row>
    <row r="810" spans="1:28" s="361" customFormat="1" ht="15">
      <c r="A810" s="354"/>
      <c r="B810" s="2101"/>
      <c r="C810" s="2012"/>
      <c r="D810" s="1995"/>
      <c r="E810" s="1996"/>
      <c r="F810" s="1997"/>
      <c r="G810" s="1995"/>
      <c r="H810" s="1996"/>
      <c r="I810" s="1997"/>
      <c r="J810" s="917">
        <v>10</v>
      </c>
      <c r="K810" s="918">
        <v>28</v>
      </c>
      <c r="L810" s="919">
        <v>3272</v>
      </c>
      <c r="M810" s="870">
        <f t="shared" si="81"/>
        <v>91616</v>
      </c>
      <c r="N810" s="928"/>
      <c r="O810" s="928"/>
      <c r="P810" s="919"/>
      <c r="Q810" s="889" t="s">
        <v>1817</v>
      </c>
      <c r="R810" s="2053"/>
      <c r="S810" s="2046"/>
      <c r="T810" s="2049"/>
      <c r="U810" s="2042"/>
      <c r="V810" s="1418">
        <f>V849</f>
        <v>79.152919999993173</v>
      </c>
      <c r="W810" s="357"/>
      <c r="X810" s="357"/>
      <c r="Y810" s="357"/>
      <c r="Z810" s="358"/>
      <c r="AA810" s="359"/>
      <c r="AB810" s="360"/>
    </row>
    <row r="811" spans="1:28" s="361" customFormat="1" ht="15">
      <c r="A811" s="354"/>
      <c r="B811" s="2018"/>
      <c r="C811" s="2010" t="s">
        <v>1868</v>
      </c>
      <c r="D811" s="1989"/>
      <c r="E811" s="1990"/>
      <c r="F811" s="1991"/>
      <c r="G811" s="1989"/>
      <c r="H811" s="1990"/>
      <c r="I811" s="1991"/>
      <c r="J811" s="917" t="s">
        <v>1839</v>
      </c>
      <c r="K811" s="918">
        <v>24</v>
      </c>
      <c r="L811" s="919">
        <v>3790</v>
      </c>
      <c r="M811" s="870">
        <f t="shared" si="81"/>
        <v>90960</v>
      </c>
      <c r="N811" s="928"/>
      <c r="O811" s="928"/>
      <c r="P811" s="919"/>
      <c r="Q811" s="929" t="s">
        <v>1816</v>
      </c>
      <c r="R811" s="2051">
        <v>1250.68</v>
      </c>
      <c r="S811" s="2045" t="s">
        <v>877</v>
      </c>
      <c r="T811" s="2047" t="s">
        <v>315</v>
      </c>
      <c r="U811" s="949"/>
      <c r="V811" s="1418">
        <f t="shared" si="82"/>
        <v>79.152919999993173</v>
      </c>
      <c r="W811" s="357"/>
      <c r="X811" s="357"/>
      <c r="Y811" s="357"/>
      <c r="Z811" s="358"/>
      <c r="AA811" s="359"/>
      <c r="AB811" s="360"/>
    </row>
    <row r="812" spans="1:28" s="361" customFormat="1" ht="15">
      <c r="A812" s="354"/>
      <c r="B812" s="2100"/>
      <c r="C812" s="2011"/>
      <c r="D812" s="1992"/>
      <c r="E812" s="1993"/>
      <c r="F812" s="1994"/>
      <c r="G812" s="1992"/>
      <c r="H812" s="1993"/>
      <c r="I812" s="1994"/>
      <c r="J812" s="917">
        <v>10</v>
      </c>
      <c r="K812" s="918">
        <v>61</v>
      </c>
      <c r="L812" s="919">
        <v>132</v>
      </c>
      <c r="M812" s="870">
        <f t="shared" si="81"/>
        <v>8052</v>
      </c>
      <c r="N812" s="928"/>
      <c r="O812" s="928"/>
      <c r="P812" s="919"/>
      <c r="Q812" s="929" t="s">
        <v>1817</v>
      </c>
      <c r="R812" s="2052"/>
      <c r="S812" s="2050"/>
      <c r="T812" s="2048"/>
      <c r="U812" s="949"/>
      <c r="V812" s="1418">
        <f t="shared" si="82"/>
        <v>79.152919999993173</v>
      </c>
      <c r="W812" s="357"/>
      <c r="X812" s="357"/>
      <c r="Y812" s="357"/>
      <c r="Z812" s="358"/>
      <c r="AA812" s="359"/>
      <c r="AB812" s="360"/>
    </row>
    <row r="813" spans="1:28" s="361" customFormat="1" ht="15">
      <c r="A813" s="354"/>
      <c r="B813" s="2100"/>
      <c r="C813" s="2011"/>
      <c r="D813" s="1992"/>
      <c r="E813" s="1993"/>
      <c r="F813" s="1994"/>
      <c r="G813" s="1992"/>
      <c r="H813" s="1993"/>
      <c r="I813" s="1994"/>
      <c r="J813" s="917">
        <v>10</v>
      </c>
      <c r="K813" s="918">
        <v>61</v>
      </c>
      <c r="L813" s="919">
        <v>182</v>
      </c>
      <c r="M813" s="870">
        <f t="shared" si="81"/>
        <v>11102</v>
      </c>
      <c r="N813" s="928"/>
      <c r="O813" s="928"/>
      <c r="P813" s="919"/>
      <c r="Q813" s="929" t="s">
        <v>1818</v>
      </c>
      <c r="R813" s="2052"/>
      <c r="S813" s="2050"/>
      <c r="T813" s="2048"/>
      <c r="U813" s="949"/>
      <c r="V813" s="1418">
        <f t="shared" si="82"/>
        <v>79.152919999993173</v>
      </c>
      <c r="W813" s="357"/>
      <c r="X813" s="357"/>
      <c r="Y813" s="357"/>
      <c r="Z813" s="358"/>
      <c r="AA813" s="359"/>
      <c r="AB813" s="360"/>
    </row>
    <row r="814" spans="1:28" s="361" customFormat="1" ht="15">
      <c r="A814" s="354"/>
      <c r="B814" s="2100"/>
      <c r="C814" s="2011"/>
      <c r="D814" s="1992"/>
      <c r="E814" s="1993"/>
      <c r="F814" s="1994"/>
      <c r="G814" s="1992"/>
      <c r="H814" s="1993"/>
      <c r="I814" s="1994"/>
      <c r="J814" s="917">
        <v>10</v>
      </c>
      <c r="K814" s="918">
        <v>183</v>
      </c>
      <c r="L814" s="919">
        <v>230</v>
      </c>
      <c r="M814" s="870">
        <f t="shared" si="81"/>
        <v>42090</v>
      </c>
      <c r="N814" s="928"/>
      <c r="O814" s="928"/>
      <c r="P814" s="919"/>
      <c r="Q814" s="929" t="s">
        <v>1819</v>
      </c>
      <c r="R814" s="2052"/>
      <c r="S814" s="2050"/>
      <c r="T814" s="2048"/>
      <c r="U814" s="949"/>
      <c r="V814" s="1418">
        <f t="shared" si="82"/>
        <v>79.152919999993173</v>
      </c>
      <c r="W814" s="357"/>
      <c r="X814" s="357"/>
      <c r="Y814" s="357"/>
      <c r="Z814" s="358"/>
      <c r="AA814" s="359"/>
      <c r="AB814" s="360"/>
    </row>
    <row r="815" spans="1:28" s="361" customFormat="1" ht="15">
      <c r="A815" s="354"/>
      <c r="B815" s="2100"/>
      <c r="C815" s="2011"/>
      <c r="D815" s="1992"/>
      <c r="E815" s="1993"/>
      <c r="F815" s="1994"/>
      <c r="G815" s="1992"/>
      <c r="H815" s="1993"/>
      <c r="I815" s="1994"/>
      <c r="J815" s="917">
        <v>10</v>
      </c>
      <c r="K815" s="918">
        <v>123</v>
      </c>
      <c r="L815" s="919">
        <v>548</v>
      </c>
      <c r="M815" s="870">
        <f t="shared" si="81"/>
        <v>67404</v>
      </c>
      <c r="N815" s="928"/>
      <c r="O815" s="928"/>
      <c r="P815" s="919"/>
      <c r="Q815" s="929" t="s">
        <v>1832</v>
      </c>
      <c r="R815" s="2052"/>
      <c r="S815" s="2050"/>
      <c r="T815" s="2048"/>
      <c r="U815" s="949"/>
      <c r="V815" s="1418">
        <f t="shared" si="82"/>
        <v>79.152919999993173</v>
      </c>
      <c r="W815" s="357"/>
      <c r="X815" s="357"/>
      <c r="Y815" s="357"/>
      <c r="Z815" s="358"/>
      <c r="AA815" s="359"/>
      <c r="AB815" s="360"/>
    </row>
    <row r="816" spans="1:28" s="361" customFormat="1" ht="15">
      <c r="A816" s="354"/>
      <c r="B816" s="2101"/>
      <c r="C816" s="2012"/>
      <c r="D816" s="1995"/>
      <c r="E816" s="1996"/>
      <c r="F816" s="1997"/>
      <c r="G816" s="1995"/>
      <c r="H816" s="1996"/>
      <c r="I816" s="1997"/>
      <c r="J816" s="917">
        <v>10</v>
      </c>
      <c r="K816" s="918">
        <v>10</v>
      </c>
      <c r="L816" s="919">
        <v>3790</v>
      </c>
      <c r="M816" s="870">
        <f t="shared" si="81"/>
        <v>37900</v>
      </c>
      <c r="N816" s="928"/>
      <c r="O816" s="928"/>
      <c r="P816" s="919"/>
      <c r="Q816" s="929" t="s">
        <v>1833</v>
      </c>
      <c r="R816" s="2053"/>
      <c r="S816" s="2046"/>
      <c r="T816" s="2049"/>
      <c r="U816" s="949"/>
      <c r="V816" s="1418">
        <f>V849</f>
        <v>79.152919999993173</v>
      </c>
      <c r="W816" s="357"/>
      <c r="X816" s="357"/>
      <c r="Y816" s="357"/>
      <c r="Z816" s="358"/>
      <c r="AA816" s="359"/>
      <c r="AB816" s="360"/>
    </row>
    <row r="817" spans="1:28" s="361" customFormat="1" ht="15">
      <c r="A817" s="354"/>
      <c r="B817" s="1040"/>
      <c r="C817" s="2024" t="s">
        <v>1824</v>
      </c>
      <c r="D817" s="1989"/>
      <c r="E817" s="1990"/>
      <c r="F817" s="1991"/>
      <c r="G817" s="1989"/>
      <c r="H817" s="1990"/>
      <c r="I817" s="1991"/>
      <c r="J817" s="832" t="s">
        <v>1838</v>
      </c>
      <c r="K817" s="837">
        <v>40</v>
      </c>
      <c r="L817" s="833">
        <v>315</v>
      </c>
      <c r="M817" s="870">
        <f t="shared" si="81"/>
        <v>12600</v>
      </c>
      <c r="N817" s="928"/>
      <c r="O817" s="928"/>
      <c r="P817" s="919"/>
      <c r="Q817" s="929" t="s">
        <v>1816</v>
      </c>
      <c r="R817" s="2051">
        <v>233.11</v>
      </c>
      <c r="S817" s="2045" t="s">
        <v>1448</v>
      </c>
      <c r="T817" s="2047" t="s">
        <v>317</v>
      </c>
      <c r="U817" s="2040" t="s">
        <v>1826</v>
      </c>
      <c r="V817" s="1418">
        <f t="shared" si="82"/>
        <v>79.152919999993173</v>
      </c>
      <c r="W817" s="357"/>
      <c r="X817" s="357"/>
      <c r="Y817" s="357"/>
      <c r="Z817" s="358"/>
      <c r="AA817" s="359"/>
      <c r="AB817" s="360"/>
    </row>
    <row r="818" spans="1:28" s="361" customFormat="1" ht="15">
      <c r="A818" s="354"/>
      <c r="B818" s="1040"/>
      <c r="C818" s="2025"/>
      <c r="D818" s="1995"/>
      <c r="E818" s="1996"/>
      <c r="F818" s="1997"/>
      <c r="G818" s="1995"/>
      <c r="H818" s="1996"/>
      <c r="I818" s="1997"/>
      <c r="J818" s="832" t="s">
        <v>1838</v>
      </c>
      <c r="K818" s="837">
        <v>40</v>
      </c>
      <c r="L818" s="833">
        <v>290</v>
      </c>
      <c r="M818" s="870">
        <f t="shared" si="81"/>
        <v>11600</v>
      </c>
      <c r="N818" s="928"/>
      <c r="O818" s="928"/>
      <c r="P818" s="919"/>
      <c r="Q818" s="929" t="s">
        <v>1817</v>
      </c>
      <c r="R818" s="2053"/>
      <c r="S818" s="2046"/>
      <c r="T818" s="2048"/>
      <c r="U818" s="2041"/>
      <c r="V818" s="1418">
        <f t="shared" si="82"/>
        <v>79.152919999993173</v>
      </c>
      <c r="W818" s="357"/>
      <c r="X818" s="357"/>
      <c r="Y818" s="357"/>
      <c r="Z818" s="358"/>
      <c r="AA818" s="359"/>
      <c r="AB818" s="360"/>
    </row>
    <row r="819" spans="1:28" s="361" customFormat="1" ht="15">
      <c r="A819" s="354"/>
      <c r="B819" s="952"/>
      <c r="C819" s="2024" t="s">
        <v>1869</v>
      </c>
      <c r="D819" s="1426"/>
      <c r="E819" s="921"/>
      <c r="F819" s="922"/>
      <c r="G819" s="1426"/>
      <c r="H819" s="921"/>
      <c r="I819" s="922"/>
      <c r="J819" s="832">
        <v>8</v>
      </c>
      <c r="K819" s="837">
        <v>40</v>
      </c>
      <c r="L819" s="833">
        <v>32</v>
      </c>
      <c r="M819" s="870">
        <f t="shared" si="81"/>
        <v>1280</v>
      </c>
      <c r="N819" s="928"/>
      <c r="O819" s="928"/>
      <c r="P819" s="919"/>
      <c r="Q819" s="929" t="s">
        <v>1832</v>
      </c>
      <c r="R819" s="2051">
        <v>725.8</v>
      </c>
      <c r="S819" s="2045" t="s">
        <v>1448</v>
      </c>
      <c r="T819" s="2048"/>
      <c r="U819" s="2041"/>
      <c r="V819" s="1418">
        <f t="shared" si="82"/>
        <v>79.152919999993173</v>
      </c>
      <c r="W819" s="357"/>
      <c r="X819" s="357"/>
      <c r="Y819" s="357"/>
      <c r="Z819" s="358"/>
      <c r="AA819" s="359"/>
      <c r="AB819" s="360"/>
    </row>
    <row r="820" spans="1:28" s="361" customFormat="1" ht="15">
      <c r="A820" s="354"/>
      <c r="B820" s="1040"/>
      <c r="C820" s="2057"/>
      <c r="D820" s="1426"/>
      <c r="E820" s="921"/>
      <c r="F820" s="922"/>
      <c r="G820" s="1426"/>
      <c r="H820" s="921"/>
      <c r="I820" s="922"/>
      <c r="J820" s="832">
        <v>8</v>
      </c>
      <c r="K820" s="837">
        <v>160</v>
      </c>
      <c r="L820" s="833">
        <v>72</v>
      </c>
      <c r="M820" s="870">
        <f t="shared" si="81"/>
        <v>11520</v>
      </c>
      <c r="N820" s="928"/>
      <c r="O820" s="928"/>
      <c r="P820" s="919"/>
      <c r="Q820" s="929" t="s">
        <v>1834</v>
      </c>
      <c r="R820" s="2052"/>
      <c r="S820" s="2050"/>
      <c r="T820" s="2048"/>
      <c r="U820" s="2041"/>
      <c r="V820" s="1418">
        <f t="shared" si="82"/>
        <v>79.152919999993173</v>
      </c>
      <c r="W820" s="357"/>
      <c r="X820" s="357"/>
      <c r="Y820" s="357"/>
      <c r="Z820" s="358"/>
      <c r="AA820" s="359"/>
      <c r="AB820" s="360"/>
    </row>
    <row r="821" spans="1:28" s="361" customFormat="1" ht="15">
      <c r="A821" s="354"/>
      <c r="B821" s="1040"/>
      <c r="C821" s="2057"/>
      <c r="D821" s="1426"/>
      <c r="E821" s="921"/>
      <c r="F821" s="922"/>
      <c r="G821" s="1426"/>
      <c r="H821" s="921"/>
      <c r="I821" s="922"/>
      <c r="J821" s="832">
        <v>8</v>
      </c>
      <c r="K821" s="837">
        <v>160</v>
      </c>
      <c r="L821" s="833">
        <v>93</v>
      </c>
      <c r="M821" s="870">
        <f t="shared" si="81"/>
        <v>14880</v>
      </c>
      <c r="N821" s="928"/>
      <c r="O821" s="928"/>
      <c r="P821" s="919"/>
      <c r="Q821" s="929" t="s">
        <v>1835</v>
      </c>
      <c r="R821" s="2052"/>
      <c r="S821" s="2050"/>
      <c r="T821" s="2048"/>
      <c r="U821" s="2041"/>
      <c r="V821" s="1418">
        <f t="shared" si="82"/>
        <v>79.152919999993173</v>
      </c>
      <c r="W821" s="357"/>
      <c r="X821" s="357"/>
      <c r="Y821" s="357"/>
      <c r="Z821" s="358"/>
      <c r="AA821" s="359"/>
      <c r="AB821" s="360"/>
    </row>
    <row r="822" spans="1:28" s="361" customFormat="1" ht="15">
      <c r="A822" s="354"/>
      <c r="B822" s="1040"/>
      <c r="C822" s="2057"/>
      <c r="D822" s="1426"/>
      <c r="E822" s="921"/>
      <c r="F822" s="922"/>
      <c r="G822" s="1426"/>
      <c r="H822" s="921"/>
      <c r="I822" s="922"/>
      <c r="J822" s="832">
        <v>8</v>
      </c>
      <c r="K822" s="837">
        <v>32</v>
      </c>
      <c r="L822" s="833">
        <v>108</v>
      </c>
      <c r="M822" s="870">
        <f t="shared" si="81"/>
        <v>3456</v>
      </c>
      <c r="N822" s="928"/>
      <c r="O822" s="928"/>
      <c r="P822" s="919"/>
      <c r="Q822" s="929" t="s">
        <v>1836</v>
      </c>
      <c r="R822" s="2052"/>
      <c r="S822" s="2050"/>
      <c r="T822" s="2048"/>
      <c r="U822" s="2041"/>
      <c r="V822" s="1418">
        <f t="shared" si="82"/>
        <v>79.152919999993173</v>
      </c>
      <c r="W822" s="357"/>
      <c r="X822" s="357"/>
      <c r="Y822" s="357"/>
      <c r="Z822" s="358"/>
      <c r="AA822" s="359"/>
      <c r="AB822" s="360"/>
    </row>
    <row r="823" spans="1:28" s="361" customFormat="1" ht="15">
      <c r="A823" s="354"/>
      <c r="B823" s="1040"/>
      <c r="C823" s="2057"/>
      <c r="D823" s="1426"/>
      <c r="E823" s="921"/>
      <c r="F823" s="922"/>
      <c r="G823" s="1426"/>
      <c r="H823" s="921"/>
      <c r="I823" s="922"/>
      <c r="J823" s="832">
        <v>8</v>
      </c>
      <c r="K823" s="837">
        <v>164</v>
      </c>
      <c r="L823" s="833">
        <v>144</v>
      </c>
      <c r="M823" s="870">
        <f t="shared" si="81"/>
        <v>23616</v>
      </c>
      <c r="N823" s="928"/>
      <c r="O823" s="928"/>
      <c r="P823" s="919"/>
      <c r="Q823" s="929" t="s">
        <v>1870</v>
      </c>
      <c r="R823" s="2052"/>
      <c r="S823" s="2050"/>
      <c r="T823" s="2048"/>
      <c r="U823" s="2041"/>
      <c r="V823" s="1418">
        <f t="shared" si="82"/>
        <v>79.152919999993173</v>
      </c>
      <c r="W823" s="357"/>
      <c r="X823" s="357"/>
      <c r="Y823" s="357"/>
      <c r="Z823" s="358"/>
      <c r="AA823" s="359"/>
      <c r="AB823" s="360"/>
    </row>
    <row r="824" spans="1:28" s="361" customFormat="1" ht="15">
      <c r="A824" s="354"/>
      <c r="B824" s="1040"/>
      <c r="C824" s="2057"/>
      <c r="D824" s="1426"/>
      <c r="E824" s="921"/>
      <c r="F824" s="922"/>
      <c r="G824" s="1426"/>
      <c r="H824" s="921"/>
      <c r="I824" s="922"/>
      <c r="J824" s="832">
        <v>8</v>
      </c>
      <c r="K824" s="837">
        <v>40</v>
      </c>
      <c r="L824" s="833">
        <v>222</v>
      </c>
      <c r="M824" s="870">
        <f t="shared" si="81"/>
        <v>8880</v>
      </c>
      <c r="N824" s="928"/>
      <c r="O824" s="928"/>
      <c r="P824" s="919"/>
      <c r="Q824" s="929" t="s">
        <v>1871</v>
      </c>
      <c r="R824" s="2052"/>
      <c r="S824" s="2050"/>
      <c r="T824" s="2048"/>
      <c r="U824" s="2041"/>
      <c r="V824" s="1418">
        <f t="shared" si="82"/>
        <v>79.152919999993173</v>
      </c>
      <c r="W824" s="357"/>
      <c r="X824" s="357"/>
      <c r="Y824" s="357"/>
      <c r="Z824" s="358"/>
      <c r="AA824" s="359"/>
      <c r="AB824" s="360"/>
    </row>
    <row r="825" spans="1:28" s="361" customFormat="1" ht="15">
      <c r="A825" s="354"/>
      <c r="B825" s="1040"/>
      <c r="C825" s="2057"/>
      <c r="D825" s="1426"/>
      <c r="E825" s="921"/>
      <c r="F825" s="922"/>
      <c r="G825" s="1426"/>
      <c r="H825" s="921"/>
      <c r="I825" s="922"/>
      <c r="J825" s="832">
        <v>8</v>
      </c>
      <c r="K825" s="837">
        <v>16</v>
      </c>
      <c r="L825" s="833">
        <v>271</v>
      </c>
      <c r="M825" s="870">
        <f t="shared" si="81"/>
        <v>4336</v>
      </c>
      <c r="N825" s="928"/>
      <c r="O825" s="928"/>
      <c r="P825" s="919"/>
      <c r="Q825" s="929" t="s">
        <v>1872</v>
      </c>
      <c r="R825" s="2052"/>
      <c r="S825" s="2050"/>
      <c r="T825" s="2048"/>
      <c r="U825" s="2041"/>
      <c r="V825" s="1418">
        <f t="shared" si="82"/>
        <v>79.152919999993173</v>
      </c>
      <c r="W825" s="357"/>
      <c r="X825" s="357"/>
      <c r="Y825" s="357"/>
      <c r="Z825" s="358"/>
      <c r="AA825" s="359"/>
      <c r="AB825" s="360"/>
    </row>
    <row r="826" spans="1:28" s="361" customFormat="1" ht="15">
      <c r="A826" s="354"/>
      <c r="B826" s="1040"/>
      <c r="C826" s="2057"/>
      <c r="D826" s="1426"/>
      <c r="E826" s="921"/>
      <c r="F826" s="922"/>
      <c r="G826" s="1426"/>
      <c r="H826" s="921"/>
      <c r="I826" s="922"/>
      <c r="J826" s="832">
        <v>8</v>
      </c>
      <c r="K826" s="837">
        <v>116</v>
      </c>
      <c r="L826" s="833">
        <v>322</v>
      </c>
      <c r="M826" s="870">
        <f t="shared" si="81"/>
        <v>37352</v>
      </c>
      <c r="N826" s="928"/>
      <c r="O826" s="928"/>
      <c r="P826" s="919"/>
      <c r="Q826" s="929" t="s">
        <v>1873</v>
      </c>
      <c r="R826" s="2052"/>
      <c r="S826" s="2050"/>
      <c r="T826" s="2048"/>
      <c r="U826" s="2041"/>
      <c r="V826" s="1418">
        <f t="shared" si="82"/>
        <v>79.152919999993173</v>
      </c>
      <c r="W826" s="357"/>
      <c r="X826" s="357"/>
      <c r="Y826" s="357"/>
      <c r="Z826" s="358"/>
      <c r="AA826" s="359"/>
      <c r="AB826" s="360"/>
    </row>
    <row r="827" spans="1:28" s="361" customFormat="1" ht="15">
      <c r="A827" s="354"/>
      <c r="B827" s="1040"/>
      <c r="C827" s="2057"/>
      <c r="D827" s="1426"/>
      <c r="E827" s="921"/>
      <c r="F827" s="922"/>
      <c r="G827" s="1426"/>
      <c r="H827" s="921"/>
      <c r="I827" s="922"/>
      <c r="J827" s="832">
        <v>8</v>
      </c>
      <c r="K827" s="837">
        <v>32</v>
      </c>
      <c r="L827" s="833">
        <v>470</v>
      </c>
      <c r="M827" s="870">
        <f t="shared" si="81"/>
        <v>15040</v>
      </c>
      <c r="N827" s="928"/>
      <c r="O827" s="928"/>
      <c r="P827" s="919"/>
      <c r="Q827" s="929" t="s">
        <v>1874</v>
      </c>
      <c r="R827" s="2052"/>
      <c r="S827" s="2050"/>
      <c r="T827" s="2048"/>
      <c r="U827" s="2041"/>
      <c r="V827" s="1418">
        <f t="shared" si="82"/>
        <v>79.152919999993173</v>
      </c>
      <c r="W827" s="357"/>
      <c r="X827" s="357"/>
      <c r="Y827" s="357"/>
      <c r="Z827" s="358"/>
      <c r="AA827" s="359"/>
      <c r="AB827" s="360"/>
    </row>
    <row r="828" spans="1:28" s="361" customFormat="1" ht="15">
      <c r="A828" s="354"/>
      <c r="B828" s="953"/>
      <c r="C828" s="2025"/>
      <c r="D828" s="1426"/>
      <c r="E828" s="921"/>
      <c r="F828" s="922"/>
      <c r="G828" s="1426"/>
      <c r="H828" s="921"/>
      <c r="I828" s="922"/>
      <c r="J828" s="832">
        <v>8</v>
      </c>
      <c r="K828" s="837">
        <v>20</v>
      </c>
      <c r="L828" s="833">
        <v>3172</v>
      </c>
      <c r="M828" s="870">
        <f t="shared" si="81"/>
        <v>63440</v>
      </c>
      <c r="N828" s="928"/>
      <c r="O828" s="928"/>
      <c r="P828" s="919"/>
      <c r="Q828" s="929" t="s">
        <v>1859</v>
      </c>
      <c r="R828" s="2053"/>
      <c r="S828" s="2046"/>
      <c r="T828" s="2049"/>
      <c r="U828" s="2042"/>
      <c r="V828" s="1418">
        <f t="shared" si="82"/>
        <v>79.152919999993173</v>
      </c>
      <c r="W828" s="357"/>
      <c r="X828" s="357"/>
      <c r="Y828" s="357"/>
      <c r="Z828" s="358"/>
      <c r="AA828" s="359"/>
      <c r="AB828" s="360"/>
    </row>
    <row r="829" spans="1:28" s="361" customFormat="1" ht="45">
      <c r="A829" s="354"/>
      <c r="B829" s="952"/>
      <c r="C829" s="909" t="s">
        <v>1875</v>
      </c>
      <c r="D829" s="855"/>
      <c r="E829" s="856"/>
      <c r="F829" s="857"/>
      <c r="G829" s="855"/>
      <c r="H829" s="856"/>
      <c r="I829" s="857"/>
      <c r="J829" s="21"/>
      <c r="K829" s="22"/>
      <c r="L829" s="23"/>
      <c r="M829" s="24">
        <v>0</v>
      </c>
      <c r="N829" s="25"/>
      <c r="O829" s="25"/>
      <c r="P829" s="23"/>
      <c r="Q829" s="26"/>
      <c r="R829" s="447">
        <v>7301</v>
      </c>
      <c r="S829" s="447" t="s">
        <v>877</v>
      </c>
      <c r="T829" s="835" t="s">
        <v>1876</v>
      </c>
      <c r="U829" s="912" t="s">
        <v>1877</v>
      </c>
      <c r="V829" s="1418">
        <f t="shared" si="82"/>
        <v>79.152919999993173</v>
      </c>
      <c r="W829" s="357"/>
      <c r="X829" s="357"/>
      <c r="Y829" s="357"/>
      <c r="Z829" s="358"/>
      <c r="AA829" s="359"/>
      <c r="AB829" s="360"/>
    </row>
    <row r="830" spans="1:28" s="361" customFormat="1" ht="15">
      <c r="A830" s="354"/>
      <c r="B830" s="952"/>
      <c r="C830" s="926" t="s">
        <v>1878</v>
      </c>
      <c r="D830" s="855"/>
      <c r="E830" s="856"/>
      <c r="F830" s="857"/>
      <c r="G830" s="855"/>
      <c r="H830" s="856"/>
      <c r="I830" s="857"/>
      <c r="J830" s="21"/>
      <c r="K830" s="22"/>
      <c r="L830" s="23"/>
      <c r="M830" s="24">
        <f t="shared" ref="M830:M837" si="83">L830*K830</f>
        <v>0</v>
      </c>
      <c r="N830" s="25">
        <v>371.47</v>
      </c>
      <c r="O830" s="25"/>
      <c r="P830" s="23">
        <v>5.37</v>
      </c>
      <c r="Q830" s="26"/>
      <c r="R830" s="447">
        <f>P830*N830</f>
        <v>1994.7939000000001</v>
      </c>
      <c r="S830" s="447" t="s">
        <v>877</v>
      </c>
      <c r="T830" s="835" t="s">
        <v>324</v>
      </c>
      <c r="U830" s="912" t="s">
        <v>1879</v>
      </c>
      <c r="V830" s="1418">
        <f t="shared" si="82"/>
        <v>79.152919999993173</v>
      </c>
      <c r="W830" s="357"/>
      <c r="X830" s="357"/>
      <c r="Y830" s="357"/>
      <c r="Z830" s="358"/>
      <c r="AA830" s="359"/>
      <c r="AB830" s="360"/>
    </row>
    <row r="831" spans="1:28" s="361" customFormat="1" ht="15">
      <c r="A831" s="354"/>
      <c r="B831" s="2001"/>
      <c r="C831" s="2058" t="s">
        <v>1880</v>
      </c>
      <c r="D831" s="1989"/>
      <c r="E831" s="1990"/>
      <c r="F831" s="1991"/>
      <c r="G831" s="855"/>
      <c r="H831" s="856"/>
      <c r="I831" s="857"/>
      <c r="J831" s="21">
        <v>5</v>
      </c>
      <c r="K831" s="22">
        <v>2</v>
      </c>
      <c r="L831" s="23">
        <v>37.26</v>
      </c>
      <c r="M831" s="24">
        <f t="shared" ref="M831:M832" si="84">L831*K831</f>
        <v>74.52</v>
      </c>
      <c r="N831" s="25"/>
      <c r="O831" s="25"/>
      <c r="P831" s="783">
        <v>0.154</v>
      </c>
      <c r="Q831" s="26" t="s">
        <v>1816</v>
      </c>
      <c r="R831" s="447">
        <f>(M831/100)*P831</f>
        <v>0.1147608</v>
      </c>
      <c r="S831" s="447" t="s">
        <v>877</v>
      </c>
      <c r="T831" s="835" t="s">
        <v>328</v>
      </c>
      <c r="U831" s="912" t="s">
        <v>1881</v>
      </c>
      <c r="V831" s="1418">
        <f t="shared" si="82"/>
        <v>79.152919999993173</v>
      </c>
      <c r="W831" s="357"/>
      <c r="X831" s="357"/>
      <c r="Y831" s="357"/>
      <c r="Z831" s="358"/>
      <c r="AA831" s="359"/>
      <c r="AB831" s="360"/>
    </row>
    <row r="832" spans="1:28" s="361" customFormat="1" ht="30">
      <c r="A832" s="354"/>
      <c r="B832" s="2002"/>
      <c r="C832" s="2059"/>
      <c r="D832" s="1992"/>
      <c r="E832" s="1993"/>
      <c r="F832" s="1994"/>
      <c r="G832" s="855"/>
      <c r="H832" s="856"/>
      <c r="I832" s="857"/>
      <c r="J832" s="21">
        <v>8</v>
      </c>
      <c r="K832" s="23">
        <f>37.26/0.5</f>
        <v>74.52</v>
      </c>
      <c r="L832" s="23">
        <v>96</v>
      </c>
      <c r="M832" s="24">
        <f t="shared" si="84"/>
        <v>7153.92</v>
      </c>
      <c r="N832" s="25"/>
      <c r="O832" s="25"/>
      <c r="P832" s="783">
        <v>0.39500000000000002</v>
      </c>
      <c r="Q832" s="26" t="s">
        <v>1817</v>
      </c>
      <c r="R832" s="447">
        <f t="shared" ref="R832:R840" si="85">(M832/100)*P832</f>
        <v>28.257984</v>
      </c>
      <c r="S832" s="447" t="s">
        <v>877</v>
      </c>
      <c r="T832" s="835" t="s">
        <v>328</v>
      </c>
      <c r="U832" s="912" t="s">
        <v>1882</v>
      </c>
      <c r="V832" s="1418">
        <f t="shared" si="82"/>
        <v>79.152919999993173</v>
      </c>
      <c r="W832" s="357"/>
      <c r="X832" s="357"/>
      <c r="Y832" s="357"/>
      <c r="Z832" s="358"/>
      <c r="AA832" s="359"/>
      <c r="AB832" s="360"/>
    </row>
    <row r="833" spans="1:54" s="361" customFormat="1" ht="30">
      <c r="A833" s="354"/>
      <c r="B833" s="2002"/>
      <c r="C833" s="2059"/>
      <c r="D833" s="1992"/>
      <c r="E833" s="1993"/>
      <c r="F833" s="1994"/>
      <c r="G833" s="1998">
        <v>25</v>
      </c>
      <c r="H833" s="1999"/>
      <c r="I833" s="2000"/>
      <c r="J833" s="21">
        <v>10</v>
      </c>
      <c r="K833" s="22">
        <v>2</v>
      </c>
      <c r="L833" s="23">
        <v>300</v>
      </c>
      <c r="M833" s="24">
        <f>K833*L833*G833</f>
        <v>15000</v>
      </c>
      <c r="N833" s="25"/>
      <c r="O833" s="25"/>
      <c r="P833" s="783">
        <v>0.61699999999999999</v>
      </c>
      <c r="Q833" s="26" t="s">
        <v>1818</v>
      </c>
      <c r="R833" s="447">
        <f t="shared" si="85"/>
        <v>92.55</v>
      </c>
      <c r="S833" s="447" t="s">
        <v>877</v>
      </c>
      <c r="T833" s="835" t="s">
        <v>328</v>
      </c>
      <c r="U833" s="912" t="s">
        <v>1883</v>
      </c>
      <c r="V833" s="1418">
        <f t="shared" si="82"/>
        <v>79.152919999993173</v>
      </c>
      <c r="W833" s="357"/>
      <c r="X833" s="357"/>
      <c r="Y833" s="357"/>
      <c r="Z833" s="358"/>
      <c r="AA833" s="359"/>
      <c r="AB833" s="360"/>
    </row>
    <row r="834" spans="1:54" s="361" customFormat="1" ht="30">
      <c r="A834" s="354"/>
      <c r="B834" s="2002"/>
      <c r="C834" s="2059"/>
      <c r="D834" s="1992"/>
      <c r="E834" s="1993"/>
      <c r="F834" s="1994"/>
      <c r="G834" s="1998">
        <v>25</v>
      </c>
      <c r="H834" s="1999"/>
      <c r="I834" s="2000"/>
      <c r="J834" s="832">
        <v>10</v>
      </c>
      <c r="K834" s="837">
        <v>2</v>
      </c>
      <c r="L834" s="833">
        <v>297</v>
      </c>
      <c r="M834" s="24">
        <f>K834*L834*G834</f>
        <v>14850</v>
      </c>
      <c r="N834" s="25"/>
      <c r="O834" s="25"/>
      <c r="P834" s="783">
        <v>0.61699999999999999</v>
      </c>
      <c r="Q834" s="26" t="s">
        <v>1819</v>
      </c>
      <c r="R834" s="447">
        <f t="shared" si="85"/>
        <v>91.624499999999998</v>
      </c>
      <c r="S834" s="447" t="s">
        <v>877</v>
      </c>
      <c r="T834" s="835" t="s">
        <v>328</v>
      </c>
      <c r="U834" s="912" t="s">
        <v>1884</v>
      </c>
      <c r="V834" s="1418">
        <f t="shared" si="82"/>
        <v>79.152919999993173</v>
      </c>
      <c r="W834" s="357"/>
      <c r="X834" s="357"/>
      <c r="Y834" s="357"/>
      <c r="Z834" s="358"/>
      <c r="AA834" s="359"/>
      <c r="AB834" s="360"/>
    </row>
    <row r="835" spans="1:54" s="361" customFormat="1" ht="30">
      <c r="A835" s="354"/>
      <c r="B835" s="2003"/>
      <c r="C835" s="2060"/>
      <c r="D835" s="1995"/>
      <c r="E835" s="1996"/>
      <c r="F835" s="1997"/>
      <c r="G835" s="855"/>
      <c r="H835" s="856"/>
      <c r="I835" s="857"/>
      <c r="J835" s="832">
        <v>8</v>
      </c>
      <c r="K835" s="837">
        <v>8</v>
      </c>
      <c r="L835" s="23">
        <v>37.26</v>
      </c>
      <c r="M835" s="24">
        <f t="shared" ref="M835" si="86">L835*K835</f>
        <v>298.08</v>
      </c>
      <c r="N835" s="25"/>
      <c r="O835" s="25"/>
      <c r="P835" s="783">
        <v>0.39500000000000002</v>
      </c>
      <c r="Q835" s="26" t="s">
        <v>1832</v>
      </c>
      <c r="R835" s="447">
        <f t="shared" si="85"/>
        <v>1.177416</v>
      </c>
      <c r="S835" s="447" t="s">
        <v>877</v>
      </c>
      <c r="T835" s="835" t="s">
        <v>328</v>
      </c>
      <c r="U835" s="912" t="s">
        <v>1885</v>
      </c>
      <c r="V835" s="1418">
        <f t="shared" si="82"/>
        <v>79.152919999993173</v>
      </c>
      <c r="W835" s="357"/>
      <c r="X835" s="357"/>
      <c r="Y835" s="357"/>
      <c r="Z835" s="358"/>
      <c r="AA835" s="359"/>
      <c r="AB835" s="360"/>
    </row>
    <row r="836" spans="1:54" s="361" customFormat="1" ht="15">
      <c r="A836" s="354"/>
      <c r="B836" s="2001"/>
      <c r="C836" s="2058" t="s">
        <v>1886</v>
      </c>
      <c r="D836" s="1989"/>
      <c r="E836" s="1990"/>
      <c r="F836" s="1991"/>
      <c r="G836" s="855"/>
      <c r="H836" s="856"/>
      <c r="I836" s="857"/>
      <c r="J836" s="21">
        <v>5</v>
      </c>
      <c r="K836" s="22">
        <v>2</v>
      </c>
      <c r="L836" s="23">
        <v>143.41</v>
      </c>
      <c r="M836" s="24">
        <f t="shared" si="83"/>
        <v>286.82</v>
      </c>
      <c r="N836" s="25"/>
      <c r="O836" s="25"/>
      <c r="P836" s="783">
        <v>0.154</v>
      </c>
      <c r="Q836" s="26" t="s">
        <v>1816</v>
      </c>
      <c r="R836" s="447">
        <f t="shared" si="85"/>
        <v>0.44170279999999995</v>
      </c>
      <c r="S836" s="447" t="s">
        <v>877</v>
      </c>
      <c r="T836" s="835" t="s">
        <v>328</v>
      </c>
      <c r="U836" s="912" t="s">
        <v>1881</v>
      </c>
      <c r="V836" s="1418">
        <f t="shared" si="82"/>
        <v>79.152919999993173</v>
      </c>
      <c r="W836" s="357"/>
      <c r="X836" s="357"/>
      <c r="Y836" s="357"/>
      <c r="Z836" s="358"/>
      <c r="AA836" s="359"/>
      <c r="AB836" s="360"/>
    </row>
    <row r="837" spans="1:54" s="361" customFormat="1" ht="30">
      <c r="A837" s="354"/>
      <c r="B837" s="2002"/>
      <c r="C837" s="2059"/>
      <c r="D837" s="1992"/>
      <c r="E837" s="1993"/>
      <c r="F837" s="1994"/>
      <c r="G837" s="855"/>
      <c r="H837" s="856"/>
      <c r="I837" s="857"/>
      <c r="J837" s="21">
        <v>8</v>
      </c>
      <c r="K837" s="23">
        <f>143.41/0.5</f>
        <v>286.82</v>
      </c>
      <c r="L837" s="23">
        <v>96</v>
      </c>
      <c r="M837" s="24">
        <f t="shared" si="83"/>
        <v>27534.720000000001</v>
      </c>
      <c r="N837" s="25"/>
      <c r="O837" s="25"/>
      <c r="P837" s="783">
        <v>0.39500000000000002</v>
      </c>
      <c r="Q837" s="26" t="s">
        <v>1817</v>
      </c>
      <c r="R837" s="447">
        <f t="shared" si="85"/>
        <v>108.76214400000001</v>
      </c>
      <c r="S837" s="447" t="s">
        <v>877</v>
      </c>
      <c r="T837" s="835" t="s">
        <v>328</v>
      </c>
      <c r="U837" s="912" t="s">
        <v>1882</v>
      </c>
      <c r="V837" s="1418">
        <f t="shared" si="82"/>
        <v>79.152919999993173</v>
      </c>
      <c r="W837" s="357"/>
      <c r="X837" s="357"/>
      <c r="Y837" s="357"/>
      <c r="Z837" s="358"/>
      <c r="AA837" s="359"/>
      <c r="AB837" s="360"/>
    </row>
    <row r="838" spans="1:54" s="361" customFormat="1" ht="30">
      <c r="A838" s="354"/>
      <c r="B838" s="2002"/>
      <c r="C838" s="2059"/>
      <c r="D838" s="1992"/>
      <c r="E838" s="1993"/>
      <c r="F838" s="1994"/>
      <c r="G838" s="1998">
        <v>96</v>
      </c>
      <c r="H838" s="1999"/>
      <c r="I838" s="2000"/>
      <c r="J838" s="21">
        <v>10</v>
      </c>
      <c r="K838" s="22">
        <v>2</v>
      </c>
      <c r="L838" s="23">
        <v>300</v>
      </c>
      <c r="M838" s="24">
        <f>K838*L838*G838</f>
        <v>57600</v>
      </c>
      <c r="N838" s="25"/>
      <c r="O838" s="25"/>
      <c r="P838" s="783">
        <v>0.61699999999999999</v>
      </c>
      <c r="Q838" s="26" t="s">
        <v>1818</v>
      </c>
      <c r="R838" s="447">
        <f t="shared" si="85"/>
        <v>355.392</v>
      </c>
      <c r="S838" s="447" t="s">
        <v>877</v>
      </c>
      <c r="T838" s="835" t="s">
        <v>328</v>
      </c>
      <c r="U838" s="912" t="s">
        <v>1883</v>
      </c>
      <c r="V838" s="1418">
        <f t="shared" si="82"/>
        <v>79.152919999993173</v>
      </c>
      <c r="W838" s="357"/>
      <c r="X838" s="357"/>
      <c r="Y838" s="357"/>
      <c r="Z838" s="358"/>
      <c r="AA838" s="359"/>
      <c r="AB838" s="360"/>
    </row>
    <row r="839" spans="1:54" s="361" customFormat="1" ht="30">
      <c r="A839" s="354"/>
      <c r="B839" s="2002"/>
      <c r="C839" s="2059"/>
      <c r="D839" s="1992"/>
      <c r="E839" s="1993"/>
      <c r="F839" s="1994"/>
      <c r="G839" s="1998">
        <v>96</v>
      </c>
      <c r="H839" s="1999"/>
      <c r="I839" s="2000"/>
      <c r="J839" s="832">
        <v>10</v>
      </c>
      <c r="K839" s="837">
        <v>2</v>
      </c>
      <c r="L839" s="833">
        <v>297</v>
      </c>
      <c r="M839" s="24">
        <f>K839*L839*G839</f>
        <v>57024</v>
      </c>
      <c r="N839" s="928"/>
      <c r="O839" s="928"/>
      <c r="P839" s="783">
        <v>0.61699999999999999</v>
      </c>
      <c r="Q839" s="26" t="s">
        <v>1819</v>
      </c>
      <c r="R839" s="447">
        <f t="shared" si="85"/>
        <v>351.83807999999999</v>
      </c>
      <c r="S839" s="447" t="s">
        <v>877</v>
      </c>
      <c r="T839" s="835" t="s">
        <v>328</v>
      </c>
      <c r="U839" s="912" t="s">
        <v>1884</v>
      </c>
      <c r="V839" s="1418">
        <f t="shared" si="82"/>
        <v>79.152919999993173</v>
      </c>
      <c r="W839" s="357"/>
      <c r="X839" s="357"/>
      <c r="Y839" s="357"/>
      <c r="Z839" s="358"/>
      <c r="AA839" s="359"/>
      <c r="AB839" s="360"/>
    </row>
    <row r="840" spans="1:54" s="361" customFormat="1" ht="30">
      <c r="A840" s="354"/>
      <c r="B840" s="2003"/>
      <c r="C840" s="2060"/>
      <c r="D840" s="1995"/>
      <c r="E840" s="1996"/>
      <c r="F840" s="1997"/>
      <c r="G840" s="855"/>
      <c r="H840" s="856"/>
      <c r="I840" s="857"/>
      <c r="J840" s="832">
        <v>8</v>
      </c>
      <c r="K840" s="837">
        <v>8</v>
      </c>
      <c r="L840" s="23">
        <v>143.41</v>
      </c>
      <c r="M840" s="24">
        <f t="shared" ref="M840:M850" si="87">L840*K840</f>
        <v>1147.28</v>
      </c>
      <c r="N840" s="928"/>
      <c r="O840" s="928"/>
      <c r="P840" s="783">
        <v>0.39500000000000002</v>
      </c>
      <c r="Q840" s="26" t="s">
        <v>1832</v>
      </c>
      <c r="R840" s="447">
        <f t="shared" si="85"/>
        <v>4.5317559999999997</v>
      </c>
      <c r="S840" s="447" t="s">
        <v>877</v>
      </c>
      <c r="T840" s="835" t="s">
        <v>328</v>
      </c>
      <c r="U840" s="912" t="s">
        <v>1885</v>
      </c>
      <c r="V840" s="1418">
        <f t="shared" si="82"/>
        <v>79.152919999993173</v>
      </c>
      <c r="W840" s="357"/>
      <c r="X840" s="357"/>
      <c r="Y840" s="357"/>
      <c r="Z840" s="358"/>
      <c r="AA840" s="359"/>
      <c r="AB840" s="360"/>
    </row>
    <row r="841" spans="1:54" s="361" customFormat="1" ht="15" customHeight="1">
      <c r="A841" s="354"/>
      <c r="B841" s="2001"/>
      <c r="C841" s="2058" t="s">
        <v>1840</v>
      </c>
      <c r="D841" s="1989"/>
      <c r="E841" s="1990"/>
      <c r="F841" s="1991"/>
      <c r="G841" s="855"/>
      <c r="H841" s="856"/>
      <c r="I841" s="857"/>
      <c r="J841" s="21">
        <v>10</v>
      </c>
      <c r="K841" s="22">
        <v>76</v>
      </c>
      <c r="L841" s="23">
        <v>3180</v>
      </c>
      <c r="M841" s="24">
        <f t="shared" si="87"/>
        <v>241680</v>
      </c>
      <c r="N841" s="25"/>
      <c r="O841" s="25"/>
      <c r="P841" s="783"/>
      <c r="Q841" s="26" t="s">
        <v>1816</v>
      </c>
      <c r="R841" s="2043">
        <v>7930.6891596694104</v>
      </c>
      <c r="S841" s="2043" t="s">
        <v>877</v>
      </c>
      <c r="T841" s="2047" t="s">
        <v>330</v>
      </c>
      <c r="U841" s="2040" t="s">
        <v>1887</v>
      </c>
      <c r="V841" s="1418">
        <f t="shared" si="82"/>
        <v>79.152919999993173</v>
      </c>
      <c r="W841" s="357"/>
      <c r="X841" s="357"/>
      <c r="Y841" s="357"/>
      <c r="Z841" s="358"/>
      <c r="AA841" s="359"/>
      <c r="AB841" s="360"/>
      <c r="AJ841" s="1970" t="s">
        <v>1840</v>
      </c>
      <c r="AK841" s="1972"/>
      <c r="AL841" s="1973"/>
      <c r="AM841" s="1974"/>
      <c r="AN841" s="1232"/>
      <c r="AO841" s="1233"/>
      <c r="AP841" s="1234"/>
      <c r="AQ841" s="43">
        <v>10</v>
      </c>
      <c r="AR841" s="42">
        <v>76</v>
      </c>
      <c r="AS841" s="39">
        <v>3180</v>
      </c>
      <c r="AT841" s="41">
        <f t="shared" ref="AT841:AT848" si="88">AS841*AR841</f>
        <v>241680</v>
      </c>
      <c r="AU841" s="40"/>
      <c r="AV841" s="40"/>
      <c r="AW841" s="1239"/>
      <c r="AX841" s="38" t="s">
        <v>1816</v>
      </c>
      <c r="AY841" s="1912">
        <v>7930.6891596694104</v>
      </c>
      <c r="AZ841" s="1912" t="s">
        <v>877</v>
      </c>
      <c r="BA841" s="1980" t="s">
        <v>54</v>
      </c>
      <c r="BB841" s="1983" t="s">
        <v>1887</v>
      </c>
    </row>
    <row r="842" spans="1:54" s="361" customFormat="1" ht="15">
      <c r="A842" s="354"/>
      <c r="B842" s="2002"/>
      <c r="C842" s="2059"/>
      <c r="D842" s="1992"/>
      <c r="E842" s="1993"/>
      <c r="F842" s="1994"/>
      <c r="G842" s="855"/>
      <c r="H842" s="856"/>
      <c r="I842" s="857"/>
      <c r="J842" s="21">
        <v>20</v>
      </c>
      <c r="K842" s="23">
        <v>106</v>
      </c>
      <c r="L842" s="23">
        <v>628</v>
      </c>
      <c r="M842" s="24">
        <f t="shared" si="87"/>
        <v>66568</v>
      </c>
      <c r="N842" s="25"/>
      <c r="O842" s="25"/>
      <c r="P842" s="783"/>
      <c r="Q842" s="26" t="s">
        <v>1818</v>
      </c>
      <c r="R842" s="2099"/>
      <c r="S842" s="2099"/>
      <c r="T842" s="2048"/>
      <c r="U842" s="2041"/>
      <c r="V842" s="1418">
        <f t="shared" si="82"/>
        <v>79.152919999993173</v>
      </c>
      <c r="W842" s="357"/>
      <c r="X842" s="357"/>
      <c r="Y842" s="357"/>
      <c r="Z842" s="358"/>
      <c r="AA842" s="359"/>
      <c r="AB842" s="360"/>
      <c r="AJ842" s="1971"/>
      <c r="AK842" s="1975"/>
      <c r="AL842" s="1976"/>
      <c r="AM842" s="1977"/>
      <c r="AN842" s="1232"/>
      <c r="AO842" s="1233"/>
      <c r="AP842" s="1234"/>
      <c r="AQ842" s="43">
        <v>20</v>
      </c>
      <c r="AR842" s="39">
        <v>106</v>
      </c>
      <c r="AS842" s="39">
        <v>628</v>
      </c>
      <c r="AT842" s="41">
        <f t="shared" si="88"/>
        <v>66568</v>
      </c>
      <c r="AU842" s="40"/>
      <c r="AV842" s="40"/>
      <c r="AW842" s="1239"/>
      <c r="AX842" s="38" t="s">
        <v>1818</v>
      </c>
      <c r="AY842" s="1978"/>
      <c r="AZ842" s="1978"/>
      <c r="BA842" s="1981"/>
      <c r="BB842" s="1984"/>
    </row>
    <row r="843" spans="1:54" s="361" customFormat="1" ht="15">
      <c r="A843" s="354"/>
      <c r="B843" s="2002"/>
      <c r="C843" s="2059"/>
      <c r="D843" s="1992"/>
      <c r="E843" s="1993"/>
      <c r="F843" s="1994"/>
      <c r="G843" s="855"/>
      <c r="H843" s="856"/>
      <c r="I843" s="857"/>
      <c r="J843" s="21">
        <v>20</v>
      </c>
      <c r="K843" s="22">
        <v>155</v>
      </c>
      <c r="L843" s="23">
        <v>304</v>
      </c>
      <c r="M843" s="24">
        <f t="shared" si="87"/>
        <v>47120</v>
      </c>
      <c r="N843" s="25"/>
      <c r="O843" s="25"/>
      <c r="P843" s="783"/>
      <c r="Q843" s="26" t="s">
        <v>1819</v>
      </c>
      <c r="R843" s="2099"/>
      <c r="S843" s="2099"/>
      <c r="T843" s="2048"/>
      <c r="U843" s="2041"/>
      <c r="V843" s="1418">
        <f t="shared" si="82"/>
        <v>79.152919999993173</v>
      </c>
      <c r="W843" s="357"/>
      <c r="X843" s="357"/>
      <c r="Y843" s="357"/>
      <c r="Z843" s="358"/>
      <c r="AA843" s="359"/>
      <c r="AB843" s="360"/>
      <c r="AJ843" s="1971"/>
      <c r="AK843" s="1975"/>
      <c r="AL843" s="1976"/>
      <c r="AM843" s="1977"/>
      <c r="AN843" s="1232"/>
      <c r="AO843" s="1233"/>
      <c r="AP843" s="1234"/>
      <c r="AQ843" s="43">
        <v>20</v>
      </c>
      <c r="AR843" s="42">
        <v>155</v>
      </c>
      <c r="AS843" s="39">
        <v>304</v>
      </c>
      <c r="AT843" s="41">
        <f t="shared" si="88"/>
        <v>47120</v>
      </c>
      <c r="AU843" s="40"/>
      <c r="AV843" s="40"/>
      <c r="AW843" s="1239"/>
      <c r="AX843" s="38" t="s">
        <v>1819</v>
      </c>
      <c r="AY843" s="1978"/>
      <c r="AZ843" s="1978"/>
      <c r="BA843" s="1981"/>
      <c r="BB843" s="1984"/>
    </row>
    <row r="844" spans="1:54" s="361" customFormat="1" ht="15">
      <c r="A844" s="354"/>
      <c r="B844" s="2002"/>
      <c r="C844" s="2059"/>
      <c r="D844" s="1992"/>
      <c r="E844" s="1993"/>
      <c r="F844" s="1994"/>
      <c r="G844" s="855"/>
      <c r="H844" s="856"/>
      <c r="I844" s="857"/>
      <c r="J844" s="21">
        <v>20</v>
      </c>
      <c r="K844" s="22">
        <v>106</v>
      </c>
      <c r="L844" s="23">
        <v>236</v>
      </c>
      <c r="M844" s="24">
        <f t="shared" si="87"/>
        <v>25016</v>
      </c>
      <c r="N844" s="25"/>
      <c r="O844" s="25"/>
      <c r="P844" s="783"/>
      <c r="Q844" s="26" t="s">
        <v>1832</v>
      </c>
      <c r="R844" s="2099"/>
      <c r="S844" s="2099"/>
      <c r="T844" s="2048"/>
      <c r="U844" s="2041"/>
      <c r="V844" s="1418">
        <f t="shared" si="82"/>
        <v>79.152919999993173</v>
      </c>
      <c r="W844" s="357"/>
      <c r="X844" s="357"/>
      <c r="Y844" s="357"/>
      <c r="Z844" s="358"/>
      <c r="AA844" s="359"/>
      <c r="AB844" s="360"/>
      <c r="AJ844" s="1971"/>
      <c r="AK844" s="1975"/>
      <c r="AL844" s="1976"/>
      <c r="AM844" s="1977"/>
      <c r="AN844" s="1232"/>
      <c r="AO844" s="1233"/>
      <c r="AP844" s="1234"/>
      <c r="AQ844" s="43">
        <v>20</v>
      </c>
      <c r="AR844" s="42">
        <v>106</v>
      </c>
      <c r="AS844" s="39">
        <v>236</v>
      </c>
      <c r="AT844" s="41">
        <f t="shared" si="88"/>
        <v>25016</v>
      </c>
      <c r="AU844" s="40"/>
      <c r="AV844" s="40"/>
      <c r="AW844" s="1239"/>
      <c r="AX844" s="38" t="s">
        <v>1832</v>
      </c>
      <c r="AY844" s="1978"/>
      <c r="AZ844" s="1978"/>
      <c r="BA844" s="1981"/>
      <c r="BB844" s="1984"/>
    </row>
    <row r="845" spans="1:54" s="361" customFormat="1" ht="15">
      <c r="A845" s="354"/>
      <c r="B845" s="2002"/>
      <c r="C845" s="2059"/>
      <c r="D845" s="1992"/>
      <c r="E845" s="1993"/>
      <c r="F845" s="1994"/>
      <c r="G845" s="855"/>
      <c r="H845" s="856"/>
      <c r="I845" s="857"/>
      <c r="J845" s="21">
        <v>20</v>
      </c>
      <c r="K845" s="22">
        <v>106</v>
      </c>
      <c r="L845" s="23">
        <v>235</v>
      </c>
      <c r="M845" s="24">
        <f t="shared" si="87"/>
        <v>24910</v>
      </c>
      <c r="N845" s="25"/>
      <c r="O845" s="25"/>
      <c r="P845" s="783"/>
      <c r="Q845" s="26" t="s">
        <v>1833</v>
      </c>
      <c r="R845" s="2099"/>
      <c r="S845" s="2099"/>
      <c r="T845" s="2048"/>
      <c r="U845" s="2041"/>
      <c r="V845" s="1418">
        <f t="shared" si="82"/>
        <v>79.152919999993173</v>
      </c>
      <c r="W845" s="357"/>
      <c r="X845" s="357"/>
      <c r="Y845" s="357"/>
      <c r="Z845" s="358"/>
      <c r="AA845" s="359"/>
      <c r="AB845" s="360"/>
      <c r="AJ845" s="1971"/>
      <c r="AK845" s="1975"/>
      <c r="AL845" s="1976"/>
      <c r="AM845" s="1977"/>
      <c r="AN845" s="1232"/>
      <c r="AO845" s="1233"/>
      <c r="AP845" s="1234"/>
      <c r="AQ845" s="43">
        <v>20</v>
      </c>
      <c r="AR845" s="42">
        <v>106</v>
      </c>
      <c r="AS845" s="39">
        <v>235</v>
      </c>
      <c r="AT845" s="41">
        <f t="shared" si="88"/>
        <v>24910</v>
      </c>
      <c r="AU845" s="40"/>
      <c r="AV845" s="40"/>
      <c r="AW845" s="1239"/>
      <c r="AX845" s="38" t="s">
        <v>1833</v>
      </c>
      <c r="AY845" s="1978"/>
      <c r="AZ845" s="1978"/>
      <c r="BA845" s="1981"/>
      <c r="BB845" s="1984"/>
    </row>
    <row r="846" spans="1:54" s="361" customFormat="1" ht="15">
      <c r="A846" s="354"/>
      <c r="B846" s="2002"/>
      <c r="C846" s="2059"/>
      <c r="D846" s="1992"/>
      <c r="E846" s="1993"/>
      <c r="F846" s="1994"/>
      <c r="G846" s="1998"/>
      <c r="H846" s="1999"/>
      <c r="I846" s="2000"/>
      <c r="J846" s="21">
        <v>20</v>
      </c>
      <c r="K846" s="22">
        <v>50</v>
      </c>
      <c r="L846" s="23">
        <v>778</v>
      </c>
      <c r="M846" s="24">
        <f t="shared" si="87"/>
        <v>38900</v>
      </c>
      <c r="N846" s="25"/>
      <c r="O846" s="25"/>
      <c r="P846" s="783"/>
      <c r="Q846" s="26" t="s">
        <v>1834</v>
      </c>
      <c r="R846" s="2099"/>
      <c r="S846" s="2099"/>
      <c r="T846" s="2048"/>
      <c r="U846" s="2041"/>
      <c r="V846" s="1418">
        <f t="shared" si="82"/>
        <v>79.152919999993173</v>
      </c>
      <c r="W846" s="357"/>
      <c r="X846" s="357"/>
      <c r="Y846" s="357"/>
      <c r="Z846" s="358"/>
      <c r="AA846" s="359"/>
      <c r="AB846" s="360"/>
      <c r="AJ846" s="1971"/>
      <c r="AK846" s="1975"/>
      <c r="AL846" s="1976"/>
      <c r="AM846" s="1977"/>
      <c r="AN846" s="1986"/>
      <c r="AO846" s="1987"/>
      <c r="AP846" s="1988"/>
      <c r="AQ846" s="43">
        <v>20</v>
      </c>
      <c r="AR846" s="42">
        <v>50</v>
      </c>
      <c r="AS846" s="39">
        <v>778</v>
      </c>
      <c r="AT846" s="41">
        <f t="shared" si="88"/>
        <v>38900</v>
      </c>
      <c r="AU846" s="40"/>
      <c r="AV846" s="40"/>
      <c r="AW846" s="1239"/>
      <c r="AX846" s="38" t="s">
        <v>1834</v>
      </c>
      <c r="AY846" s="1978"/>
      <c r="AZ846" s="1978"/>
      <c r="BA846" s="1981"/>
      <c r="BB846" s="1984"/>
    </row>
    <row r="847" spans="1:54" s="361" customFormat="1" ht="15">
      <c r="A847" s="354"/>
      <c r="B847" s="2002"/>
      <c r="C847" s="2059"/>
      <c r="D847" s="1992"/>
      <c r="E847" s="1993"/>
      <c r="F847" s="1994"/>
      <c r="G847" s="1427"/>
      <c r="H847" s="1428"/>
      <c r="I847" s="1429"/>
      <c r="J847" s="832">
        <v>20</v>
      </c>
      <c r="K847" s="837">
        <v>50</v>
      </c>
      <c r="L847" s="833">
        <v>779</v>
      </c>
      <c r="M847" s="24">
        <f t="shared" si="87"/>
        <v>38950</v>
      </c>
      <c r="N847" s="841"/>
      <c r="O847" s="841"/>
      <c r="P847" s="783"/>
      <c r="Q847" s="26" t="s">
        <v>1835</v>
      </c>
      <c r="R847" s="2099"/>
      <c r="S847" s="2099"/>
      <c r="T847" s="2048"/>
      <c r="U847" s="2041"/>
      <c r="V847" s="1418">
        <f t="shared" si="82"/>
        <v>79.152919999993173</v>
      </c>
      <c r="W847" s="357"/>
      <c r="X847" s="357"/>
      <c r="Y847" s="357"/>
      <c r="Z847" s="358"/>
      <c r="AA847" s="359"/>
      <c r="AB847" s="360"/>
      <c r="AJ847" s="1971"/>
      <c r="AK847" s="1975"/>
      <c r="AL847" s="1976"/>
      <c r="AM847" s="1977"/>
      <c r="AN847" s="1242"/>
      <c r="AO847" s="1243"/>
      <c r="AP847" s="1244"/>
      <c r="AQ847" s="1235">
        <v>20</v>
      </c>
      <c r="AR847" s="1236">
        <v>50</v>
      </c>
      <c r="AS847" s="1237">
        <v>779</v>
      </c>
      <c r="AT847" s="41">
        <f t="shared" si="88"/>
        <v>38950</v>
      </c>
      <c r="AU847" s="1245"/>
      <c r="AV847" s="1245"/>
      <c r="AW847" s="1239"/>
      <c r="AX847" s="38" t="s">
        <v>1835</v>
      </c>
      <c r="AY847" s="1978"/>
      <c r="AZ847" s="1978"/>
      <c r="BA847" s="1981"/>
      <c r="BB847" s="1984"/>
    </row>
    <row r="848" spans="1:54" s="361" customFormat="1" ht="15">
      <c r="A848" s="354"/>
      <c r="B848" s="2003"/>
      <c r="C848" s="2059"/>
      <c r="D848" s="1992"/>
      <c r="E848" s="1993"/>
      <c r="F848" s="1994"/>
      <c r="G848" s="1998"/>
      <c r="H848" s="1999"/>
      <c r="I848" s="2000"/>
      <c r="J848" s="832">
        <v>20</v>
      </c>
      <c r="K848" s="837">
        <v>6</v>
      </c>
      <c r="L848" s="833">
        <v>3280</v>
      </c>
      <c r="M848" s="24">
        <f t="shared" si="87"/>
        <v>19680</v>
      </c>
      <c r="N848" s="928"/>
      <c r="O848" s="928"/>
      <c r="P848" s="783"/>
      <c r="Q848" s="26" t="s">
        <v>1836</v>
      </c>
      <c r="R848" s="2044"/>
      <c r="S848" s="2044"/>
      <c r="T848" s="2049"/>
      <c r="U848" s="2042"/>
      <c r="V848" s="1418">
        <f>V849</f>
        <v>79.152919999993173</v>
      </c>
      <c r="W848" s="357"/>
      <c r="X848" s="357"/>
      <c r="Y848" s="357"/>
      <c r="Z848" s="358"/>
      <c r="AA848" s="359"/>
      <c r="AB848" s="360"/>
      <c r="AJ848" s="1971"/>
      <c r="AK848" s="1975"/>
      <c r="AL848" s="1976"/>
      <c r="AM848" s="1977"/>
      <c r="AN848" s="1986"/>
      <c r="AO848" s="1987"/>
      <c r="AP848" s="1988"/>
      <c r="AQ848" s="1235">
        <v>20</v>
      </c>
      <c r="AR848" s="1236">
        <v>6</v>
      </c>
      <c r="AS848" s="1237">
        <v>3280</v>
      </c>
      <c r="AT848" s="41">
        <f t="shared" si="88"/>
        <v>19680</v>
      </c>
      <c r="AU848" s="1238"/>
      <c r="AV848" s="1238"/>
      <c r="AW848" s="1239"/>
      <c r="AX848" s="38" t="s">
        <v>1836</v>
      </c>
      <c r="AY848" s="1979"/>
      <c r="AZ848" s="1979"/>
      <c r="BA848" s="1982"/>
      <c r="BB848" s="1985"/>
    </row>
    <row r="849" spans="1:36" s="361" customFormat="1" ht="15">
      <c r="A849" s="354"/>
      <c r="B849" s="910"/>
      <c r="C849" s="2018" t="s">
        <v>2558</v>
      </c>
      <c r="D849" s="1972"/>
      <c r="E849" s="1973"/>
      <c r="F849" s="1974"/>
      <c r="G849" s="855"/>
      <c r="H849" s="856"/>
      <c r="I849" s="857"/>
      <c r="J849" s="43">
        <v>5</v>
      </c>
      <c r="K849" s="42">
        <v>299</v>
      </c>
      <c r="L849" s="39">
        <v>142</v>
      </c>
      <c r="M849" s="41">
        <f t="shared" si="87"/>
        <v>42458</v>
      </c>
      <c r="N849" s="40"/>
      <c r="O849" s="40"/>
      <c r="P849" s="1239"/>
      <c r="Q849" s="38"/>
      <c r="R849" s="1912">
        <f>0.154*((M849+M850)/100)</f>
        <v>79.152920000000009</v>
      </c>
      <c r="S849" s="1912" t="s">
        <v>877</v>
      </c>
      <c r="T849" s="1980" t="s">
        <v>332</v>
      </c>
      <c r="U849" s="1983"/>
      <c r="V849" s="1418">
        <f>V851</f>
        <v>79.152919999993173</v>
      </c>
      <c r="W849" s="357"/>
      <c r="X849" s="357"/>
      <c r="Y849" s="357"/>
      <c r="Z849" s="358"/>
      <c r="AA849" s="359"/>
      <c r="AB849" s="360"/>
    </row>
    <row r="850" spans="1:36" s="361" customFormat="1" ht="15">
      <c r="A850" s="354"/>
      <c r="B850" s="953"/>
      <c r="C850" s="2019"/>
      <c r="D850" s="2020"/>
      <c r="E850" s="2021"/>
      <c r="F850" s="2022"/>
      <c r="G850" s="1437"/>
      <c r="H850" s="1438"/>
      <c r="I850" s="1439"/>
      <c r="J850" s="482">
        <v>5</v>
      </c>
      <c r="K850" s="798">
        <v>3</v>
      </c>
      <c r="L850" s="495">
        <v>2980</v>
      </c>
      <c r="M850" s="495">
        <f t="shared" si="87"/>
        <v>8940</v>
      </c>
      <c r="N850" s="798"/>
      <c r="O850" s="744"/>
      <c r="P850" s="495"/>
      <c r="Q850" s="1440"/>
      <c r="R850" s="1913"/>
      <c r="S850" s="1913"/>
      <c r="T850" s="2023"/>
      <c r="U850" s="2029"/>
      <c r="V850" s="1418"/>
      <c r="W850" s="357"/>
      <c r="X850" s="357"/>
      <c r="Y850" s="357"/>
      <c r="Z850" s="358"/>
      <c r="AA850" s="359"/>
      <c r="AB850" s="360"/>
    </row>
    <row r="851" spans="1:36" s="77" customFormat="1" ht="15.6" customHeight="1">
      <c r="A851" s="370"/>
      <c r="B851" s="499"/>
      <c r="C851" s="37"/>
      <c r="D851" s="1940" t="s">
        <v>1520</v>
      </c>
      <c r="E851" s="1941"/>
      <c r="F851" s="1941"/>
      <c r="G851" s="1941"/>
      <c r="H851" s="1941"/>
      <c r="I851" s="1942"/>
      <c r="J851" s="1955">
        <f>VLOOKUP(A853,'11 - FINANCEIRA'!_xlnm.Print_Area,6,FALSE)</f>
        <v>90832.12</v>
      </c>
      <c r="K851" s="1956"/>
      <c r="L851" s="483" t="str">
        <f>VLOOKUP(A853,'11 - FINANCEIRA'!_xlnm.Print_Area,4,FALSE)</f>
        <v>Kg</v>
      </c>
      <c r="M851" s="1957" t="s">
        <v>1521</v>
      </c>
      <c r="N851" s="1958"/>
      <c r="O851" s="1958"/>
      <c r="P851" s="1958"/>
      <c r="Q851" s="1959"/>
      <c r="R851" s="484">
        <f>SUM(R720:R849)</f>
        <v>69192.813323269424</v>
      </c>
      <c r="S851" s="485" t="str">
        <f>L851</f>
        <v>Kg</v>
      </c>
      <c r="T851" s="373"/>
      <c r="U851" s="1152"/>
      <c r="V851" s="1418">
        <f>V852</f>
        <v>79.152919999993173</v>
      </c>
      <c r="AB851" s="15"/>
    </row>
    <row r="852" spans="1:36" s="77" customFormat="1" ht="15.6">
      <c r="A852" s="370"/>
      <c r="B852" s="499"/>
      <c r="C852" s="725"/>
      <c r="D852" s="1937" t="s">
        <v>1522</v>
      </c>
      <c r="E852" s="1938"/>
      <c r="F852" s="1938"/>
      <c r="G852" s="1938"/>
      <c r="H852" s="1938"/>
      <c r="I852" s="1939"/>
      <c r="J852" s="1943">
        <f>R851/J851</f>
        <v>0.76176591852385944</v>
      </c>
      <c r="K852" s="1944"/>
      <c r="L852" s="1947"/>
      <c r="M852" s="1934" t="s">
        <v>1523</v>
      </c>
      <c r="N852" s="1935"/>
      <c r="O852" s="1935"/>
      <c r="P852" s="1935"/>
      <c r="Q852" s="1936"/>
      <c r="R852" s="726">
        <f>VLOOKUP(A853,'11 - FINANCEIRA'!_xlnm.Print_Area,8,FALSE)</f>
        <v>69113.66040326943</v>
      </c>
      <c r="S852" s="727" t="str">
        <f>L851</f>
        <v>Kg</v>
      </c>
      <c r="T852" s="373"/>
      <c r="U852" s="1152" t="s">
        <v>1888</v>
      </c>
      <c r="V852" s="1418">
        <f>V853</f>
        <v>79.152919999993173</v>
      </c>
      <c r="AB852" s="15"/>
    </row>
    <row r="853" spans="1:36" s="77" customFormat="1" ht="15.6">
      <c r="A853" s="364" t="s">
        <v>376</v>
      </c>
      <c r="B853" s="499"/>
      <c r="C853" s="37"/>
      <c r="D853" s="2013"/>
      <c r="E853" s="2014"/>
      <c r="F853" s="2014"/>
      <c r="G853" s="2014"/>
      <c r="H853" s="2014"/>
      <c r="I853" s="2015"/>
      <c r="J853" s="2016"/>
      <c r="K853" s="2017"/>
      <c r="L853" s="1962"/>
      <c r="M853" s="2007" t="s">
        <v>1524</v>
      </c>
      <c r="N853" s="2008"/>
      <c r="O853" s="2008"/>
      <c r="P853" s="2008"/>
      <c r="Q853" s="2009"/>
      <c r="R853" s="1345">
        <f>R851-R852</f>
        <v>79.152919999993173</v>
      </c>
      <c r="S853" s="1346" t="str">
        <f>L851</f>
        <v>Kg</v>
      </c>
      <c r="T853" s="373"/>
      <c r="U853" s="486"/>
      <c r="V853" s="1418">
        <f>R853</f>
        <v>79.152919999993173</v>
      </c>
      <c r="AB853" s="15"/>
    </row>
    <row r="854" spans="1:36" s="77" customFormat="1" ht="15.6">
      <c r="A854" s="370"/>
      <c r="B854" s="1347"/>
      <c r="C854" s="1348"/>
      <c r="D854" s="1349"/>
      <c r="E854" s="1350"/>
      <c r="F854" s="1349"/>
      <c r="G854" s="1349"/>
      <c r="H854" s="1349"/>
      <c r="I854" s="1349"/>
      <c r="J854" s="1351"/>
      <c r="K854" s="1352"/>
      <c r="L854" s="1353"/>
      <c r="M854" s="1354"/>
      <c r="N854" s="1354"/>
      <c r="O854" s="1354"/>
      <c r="P854" s="1354"/>
      <c r="Q854" s="1354"/>
      <c r="R854" s="1355"/>
      <c r="S854" s="1356"/>
      <c r="T854" s="1357"/>
      <c r="U854" s="1358"/>
      <c r="V854" s="1420">
        <f>SUM(V718:V853)</f>
        <v>10685.644199999078</v>
      </c>
      <c r="AB854" s="15"/>
    </row>
    <row r="855" spans="1:36" s="352" customFormat="1" ht="15.75" hidden="1" customHeight="1">
      <c r="A855" s="351"/>
      <c r="B855" s="1963" t="str">
        <f>VLOOKUP(A860,'11 - FINANCEIRA'!_xlnm.Print_Area,1,FALSE)</f>
        <v>2.2.13</v>
      </c>
      <c r="C855" s="1965" t="str">
        <f>VLOOKUP(A860,'11 - FINANCEIRA'!_xlnm.Print_Area,3,FALSE)</f>
        <v>Aterro mecanizado de vala com escavadeira hidráulica</v>
      </c>
      <c r="D855" s="1967" t="s">
        <v>1503</v>
      </c>
      <c r="E855" s="1968"/>
      <c r="F855" s="1968"/>
      <c r="G855" s="1968"/>
      <c r="H855" s="1968"/>
      <c r="I855" s="1969"/>
      <c r="J855" s="1914" t="s">
        <v>1547</v>
      </c>
      <c r="K855" s="1914" t="s">
        <v>1505</v>
      </c>
      <c r="L855" s="1914" t="s">
        <v>1506</v>
      </c>
      <c r="M855" s="1914" t="s">
        <v>1507</v>
      </c>
      <c r="N855" s="1914" t="s">
        <v>1508</v>
      </c>
      <c r="O855" s="1914" t="s">
        <v>1509</v>
      </c>
      <c r="P855" s="1341" t="s">
        <v>1510</v>
      </c>
      <c r="Q855" s="1914" t="s">
        <v>1493</v>
      </c>
      <c r="R855" s="1916" t="s">
        <v>804</v>
      </c>
      <c r="S855" s="1914" t="s">
        <v>1511</v>
      </c>
      <c r="T855" s="1914" t="s">
        <v>1512</v>
      </c>
      <c r="U855" s="1918" t="s">
        <v>1513</v>
      </c>
      <c r="V855" s="1418">
        <f>V856</f>
        <v>0</v>
      </c>
      <c r="W855" s="16"/>
      <c r="X855" s="16"/>
      <c r="Y855" s="16"/>
      <c r="Z855" s="17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</row>
    <row r="856" spans="1:36" s="352" customFormat="1" ht="15.6" hidden="1">
      <c r="A856" s="351"/>
      <c r="B856" s="1964" t="e">
        <f>LEFT(#REF!,5)</f>
        <v>#REF!</v>
      </c>
      <c r="C856" s="1966" t="e">
        <f>VLOOKUP(LEFT(#REF!,5),'11 - FINANCEIRA'!_xlnm.Print_Area,2,FALSE)</f>
        <v>#REF!</v>
      </c>
      <c r="D856" s="1920" t="s">
        <v>1514</v>
      </c>
      <c r="E856" s="1921"/>
      <c r="F856" s="1922"/>
      <c r="G856" s="1923" t="s">
        <v>1515</v>
      </c>
      <c r="H856" s="1924"/>
      <c r="I856" s="1925"/>
      <c r="J856" s="1915"/>
      <c r="K856" s="1915"/>
      <c r="L856" s="1915"/>
      <c r="M856" s="1915"/>
      <c r="N856" s="1915"/>
      <c r="O856" s="1915"/>
      <c r="P856" s="353" t="s">
        <v>1516</v>
      </c>
      <c r="Q856" s="1915"/>
      <c r="R856" s="1917"/>
      <c r="S856" s="1915"/>
      <c r="T856" s="1915"/>
      <c r="U856" s="1919"/>
      <c r="V856" s="1418">
        <f>V857</f>
        <v>0</v>
      </c>
      <c r="W856" s="16"/>
      <c r="X856" s="16"/>
      <c r="Y856" s="16"/>
      <c r="Z856" s="17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</row>
    <row r="857" spans="1:36" s="361" customFormat="1" ht="15" hidden="1">
      <c r="A857" s="354"/>
      <c r="B857" s="879" t="s">
        <v>1889</v>
      </c>
      <c r="C857" s="880" t="s">
        <v>1890</v>
      </c>
      <c r="D857" s="1395"/>
      <c r="E857" s="1396"/>
      <c r="F857" s="1397"/>
      <c r="G857" s="1395"/>
      <c r="H857" s="1396"/>
      <c r="I857" s="1397"/>
      <c r="J857" s="881">
        <v>2</v>
      </c>
      <c r="K857" s="1398">
        <v>20</v>
      </c>
      <c r="L857" s="882">
        <v>5.6150000000000002</v>
      </c>
      <c r="M857" s="1399">
        <v>2</v>
      </c>
      <c r="N857" s="1400"/>
      <c r="O857" s="1401">
        <f>K857*L857*M857*J857</f>
        <v>449.20000000000005</v>
      </c>
      <c r="P857" s="883"/>
      <c r="Q857" s="1402"/>
      <c r="R857" s="884">
        <f>O857</f>
        <v>449.20000000000005</v>
      </c>
      <c r="S857" s="885" t="s">
        <v>853</v>
      </c>
      <c r="T857" s="886" t="s">
        <v>301</v>
      </c>
      <c r="U857" s="887"/>
      <c r="V857" s="1418">
        <f>V858</f>
        <v>0</v>
      </c>
      <c r="W857" s="357"/>
      <c r="X857" s="357"/>
      <c r="Y857" s="357"/>
      <c r="Z857" s="358"/>
      <c r="AA857" s="359"/>
      <c r="AB857" s="360"/>
    </row>
    <row r="858" spans="1:36" s="77" customFormat="1" ht="15.6" hidden="1">
      <c r="A858" s="370"/>
      <c r="B858" s="499"/>
      <c r="C858" s="37"/>
      <c r="D858" s="1940" t="s">
        <v>1520</v>
      </c>
      <c r="E858" s="1941"/>
      <c r="F858" s="1941"/>
      <c r="G858" s="1941"/>
      <c r="H858" s="1941"/>
      <c r="I858" s="1942"/>
      <c r="J858" s="1955">
        <f>VLOOKUP(A860,'11 - FINANCEIRA'!_xlnm.Print_Area,6,FALSE)</f>
        <v>449.2</v>
      </c>
      <c r="K858" s="1956"/>
      <c r="L858" s="483" t="str">
        <f>VLOOKUP(A860,'11 - FINANCEIRA'!_xlnm.Print_Area,4,FALSE)</f>
        <v>m³</v>
      </c>
      <c r="M858" s="1957" t="s">
        <v>1521</v>
      </c>
      <c r="N858" s="1958"/>
      <c r="O858" s="1958"/>
      <c r="P858" s="1958"/>
      <c r="Q858" s="1959"/>
      <c r="R858" s="484">
        <f>SUM(R857:R857)</f>
        <v>449.20000000000005</v>
      </c>
      <c r="S858" s="485" t="str">
        <f>L858</f>
        <v>m³</v>
      </c>
      <c r="T858" s="373"/>
      <c r="U858" s="486"/>
      <c r="V858" s="1418">
        <f>V859</f>
        <v>0</v>
      </c>
      <c r="AB858" s="15"/>
    </row>
    <row r="859" spans="1:36" s="77" customFormat="1" ht="15.6" hidden="1">
      <c r="A859" s="370"/>
      <c r="B859" s="499"/>
      <c r="C859" s="725"/>
      <c r="D859" s="1937" t="s">
        <v>1522</v>
      </c>
      <c r="E859" s="1938"/>
      <c r="F859" s="1938"/>
      <c r="G859" s="1938"/>
      <c r="H859" s="1938"/>
      <c r="I859" s="1939"/>
      <c r="J859" s="1943">
        <f>R858/J858</f>
        <v>1.0000000000000002</v>
      </c>
      <c r="K859" s="1944"/>
      <c r="L859" s="1947"/>
      <c r="M859" s="1934" t="s">
        <v>1523</v>
      </c>
      <c r="N859" s="1935"/>
      <c r="O859" s="1935"/>
      <c r="P859" s="1935"/>
      <c r="Q859" s="1936"/>
      <c r="R859" s="726">
        <f>VLOOKUP(A860,'11 - FINANCEIRA'!_xlnm.Print_Area,8,FALSE)</f>
        <v>449.20000000000005</v>
      </c>
      <c r="S859" s="727" t="str">
        <f>L858</f>
        <v>m³</v>
      </c>
      <c r="T859" s="373"/>
      <c r="U859" s="486"/>
      <c r="V859" s="1418">
        <f>V860</f>
        <v>0</v>
      </c>
      <c r="AB859" s="15"/>
    </row>
    <row r="860" spans="1:36" s="77" customFormat="1" ht="15.6" hidden="1">
      <c r="A860" s="364" t="s">
        <v>377</v>
      </c>
      <c r="B860" s="499"/>
      <c r="C860" s="37"/>
      <c r="D860" s="2013"/>
      <c r="E860" s="2014"/>
      <c r="F860" s="2014"/>
      <c r="G860" s="2014"/>
      <c r="H860" s="2014"/>
      <c r="I860" s="2015"/>
      <c r="J860" s="2016"/>
      <c r="K860" s="2017"/>
      <c r="L860" s="1962"/>
      <c r="M860" s="2007" t="s">
        <v>1524</v>
      </c>
      <c r="N860" s="2008"/>
      <c r="O860" s="2008"/>
      <c r="P860" s="2008"/>
      <c r="Q860" s="2009"/>
      <c r="R860" s="1345">
        <f>R858-R859</f>
        <v>0</v>
      </c>
      <c r="S860" s="1346" t="str">
        <f>L858</f>
        <v>m³</v>
      </c>
      <c r="T860" s="373"/>
      <c r="U860" s="486"/>
      <c r="V860" s="1418">
        <f>R860</f>
        <v>0</v>
      </c>
      <c r="AB860" s="15"/>
    </row>
    <row r="861" spans="1:36" s="77" customFormat="1" ht="15.6" hidden="1">
      <c r="A861" s="370"/>
      <c r="B861" s="1347"/>
      <c r="C861" s="1348"/>
      <c r="D861" s="1349"/>
      <c r="E861" s="1350"/>
      <c r="F861" s="1349"/>
      <c r="G861" s="1349"/>
      <c r="H861" s="1349"/>
      <c r="I861" s="1349"/>
      <c r="J861" s="1351"/>
      <c r="K861" s="1352"/>
      <c r="L861" s="1353"/>
      <c r="M861" s="1354"/>
      <c r="N861" s="1354"/>
      <c r="O861" s="1354"/>
      <c r="P861" s="1354"/>
      <c r="Q861" s="1354"/>
      <c r="R861" s="1355"/>
      <c r="S861" s="1356"/>
      <c r="T861" s="1357"/>
      <c r="U861" s="1358"/>
      <c r="V861" s="1420">
        <f>SUM(V855:V860)</f>
        <v>0</v>
      </c>
      <c r="AB861" s="15"/>
    </row>
    <row r="862" spans="1:36" s="352" customFormat="1" ht="15.75" hidden="1" customHeight="1">
      <c r="A862" s="351"/>
      <c r="B862" s="1963" t="str">
        <f>VLOOKUP(A867,'11 - FINANCEIRA'!_xlnm.Print_Area,1,FALSE)</f>
        <v>2.2.14</v>
      </c>
      <c r="C862" s="1965" t="str">
        <f>VLOOKUP(A867,'11 - FINANCEIRA'!_xlnm.Print_Area,3,FALSE)</f>
        <v>Reaterro e compactação com soquete vibratório</v>
      </c>
      <c r="D862" s="1967" t="s">
        <v>1503</v>
      </c>
      <c r="E862" s="1968"/>
      <c r="F862" s="1968"/>
      <c r="G862" s="1968"/>
      <c r="H862" s="1968"/>
      <c r="I862" s="1969"/>
      <c r="J862" s="1914" t="s">
        <v>1547</v>
      </c>
      <c r="K862" s="1914" t="s">
        <v>1505</v>
      </c>
      <c r="L862" s="1914" t="s">
        <v>1506</v>
      </c>
      <c r="M862" s="1914"/>
      <c r="N862" s="1914" t="s">
        <v>1508</v>
      </c>
      <c r="O862" s="1914" t="s">
        <v>1509</v>
      </c>
      <c r="P862" s="1341" t="s">
        <v>1510</v>
      </c>
      <c r="Q862" s="1914" t="s">
        <v>1493</v>
      </c>
      <c r="R862" s="1916" t="s">
        <v>804</v>
      </c>
      <c r="S862" s="1914" t="s">
        <v>1511</v>
      </c>
      <c r="T862" s="1914" t="s">
        <v>1512</v>
      </c>
      <c r="U862" s="1918" t="s">
        <v>1513</v>
      </c>
      <c r="V862" s="1418">
        <f>V863</f>
        <v>0</v>
      </c>
      <c r="W862" s="16"/>
      <c r="X862" s="16"/>
      <c r="Y862" s="16"/>
      <c r="Z862" s="17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</row>
    <row r="863" spans="1:36" s="352" customFormat="1" ht="15.6" hidden="1">
      <c r="A863" s="351"/>
      <c r="B863" s="1964" t="e">
        <f>LEFT(#REF!,5)</f>
        <v>#REF!</v>
      </c>
      <c r="C863" s="1966" t="e">
        <f>VLOOKUP(LEFT(#REF!,5),'11 - FINANCEIRA'!_xlnm.Print_Area,2,FALSE)</f>
        <v>#REF!</v>
      </c>
      <c r="D863" s="1920" t="s">
        <v>1514</v>
      </c>
      <c r="E863" s="1921"/>
      <c r="F863" s="1922"/>
      <c r="G863" s="1923" t="s">
        <v>1515</v>
      </c>
      <c r="H863" s="1924"/>
      <c r="I863" s="1925"/>
      <c r="J863" s="1915"/>
      <c r="K863" s="1915"/>
      <c r="L863" s="1915"/>
      <c r="M863" s="1915"/>
      <c r="N863" s="1915"/>
      <c r="O863" s="1915"/>
      <c r="P863" s="353" t="s">
        <v>1516</v>
      </c>
      <c r="Q863" s="1915"/>
      <c r="R863" s="1917"/>
      <c r="S863" s="1915"/>
      <c r="T863" s="1915"/>
      <c r="U863" s="1919"/>
      <c r="V863" s="1418">
        <f>V864</f>
        <v>0</v>
      </c>
      <c r="W863" s="16"/>
      <c r="X863" s="16"/>
      <c r="Y863" s="16"/>
      <c r="Z863" s="17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</row>
    <row r="864" spans="1:36" s="361" customFormat="1" ht="30" hidden="1">
      <c r="A864" s="354"/>
      <c r="B864" s="879" t="s">
        <v>1891</v>
      </c>
      <c r="C864" s="880" t="s">
        <v>1892</v>
      </c>
      <c r="D864" s="1395"/>
      <c r="E864" s="1396"/>
      <c r="F864" s="1397"/>
      <c r="G864" s="1395"/>
      <c r="H864" s="1396"/>
      <c r="I864" s="1397"/>
      <c r="J864" s="881">
        <v>2</v>
      </c>
      <c r="K864" s="1398">
        <v>81.8</v>
      </c>
      <c r="L864" s="883">
        <v>28.2</v>
      </c>
      <c r="M864" s="1399">
        <v>0.50000867999999998</v>
      </c>
      <c r="N864" s="1400"/>
      <c r="O864" s="1401">
        <f>K864*L864*M864*J864</f>
        <v>2306.8000453535997</v>
      </c>
      <c r="P864" s="883"/>
      <c r="Q864" s="1402"/>
      <c r="R864" s="1403">
        <v>2306.8000000000002</v>
      </c>
      <c r="S864" s="885" t="s">
        <v>853</v>
      </c>
      <c r="T864" s="886" t="s">
        <v>301</v>
      </c>
      <c r="U864" s="847" t="s">
        <v>1893</v>
      </c>
      <c r="V864" s="1418">
        <f>V865</f>
        <v>0</v>
      </c>
      <c r="W864" s="357"/>
      <c r="X864" s="357"/>
      <c r="Y864" s="357"/>
      <c r="Z864" s="358"/>
      <c r="AA864" s="359"/>
      <c r="AB864" s="360"/>
    </row>
    <row r="865" spans="1:36" s="77" customFormat="1" ht="15.6" hidden="1">
      <c r="A865" s="370"/>
      <c r="B865" s="499"/>
      <c r="C865" s="37"/>
      <c r="D865" s="1940" t="s">
        <v>1520</v>
      </c>
      <c r="E865" s="1941"/>
      <c r="F865" s="1941"/>
      <c r="G865" s="1941"/>
      <c r="H865" s="1941"/>
      <c r="I865" s="1942"/>
      <c r="J865" s="1955">
        <f>VLOOKUP(A867,'11 - FINANCEIRA'!_xlnm.Print_Area,6,FALSE)</f>
        <v>6414.3</v>
      </c>
      <c r="K865" s="1956"/>
      <c r="L865" s="483" t="str">
        <f>VLOOKUP(A867,'11 - FINANCEIRA'!_xlnm.Print_Area,4,FALSE)</f>
        <v>m³</v>
      </c>
      <c r="M865" s="1957" t="s">
        <v>1521</v>
      </c>
      <c r="N865" s="1958"/>
      <c r="O865" s="1958"/>
      <c r="P865" s="1958"/>
      <c r="Q865" s="1959"/>
      <c r="R865" s="484">
        <f>SUM(R864:R864)</f>
        <v>2306.8000000000002</v>
      </c>
      <c r="S865" s="485" t="str">
        <f>L865</f>
        <v>m³</v>
      </c>
      <c r="T865" s="373"/>
      <c r="U865" s="486"/>
      <c r="V865" s="1418">
        <f>V866</f>
        <v>0</v>
      </c>
      <c r="AB865" s="15"/>
    </row>
    <row r="866" spans="1:36" s="77" customFormat="1" ht="15.6" hidden="1">
      <c r="A866" s="370"/>
      <c r="B866" s="499"/>
      <c r="C866" s="725"/>
      <c r="D866" s="1937" t="s">
        <v>1522</v>
      </c>
      <c r="E866" s="1938"/>
      <c r="F866" s="1938"/>
      <c r="G866" s="1938"/>
      <c r="H866" s="1938"/>
      <c r="I866" s="1939"/>
      <c r="J866" s="1943">
        <f>R865/J865</f>
        <v>0.35963394290881312</v>
      </c>
      <c r="K866" s="1944"/>
      <c r="L866" s="1947"/>
      <c r="M866" s="1934" t="s">
        <v>1523</v>
      </c>
      <c r="N866" s="1935"/>
      <c r="O866" s="1935"/>
      <c r="P866" s="1935"/>
      <c r="Q866" s="1936"/>
      <c r="R866" s="726">
        <f>VLOOKUP(A867,'11 - FINANCEIRA'!_xlnm.Print_Area,8,FALSE)</f>
        <v>2306.8000000000002</v>
      </c>
      <c r="S866" s="727" t="str">
        <f>L865</f>
        <v>m³</v>
      </c>
      <c r="T866" s="373"/>
      <c r="U866" s="486"/>
      <c r="V866" s="1418">
        <f>V867</f>
        <v>0</v>
      </c>
      <c r="AB866" s="15"/>
    </row>
    <row r="867" spans="1:36" s="77" customFormat="1" ht="15.6" hidden="1">
      <c r="A867" s="364" t="s">
        <v>378</v>
      </c>
      <c r="B867" s="499"/>
      <c r="C867" s="37"/>
      <c r="D867" s="2013"/>
      <c r="E867" s="2014"/>
      <c r="F867" s="2014"/>
      <c r="G867" s="2014"/>
      <c r="H867" s="2014"/>
      <c r="I867" s="2015"/>
      <c r="J867" s="2016"/>
      <c r="K867" s="2017"/>
      <c r="L867" s="1962"/>
      <c r="M867" s="2007" t="s">
        <v>1524</v>
      </c>
      <c r="N867" s="2008"/>
      <c r="O867" s="2008"/>
      <c r="P867" s="2008"/>
      <c r="Q867" s="2009"/>
      <c r="R867" s="1345">
        <f>R865-R866</f>
        <v>0</v>
      </c>
      <c r="S867" s="1346" t="str">
        <f>L865</f>
        <v>m³</v>
      </c>
      <c r="T867" s="373"/>
      <c r="U867" s="486"/>
      <c r="V867" s="1418">
        <f>R867</f>
        <v>0</v>
      </c>
      <c r="AB867" s="15"/>
    </row>
    <row r="868" spans="1:36" s="77" customFormat="1" ht="15.6" hidden="1">
      <c r="A868" s="370"/>
      <c r="B868" s="1347"/>
      <c r="C868" s="1348"/>
      <c r="D868" s="1349"/>
      <c r="E868" s="1350"/>
      <c r="F868" s="1349"/>
      <c r="G868" s="1349"/>
      <c r="H868" s="1349"/>
      <c r="I868" s="1349"/>
      <c r="J868" s="1351"/>
      <c r="K868" s="1352"/>
      <c r="L868" s="1353"/>
      <c r="M868" s="1354"/>
      <c r="N868" s="1354"/>
      <c r="O868" s="1354"/>
      <c r="P868" s="1354"/>
      <c r="Q868" s="1354"/>
      <c r="R868" s="1355"/>
      <c r="S868" s="1356"/>
      <c r="T868" s="1357"/>
      <c r="U868" s="1358"/>
      <c r="V868" s="1420">
        <f>SUM(V862:V867)</f>
        <v>0</v>
      </c>
      <c r="AB868" s="15"/>
    </row>
    <row r="869" spans="1:36" s="352" customFormat="1" ht="15.75" hidden="1" customHeight="1">
      <c r="A869" s="351"/>
      <c r="B869" s="1963" t="str">
        <f>VLOOKUP(A875,'11 - FINANCEIRA'!_xlnm.Print_Area,1,FALSE)</f>
        <v>2.2.15</v>
      </c>
      <c r="C869" s="1965" t="str">
        <f>VLOOKUP(A875,'11 - FINANCEIRA'!_xlnm.Print_Area,3,FALSE)</f>
        <v>Destinação final de resíduos classe ii a em aterro sanitário controlado (bdi reduzido de 14,02%) - BDI = 14,02</v>
      </c>
      <c r="D869" s="1967" t="s">
        <v>1503</v>
      </c>
      <c r="E869" s="1968"/>
      <c r="F869" s="1968"/>
      <c r="G869" s="1968"/>
      <c r="H869" s="1968"/>
      <c r="I869" s="1969"/>
      <c r="J869" s="1914" t="s">
        <v>1504</v>
      </c>
      <c r="K869" s="1914" t="s">
        <v>1505</v>
      </c>
      <c r="L869" s="1914" t="s">
        <v>1894</v>
      </c>
      <c r="M869" s="1914" t="s">
        <v>1507</v>
      </c>
      <c r="N869" s="1914" t="s">
        <v>1508</v>
      </c>
      <c r="O869" s="1914" t="s">
        <v>1895</v>
      </c>
      <c r="P869" s="1341" t="s">
        <v>1510</v>
      </c>
      <c r="Q869" s="1914" t="s">
        <v>1493</v>
      </c>
      <c r="R869" s="1916" t="s">
        <v>804</v>
      </c>
      <c r="S869" s="1914" t="s">
        <v>1511</v>
      </c>
      <c r="T869" s="1914" t="s">
        <v>1512</v>
      </c>
      <c r="U869" s="1918" t="s">
        <v>1513</v>
      </c>
      <c r="V869" s="1418">
        <f t="shared" ref="V869:V874" si="89">V870</f>
        <v>0</v>
      </c>
      <c r="W869" s="16"/>
      <c r="X869" s="16"/>
      <c r="Y869" s="16"/>
      <c r="Z869" s="17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</row>
    <row r="870" spans="1:36" s="352" customFormat="1" ht="15.75" hidden="1" customHeight="1">
      <c r="A870" s="351"/>
      <c r="B870" s="1964" t="e">
        <f>LEFT(#REF!,5)</f>
        <v>#REF!</v>
      </c>
      <c r="C870" s="1966" t="e">
        <f>VLOOKUP(LEFT(#REF!,5),'11 - FINANCEIRA'!_xlnm.Print_Area,2,FALSE)</f>
        <v>#REF!</v>
      </c>
      <c r="D870" s="1920" t="s">
        <v>1514</v>
      </c>
      <c r="E870" s="1921"/>
      <c r="F870" s="1922"/>
      <c r="G870" s="1923" t="s">
        <v>1515</v>
      </c>
      <c r="H870" s="1924"/>
      <c r="I870" s="1925"/>
      <c r="J870" s="1915"/>
      <c r="K870" s="1915"/>
      <c r="L870" s="1915"/>
      <c r="M870" s="1915"/>
      <c r="N870" s="1915"/>
      <c r="O870" s="1915"/>
      <c r="P870" s="353" t="s">
        <v>1516</v>
      </c>
      <c r="Q870" s="1915"/>
      <c r="R870" s="1917"/>
      <c r="S870" s="1915"/>
      <c r="T870" s="1915"/>
      <c r="U870" s="1919"/>
      <c r="V870" s="1418">
        <f t="shared" si="89"/>
        <v>0</v>
      </c>
      <c r="W870" s="16"/>
      <c r="X870" s="16"/>
      <c r="Y870" s="16"/>
      <c r="Z870" s="17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</row>
    <row r="871" spans="1:36" s="369" customFormat="1" ht="15" hidden="1" customHeight="1">
      <c r="A871" s="364"/>
      <c r="B871" s="755" t="s">
        <v>1896</v>
      </c>
      <c r="C871" s="28" t="s">
        <v>1897</v>
      </c>
      <c r="D871" s="18">
        <v>0</v>
      </c>
      <c r="E871" s="19" t="s">
        <v>1898</v>
      </c>
      <c r="F871" s="20">
        <v>0</v>
      </c>
      <c r="G871" s="18">
        <v>10</v>
      </c>
      <c r="H871" s="19" t="s">
        <v>1898</v>
      </c>
      <c r="I871" s="20">
        <v>10</v>
      </c>
      <c r="J871" s="782"/>
      <c r="K871" s="22"/>
      <c r="L871" s="23"/>
      <c r="M871" s="24"/>
      <c r="N871" s="25"/>
      <c r="O871" s="25">
        <v>2891.4340000000002</v>
      </c>
      <c r="P871" s="23">
        <v>1.54</v>
      </c>
      <c r="Q871" s="26"/>
      <c r="R871" s="849">
        <f>O871*P871</f>
        <v>4452.80836</v>
      </c>
      <c r="S871" s="447" t="s">
        <v>886</v>
      </c>
      <c r="T871" s="446" t="s">
        <v>303</v>
      </c>
      <c r="U871" s="793" t="s">
        <v>1899</v>
      </c>
      <c r="V871" s="1418">
        <f t="shared" si="89"/>
        <v>0</v>
      </c>
      <c r="W871" s="367"/>
      <c r="X871" s="367"/>
      <c r="Y871" s="367"/>
      <c r="Z871" s="368"/>
    </row>
    <row r="872" spans="1:36" s="369" customFormat="1" ht="30" hidden="1">
      <c r="A872" s="364"/>
      <c r="B872" s="766" t="s">
        <v>1900</v>
      </c>
      <c r="C872" s="30" t="s">
        <v>1897</v>
      </c>
      <c r="D872" s="901">
        <v>0</v>
      </c>
      <c r="E872" s="902" t="s">
        <v>1898</v>
      </c>
      <c r="F872" s="903">
        <v>0</v>
      </c>
      <c r="G872" s="901">
        <v>6</v>
      </c>
      <c r="H872" s="902" t="s">
        <v>1898</v>
      </c>
      <c r="I872" s="904">
        <v>7.7640000000000002</v>
      </c>
      <c r="J872" s="767"/>
      <c r="K872" s="768"/>
      <c r="L872" s="769"/>
      <c r="M872" s="770"/>
      <c r="N872" s="771"/>
      <c r="O872" s="771">
        <f>R872/P872</f>
        <v>428.32567532467476</v>
      </c>
      <c r="P872" s="769">
        <v>1.54</v>
      </c>
      <c r="Q872" s="772"/>
      <c r="R872" s="905">
        <v>659.62153999999919</v>
      </c>
      <c r="S872" s="773" t="s">
        <v>886</v>
      </c>
      <c r="T872" s="774" t="s">
        <v>56</v>
      </c>
      <c r="U872" s="906" t="s">
        <v>1901</v>
      </c>
      <c r="V872" s="1418">
        <f t="shared" si="89"/>
        <v>0</v>
      </c>
      <c r="W872" s="367"/>
      <c r="X872" s="367"/>
      <c r="Y872" s="367"/>
      <c r="Z872" s="368"/>
    </row>
    <row r="873" spans="1:36" s="77" customFormat="1" ht="15.6" hidden="1">
      <c r="A873" s="370"/>
      <c r="B873" s="499"/>
      <c r="C873" s="37"/>
      <c r="D873" s="1940" t="s">
        <v>1520</v>
      </c>
      <c r="E873" s="1941"/>
      <c r="F873" s="1941"/>
      <c r="G873" s="1941"/>
      <c r="H873" s="1941"/>
      <c r="I873" s="1942"/>
      <c r="J873" s="1955">
        <f>VLOOKUP(A875,'11 - FINANCEIRA'!_xlnm.Print_Area,6,FALSE)</f>
        <v>5458.53</v>
      </c>
      <c r="K873" s="1956"/>
      <c r="L873" s="483" t="str">
        <f>VLOOKUP(A875,'11 - FINANCEIRA'!_xlnm.Print_Area,4,FALSE)</f>
        <v>T</v>
      </c>
      <c r="M873" s="1957" t="s">
        <v>1521</v>
      </c>
      <c r="N873" s="1958"/>
      <c r="O873" s="1958"/>
      <c r="P873" s="1958"/>
      <c r="Q873" s="1959"/>
      <c r="R873" s="484">
        <f>SUM(R871:R872)</f>
        <v>5112.4298999999992</v>
      </c>
      <c r="S873" s="485" t="str">
        <f>L873</f>
        <v>T</v>
      </c>
      <c r="T873" s="373"/>
      <c r="U873" s="486"/>
      <c r="V873" s="1418">
        <f t="shared" si="89"/>
        <v>0</v>
      </c>
      <c r="AB873" s="15"/>
    </row>
    <row r="874" spans="1:36" s="77" customFormat="1" ht="15.6" hidden="1">
      <c r="A874" s="370"/>
      <c r="B874" s="499"/>
      <c r="C874" s="725"/>
      <c r="D874" s="1937" t="s">
        <v>1522</v>
      </c>
      <c r="E874" s="1938"/>
      <c r="F874" s="1938"/>
      <c r="G874" s="1938"/>
      <c r="H874" s="1938"/>
      <c r="I874" s="1939"/>
      <c r="J874" s="1943">
        <f>R873/J873</f>
        <v>0.93659463262087039</v>
      </c>
      <c r="K874" s="1944"/>
      <c r="L874" s="1947"/>
      <c r="M874" s="1934" t="s">
        <v>1523</v>
      </c>
      <c r="N874" s="1935"/>
      <c r="O874" s="1935"/>
      <c r="P874" s="1935"/>
      <c r="Q874" s="1936"/>
      <c r="R874" s="726">
        <f>VLOOKUP(A875,'11 - FINANCEIRA'!_xlnm.Print_Area,8,FALSE)</f>
        <v>5112.4298999999992</v>
      </c>
      <c r="S874" s="727" t="str">
        <f>L873</f>
        <v>T</v>
      </c>
      <c r="T874" s="373"/>
      <c r="U874" s="486"/>
      <c r="V874" s="1418">
        <f t="shared" si="89"/>
        <v>0</v>
      </c>
      <c r="AB874" s="15"/>
    </row>
    <row r="875" spans="1:36" s="77" customFormat="1" ht="15.6" hidden="1">
      <c r="A875" s="364" t="s">
        <v>379</v>
      </c>
      <c r="B875" s="499"/>
      <c r="C875" s="37"/>
      <c r="D875" s="2013"/>
      <c r="E875" s="2014"/>
      <c r="F875" s="2014"/>
      <c r="G875" s="2014"/>
      <c r="H875" s="2014"/>
      <c r="I875" s="2015"/>
      <c r="J875" s="2016"/>
      <c r="K875" s="2017"/>
      <c r="L875" s="1962"/>
      <c r="M875" s="2007" t="s">
        <v>1524</v>
      </c>
      <c r="N875" s="2008"/>
      <c r="O875" s="2008"/>
      <c r="P875" s="2008"/>
      <c r="Q875" s="2009"/>
      <c r="R875" s="1345">
        <f>R873-R874</f>
        <v>0</v>
      </c>
      <c r="S875" s="1346" t="str">
        <f>L873</f>
        <v>T</v>
      </c>
      <c r="T875" s="373"/>
      <c r="U875" s="486"/>
      <c r="V875" s="1418">
        <f>R875</f>
        <v>0</v>
      </c>
      <c r="AB875" s="15"/>
    </row>
    <row r="876" spans="1:36" s="77" customFormat="1" ht="15.6" hidden="1">
      <c r="A876" s="370"/>
      <c r="B876" s="1347"/>
      <c r="C876" s="1348"/>
      <c r="D876" s="1349"/>
      <c r="E876" s="1350"/>
      <c r="F876" s="1349"/>
      <c r="G876" s="1349"/>
      <c r="H876" s="1349"/>
      <c r="I876" s="1349"/>
      <c r="J876" s="1351"/>
      <c r="K876" s="1352"/>
      <c r="L876" s="1353"/>
      <c r="M876" s="1354"/>
      <c r="N876" s="1354"/>
      <c r="O876" s="1354"/>
      <c r="P876" s="1354"/>
      <c r="Q876" s="1354"/>
      <c r="R876" s="1355"/>
      <c r="S876" s="1356"/>
      <c r="T876" s="1357"/>
      <c r="U876" s="1358"/>
      <c r="V876" s="1420">
        <f>SUM(V869:V875)</f>
        <v>0</v>
      </c>
      <c r="AB876" s="15"/>
    </row>
    <row r="877" spans="1:36" s="352" customFormat="1" ht="15.6" hidden="1">
      <c r="A877" s="351"/>
      <c r="B877" s="1963" t="str">
        <f>VLOOKUP(A885,'11 - FINANCEIRA'!_xlnm.Print_Area,1,FALSE)</f>
        <v>2.2.16</v>
      </c>
      <c r="C877" s="1965" t="str">
        <f>VLOOKUP(A885,'11 - FINANCEIRA'!_xlnm.Print_Area,3,FALSE)</f>
        <v>Chapa de aco grossa, astm a36, e = 3/8 " (9,53 mm) 74,69 kg/m² para fechamento dos poços</v>
      </c>
      <c r="D877" s="1967" t="s">
        <v>1503</v>
      </c>
      <c r="E877" s="1968"/>
      <c r="F877" s="1968"/>
      <c r="G877" s="1968"/>
      <c r="H877" s="1968"/>
      <c r="I877" s="1969"/>
      <c r="J877" s="1914" t="s">
        <v>1504</v>
      </c>
      <c r="K877" s="1914" t="s">
        <v>1505</v>
      </c>
      <c r="L877" s="1914" t="s">
        <v>1506</v>
      </c>
      <c r="M877" s="1914" t="s">
        <v>1507</v>
      </c>
      <c r="N877" s="1914" t="s">
        <v>1508</v>
      </c>
      <c r="O877" s="1914" t="s">
        <v>1509</v>
      </c>
      <c r="P877" s="1341" t="s">
        <v>1510</v>
      </c>
      <c r="Q877" s="1914" t="s">
        <v>1493</v>
      </c>
      <c r="R877" s="1916" t="s">
        <v>804</v>
      </c>
      <c r="S877" s="1914" t="s">
        <v>1511</v>
      </c>
      <c r="T877" s="1914" t="s">
        <v>1512</v>
      </c>
      <c r="U877" s="1918" t="s">
        <v>1513</v>
      </c>
      <c r="V877" s="1418">
        <f t="shared" ref="V877:V884" si="90">V878</f>
        <v>0</v>
      </c>
      <c r="W877" s="16"/>
      <c r="X877" s="16"/>
      <c r="Y877" s="16"/>
      <c r="Z877" s="17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</row>
    <row r="878" spans="1:36" s="352" customFormat="1" ht="15.6" hidden="1">
      <c r="A878" s="351"/>
      <c r="B878" s="1964" t="e">
        <f>LEFT(#REF!,5)</f>
        <v>#REF!</v>
      </c>
      <c r="C878" s="1966" t="e">
        <f>VLOOKUP(LEFT(#REF!,5),'11 - FINANCEIRA'!_xlnm.Print_Area,2,FALSE)</f>
        <v>#REF!</v>
      </c>
      <c r="D878" s="1920" t="s">
        <v>1514</v>
      </c>
      <c r="E878" s="1921"/>
      <c r="F878" s="1922"/>
      <c r="G878" s="1923" t="s">
        <v>1515</v>
      </c>
      <c r="H878" s="1924"/>
      <c r="I878" s="1925"/>
      <c r="J878" s="1915"/>
      <c r="K878" s="1915"/>
      <c r="L878" s="1915"/>
      <c r="M878" s="1915"/>
      <c r="N878" s="1915"/>
      <c r="O878" s="1915"/>
      <c r="P878" s="353" t="s">
        <v>1516</v>
      </c>
      <c r="Q878" s="1915"/>
      <c r="R878" s="1917"/>
      <c r="S878" s="1915"/>
      <c r="T878" s="1915"/>
      <c r="U878" s="1919"/>
      <c r="V878" s="1418">
        <f t="shared" si="90"/>
        <v>0</v>
      </c>
      <c r="W878" s="16"/>
      <c r="X878" s="16"/>
      <c r="Y878" s="16"/>
      <c r="Z878" s="17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</row>
    <row r="879" spans="1:36" s="361" customFormat="1" ht="15" hidden="1">
      <c r="A879" s="354"/>
      <c r="B879" s="355"/>
      <c r="C879" s="32"/>
      <c r="D879" s="33"/>
      <c r="E879" s="34"/>
      <c r="F879" s="35"/>
      <c r="G879" s="33"/>
      <c r="H879" s="34"/>
      <c r="I879" s="35"/>
      <c r="J879" s="43"/>
      <c r="K879" s="42"/>
      <c r="L879" s="39"/>
      <c r="M879" s="41"/>
      <c r="N879" s="356"/>
      <c r="O879" s="40"/>
      <c r="P879" s="39"/>
      <c r="Q879" s="45"/>
      <c r="R879" s="1359"/>
      <c r="S879" s="1265"/>
      <c r="T879" s="46"/>
      <c r="U879" s="44"/>
      <c r="V879" s="1418">
        <f t="shared" si="90"/>
        <v>0</v>
      </c>
      <c r="W879" s="357"/>
      <c r="X879" s="357"/>
      <c r="Y879" s="357"/>
      <c r="Z879" s="358"/>
      <c r="AA879" s="359"/>
      <c r="AB879" s="360"/>
    </row>
    <row r="880" spans="1:36" s="361" customFormat="1" ht="15" hidden="1" customHeight="1">
      <c r="A880" s="354"/>
      <c r="B880" s="355"/>
      <c r="C880" s="32"/>
      <c r="D880" s="33"/>
      <c r="E880" s="34"/>
      <c r="F880" s="35"/>
      <c r="G880" s="33"/>
      <c r="H880" s="34"/>
      <c r="I880" s="35"/>
      <c r="J880" s="43"/>
      <c r="K880" s="42"/>
      <c r="L880" s="39"/>
      <c r="M880" s="41"/>
      <c r="N880" s="356"/>
      <c r="O880" s="40"/>
      <c r="P880" s="39"/>
      <c r="Q880" s="45"/>
      <c r="R880" s="362"/>
      <c r="S880" s="363"/>
      <c r="T880" s="46"/>
      <c r="U880" s="44"/>
      <c r="V880" s="1418">
        <f t="shared" si="90"/>
        <v>0</v>
      </c>
      <c r="W880" s="357"/>
      <c r="X880" s="357"/>
      <c r="Y880" s="357"/>
      <c r="Z880" s="358"/>
      <c r="AA880" s="359"/>
      <c r="AB880" s="360"/>
    </row>
    <row r="881" spans="1:36" s="369" customFormat="1" ht="15" hidden="1">
      <c r="A881" s="364"/>
      <c r="B881" s="355"/>
      <c r="C881" s="32"/>
      <c r="D881" s="33"/>
      <c r="E881" s="34"/>
      <c r="F881" s="35"/>
      <c r="G881" s="33"/>
      <c r="H881" s="34"/>
      <c r="I881" s="35"/>
      <c r="J881" s="43"/>
      <c r="K881" s="42"/>
      <c r="L881" s="39"/>
      <c r="M881" s="41"/>
      <c r="N881" s="40"/>
      <c r="O881" s="40"/>
      <c r="P881" s="39"/>
      <c r="Q881" s="38"/>
      <c r="R881" s="365"/>
      <c r="S881" s="366"/>
      <c r="T881" s="46"/>
      <c r="U881" s="44"/>
      <c r="V881" s="1418">
        <f t="shared" si="90"/>
        <v>0</v>
      </c>
      <c r="W881" s="367"/>
      <c r="X881" s="367"/>
      <c r="Y881" s="367"/>
      <c r="Z881" s="368"/>
    </row>
    <row r="882" spans="1:36" s="77" customFormat="1" ht="15" hidden="1">
      <c r="A882" s="370"/>
      <c r="B882" s="29"/>
      <c r="C882" s="30"/>
      <c r="D882" s="18"/>
      <c r="E882" s="19"/>
      <c r="F882" s="20"/>
      <c r="G882" s="18"/>
      <c r="H882" s="19"/>
      <c r="I882" s="20"/>
      <c r="J882" s="21"/>
      <c r="K882" s="22"/>
      <c r="L882" s="23"/>
      <c r="M882" s="24"/>
      <c r="N882" s="25"/>
      <c r="O882" s="25"/>
      <c r="P882" s="23"/>
      <c r="Q882" s="26"/>
      <c r="R882" s="371"/>
      <c r="S882" s="27"/>
      <c r="T882" s="372"/>
      <c r="U882" s="31"/>
      <c r="V882" s="1418">
        <f t="shared" si="90"/>
        <v>0</v>
      </c>
      <c r="AB882" s="15"/>
    </row>
    <row r="883" spans="1:36" s="77" customFormat="1" ht="15.6" hidden="1">
      <c r="A883" s="370"/>
      <c r="B883" s="499"/>
      <c r="C883" s="37"/>
      <c r="D883" s="1929" t="s">
        <v>1520</v>
      </c>
      <c r="E883" s="1930"/>
      <c r="F883" s="1930"/>
      <c r="G883" s="1930"/>
      <c r="H883" s="1930"/>
      <c r="I883" s="1931"/>
      <c r="J883" s="1932">
        <f>VLOOKUP(A885,'11 - FINANCEIRA'!_xlnm.Print_Area,6,FALSE)</f>
        <v>1923.16</v>
      </c>
      <c r="K883" s="1933"/>
      <c r="L883" s="1343" t="str">
        <f>VLOOKUP(A885,'11 - FINANCEIRA'!_xlnm.Print_Area,4,FALSE)</f>
        <v>Kg</v>
      </c>
      <c r="M883" s="1934" t="s">
        <v>1521</v>
      </c>
      <c r="N883" s="1935"/>
      <c r="O883" s="1935"/>
      <c r="P883" s="1935"/>
      <c r="Q883" s="1936"/>
      <c r="R883" s="726">
        <f>SUM(R879:R882)</f>
        <v>0</v>
      </c>
      <c r="S883" s="1344" t="str">
        <f>L883</f>
        <v>Kg</v>
      </c>
      <c r="T883" s="373"/>
      <c r="U883" s="486"/>
      <c r="V883" s="1418">
        <f t="shared" si="90"/>
        <v>0</v>
      </c>
      <c r="AB883" s="15"/>
    </row>
    <row r="884" spans="1:36" s="77" customFormat="1" ht="15.6" hidden="1">
      <c r="A884" s="370"/>
      <c r="B884" s="499"/>
      <c r="C884" s="725"/>
      <c r="D884" s="1937" t="s">
        <v>1522</v>
      </c>
      <c r="E884" s="1938"/>
      <c r="F884" s="1938"/>
      <c r="G884" s="1938"/>
      <c r="H884" s="1938"/>
      <c r="I884" s="1939"/>
      <c r="J884" s="1943">
        <f>R883/J883</f>
        <v>0</v>
      </c>
      <c r="K884" s="1944"/>
      <c r="L884" s="1947"/>
      <c r="M884" s="1934" t="s">
        <v>1523</v>
      </c>
      <c r="N884" s="1935"/>
      <c r="O884" s="1935"/>
      <c r="P884" s="1935"/>
      <c r="Q884" s="1936"/>
      <c r="R884" s="726">
        <f>VLOOKUP(A885,'11 - FINANCEIRA'!_xlnm.Print_Area,8,FALSE)</f>
        <v>0</v>
      </c>
      <c r="S884" s="727" t="str">
        <f>L883</f>
        <v>Kg</v>
      </c>
      <c r="T884" s="373"/>
      <c r="U884" s="486"/>
      <c r="V884" s="1418">
        <f t="shared" si="90"/>
        <v>0</v>
      </c>
      <c r="AB884" s="15"/>
    </row>
    <row r="885" spans="1:36" s="77" customFormat="1" ht="15.6" hidden="1">
      <c r="A885" s="364" t="s">
        <v>380</v>
      </c>
      <c r="B885" s="499"/>
      <c r="C885" s="37"/>
      <c r="D885" s="2013"/>
      <c r="E885" s="2014"/>
      <c r="F885" s="2014"/>
      <c r="G885" s="2014"/>
      <c r="H885" s="2014"/>
      <c r="I885" s="2015"/>
      <c r="J885" s="2016"/>
      <c r="K885" s="2017"/>
      <c r="L885" s="1962"/>
      <c r="M885" s="2007" t="s">
        <v>1524</v>
      </c>
      <c r="N885" s="2008"/>
      <c r="O885" s="2008"/>
      <c r="P885" s="2008"/>
      <c r="Q885" s="2009"/>
      <c r="R885" s="1345">
        <f>R883-R884</f>
        <v>0</v>
      </c>
      <c r="S885" s="1346" t="str">
        <f>L883</f>
        <v>Kg</v>
      </c>
      <c r="T885" s="373"/>
      <c r="U885" s="486"/>
      <c r="V885" s="1418">
        <f>R885</f>
        <v>0</v>
      </c>
      <c r="AB885" s="15"/>
    </row>
    <row r="886" spans="1:36" s="77" customFormat="1" ht="15.6" hidden="1">
      <c r="A886" s="370"/>
      <c r="B886" s="1347"/>
      <c r="C886" s="1348"/>
      <c r="D886" s="1349"/>
      <c r="E886" s="1350"/>
      <c r="F886" s="1349"/>
      <c r="G886" s="1349"/>
      <c r="H886" s="1349"/>
      <c r="I886" s="1349"/>
      <c r="J886" s="1351"/>
      <c r="K886" s="1352"/>
      <c r="L886" s="1353"/>
      <c r="M886" s="1354"/>
      <c r="N886" s="1354"/>
      <c r="O886" s="1354"/>
      <c r="P886" s="1354"/>
      <c r="Q886" s="1354"/>
      <c r="R886" s="1355"/>
      <c r="S886" s="1356"/>
      <c r="T886" s="1357"/>
      <c r="U886" s="1358"/>
      <c r="V886" s="1420">
        <f>SUM(V877:V885)</f>
        <v>0</v>
      </c>
      <c r="AB886" s="15"/>
    </row>
    <row r="887" spans="1:36" s="632" customFormat="1" ht="15.6" hidden="1">
      <c r="A887" s="630"/>
      <c r="B887" s="1333" t="str">
        <f>LEFT(A896,6)</f>
        <v>2.2.17</v>
      </c>
      <c r="C887" s="1334" t="str">
        <f>VLOOKUP(LEFT(A896,6),'11 - FINANCEIRA'!_xlnm.Print_Area,2,FALSE)</f>
        <v>FUNDAÇÃO PARA ELETROCENTRO</v>
      </c>
      <c r="D887" s="1334"/>
      <c r="E887" s="1335"/>
      <c r="F887" s="1334"/>
      <c r="G887" s="2071"/>
      <c r="H887" s="2072"/>
      <c r="I887" s="2072"/>
      <c r="J887" s="2072"/>
      <c r="K887" s="2072"/>
      <c r="L887" s="2072"/>
      <c r="M887" s="1338"/>
      <c r="N887" s="1339"/>
      <c r="O887" s="1339"/>
      <c r="P887" s="1339"/>
      <c r="Q887" s="1339"/>
      <c r="R887" s="1339"/>
      <c r="S887" s="1339"/>
      <c r="T887" s="1339"/>
      <c r="U887" s="1339"/>
      <c r="V887" s="631">
        <f>SUM(V888:V927)</f>
        <v>0</v>
      </c>
    </row>
    <row r="888" spans="1:36" s="352" customFormat="1" ht="15.6" hidden="1">
      <c r="A888" s="351"/>
      <c r="B888" s="1963" t="str">
        <f>VLOOKUP(A896,'11 - FINANCEIRA'!_xlnm.Print_Area,1,FALSE)</f>
        <v>2.2.17.1</v>
      </c>
      <c r="C888" s="1965" t="str">
        <f>VLOOKUP(A896,'11 - FINANCEIRA'!_xlnm.Print_Area,3,FALSE)</f>
        <v>Escavação, carga e transporte de material de 1ª categoria - dmt de 2.500 a 3.000 m - caminho de serviço pavimentado - com carregadeira e caminhão basculante de 14 m³</v>
      </c>
      <c r="D888" s="1967" t="s">
        <v>1503</v>
      </c>
      <c r="E888" s="1968"/>
      <c r="F888" s="1968"/>
      <c r="G888" s="1968"/>
      <c r="H888" s="1968"/>
      <c r="I888" s="1969"/>
      <c r="J888" s="1914" t="s">
        <v>1504</v>
      </c>
      <c r="K888" s="1914" t="s">
        <v>1505</v>
      </c>
      <c r="L888" s="1914" t="s">
        <v>1506</v>
      </c>
      <c r="M888" s="1914" t="s">
        <v>1507</v>
      </c>
      <c r="N888" s="1914" t="s">
        <v>1508</v>
      </c>
      <c r="O888" s="1914" t="s">
        <v>1509</v>
      </c>
      <c r="P888" s="1341" t="s">
        <v>1510</v>
      </c>
      <c r="Q888" s="1914" t="s">
        <v>1493</v>
      </c>
      <c r="R888" s="1916" t="s">
        <v>804</v>
      </c>
      <c r="S888" s="1914" t="s">
        <v>1511</v>
      </c>
      <c r="T888" s="1914" t="s">
        <v>1512</v>
      </c>
      <c r="U888" s="1918" t="s">
        <v>1513</v>
      </c>
      <c r="V888" s="1418">
        <f t="shared" ref="V888:V895" si="91">V889</f>
        <v>0</v>
      </c>
      <c r="W888" s="16"/>
      <c r="X888" s="16"/>
      <c r="Y888" s="16"/>
      <c r="Z888" s="17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</row>
    <row r="889" spans="1:36" s="352" customFormat="1" ht="15.6" hidden="1">
      <c r="A889" s="351"/>
      <c r="B889" s="1964" t="e">
        <f>LEFT(#REF!,5)</f>
        <v>#REF!</v>
      </c>
      <c r="C889" s="1966" t="e">
        <f>VLOOKUP(LEFT(#REF!,5),'11 - FINANCEIRA'!_xlnm.Print_Area,2,FALSE)</f>
        <v>#REF!</v>
      </c>
      <c r="D889" s="1920" t="s">
        <v>1514</v>
      </c>
      <c r="E889" s="1921"/>
      <c r="F889" s="1922"/>
      <c r="G889" s="1923" t="s">
        <v>1515</v>
      </c>
      <c r="H889" s="1924"/>
      <c r="I889" s="1925"/>
      <c r="J889" s="1915"/>
      <c r="K889" s="1915"/>
      <c r="L889" s="1915"/>
      <c r="M889" s="1915"/>
      <c r="N889" s="1915"/>
      <c r="O889" s="1915"/>
      <c r="P889" s="353" t="s">
        <v>1516</v>
      </c>
      <c r="Q889" s="1915"/>
      <c r="R889" s="1917"/>
      <c r="S889" s="1915"/>
      <c r="T889" s="1915"/>
      <c r="U889" s="1919"/>
      <c r="V889" s="1418">
        <f t="shared" si="91"/>
        <v>0</v>
      </c>
      <c r="W889" s="16"/>
      <c r="X889" s="16"/>
      <c r="Y889" s="16"/>
      <c r="Z889" s="17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</row>
    <row r="890" spans="1:36" s="361" customFormat="1" ht="30" hidden="1">
      <c r="A890" s="354"/>
      <c r="B890" s="355"/>
      <c r="C890" s="28" t="s">
        <v>891</v>
      </c>
      <c r="D890" s="18"/>
      <c r="E890" s="19"/>
      <c r="F890" s="20"/>
      <c r="G890" s="18"/>
      <c r="H890" s="19"/>
      <c r="I890" s="20"/>
      <c r="J890" s="21"/>
      <c r="K890" s="22"/>
      <c r="L890" s="23"/>
      <c r="M890" s="24"/>
      <c r="N890" s="728"/>
      <c r="O890" s="25"/>
      <c r="P890" s="23"/>
      <c r="Q890" s="729"/>
      <c r="R890" s="1109">
        <v>44.5</v>
      </c>
      <c r="S890" s="730" t="s">
        <v>853</v>
      </c>
      <c r="T890" s="446" t="s">
        <v>321</v>
      </c>
      <c r="U890" s="793" t="s">
        <v>1902</v>
      </c>
      <c r="V890" s="1418">
        <f t="shared" si="91"/>
        <v>0</v>
      </c>
      <c r="W890" s="357"/>
      <c r="X890" s="357"/>
      <c r="Y890" s="357"/>
      <c r="Z890" s="358"/>
      <c r="AA890" s="359"/>
      <c r="AB890" s="360"/>
    </row>
    <row r="891" spans="1:36" s="361" customFormat="1" ht="15" hidden="1">
      <c r="A891" s="354"/>
      <c r="B891" s="355"/>
      <c r="C891" s="32"/>
      <c r="D891" s="33"/>
      <c r="E891" s="34"/>
      <c r="F891" s="35"/>
      <c r="G891" s="33"/>
      <c r="H891" s="34"/>
      <c r="I891" s="35"/>
      <c r="J891" s="43"/>
      <c r="K891" s="42"/>
      <c r="L891" s="39"/>
      <c r="M891" s="41"/>
      <c r="N891" s="356"/>
      <c r="O891" s="40"/>
      <c r="P891" s="39"/>
      <c r="Q891" s="45"/>
      <c r="R891" s="362"/>
      <c r="S891" s="363"/>
      <c r="T891" s="46"/>
      <c r="U891" s="44"/>
      <c r="V891" s="1418">
        <f t="shared" si="91"/>
        <v>0</v>
      </c>
      <c r="W891" s="357"/>
      <c r="X891" s="357"/>
      <c r="Y891" s="357"/>
      <c r="Z891" s="358"/>
      <c r="AA891" s="359"/>
      <c r="AB891" s="360"/>
    </row>
    <row r="892" spans="1:36" s="369" customFormat="1" ht="15" hidden="1">
      <c r="A892" s="364"/>
      <c r="B892" s="355"/>
      <c r="C892" s="32"/>
      <c r="D892" s="33"/>
      <c r="E892" s="34"/>
      <c r="F892" s="35"/>
      <c r="G892" s="33"/>
      <c r="H892" s="34"/>
      <c r="I892" s="35"/>
      <c r="J892" s="43"/>
      <c r="K892" s="42"/>
      <c r="L892" s="39"/>
      <c r="M892" s="41"/>
      <c r="N892" s="40"/>
      <c r="O892" s="40"/>
      <c r="P892" s="39"/>
      <c r="Q892" s="38"/>
      <c r="R892" s="365"/>
      <c r="S892" s="366"/>
      <c r="T892" s="46"/>
      <c r="U892" s="44"/>
      <c r="V892" s="1418">
        <f t="shared" si="91"/>
        <v>0</v>
      </c>
      <c r="W892" s="367"/>
      <c r="X892" s="367"/>
      <c r="Y892" s="367"/>
      <c r="Z892" s="368"/>
    </row>
    <row r="893" spans="1:36" s="77" customFormat="1" ht="15" hidden="1">
      <c r="A893" s="370"/>
      <c r="B893" s="29"/>
      <c r="C893" s="30"/>
      <c r="D893" s="18"/>
      <c r="E893" s="19"/>
      <c r="F893" s="20"/>
      <c r="G893" s="18"/>
      <c r="H893" s="19"/>
      <c r="I893" s="20"/>
      <c r="J893" s="21"/>
      <c r="K893" s="22"/>
      <c r="L893" s="23"/>
      <c r="M893" s="24"/>
      <c r="N893" s="25"/>
      <c r="O893" s="25"/>
      <c r="P893" s="23"/>
      <c r="Q893" s="26"/>
      <c r="R893" s="371"/>
      <c r="S893" s="27"/>
      <c r="T893" s="372"/>
      <c r="U893" s="31"/>
      <c r="V893" s="1418">
        <f t="shared" si="91"/>
        <v>0</v>
      </c>
      <c r="AB893" s="15"/>
    </row>
    <row r="894" spans="1:36" s="77" customFormat="1" ht="15.6" hidden="1">
      <c r="A894" s="370"/>
      <c r="B894" s="499"/>
      <c r="C894" s="37"/>
      <c r="D894" s="1929" t="s">
        <v>1520</v>
      </c>
      <c r="E894" s="1930"/>
      <c r="F894" s="1930"/>
      <c r="G894" s="1930"/>
      <c r="H894" s="1930"/>
      <c r="I894" s="1931"/>
      <c r="J894" s="1932">
        <f>VLOOKUP(A896,'11 - FINANCEIRA'!_xlnm.Print_Area,6,FALSE)</f>
        <v>44.5</v>
      </c>
      <c r="K894" s="1933"/>
      <c r="L894" s="1343" t="str">
        <f>VLOOKUP(A896,'11 - FINANCEIRA'!_xlnm.Print_Area,4,FALSE)</f>
        <v>m³</v>
      </c>
      <c r="M894" s="1934" t="s">
        <v>1521</v>
      </c>
      <c r="N894" s="1935"/>
      <c r="O894" s="1935"/>
      <c r="P894" s="1935"/>
      <c r="Q894" s="1936"/>
      <c r="R894" s="726">
        <f>SUM(R890:R893)</f>
        <v>44.5</v>
      </c>
      <c r="S894" s="1344" t="str">
        <f>L894</f>
        <v>m³</v>
      </c>
      <c r="T894" s="373"/>
      <c r="U894" s="486"/>
      <c r="V894" s="1418">
        <f t="shared" si="91"/>
        <v>0</v>
      </c>
      <c r="AB894" s="15"/>
    </row>
    <row r="895" spans="1:36" s="77" customFormat="1" ht="15.6" hidden="1">
      <c r="A895" s="370"/>
      <c r="B895" s="499"/>
      <c r="C895" s="725"/>
      <c r="D895" s="1937" t="s">
        <v>1522</v>
      </c>
      <c r="E895" s="1938"/>
      <c r="F895" s="1938"/>
      <c r="G895" s="1938"/>
      <c r="H895" s="1938"/>
      <c r="I895" s="1939"/>
      <c r="J895" s="1943">
        <f>R894/J894</f>
        <v>1</v>
      </c>
      <c r="K895" s="1944"/>
      <c r="L895" s="1947"/>
      <c r="M895" s="1934" t="s">
        <v>1523</v>
      </c>
      <c r="N895" s="1935"/>
      <c r="O895" s="1935"/>
      <c r="P895" s="1935"/>
      <c r="Q895" s="1936"/>
      <c r="R895" s="726">
        <f>VLOOKUP(A896,'11 - FINANCEIRA'!_xlnm.Print_Area,8,FALSE)</f>
        <v>44.5</v>
      </c>
      <c r="S895" s="727" t="str">
        <f>L894</f>
        <v>m³</v>
      </c>
      <c r="T895" s="373"/>
      <c r="U895" s="486"/>
      <c r="V895" s="1418">
        <f t="shared" si="91"/>
        <v>0</v>
      </c>
      <c r="AB895" s="15"/>
    </row>
    <row r="896" spans="1:36" s="77" customFormat="1" ht="15.6" hidden="1">
      <c r="A896" s="364" t="s">
        <v>382</v>
      </c>
      <c r="B896" s="499"/>
      <c r="C896" s="37"/>
      <c r="D896" s="2013"/>
      <c r="E896" s="2014"/>
      <c r="F896" s="2014"/>
      <c r="G896" s="2014"/>
      <c r="H896" s="2014"/>
      <c r="I896" s="2015"/>
      <c r="J896" s="2016"/>
      <c r="K896" s="2017"/>
      <c r="L896" s="1962"/>
      <c r="M896" s="2007" t="s">
        <v>1524</v>
      </c>
      <c r="N896" s="2008"/>
      <c r="O896" s="2008"/>
      <c r="P896" s="2008"/>
      <c r="Q896" s="2009"/>
      <c r="R896" s="1345">
        <f>R894-R895</f>
        <v>0</v>
      </c>
      <c r="S896" s="1346" t="str">
        <f>L894</f>
        <v>m³</v>
      </c>
      <c r="T896" s="373"/>
      <c r="U896" s="486"/>
      <c r="V896" s="1418">
        <f>R896</f>
        <v>0</v>
      </c>
      <c r="AB896" s="15"/>
    </row>
    <row r="897" spans="1:36" s="77" customFormat="1" ht="15.6" hidden="1">
      <c r="A897" s="370"/>
      <c r="B897" s="1347"/>
      <c r="C897" s="1348"/>
      <c r="D897" s="1349"/>
      <c r="E897" s="1350"/>
      <c r="F897" s="1349"/>
      <c r="G897" s="1349"/>
      <c r="H897" s="1349"/>
      <c r="I897" s="1349"/>
      <c r="J897" s="1351"/>
      <c r="K897" s="1352"/>
      <c r="L897" s="1353"/>
      <c r="M897" s="1354"/>
      <c r="N897" s="1354"/>
      <c r="O897" s="1354"/>
      <c r="P897" s="1354"/>
      <c r="Q897" s="1354"/>
      <c r="R897" s="1355"/>
      <c r="S897" s="1356"/>
      <c r="T897" s="1357"/>
      <c r="U897" s="1358"/>
      <c r="V897" s="1420">
        <f>SUM(V888:V896)</f>
        <v>0</v>
      </c>
      <c r="AB897" s="15"/>
    </row>
    <row r="898" spans="1:36" s="352" customFormat="1" ht="15.6" hidden="1">
      <c r="A898" s="351"/>
      <c r="B898" s="1963" t="str">
        <f>VLOOKUP(A906,'11 - FINANCEIRA'!_xlnm.Print_Area,1,FALSE)</f>
        <v>2.2.17.2</v>
      </c>
      <c r="C898" s="1965" t="str">
        <f>VLOOKUP(A906,'11 - FINANCEIRA'!_xlnm.Print_Area,3,FALSE)</f>
        <v>Armação em aço ca-50 - fornecimento, preparo e colocação</v>
      </c>
      <c r="D898" s="1967" t="s">
        <v>1503</v>
      </c>
      <c r="E898" s="1968"/>
      <c r="F898" s="1968"/>
      <c r="G898" s="1968"/>
      <c r="H898" s="1968"/>
      <c r="I898" s="1969"/>
      <c r="J898" s="1914" t="s">
        <v>1504</v>
      </c>
      <c r="K898" s="1914" t="s">
        <v>1505</v>
      </c>
      <c r="L898" s="1914" t="s">
        <v>1506</v>
      </c>
      <c r="M898" s="1914" t="s">
        <v>1507</v>
      </c>
      <c r="N898" s="1914" t="s">
        <v>1508</v>
      </c>
      <c r="O898" s="1914" t="s">
        <v>1509</v>
      </c>
      <c r="P898" s="1341" t="s">
        <v>1510</v>
      </c>
      <c r="Q898" s="1914" t="s">
        <v>1493</v>
      </c>
      <c r="R898" s="1916" t="s">
        <v>804</v>
      </c>
      <c r="S898" s="1914" t="s">
        <v>1511</v>
      </c>
      <c r="T898" s="1914" t="s">
        <v>1512</v>
      </c>
      <c r="U898" s="1918" t="s">
        <v>1513</v>
      </c>
      <c r="V898" s="1418">
        <f t="shared" ref="V898:V905" si="92">V899</f>
        <v>0</v>
      </c>
      <c r="W898" s="16"/>
      <c r="X898" s="16"/>
      <c r="Y898" s="16"/>
      <c r="Z898" s="17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</row>
    <row r="899" spans="1:36" s="352" customFormat="1" ht="15.6" hidden="1">
      <c r="A899" s="351"/>
      <c r="B899" s="1964" t="e">
        <f>LEFT(#REF!,5)</f>
        <v>#REF!</v>
      </c>
      <c r="C899" s="1966" t="e">
        <f>VLOOKUP(LEFT(#REF!,5),'11 - FINANCEIRA'!_xlnm.Print_Area,2,FALSE)</f>
        <v>#REF!</v>
      </c>
      <c r="D899" s="1920" t="s">
        <v>1514</v>
      </c>
      <c r="E899" s="1921"/>
      <c r="F899" s="1922"/>
      <c r="G899" s="1923" t="s">
        <v>1515</v>
      </c>
      <c r="H899" s="1924"/>
      <c r="I899" s="1925"/>
      <c r="J899" s="1915"/>
      <c r="K899" s="1915"/>
      <c r="L899" s="1915"/>
      <c r="M899" s="1915"/>
      <c r="N899" s="1915"/>
      <c r="O899" s="1915"/>
      <c r="P899" s="353" t="s">
        <v>1516</v>
      </c>
      <c r="Q899" s="1915"/>
      <c r="R899" s="1917"/>
      <c r="S899" s="1915"/>
      <c r="T899" s="1915"/>
      <c r="U899" s="1919"/>
      <c r="V899" s="1418">
        <f t="shared" si="92"/>
        <v>0</v>
      </c>
      <c r="W899" s="16"/>
      <c r="X899" s="16"/>
      <c r="Y899" s="16"/>
      <c r="Z899" s="17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</row>
    <row r="900" spans="1:36" s="361" customFormat="1" ht="15" hidden="1">
      <c r="A900" s="354"/>
      <c r="B900" s="355"/>
      <c r="C900" s="28" t="s">
        <v>879</v>
      </c>
      <c r="D900" s="18"/>
      <c r="E900" s="19"/>
      <c r="F900" s="20"/>
      <c r="G900" s="18"/>
      <c r="H900" s="19"/>
      <c r="I900" s="20"/>
      <c r="J900" s="21"/>
      <c r="K900" s="22"/>
      <c r="L900" s="23"/>
      <c r="M900" s="24"/>
      <c r="N900" s="728"/>
      <c r="O900" s="25"/>
      <c r="P900" s="23"/>
      <c r="Q900" s="1154"/>
      <c r="R900" s="1109">
        <v>5777</v>
      </c>
      <c r="S900" s="730" t="s">
        <v>853</v>
      </c>
      <c r="T900" s="446" t="s">
        <v>321</v>
      </c>
      <c r="U900" s="793" t="s">
        <v>1903</v>
      </c>
      <c r="V900" s="1418">
        <f t="shared" si="92"/>
        <v>0</v>
      </c>
      <c r="W900" s="357"/>
      <c r="X900" s="357"/>
      <c r="Y900" s="357"/>
      <c r="Z900" s="358"/>
      <c r="AA900" s="359"/>
      <c r="AB900" s="360"/>
    </row>
    <row r="901" spans="1:36" s="361" customFormat="1" ht="15" hidden="1">
      <c r="A901" s="354"/>
      <c r="B901" s="355"/>
      <c r="C901" s="32"/>
      <c r="D901" s="33"/>
      <c r="E901" s="34"/>
      <c r="F901" s="35"/>
      <c r="G901" s="33"/>
      <c r="H901" s="34"/>
      <c r="I901" s="35"/>
      <c r="J901" s="43"/>
      <c r="K901" s="42"/>
      <c r="L901" s="39"/>
      <c r="M901" s="41"/>
      <c r="N901" s="356"/>
      <c r="O901" s="40"/>
      <c r="P901" s="39"/>
      <c r="Q901" s="733"/>
      <c r="R901" s="362"/>
      <c r="S901" s="363"/>
      <c r="T901" s="46"/>
      <c r="U901" s="44"/>
      <c r="V901" s="1418">
        <f t="shared" si="92"/>
        <v>0</v>
      </c>
      <c r="W901" s="357"/>
      <c r="X901" s="357"/>
      <c r="Y901" s="357"/>
      <c r="Z901" s="358"/>
      <c r="AA901" s="359"/>
      <c r="AB901" s="360"/>
    </row>
    <row r="902" spans="1:36" s="369" customFormat="1" ht="15" hidden="1">
      <c r="A902" s="364"/>
      <c r="B902" s="355"/>
      <c r="C902" s="32"/>
      <c r="D902" s="33"/>
      <c r="E902" s="34"/>
      <c r="F902" s="35"/>
      <c r="G902" s="33"/>
      <c r="H902" s="34"/>
      <c r="I902" s="35"/>
      <c r="J902" s="43"/>
      <c r="K902" s="42"/>
      <c r="L902" s="39"/>
      <c r="M902" s="41"/>
      <c r="N902" s="40"/>
      <c r="O902" s="40"/>
      <c r="P902" s="39"/>
      <c r="Q902" s="38"/>
      <c r="R902" s="365"/>
      <c r="S902" s="366"/>
      <c r="T902" s="46"/>
      <c r="U902" s="44"/>
      <c r="V902" s="1418">
        <f t="shared" si="92"/>
        <v>0</v>
      </c>
      <c r="W902" s="367"/>
      <c r="X902" s="367"/>
      <c r="Y902" s="367"/>
      <c r="Z902" s="368"/>
    </row>
    <row r="903" spans="1:36" s="77" customFormat="1" ht="15" hidden="1">
      <c r="A903" s="370"/>
      <c r="B903" s="29"/>
      <c r="C903" s="30"/>
      <c r="D903" s="18"/>
      <c r="E903" s="19"/>
      <c r="F903" s="20"/>
      <c r="G903" s="18"/>
      <c r="H903" s="19"/>
      <c r="I903" s="20"/>
      <c r="J903" s="21"/>
      <c r="K903" s="22"/>
      <c r="L903" s="23"/>
      <c r="M903" s="24"/>
      <c r="N903" s="25"/>
      <c r="O903" s="25"/>
      <c r="P903" s="23"/>
      <c r="Q903" s="26"/>
      <c r="R903" s="371"/>
      <c r="S903" s="27"/>
      <c r="T903" s="372"/>
      <c r="U903" s="31"/>
      <c r="V903" s="1418">
        <f t="shared" si="92"/>
        <v>0</v>
      </c>
      <c r="AB903" s="15"/>
    </row>
    <row r="904" spans="1:36" s="77" customFormat="1" ht="15.6" hidden="1">
      <c r="A904" s="370"/>
      <c r="B904" s="499"/>
      <c r="C904" s="37"/>
      <c r="D904" s="1929" t="s">
        <v>1520</v>
      </c>
      <c r="E904" s="1930"/>
      <c r="F904" s="1930"/>
      <c r="G904" s="1930"/>
      <c r="H904" s="1930"/>
      <c r="I904" s="1931"/>
      <c r="J904" s="1932">
        <f>VLOOKUP(A906,'11 - FINANCEIRA'!_xlnm.Print_Area,6,FALSE)</f>
        <v>5777</v>
      </c>
      <c r="K904" s="1933"/>
      <c r="L904" s="1343" t="str">
        <f>VLOOKUP(A906,'11 - FINANCEIRA'!_xlnm.Print_Area,4,FALSE)</f>
        <v>Kg</v>
      </c>
      <c r="M904" s="1934" t="s">
        <v>1521</v>
      </c>
      <c r="N904" s="1935"/>
      <c r="O904" s="1935"/>
      <c r="P904" s="1935"/>
      <c r="Q904" s="1936"/>
      <c r="R904" s="726">
        <f>SUM(R900:R903)</f>
        <v>5777</v>
      </c>
      <c r="S904" s="1344" t="str">
        <f>L904</f>
        <v>Kg</v>
      </c>
      <c r="T904" s="373"/>
      <c r="U904" s="486"/>
      <c r="V904" s="1418">
        <f t="shared" si="92"/>
        <v>0</v>
      </c>
      <c r="AB904" s="15"/>
    </row>
    <row r="905" spans="1:36" s="77" customFormat="1" ht="15.6" hidden="1">
      <c r="A905" s="370"/>
      <c r="B905" s="499"/>
      <c r="C905" s="725"/>
      <c r="D905" s="1937" t="s">
        <v>1522</v>
      </c>
      <c r="E905" s="1938"/>
      <c r="F905" s="1938"/>
      <c r="G905" s="1938"/>
      <c r="H905" s="1938"/>
      <c r="I905" s="1939"/>
      <c r="J905" s="1943">
        <f>R904/J904</f>
        <v>1</v>
      </c>
      <c r="K905" s="1944"/>
      <c r="L905" s="1947"/>
      <c r="M905" s="1934" t="s">
        <v>1523</v>
      </c>
      <c r="N905" s="1935"/>
      <c r="O905" s="1935"/>
      <c r="P905" s="1935"/>
      <c r="Q905" s="1936"/>
      <c r="R905" s="726">
        <f>VLOOKUP(A906,'11 - FINANCEIRA'!_xlnm.Print_Area,8,FALSE)</f>
        <v>5777</v>
      </c>
      <c r="S905" s="727" t="str">
        <f>L904</f>
        <v>Kg</v>
      </c>
      <c r="T905" s="373"/>
      <c r="U905" s="486"/>
      <c r="V905" s="1418">
        <f t="shared" si="92"/>
        <v>0</v>
      </c>
      <c r="AB905" s="15"/>
    </row>
    <row r="906" spans="1:36" s="77" customFormat="1" ht="15.6" hidden="1">
      <c r="A906" s="364" t="s">
        <v>383</v>
      </c>
      <c r="B906" s="499"/>
      <c r="C906" s="37"/>
      <c r="D906" s="2013"/>
      <c r="E906" s="2014"/>
      <c r="F906" s="2014"/>
      <c r="G906" s="2014"/>
      <c r="H906" s="2014"/>
      <c r="I906" s="2015"/>
      <c r="J906" s="2016"/>
      <c r="K906" s="2017"/>
      <c r="L906" s="1962"/>
      <c r="M906" s="2007" t="s">
        <v>1524</v>
      </c>
      <c r="N906" s="2008"/>
      <c r="O906" s="2008"/>
      <c r="P906" s="2008"/>
      <c r="Q906" s="2009"/>
      <c r="R906" s="1345">
        <f>R904-R905</f>
        <v>0</v>
      </c>
      <c r="S906" s="1346" t="str">
        <f>L904</f>
        <v>Kg</v>
      </c>
      <c r="T906" s="373"/>
      <c r="U906" s="486"/>
      <c r="V906" s="1418">
        <f>R906</f>
        <v>0</v>
      </c>
      <c r="AB906" s="15"/>
    </row>
    <row r="907" spans="1:36" s="77" customFormat="1" ht="15.6" hidden="1">
      <c r="A907" s="370"/>
      <c r="B907" s="1347"/>
      <c r="C907" s="1348"/>
      <c r="D907" s="1349"/>
      <c r="E907" s="1350"/>
      <c r="F907" s="1349"/>
      <c r="G907" s="1349"/>
      <c r="H907" s="1349"/>
      <c r="I907" s="1349"/>
      <c r="J907" s="1351"/>
      <c r="K907" s="1352"/>
      <c r="L907" s="1353"/>
      <c r="M907" s="1354"/>
      <c r="N907" s="1354"/>
      <c r="O907" s="1354"/>
      <c r="P907" s="1354"/>
      <c r="Q907" s="1354"/>
      <c r="R907" s="1355"/>
      <c r="S907" s="1356"/>
      <c r="T907" s="1357"/>
      <c r="U907" s="1358"/>
      <c r="V907" s="1420">
        <f>SUM(V898:V906)</f>
        <v>0</v>
      </c>
      <c r="AB907" s="15"/>
    </row>
    <row r="908" spans="1:36" s="352" customFormat="1" ht="15.6" hidden="1">
      <c r="A908" s="351"/>
      <c r="B908" s="1963" t="str">
        <f>VLOOKUP(A916,'11 - FINANCEIRA'!_xlnm.Print_Area,1,FALSE)</f>
        <v>2.2.17.3</v>
      </c>
      <c r="C908" s="1965" t="str">
        <f>VLOOKUP(A916,'11 - FINANCEIRA'!_xlnm.Print_Area,3,FALSE)</f>
        <v xml:space="preserve">Concreto para bombeamento fck = 40 mpa </v>
      </c>
      <c r="D908" s="1967" t="s">
        <v>1503</v>
      </c>
      <c r="E908" s="1968"/>
      <c r="F908" s="1968"/>
      <c r="G908" s="1968"/>
      <c r="H908" s="1968"/>
      <c r="I908" s="1969"/>
      <c r="J908" s="1914" t="s">
        <v>1504</v>
      </c>
      <c r="K908" s="1914" t="s">
        <v>1505</v>
      </c>
      <c r="L908" s="1914" t="s">
        <v>1506</v>
      </c>
      <c r="M908" s="1914" t="s">
        <v>1507</v>
      </c>
      <c r="N908" s="1914" t="s">
        <v>1508</v>
      </c>
      <c r="O908" s="1914" t="s">
        <v>1509</v>
      </c>
      <c r="P908" s="1341" t="s">
        <v>1510</v>
      </c>
      <c r="Q908" s="1914" t="s">
        <v>1493</v>
      </c>
      <c r="R908" s="1916" t="s">
        <v>804</v>
      </c>
      <c r="S908" s="1914" t="s">
        <v>1511</v>
      </c>
      <c r="T908" s="1914" t="s">
        <v>1512</v>
      </c>
      <c r="U908" s="1918" t="s">
        <v>1513</v>
      </c>
      <c r="V908" s="1418">
        <f t="shared" ref="V908:V915" si="93">V909</f>
        <v>0</v>
      </c>
      <c r="W908" s="16"/>
      <c r="X908" s="16"/>
      <c r="Y908" s="16"/>
      <c r="Z908" s="17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</row>
    <row r="909" spans="1:36" s="352" customFormat="1" ht="15.6" hidden="1">
      <c r="A909" s="351"/>
      <c r="B909" s="1964" t="e">
        <f>LEFT(#REF!,5)</f>
        <v>#REF!</v>
      </c>
      <c r="C909" s="1966" t="e">
        <f>VLOOKUP(LEFT(#REF!,5),'11 - FINANCEIRA'!_xlnm.Print_Area,2,FALSE)</f>
        <v>#REF!</v>
      </c>
      <c r="D909" s="1920" t="s">
        <v>1514</v>
      </c>
      <c r="E909" s="1921"/>
      <c r="F909" s="1922"/>
      <c r="G909" s="1923" t="s">
        <v>1515</v>
      </c>
      <c r="H909" s="1924"/>
      <c r="I909" s="1925"/>
      <c r="J909" s="1915"/>
      <c r="K909" s="1915"/>
      <c r="L909" s="1915"/>
      <c r="M909" s="1915"/>
      <c r="N909" s="1915"/>
      <c r="O909" s="1915"/>
      <c r="P909" s="353" t="s">
        <v>1516</v>
      </c>
      <c r="Q909" s="1915"/>
      <c r="R909" s="1917"/>
      <c r="S909" s="1915"/>
      <c r="T909" s="1915"/>
      <c r="U909" s="1919"/>
      <c r="V909" s="1418">
        <f t="shared" si="93"/>
        <v>0</v>
      </c>
      <c r="W909" s="16"/>
      <c r="X909" s="16"/>
      <c r="Y909" s="16"/>
      <c r="Z909" s="17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</row>
    <row r="910" spans="1:36" s="361" customFormat="1" ht="15" hidden="1">
      <c r="A910" s="354"/>
      <c r="B910" s="355"/>
      <c r="C910" s="28" t="s">
        <v>1904</v>
      </c>
      <c r="D910" s="18"/>
      <c r="E910" s="19"/>
      <c r="F910" s="20"/>
      <c r="G910" s="18"/>
      <c r="H910" s="19"/>
      <c r="I910" s="20"/>
      <c r="J910" s="21"/>
      <c r="K910" s="22"/>
      <c r="L910" s="23"/>
      <c r="M910" s="24"/>
      <c r="N910" s="728"/>
      <c r="O910" s="25">
        <v>14.85</v>
      </c>
      <c r="P910" s="23"/>
      <c r="Q910" s="729"/>
      <c r="R910" s="1109">
        <v>14.85</v>
      </c>
      <c r="S910" s="730" t="s">
        <v>853</v>
      </c>
      <c r="T910" s="446" t="s">
        <v>320</v>
      </c>
      <c r="U910" s="793" t="s">
        <v>1905</v>
      </c>
      <c r="V910" s="1418">
        <f t="shared" si="93"/>
        <v>0</v>
      </c>
      <c r="W910" s="357"/>
      <c r="X910" s="357"/>
      <c r="Y910" s="357"/>
      <c r="Z910" s="358"/>
      <c r="AA910" s="359"/>
      <c r="AB910" s="360"/>
    </row>
    <row r="911" spans="1:36" s="361" customFormat="1" ht="75" hidden="1">
      <c r="A911" s="354"/>
      <c r="B911" s="355"/>
      <c r="C911" s="28" t="s">
        <v>1904</v>
      </c>
      <c r="D911" s="18"/>
      <c r="E911" s="19"/>
      <c r="F911" s="20"/>
      <c r="G911" s="18"/>
      <c r="H911" s="19"/>
      <c r="I911" s="20"/>
      <c r="J911" s="21"/>
      <c r="K911" s="22"/>
      <c r="L911" s="23"/>
      <c r="M911" s="24"/>
      <c r="N911" s="728"/>
      <c r="O911" s="25">
        <v>29.65</v>
      </c>
      <c r="P911" s="23"/>
      <c r="Q911" s="729"/>
      <c r="R911" s="445">
        <v>29.65</v>
      </c>
      <c r="S911" s="792" t="s">
        <v>853</v>
      </c>
      <c r="T911" s="446" t="s">
        <v>321</v>
      </c>
      <c r="U911" s="793" t="s">
        <v>1906</v>
      </c>
      <c r="V911" s="1418">
        <f t="shared" si="93"/>
        <v>0</v>
      </c>
      <c r="W911" s="357"/>
      <c r="X911" s="357"/>
      <c r="Y911" s="357"/>
      <c r="Z911" s="358"/>
      <c r="AA911" s="359"/>
      <c r="AB911" s="360"/>
    </row>
    <row r="912" spans="1:36" s="369" customFormat="1" ht="15" hidden="1">
      <c r="A912" s="364"/>
      <c r="B912" s="355"/>
      <c r="C912" s="32"/>
      <c r="D912" s="33"/>
      <c r="E912" s="34"/>
      <c r="F912" s="35"/>
      <c r="G912" s="33"/>
      <c r="H912" s="34"/>
      <c r="I912" s="35"/>
      <c r="J912" s="43"/>
      <c r="K912" s="42"/>
      <c r="L912" s="39"/>
      <c r="M912" s="41"/>
      <c r="N912" s="40"/>
      <c r="O912" s="40"/>
      <c r="P912" s="39"/>
      <c r="Q912" s="38"/>
      <c r="R912" s="365"/>
      <c r="S912" s="366"/>
      <c r="T912" s="46"/>
      <c r="U912" s="44"/>
      <c r="V912" s="1418">
        <f t="shared" si="93"/>
        <v>0</v>
      </c>
      <c r="W912" s="367"/>
      <c r="X912" s="367"/>
      <c r="Y912" s="367"/>
      <c r="Z912" s="368"/>
    </row>
    <row r="913" spans="1:36" s="77" customFormat="1" ht="15" hidden="1">
      <c r="A913" s="370"/>
      <c r="B913" s="29"/>
      <c r="C913" s="30"/>
      <c r="D913" s="18"/>
      <c r="E913" s="19"/>
      <c r="F913" s="20"/>
      <c r="G913" s="18"/>
      <c r="H913" s="19"/>
      <c r="I913" s="20"/>
      <c r="J913" s="21"/>
      <c r="K913" s="22"/>
      <c r="L913" s="23"/>
      <c r="M913" s="24"/>
      <c r="N913" s="25"/>
      <c r="O913" s="25"/>
      <c r="P913" s="23"/>
      <c r="Q913" s="26"/>
      <c r="R913" s="371"/>
      <c r="S913" s="27"/>
      <c r="T913" s="372"/>
      <c r="U913" s="31"/>
      <c r="V913" s="1418">
        <f t="shared" si="93"/>
        <v>0</v>
      </c>
      <c r="AB913" s="15"/>
    </row>
    <row r="914" spans="1:36" s="77" customFormat="1" ht="15.6" hidden="1">
      <c r="A914" s="370"/>
      <c r="B914" s="499"/>
      <c r="C914" s="37"/>
      <c r="D914" s="1929" t="s">
        <v>1520</v>
      </c>
      <c r="E914" s="1930"/>
      <c r="F914" s="1930"/>
      <c r="G914" s="1930"/>
      <c r="H914" s="1930"/>
      <c r="I914" s="1931"/>
      <c r="J914" s="1932">
        <f>VLOOKUP(A916,'11 - FINANCEIRA'!_xlnm.Print_Area,6,FALSE)</f>
        <v>44.5</v>
      </c>
      <c r="K914" s="1933"/>
      <c r="L914" s="1343" t="str">
        <f>VLOOKUP(A916,'11 - FINANCEIRA'!_xlnm.Print_Area,4,FALSE)</f>
        <v>m³</v>
      </c>
      <c r="M914" s="1934" t="s">
        <v>1521</v>
      </c>
      <c r="N914" s="1935"/>
      <c r="O914" s="1935"/>
      <c r="P914" s="1935"/>
      <c r="Q914" s="1936"/>
      <c r="R914" s="726">
        <f>SUM(R910:R913)</f>
        <v>44.5</v>
      </c>
      <c r="S914" s="1344" t="str">
        <f>L914</f>
        <v>m³</v>
      </c>
      <c r="T914" s="373"/>
      <c r="U914" s="486"/>
      <c r="V914" s="1418">
        <f t="shared" si="93"/>
        <v>0</v>
      </c>
      <c r="AB914" s="15"/>
    </row>
    <row r="915" spans="1:36" s="77" customFormat="1" ht="15.6" hidden="1">
      <c r="A915" s="370"/>
      <c r="B915" s="499"/>
      <c r="C915" s="725"/>
      <c r="D915" s="1937" t="s">
        <v>1522</v>
      </c>
      <c r="E915" s="1938"/>
      <c r="F915" s="1938"/>
      <c r="G915" s="1938"/>
      <c r="H915" s="1938"/>
      <c r="I915" s="1939"/>
      <c r="J915" s="1943">
        <f>R914/J914</f>
        <v>1</v>
      </c>
      <c r="K915" s="1944"/>
      <c r="L915" s="1947"/>
      <c r="M915" s="1934" t="s">
        <v>1523</v>
      </c>
      <c r="N915" s="1935"/>
      <c r="O915" s="1935"/>
      <c r="P915" s="1935"/>
      <c r="Q915" s="1936"/>
      <c r="R915" s="726">
        <f>VLOOKUP(A916,'11 - FINANCEIRA'!_xlnm.Print_Area,8,FALSE)</f>
        <v>44.5</v>
      </c>
      <c r="S915" s="727" t="str">
        <f>L914</f>
        <v>m³</v>
      </c>
      <c r="T915" s="373"/>
      <c r="U915" s="486"/>
      <c r="V915" s="1418">
        <f t="shared" si="93"/>
        <v>0</v>
      </c>
      <c r="AB915" s="15"/>
    </row>
    <row r="916" spans="1:36" s="77" customFormat="1" ht="15.6" hidden="1">
      <c r="A916" s="364" t="s">
        <v>384</v>
      </c>
      <c r="B916" s="499"/>
      <c r="C916" s="37"/>
      <c r="D916" s="2013"/>
      <c r="E916" s="2014"/>
      <c r="F916" s="2014"/>
      <c r="G916" s="2014"/>
      <c r="H916" s="2014"/>
      <c r="I916" s="2015"/>
      <c r="J916" s="2016"/>
      <c r="K916" s="2017"/>
      <c r="L916" s="1962"/>
      <c r="M916" s="2007" t="s">
        <v>1524</v>
      </c>
      <c r="N916" s="2008"/>
      <c r="O916" s="2008"/>
      <c r="P916" s="2008"/>
      <c r="Q916" s="2009"/>
      <c r="R916" s="1345">
        <f>R914-R915</f>
        <v>0</v>
      </c>
      <c r="S916" s="1346" t="str">
        <f>L914</f>
        <v>m³</v>
      </c>
      <c r="T916" s="373"/>
      <c r="U916" s="486"/>
      <c r="V916" s="1418">
        <f>R916</f>
        <v>0</v>
      </c>
      <c r="AB916" s="15"/>
    </row>
    <row r="917" spans="1:36" s="77" customFormat="1" ht="15.6" hidden="1">
      <c r="A917" s="370"/>
      <c r="B917" s="1347"/>
      <c r="C917" s="1348"/>
      <c r="D917" s="1349"/>
      <c r="E917" s="1350"/>
      <c r="F917" s="1349"/>
      <c r="G917" s="1349"/>
      <c r="H917" s="1349"/>
      <c r="I917" s="1349"/>
      <c r="J917" s="1351"/>
      <c r="K917" s="1352"/>
      <c r="L917" s="1353"/>
      <c r="M917" s="1354"/>
      <c r="N917" s="1354"/>
      <c r="O917" s="1354"/>
      <c r="P917" s="1354"/>
      <c r="Q917" s="1354"/>
      <c r="R917" s="1355"/>
      <c r="S917" s="1356"/>
      <c r="T917" s="1357"/>
      <c r="U917" s="1358"/>
      <c r="V917" s="1420">
        <f>SUM(V908:V916)</f>
        <v>0</v>
      </c>
      <c r="AB917" s="15"/>
    </row>
    <row r="918" spans="1:36" s="352" customFormat="1" ht="15.6" hidden="1">
      <c r="A918" s="351"/>
      <c r="B918" s="1963" t="str">
        <f>VLOOKUP(A926,'11 - FINANCEIRA'!_xlnm.Print_Area,1,FALSE)</f>
        <v>2.2.17.4</v>
      </c>
      <c r="C918" s="1965" t="str">
        <f>VLOOKUP(A926,'11 - FINANCEIRA'!_xlnm.Print_Area,3,FALSE)</f>
        <v xml:space="preserve">Servico de bombeamento de concreto </v>
      </c>
      <c r="D918" s="1967" t="s">
        <v>1503</v>
      </c>
      <c r="E918" s="1968"/>
      <c r="F918" s="1968"/>
      <c r="G918" s="1968"/>
      <c r="H918" s="1968"/>
      <c r="I918" s="1969"/>
      <c r="J918" s="1914" t="s">
        <v>1504</v>
      </c>
      <c r="K918" s="1914" t="s">
        <v>1505</v>
      </c>
      <c r="L918" s="1914" t="s">
        <v>1506</v>
      </c>
      <c r="M918" s="1914" t="s">
        <v>1507</v>
      </c>
      <c r="N918" s="1914" t="s">
        <v>1508</v>
      </c>
      <c r="O918" s="1914" t="s">
        <v>1509</v>
      </c>
      <c r="P918" s="1341" t="s">
        <v>1510</v>
      </c>
      <c r="Q918" s="1914" t="s">
        <v>1493</v>
      </c>
      <c r="R918" s="1916" t="s">
        <v>804</v>
      </c>
      <c r="S918" s="1914" t="s">
        <v>1511</v>
      </c>
      <c r="T918" s="1914" t="s">
        <v>1512</v>
      </c>
      <c r="U918" s="1918" t="s">
        <v>1513</v>
      </c>
      <c r="V918" s="1418">
        <f t="shared" ref="V918:V925" si="94">V919</f>
        <v>0</v>
      </c>
      <c r="W918" s="16"/>
      <c r="X918" s="16"/>
      <c r="Y918" s="16"/>
      <c r="Z918" s="17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</row>
    <row r="919" spans="1:36" s="352" customFormat="1" ht="15.6" hidden="1">
      <c r="A919" s="351"/>
      <c r="B919" s="1964" t="e">
        <f>LEFT(#REF!,5)</f>
        <v>#REF!</v>
      </c>
      <c r="C919" s="1966" t="e">
        <f>VLOOKUP(LEFT(#REF!,5),'11 - FINANCEIRA'!_xlnm.Print_Area,2,FALSE)</f>
        <v>#REF!</v>
      </c>
      <c r="D919" s="1920" t="s">
        <v>1514</v>
      </c>
      <c r="E919" s="1921"/>
      <c r="F919" s="1922"/>
      <c r="G919" s="1923" t="s">
        <v>1515</v>
      </c>
      <c r="H919" s="1924"/>
      <c r="I919" s="1925"/>
      <c r="J919" s="1915"/>
      <c r="K919" s="1915"/>
      <c r="L919" s="1915"/>
      <c r="M919" s="1915"/>
      <c r="N919" s="1915"/>
      <c r="O919" s="1915"/>
      <c r="P919" s="353" t="s">
        <v>1516</v>
      </c>
      <c r="Q919" s="1915"/>
      <c r="R919" s="1917"/>
      <c r="S919" s="1915"/>
      <c r="T919" s="1915"/>
      <c r="U919" s="1919"/>
      <c r="V919" s="1418">
        <f t="shared" si="94"/>
        <v>0</v>
      </c>
      <c r="W919" s="16"/>
      <c r="X919" s="16"/>
      <c r="Y919" s="16"/>
      <c r="Z919" s="17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</row>
    <row r="920" spans="1:36" s="361" customFormat="1" ht="30" hidden="1">
      <c r="A920" s="354"/>
      <c r="B920" s="355"/>
      <c r="C920" s="28" t="s">
        <v>874</v>
      </c>
      <c r="D920" s="18"/>
      <c r="E920" s="19"/>
      <c r="F920" s="20"/>
      <c r="G920" s="18"/>
      <c r="H920" s="19"/>
      <c r="I920" s="20"/>
      <c r="J920" s="21"/>
      <c r="K920" s="22"/>
      <c r="L920" s="23"/>
      <c r="M920" s="24"/>
      <c r="N920" s="728"/>
      <c r="O920" s="25"/>
      <c r="P920" s="23"/>
      <c r="Q920" s="729"/>
      <c r="R920" s="1109">
        <v>37.645000000000003</v>
      </c>
      <c r="S920" s="730" t="s">
        <v>853</v>
      </c>
      <c r="T920" s="446"/>
      <c r="U920" s="793" t="s">
        <v>1907</v>
      </c>
      <c r="V920" s="1418">
        <f t="shared" si="94"/>
        <v>0</v>
      </c>
      <c r="W920" s="357"/>
      <c r="X920" s="357"/>
      <c r="Y920" s="357"/>
      <c r="Z920" s="358"/>
      <c r="AA920" s="359"/>
      <c r="AB920" s="360"/>
    </row>
    <row r="921" spans="1:36" s="361" customFormat="1" ht="15" hidden="1">
      <c r="A921" s="354"/>
      <c r="B921" s="355"/>
      <c r="C921" s="32"/>
      <c r="D921" s="33"/>
      <c r="E921" s="34"/>
      <c r="F921" s="35"/>
      <c r="G921" s="33"/>
      <c r="H921" s="34"/>
      <c r="I921" s="35"/>
      <c r="J921" s="43"/>
      <c r="K921" s="42"/>
      <c r="L921" s="39"/>
      <c r="M921" s="41"/>
      <c r="N921" s="356"/>
      <c r="O921" s="40"/>
      <c r="P921" s="39"/>
      <c r="Q921" s="45"/>
      <c r="R921" s="362"/>
      <c r="S921" s="363"/>
      <c r="T921" s="46"/>
      <c r="U921" s="44"/>
      <c r="V921" s="1418">
        <f t="shared" si="94"/>
        <v>0</v>
      </c>
      <c r="W921" s="357"/>
      <c r="X921" s="357"/>
      <c r="Y921" s="357"/>
      <c r="Z921" s="358"/>
      <c r="AA921" s="359"/>
      <c r="AB921" s="360"/>
    </row>
    <row r="922" spans="1:36" s="369" customFormat="1" ht="15" hidden="1">
      <c r="A922" s="364"/>
      <c r="B922" s="355"/>
      <c r="C922" s="32"/>
      <c r="D922" s="33"/>
      <c r="E922" s="34"/>
      <c r="F922" s="35"/>
      <c r="G922" s="33"/>
      <c r="H922" s="34"/>
      <c r="I922" s="35"/>
      <c r="J922" s="43"/>
      <c r="K922" s="42"/>
      <c r="L922" s="39"/>
      <c r="M922" s="41"/>
      <c r="N922" s="40"/>
      <c r="O922" s="40"/>
      <c r="P922" s="39"/>
      <c r="Q922" s="38"/>
      <c r="R922" s="365"/>
      <c r="S922" s="366"/>
      <c r="T922" s="46"/>
      <c r="U922" s="44"/>
      <c r="V922" s="1418">
        <f t="shared" si="94"/>
        <v>0</v>
      </c>
      <c r="W922" s="367"/>
      <c r="X922" s="367"/>
      <c r="Y922" s="367"/>
      <c r="Z922" s="368"/>
    </row>
    <row r="923" spans="1:36" s="77" customFormat="1" ht="15" hidden="1">
      <c r="A923" s="370"/>
      <c r="B923" s="29"/>
      <c r="C923" s="30"/>
      <c r="D923" s="18"/>
      <c r="E923" s="19"/>
      <c r="F923" s="20"/>
      <c r="G923" s="18"/>
      <c r="H923" s="19"/>
      <c r="I923" s="20"/>
      <c r="J923" s="21"/>
      <c r="K923" s="22"/>
      <c r="L923" s="23"/>
      <c r="M923" s="24"/>
      <c r="N923" s="25"/>
      <c r="O923" s="25"/>
      <c r="P923" s="23"/>
      <c r="Q923" s="26"/>
      <c r="R923" s="371"/>
      <c r="S923" s="27"/>
      <c r="T923" s="372"/>
      <c r="U923" s="31"/>
      <c r="V923" s="1418">
        <f t="shared" si="94"/>
        <v>0</v>
      </c>
      <c r="AB923" s="15"/>
    </row>
    <row r="924" spans="1:36" s="77" customFormat="1" ht="15.6" hidden="1">
      <c r="A924" s="370"/>
      <c r="B924" s="499"/>
      <c r="C924" s="37"/>
      <c r="D924" s="1929" t="s">
        <v>1520</v>
      </c>
      <c r="E924" s="1930"/>
      <c r="F924" s="1930"/>
      <c r="G924" s="1930"/>
      <c r="H924" s="1930"/>
      <c r="I924" s="1931"/>
      <c r="J924" s="1932">
        <f>VLOOKUP(A926,'11 - FINANCEIRA'!_xlnm.Print_Area,6,FALSE)</f>
        <v>44.5</v>
      </c>
      <c r="K924" s="1933"/>
      <c r="L924" s="1343" t="str">
        <f>VLOOKUP(A926,'11 - FINANCEIRA'!_xlnm.Print_Area,4,FALSE)</f>
        <v>m³</v>
      </c>
      <c r="M924" s="1934" t="s">
        <v>1521</v>
      </c>
      <c r="N924" s="1935"/>
      <c r="O924" s="1935"/>
      <c r="P924" s="1935"/>
      <c r="Q924" s="1936"/>
      <c r="R924" s="726">
        <f>SUM(R920:R923)</f>
        <v>37.645000000000003</v>
      </c>
      <c r="S924" s="1344" t="str">
        <f>L924</f>
        <v>m³</v>
      </c>
      <c r="T924" s="373"/>
      <c r="U924" s="486"/>
      <c r="V924" s="1418">
        <f t="shared" si="94"/>
        <v>0</v>
      </c>
      <c r="AB924" s="15"/>
    </row>
    <row r="925" spans="1:36" s="77" customFormat="1" ht="15.6" hidden="1">
      <c r="A925" s="370"/>
      <c r="B925" s="499"/>
      <c r="C925" s="725"/>
      <c r="D925" s="1937" t="s">
        <v>1522</v>
      </c>
      <c r="E925" s="1938"/>
      <c r="F925" s="1938"/>
      <c r="G925" s="1938"/>
      <c r="H925" s="1938"/>
      <c r="I925" s="1939"/>
      <c r="J925" s="1943">
        <f>R924/J924</f>
        <v>0.8459550561797754</v>
      </c>
      <c r="K925" s="1944"/>
      <c r="L925" s="1947"/>
      <c r="M925" s="1934" t="s">
        <v>1523</v>
      </c>
      <c r="N925" s="1935"/>
      <c r="O925" s="1935"/>
      <c r="P925" s="1935"/>
      <c r="Q925" s="1936"/>
      <c r="R925" s="726">
        <f>VLOOKUP(A926,'11 - FINANCEIRA'!_xlnm.Print_Area,8,FALSE)</f>
        <v>37.645000000000003</v>
      </c>
      <c r="S925" s="727" t="str">
        <f>L924</f>
        <v>m³</v>
      </c>
      <c r="T925" s="373"/>
      <c r="U925" s="486"/>
      <c r="V925" s="1418">
        <f t="shared" si="94"/>
        <v>0</v>
      </c>
      <c r="AB925" s="15"/>
    </row>
    <row r="926" spans="1:36" s="77" customFormat="1" ht="15.6" hidden="1">
      <c r="A926" s="364" t="s">
        <v>385</v>
      </c>
      <c r="B926" s="499"/>
      <c r="C926" s="37"/>
      <c r="D926" s="2013"/>
      <c r="E926" s="2014"/>
      <c r="F926" s="2014"/>
      <c r="G926" s="2014"/>
      <c r="H926" s="2014"/>
      <c r="I926" s="2015"/>
      <c r="J926" s="2016"/>
      <c r="K926" s="2017"/>
      <c r="L926" s="1962"/>
      <c r="M926" s="2007" t="s">
        <v>1524</v>
      </c>
      <c r="N926" s="2008"/>
      <c r="O926" s="2008"/>
      <c r="P926" s="2008"/>
      <c r="Q926" s="2009"/>
      <c r="R926" s="1345">
        <f>R924-R925</f>
        <v>0</v>
      </c>
      <c r="S926" s="1346" t="str">
        <f>L924</f>
        <v>m³</v>
      </c>
      <c r="T926" s="373"/>
      <c r="U926" s="486"/>
      <c r="V926" s="1418">
        <f>R926</f>
        <v>0</v>
      </c>
      <c r="AB926" s="15"/>
    </row>
    <row r="927" spans="1:36" s="77" customFormat="1" ht="15.6" hidden="1">
      <c r="A927" s="370"/>
      <c r="B927" s="1347"/>
      <c r="C927" s="1348"/>
      <c r="D927" s="1349"/>
      <c r="E927" s="1350"/>
      <c r="F927" s="1349"/>
      <c r="G927" s="1349"/>
      <c r="H927" s="1349"/>
      <c r="I927" s="1349"/>
      <c r="J927" s="1351"/>
      <c r="K927" s="1352"/>
      <c r="L927" s="1353"/>
      <c r="M927" s="1354"/>
      <c r="N927" s="1354"/>
      <c r="O927" s="1354"/>
      <c r="P927" s="1354"/>
      <c r="Q927" s="1354"/>
      <c r="R927" s="1355"/>
      <c r="S927" s="1356"/>
      <c r="T927" s="1357"/>
      <c r="U927" s="1358"/>
      <c r="V927" s="1420">
        <f>SUM(V918:V926)</f>
        <v>0</v>
      </c>
      <c r="AB927" s="15"/>
    </row>
    <row r="928" spans="1:36" s="632" customFormat="1" ht="15.6">
      <c r="A928" s="630"/>
      <c r="B928" s="1333" t="str">
        <f>LEFT(A941,3)</f>
        <v>2.3</v>
      </c>
      <c r="C928" s="1334" t="str">
        <f>VLOOKUP(LEFT(A941,3),'11 - FINANCEIRA'!_xlnm.Print_Area,2,FALSE)</f>
        <v>ARQUITETURA</v>
      </c>
      <c r="D928" s="1334"/>
      <c r="E928" s="1335"/>
      <c r="F928" s="1334"/>
      <c r="G928" s="2071"/>
      <c r="H928" s="2072"/>
      <c r="I928" s="2072"/>
      <c r="J928" s="2072"/>
      <c r="K928" s="2072"/>
      <c r="L928" s="2072"/>
      <c r="M928" s="1338"/>
      <c r="N928" s="1339"/>
      <c r="O928" s="1339"/>
      <c r="P928" s="1339"/>
      <c r="Q928" s="1339"/>
      <c r="R928" s="1339"/>
      <c r="S928" s="1339"/>
      <c r="T928" s="1339"/>
      <c r="U928" s="1339"/>
      <c r="V928" s="631">
        <f>SUM(V929:V2315)</f>
        <v>1800</v>
      </c>
    </row>
    <row r="929" spans="1:36" s="632" customFormat="1" ht="15.6" hidden="1">
      <c r="A929" s="630"/>
      <c r="B929" s="1333" t="str">
        <f>LEFT(A941,5)</f>
        <v>2.3.1</v>
      </c>
      <c r="C929" s="1334" t="str">
        <f>VLOOKUP(LEFT(A941,5),'11 - FINANCEIRA'!_xlnm.Print_Area,2,FALSE)</f>
        <v>ESTRUTURAS PARA APOIO E TANQUE</v>
      </c>
      <c r="D929" s="1334"/>
      <c r="E929" s="1335"/>
      <c r="F929" s="1334"/>
      <c r="G929" s="2071"/>
      <c r="H929" s="2072"/>
      <c r="I929" s="2072"/>
      <c r="J929" s="2072"/>
      <c r="K929" s="2072"/>
      <c r="L929" s="2072"/>
      <c r="M929" s="1338"/>
      <c r="N929" s="1339"/>
      <c r="O929" s="1339"/>
      <c r="P929" s="1339"/>
      <c r="Q929" s="1339"/>
      <c r="R929" s="1339"/>
      <c r="S929" s="1339"/>
      <c r="T929" s="1339"/>
      <c r="U929" s="1339"/>
      <c r="V929" s="631">
        <f>SUM(V930:V994)</f>
        <v>0</v>
      </c>
    </row>
    <row r="930" spans="1:36" s="352" customFormat="1" ht="15.6" hidden="1">
      <c r="A930" s="351"/>
      <c r="B930" s="1963" t="str">
        <f>VLOOKUP(A941,'11 - FINANCEIRA'!_xlnm.Print_Area,1,FALSE)</f>
        <v>2.3.1.1</v>
      </c>
      <c r="C930" s="1965" t="str">
        <f>VLOOKUP(A941,'11 - FINANCEIRA'!_xlnm.Print_Area,3,FALSE)</f>
        <v>Montagem e desmontagem de fôrma de viga, escoramento metálico, pé-direito simples, em chapa de madeira resinada, 2 utilizações. af_12/2015</v>
      </c>
      <c r="D930" s="1967" t="s">
        <v>1503</v>
      </c>
      <c r="E930" s="1968"/>
      <c r="F930" s="1968"/>
      <c r="G930" s="1968"/>
      <c r="H930" s="1968"/>
      <c r="I930" s="1969"/>
      <c r="J930" s="1914" t="s">
        <v>1504</v>
      </c>
      <c r="K930" s="1914" t="s">
        <v>1505</v>
      </c>
      <c r="L930" s="1914" t="s">
        <v>1506</v>
      </c>
      <c r="M930" s="1914" t="s">
        <v>1507</v>
      </c>
      <c r="N930" s="1914" t="s">
        <v>1508</v>
      </c>
      <c r="O930" s="1914" t="s">
        <v>1509</v>
      </c>
      <c r="P930" s="1341" t="s">
        <v>1510</v>
      </c>
      <c r="Q930" s="1914" t="s">
        <v>1493</v>
      </c>
      <c r="R930" s="1916" t="s">
        <v>804</v>
      </c>
      <c r="S930" s="1914" t="s">
        <v>1511</v>
      </c>
      <c r="T930" s="1914" t="s">
        <v>1512</v>
      </c>
      <c r="U930" s="1918" t="s">
        <v>1513</v>
      </c>
      <c r="V930" s="1418">
        <f t="shared" ref="V930:V940" si="95">V931</f>
        <v>0</v>
      </c>
      <c r="W930" s="16"/>
      <c r="X930" s="16"/>
      <c r="Y930" s="16"/>
      <c r="Z930" s="17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</row>
    <row r="931" spans="1:36" s="352" customFormat="1" ht="15.6" hidden="1">
      <c r="A931" s="351"/>
      <c r="B931" s="1964" t="e">
        <f>LEFT(#REF!,5)</f>
        <v>#REF!</v>
      </c>
      <c r="C931" s="1966" t="e">
        <f>VLOOKUP(LEFT(#REF!,5),'11 - FINANCEIRA'!_xlnm.Print_Area,2,FALSE)</f>
        <v>#REF!</v>
      </c>
      <c r="D931" s="1920" t="s">
        <v>1514</v>
      </c>
      <c r="E931" s="1921"/>
      <c r="F931" s="1922"/>
      <c r="G931" s="1923" t="s">
        <v>1515</v>
      </c>
      <c r="H931" s="1924"/>
      <c r="I931" s="1925"/>
      <c r="J931" s="1915"/>
      <c r="K931" s="1915"/>
      <c r="L931" s="1915"/>
      <c r="M931" s="1915"/>
      <c r="N931" s="1915"/>
      <c r="O931" s="1915"/>
      <c r="P931" s="353" t="s">
        <v>1516</v>
      </c>
      <c r="Q931" s="1915"/>
      <c r="R931" s="1917"/>
      <c r="S931" s="1915"/>
      <c r="T931" s="1915"/>
      <c r="U931" s="1919"/>
      <c r="V931" s="1418">
        <f t="shared" si="95"/>
        <v>0</v>
      </c>
      <c r="W931" s="16"/>
      <c r="X931" s="16"/>
      <c r="Y931" s="16"/>
      <c r="Z931" s="17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</row>
    <row r="932" spans="1:36" s="361" customFormat="1" ht="30" hidden="1">
      <c r="A932" s="354"/>
      <c r="B932" s="355"/>
      <c r="C932" s="28" t="s">
        <v>894</v>
      </c>
      <c r="D932" s="18"/>
      <c r="E932" s="19"/>
      <c r="F932" s="20"/>
      <c r="G932" s="18"/>
      <c r="H932" s="19"/>
      <c r="I932" s="20"/>
      <c r="J932" s="21"/>
      <c r="K932" s="22"/>
      <c r="L932" s="23">
        <f>5.3*2+4.2*2</f>
        <v>19</v>
      </c>
      <c r="M932" s="24">
        <v>0.15</v>
      </c>
      <c r="N932" s="728">
        <f>L932*M932</f>
        <v>2.85</v>
      </c>
      <c r="O932" s="25"/>
      <c r="P932" s="23"/>
      <c r="Q932" s="729"/>
      <c r="R932" s="1109">
        <f>N932</f>
        <v>2.85</v>
      </c>
      <c r="S932" s="730" t="s">
        <v>821</v>
      </c>
      <c r="T932" s="446" t="s">
        <v>326</v>
      </c>
      <c r="U932" s="793" t="s">
        <v>1737</v>
      </c>
      <c r="V932" s="1418">
        <f t="shared" si="95"/>
        <v>0</v>
      </c>
      <c r="W932" s="357"/>
      <c r="X932" s="357"/>
      <c r="Y932" s="357"/>
      <c r="Z932" s="358"/>
      <c r="AA932" s="359"/>
      <c r="AB932" s="360"/>
    </row>
    <row r="933" spans="1:36" s="361" customFormat="1" ht="30" hidden="1">
      <c r="A933" s="354"/>
      <c r="B933" s="355"/>
      <c r="C933" s="28" t="s">
        <v>894</v>
      </c>
      <c r="D933" s="18"/>
      <c r="E933" s="19"/>
      <c r="F933" s="20"/>
      <c r="G933" s="18"/>
      <c r="H933" s="19"/>
      <c r="I933" s="20"/>
      <c r="J933" s="21"/>
      <c r="K933" s="22"/>
      <c r="L933" s="23">
        <f>8.5*2+4*2</f>
        <v>25</v>
      </c>
      <c r="M933" s="24">
        <v>0.15</v>
      </c>
      <c r="N933" s="728">
        <f t="shared" ref="N933:N938" si="96">L933*M933</f>
        <v>3.75</v>
      </c>
      <c r="O933" s="25"/>
      <c r="P933" s="23"/>
      <c r="Q933" s="729"/>
      <c r="R933" s="445">
        <f>N933</f>
        <v>3.75</v>
      </c>
      <c r="S933" s="792" t="s">
        <v>821</v>
      </c>
      <c r="T933" s="446" t="s">
        <v>326</v>
      </c>
      <c r="U933" s="793" t="s">
        <v>1739</v>
      </c>
      <c r="V933" s="1418">
        <f t="shared" si="95"/>
        <v>0</v>
      </c>
      <c r="W933" s="357"/>
      <c r="X933" s="357"/>
      <c r="Y933" s="357"/>
      <c r="Z933" s="358"/>
      <c r="AA933" s="359"/>
      <c r="AB933" s="360"/>
    </row>
    <row r="934" spans="1:36" s="369" customFormat="1" ht="30" hidden="1">
      <c r="A934" s="364"/>
      <c r="B934" s="355"/>
      <c r="C934" s="28" t="s">
        <v>894</v>
      </c>
      <c r="D934" s="18"/>
      <c r="E934" s="19"/>
      <c r="F934" s="20"/>
      <c r="G934" s="18"/>
      <c r="H934" s="19"/>
      <c r="I934" s="20"/>
      <c r="J934" s="21"/>
      <c r="K934" s="22"/>
      <c r="L934" s="23">
        <f>2.8*2+5*2</f>
        <v>15.6</v>
      </c>
      <c r="M934" s="24">
        <v>0.15</v>
      </c>
      <c r="N934" s="728">
        <f t="shared" si="96"/>
        <v>2.34</v>
      </c>
      <c r="O934" s="25"/>
      <c r="P934" s="23"/>
      <c r="Q934" s="26"/>
      <c r="R934" s="445">
        <f>N934</f>
        <v>2.34</v>
      </c>
      <c r="S934" s="447" t="s">
        <v>821</v>
      </c>
      <c r="T934" s="446" t="s">
        <v>326</v>
      </c>
      <c r="U934" s="793" t="s">
        <v>1741</v>
      </c>
      <c r="V934" s="1418">
        <f t="shared" si="95"/>
        <v>0</v>
      </c>
      <c r="W934" s="367"/>
      <c r="X934" s="367"/>
      <c r="Y934" s="367"/>
      <c r="Z934" s="368"/>
    </row>
    <row r="935" spans="1:36" s="369" customFormat="1" ht="30" hidden="1">
      <c r="A935" s="364"/>
      <c r="B935" s="1002"/>
      <c r="C935" s="32" t="s">
        <v>894</v>
      </c>
      <c r="D935" s="33"/>
      <c r="E935" s="34"/>
      <c r="F935" s="35"/>
      <c r="G935" s="33"/>
      <c r="H935" s="34"/>
      <c r="I935" s="35"/>
      <c r="J935" s="43"/>
      <c r="K935" s="42"/>
      <c r="L935" s="39">
        <f>7.5*2+2.5*2</f>
        <v>20</v>
      </c>
      <c r="M935" s="41">
        <v>0.1</v>
      </c>
      <c r="N935" s="356">
        <f t="shared" si="96"/>
        <v>2</v>
      </c>
      <c r="O935" s="40"/>
      <c r="P935" s="39"/>
      <c r="Q935" s="38"/>
      <c r="R935" s="362"/>
      <c r="S935" s="45" t="s">
        <v>821</v>
      </c>
      <c r="T935" s="1153" t="s">
        <v>328</v>
      </c>
      <c r="U935" s="742" t="s">
        <v>1908</v>
      </c>
      <c r="V935" s="1418">
        <f t="shared" si="95"/>
        <v>0</v>
      </c>
      <c r="W935" s="367"/>
      <c r="X935" s="367"/>
      <c r="Y935" s="367"/>
      <c r="Z935" s="368"/>
    </row>
    <row r="936" spans="1:36" s="369" customFormat="1" ht="30" hidden="1">
      <c r="A936" s="364"/>
      <c r="B936" s="1002"/>
      <c r="C936" s="32" t="s">
        <v>894</v>
      </c>
      <c r="D936" s="33"/>
      <c r="E936" s="34"/>
      <c r="F936" s="35"/>
      <c r="G936" s="33"/>
      <c r="H936" s="34"/>
      <c r="I936" s="35"/>
      <c r="J936" s="43"/>
      <c r="K936" s="42"/>
      <c r="L936" s="39">
        <v>7.5</v>
      </c>
      <c r="M936" s="41">
        <v>2.5</v>
      </c>
      <c r="N936" s="356">
        <f t="shared" si="96"/>
        <v>18.75</v>
      </c>
      <c r="O936" s="40"/>
      <c r="P936" s="39"/>
      <c r="Q936" s="38"/>
      <c r="R936" s="362">
        <f t="shared" ref="R936" si="97">N936</f>
        <v>18.75</v>
      </c>
      <c r="S936" s="45" t="s">
        <v>821</v>
      </c>
      <c r="T936" s="1153" t="s">
        <v>328</v>
      </c>
      <c r="U936" s="742" t="s">
        <v>1909</v>
      </c>
      <c r="V936" s="1418">
        <f t="shared" si="95"/>
        <v>0</v>
      </c>
      <c r="W936" s="367"/>
      <c r="X936" s="367"/>
      <c r="Y936" s="367" t="s">
        <v>1910</v>
      </c>
      <c r="Z936" s="368"/>
      <c r="AA936" s="1241"/>
    </row>
    <row r="937" spans="1:36" s="369" customFormat="1" ht="30" hidden="1">
      <c r="A937" s="364"/>
      <c r="B937" s="1002"/>
      <c r="C937" s="32" t="s">
        <v>894</v>
      </c>
      <c r="D937" s="33"/>
      <c r="E937" s="34"/>
      <c r="F937" s="35"/>
      <c r="G937" s="33"/>
      <c r="H937" s="34"/>
      <c r="I937" s="35"/>
      <c r="J937" s="43"/>
      <c r="K937" s="42"/>
      <c r="L937" s="39">
        <f>4*2+1.8*2</f>
        <v>11.6</v>
      </c>
      <c r="M937" s="41">
        <v>0.1</v>
      </c>
      <c r="N937" s="356">
        <f t="shared" ref="N937" si="98">L937*M937</f>
        <v>1.1599999999999999</v>
      </c>
      <c r="O937" s="40"/>
      <c r="P937" s="39"/>
      <c r="Q937" s="38"/>
      <c r="R937" s="362"/>
      <c r="S937" s="45" t="s">
        <v>821</v>
      </c>
      <c r="T937" s="1153" t="s">
        <v>328</v>
      </c>
      <c r="U937" s="742" t="s">
        <v>1911</v>
      </c>
      <c r="V937" s="1418">
        <f t="shared" si="95"/>
        <v>0</v>
      </c>
      <c r="W937" s="367"/>
      <c r="X937" s="367"/>
      <c r="Y937" s="367"/>
      <c r="Z937" s="367" t="s">
        <v>1912</v>
      </c>
    </row>
    <row r="938" spans="1:36" s="77" customFormat="1" ht="30" hidden="1">
      <c r="A938" s="370"/>
      <c r="B938" s="29"/>
      <c r="C938" s="32" t="s">
        <v>894</v>
      </c>
      <c r="D938" s="18"/>
      <c r="E938" s="19"/>
      <c r="F938" s="20"/>
      <c r="G938" s="18"/>
      <c r="H938" s="19"/>
      <c r="I938" s="20"/>
      <c r="J938" s="21"/>
      <c r="K938" s="22"/>
      <c r="L938" s="39">
        <v>4</v>
      </c>
      <c r="M938" s="41">
        <v>1.8</v>
      </c>
      <c r="N938" s="356">
        <f t="shared" si="96"/>
        <v>7.2</v>
      </c>
      <c r="O938" s="25"/>
      <c r="P938" s="23"/>
      <c r="Q938" s="26"/>
      <c r="R938" s="362"/>
      <c r="S938" s="1194" t="s">
        <v>821</v>
      </c>
      <c r="T938" s="452" t="s">
        <v>328</v>
      </c>
      <c r="U938" s="454" t="s">
        <v>1913</v>
      </c>
      <c r="V938" s="1418">
        <f t="shared" si="95"/>
        <v>0</v>
      </c>
      <c r="Y938" s="77" t="s">
        <v>1914</v>
      </c>
      <c r="AB938" s="15"/>
    </row>
    <row r="939" spans="1:36" s="77" customFormat="1" ht="15.6" hidden="1">
      <c r="A939" s="370"/>
      <c r="B939" s="499"/>
      <c r="C939" s="37"/>
      <c r="D939" s="1929" t="s">
        <v>1520</v>
      </c>
      <c r="E939" s="1930"/>
      <c r="F939" s="1930"/>
      <c r="G939" s="1930"/>
      <c r="H939" s="1930"/>
      <c r="I939" s="1931"/>
      <c r="J939" s="1932">
        <f>VLOOKUP(A941,'11 - FINANCEIRA'!_xlnm.Print_Area,6,FALSE)</f>
        <v>28</v>
      </c>
      <c r="K939" s="1933"/>
      <c r="L939" s="1343" t="str">
        <f>VLOOKUP(A941,'11 - FINANCEIRA'!_xlnm.Print_Area,4,FALSE)</f>
        <v>m²</v>
      </c>
      <c r="M939" s="1934" t="s">
        <v>1521</v>
      </c>
      <c r="N939" s="1935"/>
      <c r="O939" s="1935"/>
      <c r="P939" s="1935"/>
      <c r="Q939" s="1936"/>
      <c r="R939" s="726">
        <f>SUM(R932:R938)</f>
        <v>27.689999999999998</v>
      </c>
      <c r="S939" s="1344" t="str">
        <f>L939</f>
        <v>m²</v>
      </c>
      <c r="T939" s="373"/>
      <c r="U939" s="486"/>
      <c r="V939" s="1418">
        <f t="shared" si="95"/>
        <v>0</v>
      </c>
      <c r="AB939" s="15"/>
    </row>
    <row r="940" spans="1:36" s="77" customFormat="1" ht="15.6" hidden="1">
      <c r="A940" s="370"/>
      <c r="B940" s="499"/>
      <c r="C940" s="725"/>
      <c r="D940" s="1937" t="s">
        <v>1522</v>
      </c>
      <c r="E940" s="1938"/>
      <c r="F940" s="1938"/>
      <c r="G940" s="1938"/>
      <c r="H940" s="1938"/>
      <c r="I940" s="1939"/>
      <c r="J940" s="1943">
        <f>R939/J939</f>
        <v>0.98892857142857138</v>
      </c>
      <c r="K940" s="1944"/>
      <c r="L940" s="1947"/>
      <c r="M940" s="1934" t="s">
        <v>1523</v>
      </c>
      <c r="N940" s="1935"/>
      <c r="O940" s="1935"/>
      <c r="P940" s="1935"/>
      <c r="Q940" s="1936"/>
      <c r="R940" s="726">
        <f>VLOOKUP(A941,'11 - FINANCEIRA'!_xlnm.Print_Area,8,FALSE)</f>
        <v>27.689999999999998</v>
      </c>
      <c r="S940" s="727" t="str">
        <f>L939</f>
        <v>m²</v>
      </c>
      <c r="T940" s="373"/>
      <c r="U940" s="486"/>
      <c r="V940" s="1418">
        <f t="shared" si="95"/>
        <v>0</v>
      </c>
      <c r="AB940" s="15"/>
    </row>
    <row r="941" spans="1:36" s="77" customFormat="1" ht="15.6" hidden="1">
      <c r="A941" s="364" t="s">
        <v>387</v>
      </c>
      <c r="B941" s="499"/>
      <c r="C941" s="37"/>
      <c r="D941" s="2013"/>
      <c r="E941" s="2014"/>
      <c r="F941" s="2014"/>
      <c r="G941" s="2014"/>
      <c r="H941" s="2014"/>
      <c r="I941" s="2015"/>
      <c r="J941" s="2016"/>
      <c r="K941" s="2017"/>
      <c r="L941" s="1962"/>
      <c r="M941" s="2007" t="s">
        <v>1524</v>
      </c>
      <c r="N941" s="2008"/>
      <c r="O941" s="2008"/>
      <c r="P941" s="2008"/>
      <c r="Q941" s="2009"/>
      <c r="R941" s="1345">
        <f>R939-R940</f>
        <v>0</v>
      </c>
      <c r="S941" s="1346" t="str">
        <f>L939</f>
        <v>m²</v>
      </c>
      <c r="T941" s="373"/>
      <c r="U941" s="486"/>
      <c r="V941" s="1418">
        <f>R941</f>
        <v>0</v>
      </c>
      <c r="AB941" s="15"/>
    </row>
    <row r="942" spans="1:36" s="77" customFormat="1" ht="15.6" hidden="1">
      <c r="A942" s="370"/>
      <c r="B942" s="1347"/>
      <c r="C942" s="1348"/>
      <c r="D942" s="1349"/>
      <c r="E942" s="1350"/>
      <c r="F942" s="1349"/>
      <c r="G942" s="1349"/>
      <c r="H942" s="1349"/>
      <c r="I942" s="1349"/>
      <c r="J942" s="1351"/>
      <c r="K942" s="1352"/>
      <c r="L942" s="1353"/>
      <c r="M942" s="1354"/>
      <c r="N942" s="1354"/>
      <c r="O942" s="1354"/>
      <c r="P942" s="1354"/>
      <c r="Q942" s="1354"/>
      <c r="R942" s="1355"/>
      <c r="S942" s="1356"/>
      <c r="T942" s="1357"/>
      <c r="U942" s="1358"/>
      <c r="V942" s="1420">
        <f>SUM(V930:V941)</f>
        <v>0</v>
      </c>
      <c r="AB942" s="15"/>
    </row>
    <row r="943" spans="1:36" s="352" customFormat="1" ht="15.6" hidden="1">
      <c r="A943" s="351"/>
      <c r="B943" s="1963" t="str">
        <f>VLOOKUP(A951,'11 - FINANCEIRA'!_xlnm.Print_Area,1,FALSE)</f>
        <v>2.3.1.2</v>
      </c>
      <c r="C943" s="1965" t="str">
        <f>VLOOKUP(A951,'11 - FINANCEIRA'!_xlnm.Print_Area,3,FALSE)</f>
        <v>Armação em aço ca-60 - fornecimento, preparo e colocação</v>
      </c>
      <c r="D943" s="1967" t="s">
        <v>1503</v>
      </c>
      <c r="E943" s="1968"/>
      <c r="F943" s="1968"/>
      <c r="G943" s="1968"/>
      <c r="H943" s="1968"/>
      <c r="I943" s="1969"/>
      <c r="J943" s="1914" t="s">
        <v>1504</v>
      </c>
      <c r="K943" s="1914" t="s">
        <v>1505</v>
      </c>
      <c r="L943" s="1914" t="s">
        <v>1506</v>
      </c>
      <c r="M943" s="1914" t="s">
        <v>1507</v>
      </c>
      <c r="N943" s="1914" t="s">
        <v>1508</v>
      </c>
      <c r="O943" s="1914" t="s">
        <v>1509</v>
      </c>
      <c r="P943" s="1341" t="s">
        <v>1510</v>
      </c>
      <c r="Q943" s="1914" t="s">
        <v>1493</v>
      </c>
      <c r="R943" s="1916" t="s">
        <v>804</v>
      </c>
      <c r="S943" s="1914" t="s">
        <v>1511</v>
      </c>
      <c r="T943" s="1914" t="s">
        <v>1512</v>
      </c>
      <c r="U943" s="1918" t="s">
        <v>1513</v>
      </c>
      <c r="V943" s="1418">
        <f t="shared" ref="V943:V950" si="99">V944</f>
        <v>0</v>
      </c>
      <c r="W943" s="16"/>
      <c r="X943" s="16"/>
      <c r="Y943" s="16"/>
      <c r="Z943" s="17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</row>
    <row r="944" spans="1:36" s="352" customFormat="1" ht="15.6" hidden="1">
      <c r="A944" s="351"/>
      <c r="B944" s="1964" t="e">
        <f>LEFT(#REF!,5)</f>
        <v>#REF!</v>
      </c>
      <c r="C944" s="1966" t="e">
        <f>VLOOKUP(LEFT(#REF!,5),'11 - FINANCEIRA'!_xlnm.Print_Area,2,FALSE)</f>
        <v>#REF!</v>
      </c>
      <c r="D944" s="1920" t="s">
        <v>1514</v>
      </c>
      <c r="E944" s="1921"/>
      <c r="F944" s="1922"/>
      <c r="G944" s="1923" t="s">
        <v>1515</v>
      </c>
      <c r="H944" s="1924"/>
      <c r="I944" s="1925"/>
      <c r="J944" s="1915"/>
      <c r="K944" s="1915"/>
      <c r="L944" s="1915"/>
      <c r="M944" s="1915"/>
      <c r="N944" s="1915"/>
      <c r="O944" s="1915"/>
      <c r="P944" s="353" t="s">
        <v>1516</v>
      </c>
      <c r="Q944" s="1915"/>
      <c r="R944" s="1917"/>
      <c r="S944" s="1915"/>
      <c r="T944" s="1915"/>
      <c r="U944" s="1919"/>
      <c r="V944" s="1418">
        <f t="shared" si="99"/>
        <v>0</v>
      </c>
      <c r="W944" s="16"/>
      <c r="X944" s="16"/>
      <c r="Y944" s="16"/>
      <c r="Z944" s="17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</row>
    <row r="945" spans="1:36" s="361" customFormat="1" ht="30" hidden="1">
      <c r="A945" s="354"/>
      <c r="B945" s="355"/>
      <c r="C945" s="28" t="s">
        <v>876</v>
      </c>
      <c r="D945" s="18"/>
      <c r="E945" s="19"/>
      <c r="F945" s="20"/>
      <c r="G945" s="18"/>
      <c r="H945" s="19"/>
      <c r="I945" s="20"/>
      <c r="J945" s="21"/>
      <c r="K945" s="22"/>
      <c r="L945" s="23"/>
      <c r="M945" s="24"/>
      <c r="N945" s="728"/>
      <c r="O945" s="25"/>
      <c r="P945" s="23"/>
      <c r="Q945" s="729"/>
      <c r="R945" s="1109">
        <v>57</v>
      </c>
      <c r="S945" s="730" t="s">
        <v>877</v>
      </c>
      <c r="T945" s="446" t="s">
        <v>326</v>
      </c>
      <c r="U945" s="793" t="s">
        <v>1915</v>
      </c>
      <c r="V945" s="1418">
        <f t="shared" si="99"/>
        <v>0</v>
      </c>
      <c r="W945" s="357"/>
      <c r="X945" s="357"/>
      <c r="Y945" s="357"/>
      <c r="Z945" s="358"/>
      <c r="AA945" s="359"/>
      <c r="AB945" s="360"/>
    </row>
    <row r="946" spans="1:36" s="361" customFormat="1" ht="15" hidden="1" customHeight="1">
      <c r="A946" s="354"/>
      <c r="B946" s="355"/>
      <c r="C946" s="32"/>
      <c r="D946" s="33"/>
      <c r="E946" s="34"/>
      <c r="F946" s="35"/>
      <c r="G946" s="33"/>
      <c r="H946" s="34"/>
      <c r="I946" s="35"/>
      <c r="J946" s="43"/>
      <c r="K946" s="42"/>
      <c r="L946" s="39"/>
      <c r="M946" s="41"/>
      <c r="N946" s="356"/>
      <c r="O946" s="40"/>
      <c r="P946" s="39"/>
      <c r="Q946" s="45"/>
      <c r="R946" s="362"/>
      <c r="S946" s="363"/>
      <c r="T946" s="46"/>
      <c r="U946" s="44"/>
      <c r="V946" s="1418">
        <f t="shared" si="99"/>
        <v>0</v>
      </c>
      <c r="W946" s="357"/>
      <c r="X946" s="357"/>
      <c r="Y946" s="357"/>
      <c r="Z946" s="358"/>
      <c r="AA946" s="359"/>
      <c r="AB946" s="360"/>
    </row>
    <row r="947" spans="1:36" s="369" customFormat="1" ht="15" hidden="1">
      <c r="A947" s="364"/>
      <c r="B947" s="355"/>
      <c r="C947" s="32"/>
      <c r="D947" s="33"/>
      <c r="E947" s="34"/>
      <c r="F947" s="35"/>
      <c r="G947" s="33"/>
      <c r="H947" s="34"/>
      <c r="I947" s="35"/>
      <c r="J947" s="43"/>
      <c r="K947" s="42"/>
      <c r="L947" s="39"/>
      <c r="M947" s="41"/>
      <c r="N947" s="40"/>
      <c r="O947" s="40"/>
      <c r="P947" s="39"/>
      <c r="Q947" s="38"/>
      <c r="R947" s="365"/>
      <c r="S947" s="366"/>
      <c r="T947" s="46"/>
      <c r="U947" s="44"/>
      <c r="V947" s="1418">
        <f t="shared" si="99"/>
        <v>0</v>
      </c>
      <c r="W947" s="367"/>
      <c r="X947" s="367"/>
      <c r="Y947" s="367"/>
      <c r="Z947" s="368"/>
    </row>
    <row r="948" spans="1:36" s="77" customFormat="1" ht="15" hidden="1">
      <c r="A948" s="370"/>
      <c r="B948" s="29"/>
      <c r="C948" s="30"/>
      <c r="D948" s="18"/>
      <c r="E948" s="19"/>
      <c r="F948" s="20"/>
      <c r="G948" s="18"/>
      <c r="H948" s="19"/>
      <c r="I948" s="20"/>
      <c r="J948" s="21"/>
      <c r="K948" s="22"/>
      <c r="L948" s="23"/>
      <c r="M948" s="24"/>
      <c r="N948" s="25"/>
      <c r="O948" s="25"/>
      <c r="P948" s="23"/>
      <c r="Q948" s="26"/>
      <c r="R948" s="371"/>
      <c r="S948" s="27"/>
      <c r="T948" s="372"/>
      <c r="U948" s="31"/>
      <c r="V948" s="1418">
        <f t="shared" si="99"/>
        <v>0</v>
      </c>
      <c r="AB948" s="15"/>
    </row>
    <row r="949" spans="1:36" s="77" customFormat="1" ht="15.6" hidden="1">
      <c r="A949" s="370"/>
      <c r="B949" s="499"/>
      <c r="C949" s="37"/>
      <c r="D949" s="1929" t="s">
        <v>1520</v>
      </c>
      <c r="E949" s="1930"/>
      <c r="F949" s="1930"/>
      <c r="G949" s="1930"/>
      <c r="H949" s="1930"/>
      <c r="I949" s="1931"/>
      <c r="J949" s="1932">
        <f>VLOOKUP(A951,'11 - FINANCEIRA'!_xlnm.Print_Area,6,FALSE)</f>
        <v>57</v>
      </c>
      <c r="K949" s="1933"/>
      <c r="L949" s="1343" t="str">
        <f>VLOOKUP(A951,'11 - FINANCEIRA'!_xlnm.Print_Area,4,FALSE)</f>
        <v>Kg</v>
      </c>
      <c r="M949" s="1934" t="s">
        <v>1521</v>
      </c>
      <c r="N949" s="1935"/>
      <c r="O949" s="1935"/>
      <c r="P949" s="1935"/>
      <c r="Q949" s="1936"/>
      <c r="R949" s="726">
        <f>SUM(R945:R948)</f>
        <v>57</v>
      </c>
      <c r="S949" s="1344" t="str">
        <f>L949</f>
        <v>Kg</v>
      </c>
      <c r="T949" s="373"/>
      <c r="U949" s="486"/>
      <c r="V949" s="1418">
        <f t="shared" si="99"/>
        <v>0</v>
      </c>
      <c r="AB949" s="15"/>
    </row>
    <row r="950" spans="1:36" s="77" customFormat="1" ht="15.6" hidden="1">
      <c r="A950" s="370"/>
      <c r="B950" s="499"/>
      <c r="C950" s="725"/>
      <c r="D950" s="1937" t="s">
        <v>1522</v>
      </c>
      <c r="E950" s="1938"/>
      <c r="F950" s="1938"/>
      <c r="G950" s="1938"/>
      <c r="H950" s="1938"/>
      <c r="I950" s="1939"/>
      <c r="J950" s="1943">
        <f>R949/J949</f>
        <v>1</v>
      </c>
      <c r="K950" s="1944"/>
      <c r="L950" s="1947"/>
      <c r="M950" s="1934" t="s">
        <v>1523</v>
      </c>
      <c r="N950" s="1935"/>
      <c r="O950" s="1935"/>
      <c r="P950" s="1935"/>
      <c r="Q950" s="1936"/>
      <c r="R950" s="726">
        <f>VLOOKUP(A951,'11 - FINANCEIRA'!_xlnm.Print_Area,8,FALSE)</f>
        <v>57</v>
      </c>
      <c r="S950" s="727" t="str">
        <f>L949</f>
        <v>Kg</v>
      </c>
      <c r="T950" s="373"/>
      <c r="U950" s="486"/>
      <c r="V950" s="1418">
        <f t="shared" si="99"/>
        <v>0</v>
      </c>
      <c r="AB950" s="15"/>
    </row>
    <row r="951" spans="1:36" s="77" customFormat="1" ht="15.6" hidden="1">
      <c r="A951" s="364" t="s">
        <v>388</v>
      </c>
      <c r="B951" s="499"/>
      <c r="C951" s="37"/>
      <c r="D951" s="2013"/>
      <c r="E951" s="2014"/>
      <c r="F951" s="2014"/>
      <c r="G951" s="2014"/>
      <c r="H951" s="2014"/>
      <c r="I951" s="2015"/>
      <c r="J951" s="2016"/>
      <c r="K951" s="2017"/>
      <c r="L951" s="1962"/>
      <c r="M951" s="2007" t="s">
        <v>1524</v>
      </c>
      <c r="N951" s="2008"/>
      <c r="O951" s="2008"/>
      <c r="P951" s="2008"/>
      <c r="Q951" s="2009"/>
      <c r="R951" s="1345">
        <f>R949-R950</f>
        <v>0</v>
      </c>
      <c r="S951" s="1346" t="str">
        <f>L949</f>
        <v>Kg</v>
      </c>
      <c r="T951" s="373"/>
      <c r="U951" s="486"/>
      <c r="V951" s="1418">
        <f>R951</f>
        <v>0</v>
      </c>
      <c r="AB951" s="15"/>
    </row>
    <row r="952" spans="1:36" s="77" customFormat="1" ht="15.6" hidden="1">
      <c r="A952" s="370"/>
      <c r="B952" s="1347"/>
      <c r="C952" s="1348"/>
      <c r="D952" s="1349"/>
      <c r="E952" s="1350"/>
      <c r="F952" s="1349"/>
      <c r="G952" s="1349"/>
      <c r="H952" s="1349"/>
      <c r="I952" s="1349"/>
      <c r="J952" s="1351"/>
      <c r="K952" s="1352"/>
      <c r="L952" s="1353"/>
      <c r="M952" s="1354"/>
      <c r="N952" s="1354"/>
      <c r="O952" s="1354"/>
      <c r="P952" s="1354"/>
      <c r="Q952" s="1354"/>
      <c r="R952" s="1355"/>
      <c r="S952" s="1356"/>
      <c r="T952" s="1357"/>
      <c r="U952" s="1358"/>
      <c r="V952" s="1420">
        <f>SUM(V943:V951)</f>
        <v>0</v>
      </c>
      <c r="AB952" s="15"/>
    </row>
    <row r="953" spans="1:36" s="352" customFormat="1" ht="15.6" hidden="1">
      <c r="A953" s="351"/>
      <c r="B953" s="1963" t="str">
        <f>VLOOKUP(A960,'11 - FINANCEIRA'!_xlnm.Print_Area,1,FALSE)</f>
        <v>2.3.1.3</v>
      </c>
      <c r="C953" s="1965" t="str">
        <f>VLOOKUP(A960,'11 - FINANCEIRA'!_xlnm.Print_Area,3,FALSE)</f>
        <v>Armação em aço ca-50 - fornecimento, preparo e colocação</v>
      </c>
      <c r="D953" s="1967" t="s">
        <v>1503</v>
      </c>
      <c r="E953" s="1968"/>
      <c r="F953" s="1968"/>
      <c r="G953" s="1968"/>
      <c r="H953" s="1968"/>
      <c r="I953" s="1969"/>
      <c r="J953" s="1914" t="s">
        <v>1504</v>
      </c>
      <c r="K953" s="1914" t="s">
        <v>1505</v>
      </c>
      <c r="L953" s="1914" t="s">
        <v>1506</v>
      </c>
      <c r="M953" s="1914" t="s">
        <v>1507</v>
      </c>
      <c r="N953" s="1914" t="s">
        <v>1508</v>
      </c>
      <c r="O953" s="1914" t="s">
        <v>1509</v>
      </c>
      <c r="P953" s="1341" t="s">
        <v>1510</v>
      </c>
      <c r="Q953" s="1914" t="s">
        <v>1493</v>
      </c>
      <c r="R953" s="1916" t="s">
        <v>804</v>
      </c>
      <c r="S953" s="1914" t="s">
        <v>1511</v>
      </c>
      <c r="T953" s="1914" t="s">
        <v>1512</v>
      </c>
      <c r="U953" s="1918" t="s">
        <v>1513</v>
      </c>
      <c r="V953" s="1418">
        <f t="shared" ref="V953:V959" si="100">V954</f>
        <v>0</v>
      </c>
      <c r="W953" s="16"/>
      <c r="X953" s="16"/>
      <c r="Y953" s="16"/>
      <c r="Z953" s="17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</row>
    <row r="954" spans="1:36" s="352" customFormat="1" ht="15.6" hidden="1">
      <c r="A954" s="351"/>
      <c r="B954" s="1964" t="e">
        <f>LEFT(#REF!,5)</f>
        <v>#REF!</v>
      </c>
      <c r="C954" s="1966" t="e">
        <f>VLOOKUP(LEFT(#REF!,5),'11 - FINANCEIRA'!_xlnm.Print_Area,2,FALSE)</f>
        <v>#REF!</v>
      </c>
      <c r="D954" s="1920" t="s">
        <v>1514</v>
      </c>
      <c r="E954" s="1921"/>
      <c r="F954" s="1922"/>
      <c r="G954" s="1923" t="s">
        <v>1515</v>
      </c>
      <c r="H954" s="1924"/>
      <c r="I954" s="1925"/>
      <c r="J954" s="1915"/>
      <c r="K954" s="1915"/>
      <c r="L954" s="1915"/>
      <c r="M954" s="1915"/>
      <c r="N954" s="1915"/>
      <c r="O954" s="1915"/>
      <c r="P954" s="353" t="s">
        <v>1516</v>
      </c>
      <c r="Q954" s="1915"/>
      <c r="R954" s="1917"/>
      <c r="S954" s="1915"/>
      <c r="T954" s="1915"/>
      <c r="U954" s="1919"/>
      <c r="V954" s="1418">
        <f t="shared" si="100"/>
        <v>0</v>
      </c>
      <c r="W954" s="16"/>
      <c r="X954" s="16"/>
      <c r="Y954" s="16"/>
      <c r="Z954" s="17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</row>
    <row r="955" spans="1:36" s="510" customFormat="1" ht="30" hidden="1">
      <c r="A955" s="504"/>
      <c r="B955" s="511"/>
      <c r="C955" s="28" t="s">
        <v>879</v>
      </c>
      <c r="D955" s="18"/>
      <c r="E955" s="19"/>
      <c r="F955" s="20"/>
      <c r="G955" s="18"/>
      <c r="H955" s="19"/>
      <c r="I955" s="20"/>
      <c r="J955" s="21"/>
      <c r="K955" s="22"/>
      <c r="L955" s="23"/>
      <c r="M955" s="24"/>
      <c r="N955" s="728"/>
      <c r="O955" s="25"/>
      <c r="P955" s="23"/>
      <c r="Q955" s="729"/>
      <c r="R955" s="1109">
        <v>1119</v>
      </c>
      <c r="S955" s="730" t="s">
        <v>877</v>
      </c>
      <c r="T955" s="446" t="s">
        <v>326</v>
      </c>
      <c r="U955" s="793" t="s">
        <v>1916</v>
      </c>
      <c r="V955" s="1418">
        <f t="shared" si="100"/>
        <v>0</v>
      </c>
      <c r="W955" s="506"/>
      <c r="X955" s="506"/>
      <c r="Y955" s="506"/>
      <c r="Z955" s="507"/>
      <c r="AA955" s="508"/>
      <c r="AB955" s="509"/>
    </row>
    <row r="956" spans="1:36" s="478" customFormat="1" ht="15" hidden="1" customHeight="1">
      <c r="A956" s="465"/>
      <c r="B956" s="542"/>
      <c r="C956" s="543"/>
      <c r="D956" s="515"/>
      <c r="E956" s="516"/>
      <c r="F956" s="517"/>
      <c r="G956" s="515"/>
      <c r="H956" s="516"/>
      <c r="I956" s="517"/>
      <c r="J956" s="468"/>
      <c r="K956" s="541"/>
      <c r="L956" s="470"/>
      <c r="M956" s="471"/>
      <c r="N956" s="472"/>
      <c r="O956" s="472"/>
      <c r="P956" s="470"/>
      <c r="Q956" s="473"/>
      <c r="R956" s="473"/>
      <c r="S956" s="475"/>
      <c r="T956" s="544"/>
      <c r="U956" s="545"/>
      <c r="V956" s="1418">
        <f t="shared" si="100"/>
        <v>0</v>
      </c>
      <c r="W956" s="513"/>
      <c r="X956" s="513"/>
      <c r="Y956" s="513"/>
      <c r="Z956" s="514"/>
    </row>
    <row r="957" spans="1:36" s="77" customFormat="1" ht="15" hidden="1">
      <c r="A957" s="370"/>
      <c r="B957" s="29"/>
      <c r="C957" s="30"/>
      <c r="D957" s="18"/>
      <c r="E957" s="19"/>
      <c r="F957" s="20"/>
      <c r="G957" s="18"/>
      <c r="H957" s="19"/>
      <c r="I957" s="20"/>
      <c r="J957" s="21"/>
      <c r="K957" s="22"/>
      <c r="L957" s="23"/>
      <c r="M957" s="24"/>
      <c r="N957" s="25"/>
      <c r="O957" s="25"/>
      <c r="P957" s="23"/>
      <c r="Q957" s="26"/>
      <c r="R957" s="371"/>
      <c r="S957" s="27"/>
      <c r="T957" s="372"/>
      <c r="U957" s="31"/>
      <c r="V957" s="1418">
        <f t="shared" si="100"/>
        <v>0</v>
      </c>
      <c r="AB957" s="15"/>
    </row>
    <row r="958" spans="1:36" s="77" customFormat="1" ht="15.6" hidden="1">
      <c r="A958" s="370"/>
      <c r="B958" s="499"/>
      <c r="C958" s="37"/>
      <c r="D958" s="1929" t="s">
        <v>1520</v>
      </c>
      <c r="E958" s="1930"/>
      <c r="F958" s="1930"/>
      <c r="G958" s="1930"/>
      <c r="H958" s="1930"/>
      <c r="I958" s="1931"/>
      <c r="J958" s="1932">
        <f>VLOOKUP(A960,'11 - FINANCEIRA'!_xlnm.Print_Area,6,FALSE)</f>
        <v>1119</v>
      </c>
      <c r="K958" s="1933"/>
      <c r="L958" s="1343" t="str">
        <f>VLOOKUP(A960,'11 - FINANCEIRA'!_xlnm.Print_Area,4,FALSE)</f>
        <v>Kg</v>
      </c>
      <c r="M958" s="1934" t="s">
        <v>1521</v>
      </c>
      <c r="N958" s="1935"/>
      <c r="O958" s="1935"/>
      <c r="P958" s="1935"/>
      <c r="Q958" s="1936"/>
      <c r="R958" s="726">
        <f>SUM(R955:R957)</f>
        <v>1119</v>
      </c>
      <c r="S958" s="1344" t="str">
        <f>L958</f>
        <v>Kg</v>
      </c>
      <c r="T958" s="373"/>
      <c r="U958" s="486"/>
      <c r="V958" s="1418">
        <f t="shared" si="100"/>
        <v>0</v>
      </c>
      <c r="AB958" s="15"/>
    </row>
    <row r="959" spans="1:36" s="77" customFormat="1" ht="15.6" hidden="1">
      <c r="A959" s="370"/>
      <c r="B959" s="499"/>
      <c r="C959" s="725"/>
      <c r="D959" s="1937" t="s">
        <v>1522</v>
      </c>
      <c r="E959" s="1938"/>
      <c r="F959" s="1938"/>
      <c r="G959" s="1938"/>
      <c r="H959" s="1938"/>
      <c r="I959" s="1939"/>
      <c r="J959" s="1943">
        <f>R958/J958</f>
        <v>1</v>
      </c>
      <c r="K959" s="1944"/>
      <c r="L959" s="1947"/>
      <c r="M959" s="1934" t="s">
        <v>1523</v>
      </c>
      <c r="N959" s="1935"/>
      <c r="O959" s="1935"/>
      <c r="P959" s="1935"/>
      <c r="Q959" s="1936"/>
      <c r="R959" s="726">
        <f>VLOOKUP(A960,'11 - FINANCEIRA'!_xlnm.Print_Area,8,FALSE)</f>
        <v>1119</v>
      </c>
      <c r="S959" s="727" t="str">
        <f>L958</f>
        <v>Kg</v>
      </c>
      <c r="T959" s="373"/>
      <c r="U959" s="486"/>
      <c r="V959" s="1418">
        <f t="shared" si="100"/>
        <v>0</v>
      </c>
      <c r="AB959" s="15"/>
    </row>
    <row r="960" spans="1:36" s="77" customFormat="1" ht="15.6" hidden="1">
      <c r="A960" s="364" t="s">
        <v>389</v>
      </c>
      <c r="B960" s="499"/>
      <c r="C960" s="37"/>
      <c r="D960" s="2013"/>
      <c r="E960" s="2014"/>
      <c r="F960" s="2014"/>
      <c r="G960" s="2014"/>
      <c r="H960" s="2014"/>
      <c r="I960" s="2015"/>
      <c r="J960" s="2016"/>
      <c r="K960" s="2017"/>
      <c r="L960" s="1962"/>
      <c r="M960" s="2007" t="s">
        <v>1524</v>
      </c>
      <c r="N960" s="2008"/>
      <c r="O960" s="2008"/>
      <c r="P960" s="2008"/>
      <c r="Q960" s="2009"/>
      <c r="R960" s="1345">
        <f>R958-R959</f>
        <v>0</v>
      </c>
      <c r="S960" s="1346" t="str">
        <f>L958</f>
        <v>Kg</v>
      </c>
      <c r="T960" s="373"/>
      <c r="U960" s="486"/>
      <c r="V960" s="1418">
        <f>R960</f>
        <v>0</v>
      </c>
      <c r="AB960" s="15"/>
    </row>
    <row r="961" spans="1:36" s="77" customFormat="1" ht="15.6" hidden="1">
      <c r="A961" s="370"/>
      <c r="B961" s="1347"/>
      <c r="C961" s="1348"/>
      <c r="D961" s="1349"/>
      <c r="E961" s="1350"/>
      <c r="F961" s="1349"/>
      <c r="G961" s="1349"/>
      <c r="H961" s="1349"/>
      <c r="I961" s="1349"/>
      <c r="J961" s="1351"/>
      <c r="K961" s="1352"/>
      <c r="L961" s="1353"/>
      <c r="M961" s="1354"/>
      <c r="N961" s="1354"/>
      <c r="O961" s="1354"/>
      <c r="P961" s="1354"/>
      <c r="Q961" s="1354"/>
      <c r="R961" s="1355"/>
      <c r="S961" s="1356"/>
      <c r="T961" s="1357"/>
      <c r="U961" s="1358"/>
      <c r="V961" s="1420">
        <f>SUM(V953:V960)</f>
        <v>0</v>
      </c>
      <c r="AB961" s="15"/>
    </row>
    <row r="962" spans="1:36" s="352" customFormat="1" ht="15.6" hidden="1">
      <c r="A962" s="351"/>
      <c r="B962" s="1963" t="str">
        <f>VLOOKUP(A981,'11 - FINANCEIRA'!_xlnm.Print_Area,1,FALSE)</f>
        <v>2.3.1.4</v>
      </c>
      <c r="C962" s="1965" t="str">
        <f>VLOOKUP(A981,'11 - FINANCEIRA'!_xlnm.Print_Area,3,FALSE)</f>
        <v>Concreto para bombeamento fck = 40 mpa</v>
      </c>
      <c r="D962" s="1967" t="s">
        <v>1503</v>
      </c>
      <c r="E962" s="1968"/>
      <c r="F962" s="1968"/>
      <c r="G962" s="1968"/>
      <c r="H962" s="1968"/>
      <c r="I962" s="1969"/>
      <c r="J962" s="1914" t="s">
        <v>1504</v>
      </c>
      <c r="K962" s="2112" t="s">
        <v>1505</v>
      </c>
      <c r="L962" s="1914" t="s">
        <v>1506</v>
      </c>
      <c r="M962" s="1914" t="s">
        <v>1507</v>
      </c>
      <c r="N962" s="1914" t="s">
        <v>1508</v>
      </c>
      <c r="O962" s="1914" t="s">
        <v>1509</v>
      </c>
      <c r="P962" s="1341" t="s">
        <v>1510</v>
      </c>
      <c r="Q962" s="1914" t="s">
        <v>1493</v>
      </c>
      <c r="R962" s="1916" t="s">
        <v>804</v>
      </c>
      <c r="S962" s="1914" t="s">
        <v>1511</v>
      </c>
      <c r="T962" s="1914" t="s">
        <v>1512</v>
      </c>
      <c r="U962" s="1918" t="s">
        <v>1513</v>
      </c>
      <c r="V962" s="1418">
        <f t="shared" ref="V962:V970" si="101">V963</f>
        <v>0</v>
      </c>
      <c r="W962" s="16"/>
      <c r="X962" s="16"/>
      <c r="Y962" s="16"/>
      <c r="Z962" s="17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</row>
    <row r="963" spans="1:36" s="352" customFormat="1" ht="15.6" hidden="1">
      <c r="A963" s="351"/>
      <c r="B963" s="1964" t="e">
        <f>LEFT(#REF!,5)</f>
        <v>#REF!</v>
      </c>
      <c r="C963" s="1966" t="e">
        <f>VLOOKUP(LEFT(#REF!,5),'11 - FINANCEIRA'!_xlnm.Print_Area,2,FALSE)</f>
        <v>#REF!</v>
      </c>
      <c r="D963" s="1920" t="s">
        <v>1514</v>
      </c>
      <c r="E963" s="1921"/>
      <c r="F963" s="1922"/>
      <c r="G963" s="1923" t="s">
        <v>1515</v>
      </c>
      <c r="H963" s="1924"/>
      <c r="I963" s="1925"/>
      <c r="J963" s="1915"/>
      <c r="K963" s="2113"/>
      <c r="L963" s="1915"/>
      <c r="M963" s="1915"/>
      <c r="N963" s="1915"/>
      <c r="O963" s="1915"/>
      <c r="P963" s="353" t="s">
        <v>1516</v>
      </c>
      <c r="Q963" s="1915"/>
      <c r="R963" s="1917"/>
      <c r="S963" s="1915"/>
      <c r="T963" s="1915"/>
      <c r="U963" s="1919"/>
      <c r="V963" s="1418">
        <f t="shared" si="101"/>
        <v>0</v>
      </c>
      <c r="W963" s="16"/>
      <c r="X963" s="16"/>
      <c r="Y963" s="16"/>
      <c r="Z963" s="17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</row>
    <row r="964" spans="1:36" s="361" customFormat="1" ht="15" hidden="1" customHeight="1">
      <c r="A964" s="354"/>
      <c r="B964" s="505"/>
      <c r="C964" s="1209" t="s">
        <v>872</v>
      </c>
      <c r="D964" s="1210"/>
      <c r="E964" s="1211"/>
      <c r="F964" s="1212"/>
      <c r="G964" s="1210"/>
      <c r="H964" s="1211"/>
      <c r="I964" s="1212"/>
      <c r="J964" s="481"/>
      <c r="K964" s="1213">
        <v>5.3</v>
      </c>
      <c r="L964" s="23">
        <v>4.2</v>
      </c>
      <c r="M964" s="24">
        <v>0.15</v>
      </c>
      <c r="N964" s="728">
        <f>K964*L964</f>
        <v>22.26</v>
      </c>
      <c r="O964" s="1214">
        <f>K964*L964*M964</f>
        <v>3.339</v>
      </c>
      <c r="P964" s="487"/>
      <c r="Q964" s="1215"/>
      <c r="R964" s="489">
        <f>O964</f>
        <v>3.339</v>
      </c>
      <c r="S964" s="1394" t="s">
        <v>853</v>
      </c>
      <c r="T964" s="446" t="s">
        <v>326</v>
      </c>
      <c r="U964" s="793" t="s">
        <v>1737</v>
      </c>
      <c r="V964" s="1418">
        <f t="shared" si="101"/>
        <v>0</v>
      </c>
      <c r="W964" s="357"/>
      <c r="X964" s="357"/>
      <c r="Y964" s="357"/>
      <c r="Z964" s="358"/>
      <c r="AA964" s="359"/>
      <c r="AB964" s="360"/>
    </row>
    <row r="965" spans="1:36" s="369" customFormat="1" ht="15" hidden="1" customHeight="1">
      <c r="A965" s="364"/>
      <c r="B965" s="511"/>
      <c r="C965" s="1216" t="s">
        <v>872</v>
      </c>
      <c r="D965" s="18"/>
      <c r="E965" s="19"/>
      <c r="F965" s="20"/>
      <c r="G965" s="18"/>
      <c r="H965" s="19"/>
      <c r="I965" s="20"/>
      <c r="J965" s="21"/>
      <c r="K965" s="1217">
        <v>8.5</v>
      </c>
      <c r="L965" s="23">
        <v>4</v>
      </c>
      <c r="M965" s="24">
        <v>0.15</v>
      </c>
      <c r="N965" s="728">
        <f>K965*L965</f>
        <v>34</v>
      </c>
      <c r="O965" s="447">
        <f>K965*L965*M965</f>
        <v>5.0999999999999996</v>
      </c>
      <c r="P965" s="23"/>
      <c r="Q965" s="445"/>
      <c r="R965" s="445">
        <f>O965</f>
        <v>5.0999999999999996</v>
      </c>
      <c r="S965" s="447" t="s">
        <v>853</v>
      </c>
      <c r="T965" s="446" t="s">
        <v>326</v>
      </c>
      <c r="U965" s="793" t="s">
        <v>1739</v>
      </c>
      <c r="V965" s="1418">
        <f t="shared" si="101"/>
        <v>0</v>
      </c>
      <c r="W965" s="367"/>
      <c r="X965" s="367"/>
      <c r="Y965" s="367"/>
      <c r="Z965" s="368"/>
    </row>
    <row r="966" spans="1:36" s="77" customFormat="1" ht="15" hidden="1">
      <c r="A966" s="370"/>
      <c r="B966" s="466"/>
      <c r="C966" s="1216" t="s">
        <v>872</v>
      </c>
      <c r="D966" s="18"/>
      <c r="E966" s="19"/>
      <c r="F966" s="20"/>
      <c r="G966" s="18"/>
      <c r="H966" s="19"/>
      <c r="I966" s="20"/>
      <c r="J966" s="21"/>
      <c r="K966" s="1217">
        <v>2.8</v>
      </c>
      <c r="L966" s="23">
        <v>5</v>
      </c>
      <c r="M966" s="24">
        <v>0.15</v>
      </c>
      <c r="N966" s="728">
        <f>K966*L966</f>
        <v>14</v>
      </c>
      <c r="O966" s="447">
        <f>K966*L966*M966</f>
        <v>2.1</v>
      </c>
      <c r="P966" s="23"/>
      <c r="Q966" s="445"/>
      <c r="R966" s="445">
        <f>O966</f>
        <v>2.1</v>
      </c>
      <c r="S966" s="1218" t="s">
        <v>853</v>
      </c>
      <c r="T966" s="446" t="s">
        <v>326</v>
      </c>
      <c r="U966" s="793" t="s">
        <v>1741</v>
      </c>
      <c r="V966" s="1418">
        <f t="shared" si="101"/>
        <v>0</v>
      </c>
      <c r="AB966" s="15"/>
    </row>
    <row r="967" spans="1:36" s="361" customFormat="1" ht="15" hidden="1">
      <c r="A967" s="354"/>
      <c r="B967" s="511"/>
      <c r="C967" s="1207" t="s">
        <v>872</v>
      </c>
      <c r="D967" s="515"/>
      <c r="E967" s="516"/>
      <c r="F967" s="517"/>
      <c r="G967" s="515"/>
      <c r="H967" s="516"/>
      <c r="I967" s="517"/>
      <c r="J967" s="468"/>
      <c r="K967" s="39">
        <v>7.5</v>
      </c>
      <c r="L967" s="41">
        <v>2.5</v>
      </c>
      <c r="M967" s="41">
        <v>0.1</v>
      </c>
      <c r="N967" s="356">
        <f>K967*L967</f>
        <v>18.75</v>
      </c>
      <c r="O967" s="366">
        <f>K967*L967*M967</f>
        <v>1.875</v>
      </c>
      <c r="P967" s="470"/>
      <c r="Q967" s="475"/>
      <c r="R967" s="362">
        <f>O967</f>
        <v>1.875</v>
      </c>
      <c r="S967" s="518" t="s">
        <v>853</v>
      </c>
      <c r="T967" s="46" t="s">
        <v>328</v>
      </c>
      <c r="U967" s="742" t="s">
        <v>1909</v>
      </c>
      <c r="V967" s="1418">
        <f t="shared" si="101"/>
        <v>0</v>
      </c>
      <c r="W967" s="357"/>
      <c r="X967" s="357"/>
      <c r="Y967" s="357"/>
      <c r="Z967" s="358"/>
      <c r="AA967" s="359"/>
      <c r="AB967" s="360"/>
    </row>
    <row r="968" spans="1:36" s="361" customFormat="1" ht="15" hidden="1">
      <c r="A968" s="354"/>
      <c r="B968" s="511"/>
      <c r="C968" s="1207" t="s">
        <v>872</v>
      </c>
      <c r="D968" s="515"/>
      <c r="E968" s="516"/>
      <c r="F968" s="517"/>
      <c r="G968" s="515"/>
      <c r="H968" s="516"/>
      <c r="I968" s="517"/>
      <c r="J968" s="468"/>
      <c r="K968" s="39">
        <v>4</v>
      </c>
      <c r="L968" s="41">
        <v>1.8</v>
      </c>
      <c r="M968" s="39">
        <v>0.1</v>
      </c>
      <c r="N968" s="356">
        <f>K968*L968</f>
        <v>7.2</v>
      </c>
      <c r="O968" s="366">
        <f>K968*L968*M968</f>
        <v>0.72000000000000008</v>
      </c>
      <c r="P968" s="470"/>
      <c r="Q968" s="475"/>
      <c r="R968" s="362">
        <f>O968</f>
        <v>0.72000000000000008</v>
      </c>
      <c r="S968" s="518" t="s">
        <v>853</v>
      </c>
      <c r="T968" s="46" t="s">
        <v>328</v>
      </c>
      <c r="U968" s="742" t="s">
        <v>1913</v>
      </c>
      <c r="V968" s="1418">
        <f t="shared" si="101"/>
        <v>0</v>
      </c>
      <c r="W968" s="357"/>
      <c r="X968" s="357"/>
      <c r="Y968" s="357"/>
      <c r="Z968" s="358"/>
      <c r="AA968" s="359"/>
      <c r="AB968" s="360"/>
    </row>
    <row r="969" spans="1:36" s="369" customFormat="1" ht="15" hidden="1">
      <c r="A969" s="364"/>
      <c r="B969" s="511"/>
      <c r="C969" s="520"/>
      <c r="D969" s="515"/>
      <c r="E969" s="516"/>
      <c r="F969" s="517"/>
      <c r="G969" s="515"/>
      <c r="H969" s="516"/>
      <c r="I969" s="517"/>
      <c r="J969" s="468"/>
      <c r="K969" s="521"/>
      <c r="L969" s="470"/>
      <c r="M969" s="470"/>
      <c r="N969" s="475"/>
      <c r="O969" s="475"/>
      <c r="P969" s="470"/>
      <c r="Q969" s="492"/>
      <c r="R969" s="492"/>
      <c r="S969" s="475"/>
      <c r="T969" s="493"/>
      <c r="U969" s="512"/>
      <c r="V969" s="1418">
        <f t="shared" si="101"/>
        <v>0</v>
      </c>
      <c r="W969" s="367"/>
      <c r="X969" s="367"/>
      <c r="Y969" s="367"/>
      <c r="Z969" s="368"/>
    </row>
    <row r="970" spans="1:36" s="361" customFormat="1" ht="15" hidden="1">
      <c r="A970" s="354"/>
      <c r="B970" s="511"/>
      <c r="C970" s="520"/>
      <c r="D970" s="515"/>
      <c r="E970" s="516"/>
      <c r="F970" s="517"/>
      <c r="G970" s="515"/>
      <c r="H970" s="516"/>
      <c r="I970" s="517"/>
      <c r="J970" s="468"/>
      <c r="K970" s="521"/>
      <c r="L970" s="470"/>
      <c r="M970" s="470"/>
      <c r="N970" s="470"/>
      <c r="O970" s="475"/>
      <c r="P970" s="470"/>
      <c r="Q970" s="475"/>
      <c r="R970" s="492"/>
      <c r="S970" s="522"/>
      <c r="T970" s="493"/>
      <c r="U970" s="512"/>
      <c r="V970" s="1418">
        <f t="shared" si="101"/>
        <v>0</v>
      </c>
      <c r="W970" s="357"/>
      <c r="X970" s="357"/>
      <c r="Y970" s="357"/>
      <c r="Z970" s="358"/>
      <c r="AA970" s="359"/>
      <c r="AB970" s="360"/>
    </row>
    <row r="971" spans="1:36" s="361" customFormat="1" ht="15" hidden="1">
      <c r="A971" s="354"/>
      <c r="B971" s="511"/>
      <c r="C971" s="520"/>
      <c r="D971" s="515"/>
      <c r="E971" s="516"/>
      <c r="F971" s="517"/>
      <c r="G971" s="515"/>
      <c r="H971" s="516"/>
      <c r="I971" s="517"/>
      <c r="J971" s="468"/>
      <c r="K971" s="521"/>
      <c r="L971" s="470"/>
      <c r="M971" s="470"/>
      <c r="N971" s="470"/>
      <c r="O971" s="475"/>
      <c r="P971" s="470"/>
      <c r="Q971" s="475"/>
      <c r="R971" s="492"/>
      <c r="S971" s="522"/>
      <c r="T971" s="493"/>
      <c r="U971" s="512"/>
      <c r="V971" s="1418">
        <f t="shared" ref="V971:V977" si="102">V972</f>
        <v>0</v>
      </c>
      <c r="W971" s="357"/>
      <c r="X971" s="357"/>
      <c r="Y971" s="357"/>
      <c r="Z971" s="358"/>
      <c r="AA971" s="359"/>
      <c r="AB971" s="360"/>
    </row>
    <row r="972" spans="1:36" s="361" customFormat="1" ht="15" hidden="1">
      <c r="A972" s="354"/>
      <c r="B972" s="511"/>
      <c r="C972" s="520"/>
      <c r="D972" s="515"/>
      <c r="E972" s="516"/>
      <c r="F972" s="517"/>
      <c r="G972" s="515"/>
      <c r="H972" s="516"/>
      <c r="I972" s="517"/>
      <c r="J972" s="468"/>
      <c r="K972" s="521"/>
      <c r="L972" s="470"/>
      <c r="M972" s="470"/>
      <c r="N972" s="470"/>
      <c r="O972" s="475"/>
      <c r="P972" s="470"/>
      <c r="Q972" s="475"/>
      <c r="R972" s="492"/>
      <c r="S972" s="522"/>
      <c r="T972" s="493"/>
      <c r="U972" s="512"/>
      <c r="V972" s="1418">
        <f t="shared" si="102"/>
        <v>0</v>
      </c>
      <c r="W972" s="357"/>
      <c r="X972" s="357"/>
      <c r="Y972" s="357"/>
      <c r="Z972" s="358"/>
      <c r="AA972" s="359"/>
      <c r="AB972" s="360"/>
    </row>
    <row r="973" spans="1:36" s="361" customFormat="1" ht="15" hidden="1">
      <c r="A973" s="354"/>
      <c r="B973" s="511"/>
      <c r="C973" s="520"/>
      <c r="D973" s="515"/>
      <c r="E973" s="516"/>
      <c r="F973" s="517"/>
      <c r="G973" s="515"/>
      <c r="H973" s="516"/>
      <c r="I973" s="517"/>
      <c r="J973" s="468"/>
      <c r="K973" s="521"/>
      <c r="L973" s="470"/>
      <c r="M973" s="470"/>
      <c r="N973" s="470"/>
      <c r="O973" s="475"/>
      <c r="P973" s="470"/>
      <c r="Q973" s="475"/>
      <c r="R973" s="492"/>
      <c r="S973" s="522"/>
      <c r="T973" s="493"/>
      <c r="U973" s="512"/>
      <c r="V973" s="1418">
        <f t="shared" si="102"/>
        <v>0</v>
      </c>
      <c r="W973" s="357"/>
      <c r="X973" s="357"/>
      <c r="Y973" s="357"/>
      <c r="Z973" s="358"/>
      <c r="AA973" s="359"/>
      <c r="AB973" s="360"/>
    </row>
    <row r="974" spans="1:36" s="361" customFormat="1" ht="15" hidden="1">
      <c r="A974" s="354"/>
      <c r="B974" s="511"/>
      <c r="C974" s="520"/>
      <c r="D974" s="515"/>
      <c r="E974" s="516"/>
      <c r="F974" s="517"/>
      <c r="G974" s="515"/>
      <c r="H974" s="516"/>
      <c r="I974" s="517"/>
      <c r="J974" s="468"/>
      <c r="K974" s="521"/>
      <c r="L974" s="470"/>
      <c r="M974" s="470"/>
      <c r="N974" s="470"/>
      <c r="O974" s="475"/>
      <c r="P974" s="470"/>
      <c r="Q974" s="475"/>
      <c r="R974" s="492"/>
      <c r="S974" s="522"/>
      <c r="T974" s="493"/>
      <c r="U974" s="512"/>
      <c r="V974" s="1418">
        <f t="shared" si="102"/>
        <v>0</v>
      </c>
      <c r="W974" s="357"/>
      <c r="X974" s="357"/>
      <c r="Y974" s="357"/>
      <c r="Z974" s="358"/>
      <c r="AA974" s="359"/>
      <c r="AB974" s="360"/>
    </row>
    <row r="975" spans="1:36" s="361" customFormat="1" ht="15" hidden="1">
      <c r="A975" s="354"/>
      <c r="B975" s="511"/>
      <c r="C975" s="520"/>
      <c r="D975" s="515"/>
      <c r="E975" s="516"/>
      <c r="F975" s="517"/>
      <c r="G975" s="515"/>
      <c r="H975" s="516"/>
      <c r="I975" s="517"/>
      <c r="J975" s="468"/>
      <c r="K975" s="521"/>
      <c r="L975" s="470"/>
      <c r="M975" s="470"/>
      <c r="N975" s="470"/>
      <c r="O975" s="475"/>
      <c r="P975" s="470"/>
      <c r="Q975" s="475"/>
      <c r="R975" s="492"/>
      <c r="S975" s="522"/>
      <c r="T975" s="493"/>
      <c r="U975" s="512"/>
      <c r="V975" s="1418">
        <f t="shared" si="102"/>
        <v>0</v>
      </c>
      <c r="W975" s="357"/>
      <c r="X975" s="357"/>
      <c r="Y975" s="357"/>
      <c r="Z975" s="358"/>
      <c r="AA975" s="359"/>
      <c r="AB975" s="360"/>
    </row>
    <row r="976" spans="1:36" s="361" customFormat="1" ht="15" hidden="1">
      <c r="A976" s="354"/>
      <c r="B976" s="511"/>
      <c r="C976" s="520"/>
      <c r="D976" s="515"/>
      <c r="E976" s="516"/>
      <c r="F976" s="517"/>
      <c r="G976" s="515"/>
      <c r="H976" s="516"/>
      <c r="I976" s="517"/>
      <c r="J976" s="468"/>
      <c r="K976" s="521"/>
      <c r="L976" s="470"/>
      <c r="M976" s="470"/>
      <c r="N976" s="470"/>
      <c r="O976" s="475"/>
      <c r="P976" s="470"/>
      <c r="Q976" s="475"/>
      <c r="R976" s="492"/>
      <c r="S976" s="522"/>
      <c r="T976" s="493"/>
      <c r="U976" s="512"/>
      <c r="V976" s="1418">
        <f t="shared" si="102"/>
        <v>0</v>
      </c>
      <c r="W976" s="357"/>
      <c r="X976" s="357"/>
      <c r="Y976" s="357"/>
      <c r="Z976" s="358"/>
      <c r="AA976" s="359"/>
      <c r="AB976" s="360"/>
    </row>
    <row r="977" spans="1:36" s="361" customFormat="1" ht="15" hidden="1">
      <c r="A977" s="354"/>
      <c r="B977" s="511"/>
      <c r="C977" s="520"/>
      <c r="D977" s="515"/>
      <c r="E977" s="516"/>
      <c r="F977" s="517"/>
      <c r="G977" s="515"/>
      <c r="H977" s="516"/>
      <c r="I977" s="517"/>
      <c r="J977" s="468"/>
      <c r="K977" s="521"/>
      <c r="L977" s="470"/>
      <c r="M977" s="470"/>
      <c r="N977" s="470"/>
      <c r="O977" s="475"/>
      <c r="P977" s="470"/>
      <c r="Q977" s="475"/>
      <c r="R977" s="492"/>
      <c r="S977" s="522"/>
      <c r="T977" s="493"/>
      <c r="U977" s="512"/>
      <c r="V977" s="1418">
        <f t="shared" si="102"/>
        <v>0</v>
      </c>
      <c r="W977" s="357"/>
      <c r="X977" s="357"/>
      <c r="Y977" s="357"/>
      <c r="Z977" s="358"/>
      <c r="AA977" s="359"/>
      <c r="AB977" s="360"/>
    </row>
    <row r="978" spans="1:36" s="361" customFormat="1" ht="15" hidden="1">
      <c r="A978" s="354"/>
      <c r="B978" s="523"/>
      <c r="C978" s="524"/>
      <c r="D978" s="525"/>
      <c r="E978" s="526"/>
      <c r="F978" s="527"/>
      <c r="G978" s="525"/>
      <c r="H978" s="526"/>
      <c r="I978" s="527"/>
      <c r="J978" s="528"/>
      <c r="K978" s="529"/>
      <c r="L978" s="530"/>
      <c r="M978" s="530"/>
      <c r="N978" s="530"/>
      <c r="O978" s="531"/>
      <c r="P978" s="530"/>
      <c r="Q978" s="531"/>
      <c r="R978" s="532"/>
      <c r="S978" s="533"/>
      <c r="T978" s="476"/>
      <c r="U978" s="534"/>
      <c r="V978" s="1418">
        <f>V979</f>
        <v>0</v>
      </c>
      <c r="W978" s="357"/>
      <c r="X978" s="357"/>
      <c r="Y978" s="357"/>
      <c r="Z978" s="358"/>
      <c r="AA978" s="359"/>
      <c r="AB978" s="360"/>
    </row>
    <row r="979" spans="1:36" s="77" customFormat="1" ht="15.6" hidden="1">
      <c r="A979" s="370"/>
      <c r="B979" s="499"/>
      <c r="C979" s="500"/>
      <c r="D979" s="1940" t="s">
        <v>1520</v>
      </c>
      <c r="E979" s="1941"/>
      <c r="F979" s="1941"/>
      <c r="G979" s="1941"/>
      <c r="H979" s="1941"/>
      <c r="I979" s="1942"/>
      <c r="J979" s="1955">
        <f>VLOOKUP(A981,'11 - FINANCEIRA'!_xlnm.Print_Area,6,FALSE)</f>
        <v>14.5</v>
      </c>
      <c r="K979" s="1956"/>
      <c r="L979" s="483" t="str">
        <f>VLOOKUP(A981,'11 - FINANCEIRA'!_xlnm.Print_Area,4,FALSE)</f>
        <v>m³</v>
      </c>
      <c r="M979" s="1957" t="s">
        <v>1521</v>
      </c>
      <c r="N979" s="1958"/>
      <c r="O979" s="1958"/>
      <c r="P979" s="1958"/>
      <c r="Q979" s="1959"/>
      <c r="R979" s="484">
        <f>SUM(R964:R978)</f>
        <v>13.134</v>
      </c>
      <c r="S979" s="485" t="str">
        <f>L979</f>
        <v>m³</v>
      </c>
      <c r="T979" s="373"/>
      <c r="U979" s="486"/>
      <c r="V979" s="1418">
        <f>V980</f>
        <v>0</v>
      </c>
      <c r="AB979" s="15"/>
    </row>
    <row r="980" spans="1:36" s="77" customFormat="1" ht="15.6" hidden="1">
      <c r="A980" s="370"/>
      <c r="B980" s="499"/>
      <c r="C980" s="725"/>
      <c r="D980" s="1937" t="s">
        <v>1522</v>
      </c>
      <c r="E980" s="1938"/>
      <c r="F980" s="1938"/>
      <c r="G980" s="1938"/>
      <c r="H980" s="1938"/>
      <c r="I980" s="1939"/>
      <c r="J980" s="1943">
        <f>R979/J979</f>
        <v>0.9057931034482759</v>
      </c>
      <c r="K980" s="1944"/>
      <c r="L980" s="1947"/>
      <c r="M980" s="1934" t="s">
        <v>1523</v>
      </c>
      <c r="N980" s="1935"/>
      <c r="O980" s="1935"/>
      <c r="P980" s="1935"/>
      <c r="Q980" s="1936"/>
      <c r="R980" s="726">
        <f>VLOOKUP(A981,'11 - FINANCEIRA'!_xlnm.Print_Area,8,FALSE)</f>
        <v>13.134</v>
      </c>
      <c r="S980" s="727" t="str">
        <f>L979</f>
        <v>m³</v>
      </c>
      <c r="T980" s="373"/>
      <c r="U980" s="486"/>
      <c r="V980" s="1418">
        <f>V981</f>
        <v>0</v>
      </c>
      <c r="AB980" s="15"/>
    </row>
    <row r="981" spans="1:36" s="77" customFormat="1" ht="15.6" hidden="1">
      <c r="A981" s="364" t="s">
        <v>390</v>
      </c>
      <c r="B981" s="499"/>
      <c r="C981" s="37"/>
      <c r="D981" s="2013"/>
      <c r="E981" s="2014"/>
      <c r="F981" s="2014"/>
      <c r="G981" s="2014"/>
      <c r="H981" s="2014"/>
      <c r="I981" s="2015"/>
      <c r="J981" s="2016"/>
      <c r="K981" s="2017"/>
      <c r="L981" s="1962"/>
      <c r="M981" s="2007" t="s">
        <v>1524</v>
      </c>
      <c r="N981" s="2008"/>
      <c r="O981" s="2008"/>
      <c r="P981" s="2008"/>
      <c r="Q981" s="2009"/>
      <c r="R981" s="1345">
        <f>R979-R980</f>
        <v>0</v>
      </c>
      <c r="S981" s="1346" t="str">
        <f>L979</f>
        <v>m³</v>
      </c>
      <c r="T981" s="373"/>
      <c r="U981" s="486"/>
      <c r="V981" s="1418">
        <f>R981</f>
        <v>0</v>
      </c>
      <c r="AB981" s="15"/>
    </row>
    <row r="982" spans="1:36" s="77" customFormat="1" ht="15.6" hidden="1">
      <c r="A982" s="370"/>
      <c r="B982" s="1347"/>
      <c r="C982" s="1348"/>
      <c r="D982" s="1349"/>
      <c r="E982" s="1350"/>
      <c r="F982" s="1349"/>
      <c r="G982" s="1349"/>
      <c r="H982" s="1349"/>
      <c r="I982" s="1349"/>
      <c r="J982" s="1351"/>
      <c r="K982" s="1352"/>
      <c r="L982" s="1353"/>
      <c r="M982" s="1354"/>
      <c r="N982" s="1354"/>
      <c r="O982" s="1354"/>
      <c r="P982" s="1354"/>
      <c r="Q982" s="1354"/>
      <c r="R982" s="1355"/>
      <c r="S982" s="1356"/>
      <c r="T982" s="1357"/>
      <c r="U982" s="1358"/>
      <c r="V982" s="1420">
        <f>SUM(V962:V981)</f>
        <v>0</v>
      </c>
      <c r="AB982" s="15"/>
    </row>
    <row r="983" spans="1:36" s="352" customFormat="1" ht="15.6" hidden="1">
      <c r="A983" s="351"/>
      <c r="B983" s="1963" t="str">
        <f>VLOOKUP(A993,'11 - FINANCEIRA'!_xlnm.Print_Area,1,FALSE)</f>
        <v>2.3.1.5</v>
      </c>
      <c r="C983" s="1965" t="str">
        <f>VLOOKUP(A993,'11 - FINANCEIRA'!_xlnm.Print_Area,3,FALSE)</f>
        <v xml:space="preserve">Servico de bombeamento de concreto </v>
      </c>
      <c r="D983" s="1967" t="s">
        <v>205</v>
      </c>
      <c r="E983" s="1968"/>
      <c r="F983" s="1968"/>
      <c r="G983" s="1968"/>
      <c r="H983" s="1968"/>
      <c r="I983" s="1969"/>
      <c r="J983" s="1914" t="s">
        <v>1504</v>
      </c>
      <c r="K983" s="2112" t="s">
        <v>1505</v>
      </c>
      <c r="L983" s="1914" t="s">
        <v>1506</v>
      </c>
      <c r="M983" s="1914" t="s">
        <v>1507</v>
      </c>
      <c r="N983" s="1914" t="s">
        <v>1508</v>
      </c>
      <c r="O983" s="1914" t="s">
        <v>1509</v>
      </c>
      <c r="P983" s="1341" t="s">
        <v>1510</v>
      </c>
      <c r="Q983" s="1914" t="s">
        <v>1493</v>
      </c>
      <c r="R983" s="1916" t="s">
        <v>804</v>
      </c>
      <c r="S983" s="1914" t="s">
        <v>1511</v>
      </c>
      <c r="T983" s="1914" t="s">
        <v>1512</v>
      </c>
      <c r="U983" s="1918" t="s">
        <v>1513</v>
      </c>
      <c r="V983" s="1418">
        <f>V984</f>
        <v>0</v>
      </c>
      <c r="W983" s="16"/>
      <c r="X983" s="16"/>
      <c r="Y983" s="16"/>
      <c r="Z983" s="17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</row>
    <row r="984" spans="1:36" s="352" customFormat="1" ht="15.6" hidden="1">
      <c r="A984" s="351"/>
      <c r="B984" s="1964" t="e">
        <f>LEFT(#REF!,5)</f>
        <v>#REF!</v>
      </c>
      <c r="C984" s="1966" t="e">
        <f>VLOOKUP(LEFT(#REF!,5),'11 - FINANCEIRA'!_xlnm.Print_Area,2,FALSE)</f>
        <v>#REF!</v>
      </c>
      <c r="D984" s="1920" t="s">
        <v>1514</v>
      </c>
      <c r="E984" s="1921"/>
      <c r="F984" s="1922"/>
      <c r="G984" s="1923" t="s">
        <v>1515</v>
      </c>
      <c r="H984" s="1924"/>
      <c r="I984" s="1925"/>
      <c r="J984" s="1915"/>
      <c r="K984" s="2113"/>
      <c r="L984" s="1915"/>
      <c r="M984" s="1915"/>
      <c r="N984" s="1915"/>
      <c r="O984" s="1915"/>
      <c r="P984" s="353" t="s">
        <v>1516</v>
      </c>
      <c r="Q984" s="1915"/>
      <c r="R984" s="1917"/>
      <c r="S984" s="1915"/>
      <c r="T984" s="1915"/>
      <c r="U984" s="1919"/>
      <c r="V984" s="1418">
        <f t="shared" ref="V984:V992" si="103">V985</f>
        <v>0</v>
      </c>
      <c r="W984" s="16"/>
      <c r="X984" s="16"/>
      <c r="Y984" s="16"/>
      <c r="Z984" s="17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</row>
    <row r="985" spans="1:36" s="361" customFormat="1" ht="15" hidden="1" customHeight="1">
      <c r="A985" s="354"/>
      <c r="B985" s="463"/>
      <c r="C985" s="464" t="s">
        <v>874</v>
      </c>
      <c r="D985" s="2117"/>
      <c r="E985" s="2117"/>
      <c r="F985" s="2117"/>
      <c r="G985" s="2117"/>
      <c r="H985" s="2117"/>
      <c r="I985" s="2117"/>
      <c r="J985" s="481"/>
      <c r="K985" s="1213">
        <v>5.3</v>
      </c>
      <c r="L985" s="23">
        <v>4.2</v>
      </c>
      <c r="M985" s="24">
        <v>0.15</v>
      </c>
      <c r="N985" s="728">
        <f>K985*L985</f>
        <v>22.26</v>
      </c>
      <c r="O985" s="1214">
        <f>K985*L985*M985</f>
        <v>3.339</v>
      </c>
      <c r="P985" s="487"/>
      <c r="Q985" s="1215"/>
      <c r="R985" s="489">
        <f>O985</f>
        <v>3.339</v>
      </c>
      <c r="S985" s="1394" t="s">
        <v>853</v>
      </c>
      <c r="T985" s="446" t="s">
        <v>326</v>
      </c>
      <c r="U985" s="793" t="s">
        <v>1737</v>
      </c>
      <c r="V985" s="1418">
        <f t="shared" si="103"/>
        <v>0</v>
      </c>
      <c r="W985" s="357"/>
      <c r="X985" s="357"/>
      <c r="Y985" s="357"/>
      <c r="Z985" s="358"/>
      <c r="AA985" s="359"/>
      <c r="AB985" s="360"/>
    </row>
    <row r="986" spans="1:36" s="510" customFormat="1" ht="15" hidden="1" customHeight="1">
      <c r="A986" s="504"/>
      <c r="B986" s="511"/>
      <c r="C986" s="28" t="s">
        <v>874</v>
      </c>
      <c r="D986" s="1960"/>
      <c r="E986" s="1960"/>
      <c r="F986" s="1960"/>
      <c r="G986" s="1960"/>
      <c r="H986" s="1960"/>
      <c r="I986" s="1960"/>
      <c r="J986" s="21"/>
      <c r="K986" s="1217">
        <v>8.5</v>
      </c>
      <c r="L986" s="23">
        <v>4</v>
      </c>
      <c r="M986" s="24">
        <v>0.15</v>
      </c>
      <c r="N986" s="728">
        <f>K986*L986</f>
        <v>34</v>
      </c>
      <c r="O986" s="447">
        <f>K986*L986*M986</f>
        <v>5.0999999999999996</v>
      </c>
      <c r="P986" s="23"/>
      <c r="Q986" s="445"/>
      <c r="R986" s="445">
        <f>O986</f>
        <v>5.0999999999999996</v>
      </c>
      <c r="S986" s="447" t="s">
        <v>853</v>
      </c>
      <c r="T986" s="446" t="s">
        <v>326</v>
      </c>
      <c r="U986" s="793" t="s">
        <v>1739</v>
      </c>
      <c r="V986" s="1418">
        <f t="shared" si="103"/>
        <v>0</v>
      </c>
      <c r="W986" s="506"/>
      <c r="X986" s="506"/>
      <c r="Y986" s="506"/>
      <c r="Z986" s="507"/>
      <c r="AA986" s="508"/>
      <c r="AB986" s="509"/>
    </row>
    <row r="987" spans="1:36" s="361" customFormat="1" ht="15" hidden="1">
      <c r="A987" s="354"/>
      <c r="B987" s="355"/>
      <c r="C987" s="28" t="s">
        <v>874</v>
      </c>
      <c r="D987" s="1960"/>
      <c r="E987" s="1960"/>
      <c r="F987" s="1960"/>
      <c r="G987" s="1960"/>
      <c r="H987" s="1960"/>
      <c r="I987" s="1960"/>
      <c r="J987" s="21"/>
      <c r="K987" s="1217">
        <v>2.8</v>
      </c>
      <c r="L987" s="23">
        <v>5</v>
      </c>
      <c r="M987" s="24">
        <v>0.15</v>
      </c>
      <c r="N987" s="728">
        <f>K987*L987</f>
        <v>14</v>
      </c>
      <c r="O987" s="447">
        <f>K987*L987*M987</f>
        <v>2.1</v>
      </c>
      <c r="P987" s="23"/>
      <c r="Q987" s="445"/>
      <c r="R987" s="445">
        <f>O987</f>
        <v>2.1</v>
      </c>
      <c r="S987" s="1218" t="s">
        <v>853</v>
      </c>
      <c r="T987" s="446" t="s">
        <v>326</v>
      </c>
      <c r="U987" s="793" t="s">
        <v>1741</v>
      </c>
      <c r="V987" s="1418">
        <f t="shared" si="103"/>
        <v>0</v>
      </c>
      <c r="W987" s="357"/>
      <c r="X987" s="357"/>
      <c r="Y987" s="357"/>
      <c r="Z987" s="358"/>
      <c r="AA987" s="359"/>
      <c r="AB987" s="360"/>
    </row>
    <row r="988" spans="1:36" s="361" customFormat="1" ht="15" hidden="1">
      <c r="A988" s="354"/>
      <c r="B988" s="355"/>
      <c r="C988" s="1207" t="s">
        <v>874</v>
      </c>
      <c r="D988" s="515"/>
      <c r="E988" s="516"/>
      <c r="F988" s="517"/>
      <c r="G988" s="515"/>
      <c r="H988" s="516"/>
      <c r="I988" s="517"/>
      <c r="J988" s="468"/>
      <c r="K988" s="39">
        <v>7.5</v>
      </c>
      <c r="L988" s="41">
        <v>2.5</v>
      </c>
      <c r="M988" s="41">
        <v>0.1</v>
      </c>
      <c r="N988" s="356">
        <f>K988*L988</f>
        <v>18.75</v>
      </c>
      <c r="O988" s="366">
        <f>K988*L988*M988</f>
        <v>1.875</v>
      </c>
      <c r="P988" s="470"/>
      <c r="Q988" s="475"/>
      <c r="R988" s="362">
        <f>O988</f>
        <v>1.875</v>
      </c>
      <c r="S988" s="518" t="s">
        <v>853</v>
      </c>
      <c r="T988" s="46" t="s">
        <v>328</v>
      </c>
      <c r="U988" s="742" t="s">
        <v>1909</v>
      </c>
      <c r="V988" s="1418">
        <f t="shared" si="103"/>
        <v>0</v>
      </c>
      <c r="W988" s="357"/>
      <c r="X988" s="357"/>
      <c r="Y988" s="357"/>
      <c r="Z988" s="358"/>
      <c r="AA988" s="359"/>
      <c r="AB988" s="360"/>
    </row>
    <row r="989" spans="1:36" s="361" customFormat="1" ht="15" hidden="1">
      <c r="A989" s="354"/>
      <c r="B989" s="355"/>
      <c r="C989" s="1207" t="s">
        <v>874</v>
      </c>
      <c r="D989" s="515"/>
      <c r="E989" s="516"/>
      <c r="F989" s="517"/>
      <c r="G989" s="515"/>
      <c r="H989" s="516"/>
      <c r="I989" s="517"/>
      <c r="J989" s="468"/>
      <c r="K989" s="39">
        <v>4</v>
      </c>
      <c r="L989" s="41">
        <v>1.8</v>
      </c>
      <c r="M989" s="39">
        <v>0.1</v>
      </c>
      <c r="N989" s="356">
        <f>K989*L989</f>
        <v>7.2</v>
      </c>
      <c r="O989" s="366">
        <f>K989*L989*M989</f>
        <v>0.72000000000000008</v>
      </c>
      <c r="P989" s="470"/>
      <c r="Q989" s="475"/>
      <c r="R989" s="362">
        <f>O989</f>
        <v>0.72000000000000008</v>
      </c>
      <c r="S989" s="518" t="s">
        <v>853</v>
      </c>
      <c r="T989" s="46" t="s">
        <v>328</v>
      </c>
      <c r="U989" s="742" t="s">
        <v>1913</v>
      </c>
      <c r="V989" s="1418">
        <f t="shared" si="103"/>
        <v>0</v>
      </c>
      <c r="W989" s="357"/>
      <c r="X989" s="357"/>
      <c r="Y989" s="357"/>
      <c r="Z989" s="358"/>
      <c r="AA989" s="359"/>
      <c r="AB989" s="360"/>
    </row>
    <row r="990" spans="1:36" s="361" customFormat="1" ht="15" hidden="1">
      <c r="A990" s="354"/>
      <c r="B990" s="455"/>
      <c r="C990" s="453"/>
      <c r="D990" s="2115"/>
      <c r="E990" s="2115"/>
      <c r="F990" s="2115"/>
      <c r="G990" s="2115"/>
      <c r="H990" s="2115"/>
      <c r="I990" s="2115"/>
      <c r="J990" s="482"/>
      <c r="K990" s="495"/>
      <c r="L990" s="495"/>
      <c r="M990" s="495"/>
      <c r="N990" s="495"/>
      <c r="O990" s="496"/>
      <c r="P990" s="495"/>
      <c r="Q990" s="496"/>
      <c r="R990" s="497"/>
      <c r="S990" s="519"/>
      <c r="T990" s="452"/>
      <c r="U990" s="454"/>
      <c r="V990" s="1418">
        <f t="shared" si="103"/>
        <v>0</v>
      </c>
      <c r="W990" s="357"/>
      <c r="X990" s="357"/>
      <c r="Y990" s="357"/>
      <c r="Z990" s="358"/>
      <c r="AA990" s="359"/>
      <c r="AB990" s="360"/>
    </row>
    <row r="991" spans="1:36" s="77" customFormat="1" ht="15.6" hidden="1">
      <c r="A991" s="370"/>
      <c r="B991" s="499"/>
      <c r="C991" s="37"/>
      <c r="D991" s="1940" t="s">
        <v>1520</v>
      </c>
      <c r="E991" s="1941"/>
      <c r="F991" s="1941"/>
      <c r="G991" s="1941"/>
      <c r="H991" s="1941"/>
      <c r="I991" s="1942"/>
      <c r="J991" s="1955">
        <f>VLOOKUP(A993,'11 - FINANCEIRA'!_xlnm.Print_Area,6,FALSE)</f>
        <v>14.5</v>
      </c>
      <c r="K991" s="1956"/>
      <c r="L991" s="483" t="str">
        <f>VLOOKUP(A993,'11 - FINANCEIRA'!_xlnm.Print_Area,4,FALSE)</f>
        <v>m³</v>
      </c>
      <c r="M991" s="1957" t="s">
        <v>1521</v>
      </c>
      <c r="N991" s="1958"/>
      <c r="O991" s="1958"/>
      <c r="P991" s="1958"/>
      <c r="Q991" s="1959"/>
      <c r="R991" s="484">
        <f>SUM(R985:R990)</f>
        <v>13.134</v>
      </c>
      <c r="S991" s="485" t="str">
        <f>L991</f>
        <v>m³</v>
      </c>
      <c r="T991" s="373"/>
      <c r="U991" s="486"/>
      <c r="V991" s="1418">
        <f t="shared" si="103"/>
        <v>0</v>
      </c>
      <c r="AB991" s="15"/>
    </row>
    <row r="992" spans="1:36" s="77" customFormat="1" ht="15.6" hidden="1">
      <c r="A992" s="370"/>
      <c r="B992" s="499"/>
      <c r="C992" s="725"/>
      <c r="D992" s="1937" t="s">
        <v>1522</v>
      </c>
      <c r="E992" s="1938"/>
      <c r="F992" s="1938"/>
      <c r="G992" s="1938"/>
      <c r="H992" s="1938"/>
      <c r="I992" s="1939"/>
      <c r="J992" s="1943">
        <f>R991/J991</f>
        <v>0.9057931034482759</v>
      </c>
      <c r="K992" s="1944"/>
      <c r="L992" s="1947"/>
      <c r="M992" s="1934" t="s">
        <v>1523</v>
      </c>
      <c r="N992" s="1935"/>
      <c r="O992" s="1935"/>
      <c r="P992" s="1935"/>
      <c r="Q992" s="1936"/>
      <c r="R992" s="726">
        <f>VLOOKUP(A993,'11 - FINANCEIRA'!_xlnm.Print_Area,8,FALSE)</f>
        <v>13.134</v>
      </c>
      <c r="S992" s="727" t="str">
        <f>L991</f>
        <v>m³</v>
      </c>
      <c r="T992" s="373"/>
      <c r="U992" s="486"/>
      <c r="V992" s="1418">
        <f t="shared" si="103"/>
        <v>0</v>
      </c>
      <c r="AB992" s="15"/>
    </row>
    <row r="993" spans="1:36" s="77" customFormat="1" ht="15.6" hidden="1">
      <c r="A993" s="364" t="s">
        <v>391</v>
      </c>
      <c r="B993" s="499"/>
      <c r="C993" s="37"/>
      <c r="D993" s="2013"/>
      <c r="E993" s="2014"/>
      <c r="F993" s="2014"/>
      <c r="G993" s="2014"/>
      <c r="H993" s="2014"/>
      <c r="I993" s="2015"/>
      <c r="J993" s="2016"/>
      <c r="K993" s="2017"/>
      <c r="L993" s="1962"/>
      <c r="M993" s="2007" t="s">
        <v>1524</v>
      </c>
      <c r="N993" s="2008"/>
      <c r="O993" s="2008"/>
      <c r="P993" s="2008"/>
      <c r="Q993" s="2009"/>
      <c r="R993" s="1345">
        <f>R991-R992</f>
        <v>0</v>
      </c>
      <c r="S993" s="1346" t="str">
        <f>L991</f>
        <v>m³</v>
      </c>
      <c r="T993" s="373"/>
      <c r="U993" s="486"/>
      <c r="V993" s="1418">
        <f>R993</f>
        <v>0</v>
      </c>
      <c r="AB993" s="15"/>
    </row>
    <row r="994" spans="1:36" s="77" customFormat="1" ht="15.6" hidden="1">
      <c r="A994" s="370"/>
      <c r="B994" s="1347"/>
      <c r="C994" s="1348"/>
      <c r="D994" s="1349"/>
      <c r="E994" s="1350"/>
      <c r="F994" s="1349"/>
      <c r="G994" s="1349"/>
      <c r="H994" s="1349"/>
      <c r="I994" s="1349"/>
      <c r="J994" s="1351"/>
      <c r="K994" s="1352"/>
      <c r="L994" s="1353"/>
      <c r="M994" s="1354"/>
      <c r="N994" s="1354"/>
      <c r="O994" s="1354"/>
      <c r="P994" s="1354"/>
      <c r="Q994" s="1354"/>
      <c r="R994" s="1355"/>
      <c r="S994" s="1356"/>
      <c r="T994" s="1357"/>
      <c r="U994" s="1358"/>
      <c r="V994" s="1420">
        <f>SUM(V983:V993)</f>
        <v>0</v>
      </c>
      <c r="AB994" s="15"/>
    </row>
    <row r="995" spans="1:36" s="632" customFormat="1" ht="15.6" hidden="1">
      <c r="A995" s="630"/>
      <c r="B995" s="1333" t="str">
        <f>LEFT(A1004,5)</f>
        <v>2.3.2</v>
      </c>
      <c r="C995" s="1334" t="str">
        <f>VLOOKUP(LEFT(A1004,5),'11 - FINANCEIRA'!_xlnm.Print_Area,2,FALSE)</f>
        <v>APOIO  - EXTERNO</v>
      </c>
      <c r="D995" s="1334"/>
      <c r="E995" s="1335"/>
      <c r="F995" s="1334"/>
      <c r="G995" s="2071"/>
      <c r="H995" s="2072"/>
      <c r="I995" s="2072"/>
      <c r="J995" s="2072"/>
      <c r="K995" s="2072"/>
      <c r="L995" s="2072"/>
      <c r="M995" s="1338"/>
      <c r="N995" s="1339"/>
      <c r="O995" s="1339"/>
      <c r="P995" s="1339"/>
      <c r="Q995" s="1339"/>
      <c r="R995" s="1339"/>
      <c r="S995" s="1339"/>
      <c r="T995" s="1339"/>
      <c r="U995" s="1339"/>
      <c r="V995" s="631">
        <f>SUM(V996:V1135)</f>
        <v>0</v>
      </c>
    </row>
    <row r="996" spans="1:36" s="352" customFormat="1" ht="15.6" hidden="1">
      <c r="A996" s="351"/>
      <c r="B996" s="1963" t="str">
        <f>VLOOKUP(A1004,'11 - FINANCEIRA'!_xlnm.Print_Area,1,FALSE)</f>
        <v>2.3.2.1</v>
      </c>
      <c r="C996" s="1965" t="str">
        <f>VLOOKUP(A1004,'11 - FINANCEIRA'!_xlnm.Print_Area,3,FALSE)</f>
        <v>Alvenaria de blocos de concreto estrutural 14x19x39 cm, (espessura 14 cm), fbk = 4,5 mpa, para paredes com área líquida maior ou igual a 6m², com vãos, utilizando colher de pedreiro. af_12/2014</v>
      </c>
      <c r="D996" s="1967" t="s">
        <v>1503</v>
      </c>
      <c r="E996" s="1968"/>
      <c r="F996" s="1968"/>
      <c r="G996" s="1968"/>
      <c r="H996" s="1968"/>
      <c r="I996" s="1969"/>
      <c r="J996" s="1914" t="s">
        <v>1547</v>
      </c>
      <c r="K996" s="1914" t="s">
        <v>1505</v>
      </c>
      <c r="L996" s="1914" t="s">
        <v>1506</v>
      </c>
      <c r="M996" s="1914" t="s">
        <v>1507</v>
      </c>
      <c r="N996" s="1914" t="s">
        <v>1508</v>
      </c>
      <c r="O996" s="1914" t="s">
        <v>1509</v>
      </c>
      <c r="P996" s="1341" t="s">
        <v>1510</v>
      </c>
      <c r="Q996" s="1914" t="s">
        <v>1493</v>
      </c>
      <c r="R996" s="1916" t="s">
        <v>804</v>
      </c>
      <c r="S996" s="1914" t="s">
        <v>1511</v>
      </c>
      <c r="T996" s="1914" t="s">
        <v>1512</v>
      </c>
      <c r="U996" s="1918" t="s">
        <v>1513</v>
      </c>
      <c r="V996" s="1418">
        <f>V997</f>
        <v>0</v>
      </c>
      <c r="W996" s="16"/>
      <c r="X996" s="16"/>
      <c r="Y996" s="16"/>
      <c r="Z996" s="17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</row>
    <row r="997" spans="1:36" s="352" customFormat="1" ht="15.6" hidden="1">
      <c r="A997" s="351"/>
      <c r="B997" s="1964" t="e">
        <f>LEFT(#REF!,5)</f>
        <v>#REF!</v>
      </c>
      <c r="C997" s="1966" t="e">
        <f>VLOOKUP(LEFT(#REF!,5),'11 - FINANCEIRA'!_xlnm.Print_Area,2,FALSE)</f>
        <v>#REF!</v>
      </c>
      <c r="D997" s="1920" t="s">
        <v>1514</v>
      </c>
      <c r="E997" s="1921"/>
      <c r="F997" s="1922"/>
      <c r="G997" s="1923" t="s">
        <v>1515</v>
      </c>
      <c r="H997" s="1924"/>
      <c r="I997" s="1925"/>
      <c r="J997" s="1915"/>
      <c r="K997" s="1915"/>
      <c r="L997" s="1915"/>
      <c r="M997" s="1915"/>
      <c r="N997" s="1915"/>
      <c r="O997" s="1915"/>
      <c r="P997" s="353" t="s">
        <v>1516</v>
      </c>
      <c r="Q997" s="1915"/>
      <c r="R997" s="1917"/>
      <c r="S997" s="1915"/>
      <c r="T997" s="1915"/>
      <c r="U997" s="1919"/>
      <c r="V997" s="1418">
        <f t="shared" ref="V997:V1003" si="104">V998</f>
        <v>0</v>
      </c>
      <c r="W997" s="16"/>
      <c r="X997" s="16"/>
      <c r="Y997" s="16"/>
      <c r="Z997" s="17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</row>
    <row r="998" spans="1:36" s="361" customFormat="1" ht="45" hidden="1">
      <c r="A998" s="354"/>
      <c r="B998" s="535"/>
      <c r="C998" s="1228" t="s">
        <v>897</v>
      </c>
      <c r="D998" s="2116"/>
      <c r="E998" s="2116"/>
      <c r="F998" s="2116"/>
      <c r="G998" s="2116"/>
      <c r="H998" s="2116"/>
      <c r="I998" s="2116"/>
      <c r="J998" s="1229">
        <v>2</v>
      </c>
      <c r="K998" s="654"/>
      <c r="L998" s="654">
        <v>7.5</v>
      </c>
      <c r="M998" s="654">
        <v>2.9</v>
      </c>
      <c r="N998" s="654">
        <f>J998*L998*M998</f>
        <v>43.5</v>
      </c>
      <c r="O998" s="558"/>
      <c r="P998" s="654"/>
      <c r="Q998" s="558"/>
      <c r="R998" s="559">
        <f>N998</f>
        <v>43.5</v>
      </c>
      <c r="S998" s="558" t="s">
        <v>821</v>
      </c>
      <c r="T998" s="1230" t="s">
        <v>328</v>
      </c>
      <c r="U998" s="491"/>
      <c r="V998" s="1418">
        <f t="shared" si="104"/>
        <v>0</v>
      </c>
      <c r="W998" s="357"/>
      <c r="X998" s="357"/>
      <c r="Y998" s="357"/>
      <c r="Z998" s="358"/>
      <c r="AA998" s="359"/>
      <c r="AB998" s="360"/>
    </row>
    <row r="999" spans="1:36" s="361" customFormat="1" ht="45" hidden="1">
      <c r="A999" s="354"/>
      <c r="B999" s="355"/>
      <c r="C999" s="32" t="s">
        <v>897</v>
      </c>
      <c r="D999" s="2114"/>
      <c r="E999" s="2114"/>
      <c r="F999" s="2114"/>
      <c r="G999" s="2114"/>
      <c r="H999" s="2114"/>
      <c r="I999" s="2114"/>
      <c r="J999" s="43">
        <v>4</v>
      </c>
      <c r="K999" s="39"/>
      <c r="L999" s="39">
        <v>2.2000000000000002</v>
      </c>
      <c r="M999" s="39">
        <v>2.9</v>
      </c>
      <c r="N999" s="39">
        <f>J999*L999*M999</f>
        <v>25.52</v>
      </c>
      <c r="O999" s="366"/>
      <c r="P999" s="39"/>
      <c r="Q999" s="366"/>
      <c r="R999" s="362">
        <f>N999</f>
        <v>25.52</v>
      </c>
      <c r="S999" s="366" t="s">
        <v>821</v>
      </c>
      <c r="T999" s="46" t="s">
        <v>328</v>
      </c>
      <c r="U999" s="44"/>
      <c r="V999" s="1418">
        <f t="shared" si="104"/>
        <v>0</v>
      </c>
      <c r="W999" s="357"/>
      <c r="X999" s="357"/>
      <c r="Y999" s="357"/>
      <c r="Z999" s="358"/>
      <c r="AA999" s="359"/>
      <c r="AB999" s="360"/>
    </row>
    <row r="1000" spans="1:36" s="361" customFormat="1" ht="45" hidden="1">
      <c r="A1000" s="354"/>
      <c r="B1000" s="355"/>
      <c r="C1000" s="32" t="s">
        <v>897</v>
      </c>
      <c r="D1000" s="1960"/>
      <c r="E1000" s="1960"/>
      <c r="F1000" s="1960"/>
      <c r="G1000" s="1960"/>
      <c r="H1000" s="1960"/>
      <c r="I1000" s="1960"/>
      <c r="J1000" s="43">
        <v>2</v>
      </c>
      <c r="K1000" s="39"/>
      <c r="L1000" s="39">
        <v>7.5</v>
      </c>
      <c r="M1000" s="39">
        <v>2.1</v>
      </c>
      <c r="N1000" s="39">
        <f t="shared" ref="N1000:N1001" si="105">J1000*L1000*M1000</f>
        <v>31.5</v>
      </c>
      <c r="O1000" s="366"/>
      <c r="P1000" s="39"/>
      <c r="Q1000" s="366"/>
      <c r="R1000" s="362">
        <f>N1000</f>
        <v>31.5</v>
      </c>
      <c r="S1000" s="366" t="s">
        <v>821</v>
      </c>
      <c r="T1000" s="46" t="s">
        <v>328</v>
      </c>
      <c r="U1000" s="44"/>
      <c r="V1000" s="1418">
        <f t="shared" si="104"/>
        <v>0</v>
      </c>
      <c r="W1000" s="357"/>
      <c r="X1000" s="357"/>
      <c r="Y1000" s="357"/>
      <c r="Z1000" s="358"/>
      <c r="AA1000" s="359"/>
      <c r="AB1000" s="360"/>
    </row>
    <row r="1001" spans="1:36" s="361" customFormat="1" ht="45" hidden="1">
      <c r="A1001" s="354"/>
      <c r="B1001" s="455"/>
      <c r="C1001" s="453" t="s">
        <v>897</v>
      </c>
      <c r="D1001" s="1961"/>
      <c r="E1001" s="1961"/>
      <c r="F1001" s="1961"/>
      <c r="G1001" s="1961"/>
      <c r="H1001" s="1961"/>
      <c r="I1001" s="1961"/>
      <c r="J1001" s="482">
        <v>2</v>
      </c>
      <c r="K1001" s="495"/>
      <c r="L1001" s="495">
        <v>2.2000000000000002</v>
      </c>
      <c r="M1001" s="495">
        <v>2.1</v>
      </c>
      <c r="N1001" s="39">
        <f t="shared" si="105"/>
        <v>9.240000000000002</v>
      </c>
      <c r="O1001" s="496"/>
      <c r="P1001" s="495"/>
      <c r="Q1001" s="496"/>
      <c r="R1001" s="497">
        <f>N1001</f>
        <v>9.240000000000002</v>
      </c>
      <c r="S1001" s="496" t="s">
        <v>821</v>
      </c>
      <c r="T1001" s="452" t="s">
        <v>328</v>
      </c>
      <c r="U1001" s="454"/>
      <c r="V1001" s="1418">
        <f t="shared" si="104"/>
        <v>0</v>
      </c>
      <c r="W1001" s="357"/>
      <c r="X1001" s="357"/>
      <c r="Y1001" s="357"/>
      <c r="Z1001" s="358"/>
      <c r="AA1001" s="359"/>
      <c r="AB1001" s="360"/>
    </row>
    <row r="1002" spans="1:36" s="77" customFormat="1" ht="15.6" hidden="1">
      <c r="A1002" s="370"/>
      <c r="B1002" s="499"/>
      <c r="C1002" s="37"/>
      <c r="D1002" s="1940" t="s">
        <v>1520</v>
      </c>
      <c r="E1002" s="1941"/>
      <c r="F1002" s="1941"/>
      <c r="G1002" s="1941"/>
      <c r="H1002" s="1941"/>
      <c r="I1002" s="1942"/>
      <c r="J1002" s="1955">
        <f>VLOOKUP(A1004,'11 - FINANCEIRA'!_xlnm.Print_Area,6,FALSE)</f>
        <v>109.8</v>
      </c>
      <c r="K1002" s="1956"/>
      <c r="L1002" s="483" t="str">
        <f>VLOOKUP(A1004,'11 - FINANCEIRA'!_xlnm.Print_Area,4,FALSE)</f>
        <v>m²</v>
      </c>
      <c r="M1002" s="1957" t="s">
        <v>1521</v>
      </c>
      <c r="N1002" s="1958"/>
      <c r="O1002" s="1958"/>
      <c r="P1002" s="1958"/>
      <c r="Q1002" s="1959"/>
      <c r="R1002" s="484">
        <f>SUM(R998:R1001)</f>
        <v>109.75999999999999</v>
      </c>
      <c r="S1002" s="485" t="str">
        <f>L1002</f>
        <v>m²</v>
      </c>
      <c r="T1002" s="373"/>
      <c r="U1002" s="486"/>
      <c r="V1002" s="1418">
        <f t="shared" si="104"/>
        <v>0</v>
      </c>
      <c r="AB1002" s="15"/>
    </row>
    <row r="1003" spans="1:36" s="77" customFormat="1" ht="15.6" hidden="1">
      <c r="A1003" s="370"/>
      <c r="B1003" s="499"/>
      <c r="C1003" s="725"/>
      <c r="D1003" s="1937" t="s">
        <v>1522</v>
      </c>
      <c r="E1003" s="1938"/>
      <c r="F1003" s="1938"/>
      <c r="G1003" s="1938"/>
      <c r="H1003" s="1938"/>
      <c r="I1003" s="1939"/>
      <c r="J1003" s="1943">
        <f>R1002/J1002</f>
        <v>0.99963570127504553</v>
      </c>
      <c r="K1003" s="1944"/>
      <c r="L1003" s="1947"/>
      <c r="M1003" s="1934" t="s">
        <v>1523</v>
      </c>
      <c r="N1003" s="1935"/>
      <c r="O1003" s="1935"/>
      <c r="P1003" s="1935"/>
      <c r="Q1003" s="1936"/>
      <c r="R1003" s="726">
        <f>VLOOKUP(A1004,'11 - FINANCEIRA'!_xlnm.Print_Area,8,FALSE)</f>
        <v>109.75999999999999</v>
      </c>
      <c r="S1003" s="727" t="str">
        <f>L1002</f>
        <v>m²</v>
      </c>
      <c r="T1003" s="373"/>
      <c r="U1003" s="486"/>
      <c r="V1003" s="1418">
        <f t="shared" si="104"/>
        <v>0</v>
      </c>
      <c r="AB1003" s="15"/>
    </row>
    <row r="1004" spans="1:36" s="77" customFormat="1" ht="15.6" hidden="1">
      <c r="A1004" s="364" t="s">
        <v>393</v>
      </c>
      <c r="B1004" s="499"/>
      <c r="C1004" s="37"/>
      <c r="D1004" s="2013"/>
      <c r="E1004" s="2014"/>
      <c r="F1004" s="2014"/>
      <c r="G1004" s="2014"/>
      <c r="H1004" s="2014"/>
      <c r="I1004" s="2015"/>
      <c r="J1004" s="2016"/>
      <c r="K1004" s="2017"/>
      <c r="L1004" s="1962"/>
      <c r="M1004" s="2007" t="s">
        <v>1524</v>
      </c>
      <c r="N1004" s="2008"/>
      <c r="O1004" s="2008"/>
      <c r="P1004" s="2008"/>
      <c r="Q1004" s="2009"/>
      <c r="R1004" s="1345">
        <f>R1002-R1003</f>
        <v>0</v>
      </c>
      <c r="S1004" s="1346" t="str">
        <f>L1002</f>
        <v>m²</v>
      </c>
      <c r="T1004" s="373"/>
      <c r="U1004" s="486"/>
      <c r="V1004" s="1418">
        <f>R1004</f>
        <v>0</v>
      </c>
      <c r="AB1004" s="15"/>
    </row>
    <row r="1005" spans="1:36" s="77" customFormat="1" ht="15.6" hidden="1">
      <c r="A1005" s="370"/>
      <c r="B1005" s="1347"/>
      <c r="C1005" s="1348"/>
      <c r="D1005" s="1349"/>
      <c r="E1005" s="1350"/>
      <c r="F1005" s="1349"/>
      <c r="G1005" s="1349"/>
      <c r="H1005" s="1349"/>
      <c r="I1005" s="1349"/>
      <c r="J1005" s="1351"/>
      <c r="K1005" s="1352"/>
      <c r="L1005" s="1353"/>
      <c r="M1005" s="1354"/>
      <c r="N1005" s="1354"/>
      <c r="O1005" s="1354"/>
      <c r="P1005" s="1354"/>
      <c r="Q1005" s="1354"/>
      <c r="R1005" s="1355"/>
      <c r="S1005" s="1356"/>
      <c r="T1005" s="1357"/>
      <c r="U1005" s="1358"/>
      <c r="V1005" s="1420">
        <f>SUM(V996:V1004)</f>
        <v>0</v>
      </c>
      <c r="AB1005" s="15"/>
    </row>
    <row r="1006" spans="1:36" s="352" customFormat="1" ht="15.6" hidden="1">
      <c r="A1006" s="351"/>
      <c r="B1006" s="1963" t="str">
        <f>VLOOKUP(A1014,'11 - FINANCEIRA'!_xlnm.Print_Area,1,FALSE)</f>
        <v>2.3.2.2</v>
      </c>
      <c r="C1006" s="1965" t="str">
        <f>VLOOKUP(A1014,'11 - FINANCEIRA'!_xlnm.Print_Area,3,FALSE)</f>
        <v>Porta em alumínio de abrir tipo veneziana com guarnição, fixação com parafusos - fornecimento e instalação. af_12/2019</v>
      </c>
      <c r="D1006" s="1967" t="s">
        <v>1503</v>
      </c>
      <c r="E1006" s="1968"/>
      <c r="F1006" s="1968"/>
      <c r="G1006" s="1968"/>
      <c r="H1006" s="1968"/>
      <c r="I1006" s="1969"/>
      <c r="J1006" s="1914" t="s">
        <v>1504</v>
      </c>
      <c r="K1006" s="1914" t="s">
        <v>1505</v>
      </c>
      <c r="L1006" s="1914" t="s">
        <v>1506</v>
      </c>
      <c r="M1006" s="1914" t="s">
        <v>1507</v>
      </c>
      <c r="N1006" s="1914" t="s">
        <v>1508</v>
      </c>
      <c r="O1006" s="1914" t="s">
        <v>1509</v>
      </c>
      <c r="P1006" s="1341" t="s">
        <v>1510</v>
      </c>
      <c r="Q1006" s="1914" t="s">
        <v>1493</v>
      </c>
      <c r="R1006" s="1916" t="s">
        <v>804</v>
      </c>
      <c r="S1006" s="1914" t="s">
        <v>1511</v>
      </c>
      <c r="T1006" s="1914" t="s">
        <v>1512</v>
      </c>
      <c r="U1006" s="1918" t="s">
        <v>1513</v>
      </c>
      <c r="V1006" s="1418">
        <f t="shared" ref="V1006:V1013" si="106">V1007</f>
        <v>0</v>
      </c>
      <c r="W1006" s="16"/>
      <c r="X1006" s="16"/>
      <c r="Y1006" s="16"/>
      <c r="Z1006" s="17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</row>
    <row r="1007" spans="1:36" s="352" customFormat="1" ht="15.6" hidden="1">
      <c r="A1007" s="351"/>
      <c r="B1007" s="1964" t="e">
        <f>LEFT(#REF!,5)</f>
        <v>#REF!</v>
      </c>
      <c r="C1007" s="1966" t="e">
        <f>VLOOKUP(LEFT(#REF!,5),'11 - FINANCEIRA'!_xlnm.Print_Area,2,FALSE)</f>
        <v>#REF!</v>
      </c>
      <c r="D1007" s="1920" t="s">
        <v>1514</v>
      </c>
      <c r="E1007" s="1921"/>
      <c r="F1007" s="1922"/>
      <c r="G1007" s="1923" t="s">
        <v>1515</v>
      </c>
      <c r="H1007" s="1924"/>
      <c r="I1007" s="1925"/>
      <c r="J1007" s="1915"/>
      <c r="K1007" s="1915"/>
      <c r="L1007" s="1915"/>
      <c r="M1007" s="1915"/>
      <c r="N1007" s="1915"/>
      <c r="O1007" s="1915"/>
      <c r="P1007" s="353" t="s">
        <v>1516</v>
      </c>
      <c r="Q1007" s="1915"/>
      <c r="R1007" s="1917"/>
      <c r="S1007" s="1915"/>
      <c r="T1007" s="1915"/>
      <c r="U1007" s="1919"/>
      <c r="V1007" s="1418">
        <f t="shared" si="106"/>
        <v>0</v>
      </c>
      <c r="W1007" s="16"/>
      <c r="X1007" s="16"/>
      <c r="Y1007" s="16"/>
      <c r="Z1007" s="17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</row>
    <row r="1008" spans="1:36" s="361" customFormat="1" ht="30" hidden="1">
      <c r="A1008" s="354"/>
      <c r="B1008" s="355"/>
      <c r="C1008" s="32" t="s">
        <v>899</v>
      </c>
      <c r="D1008" s="33"/>
      <c r="E1008" s="34"/>
      <c r="F1008" s="35"/>
      <c r="G1008" s="33"/>
      <c r="H1008" s="34"/>
      <c r="I1008" s="35"/>
      <c r="J1008" s="43"/>
      <c r="K1008" s="42"/>
      <c r="L1008" s="39"/>
      <c r="M1008" s="41"/>
      <c r="N1008" s="356"/>
      <c r="O1008" s="40"/>
      <c r="P1008" s="39"/>
      <c r="Q1008" s="45"/>
      <c r="R1008" s="1359">
        <v>5.04</v>
      </c>
      <c r="S1008" s="1265" t="s">
        <v>821</v>
      </c>
      <c r="T1008" s="46" t="s">
        <v>54</v>
      </c>
      <c r="U1008" s="44"/>
      <c r="V1008" s="1418">
        <f t="shared" si="106"/>
        <v>0</v>
      </c>
      <c r="W1008" s="357"/>
      <c r="X1008" s="357"/>
      <c r="Y1008" s="357"/>
      <c r="Z1008" s="358"/>
      <c r="AA1008" s="359"/>
      <c r="AB1008" s="360"/>
    </row>
    <row r="1009" spans="1:36" s="361" customFormat="1" ht="15" hidden="1" customHeight="1">
      <c r="A1009" s="354"/>
      <c r="B1009" s="355"/>
      <c r="C1009" s="32"/>
      <c r="D1009" s="33"/>
      <c r="E1009" s="34"/>
      <c r="F1009" s="35"/>
      <c r="G1009" s="33"/>
      <c r="H1009" s="34"/>
      <c r="I1009" s="35"/>
      <c r="J1009" s="43"/>
      <c r="K1009" s="42"/>
      <c r="L1009" s="39"/>
      <c r="M1009" s="41"/>
      <c r="N1009" s="356"/>
      <c r="O1009" s="40"/>
      <c r="P1009" s="39"/>
      <c r="Q1009" s="45"/>
      <c r="R1009" s="362"/>
      <c r="S1009" s="363"/>
      <c r="T1009" s="46"/>
      <c r="U1009" s="44"/>
      <c r="V1009" s="1418">
        <f t="shared" si="106"/>
        <v>0</v>
      </c>
      <c r="W1009" s="357"/>
      <c r="X1009" s="357"/>
      <c r="Y1009" s="357"/>
      <c r="Z1009" s="358"/>
      <c r="AA1009" s="359"/>
      <c r="AB1009" s="360"/>
    </row>
    <row r="1010" spans="1:36" s="369" customFormat="1" ht="15" hidden="1">
      <c r="A1010" s="364"/>
      <c r="B1010" s="355"/>
      <c r="C1010" s="32"/>
      <c r="D1010" s="33"/>
      <c r="E1010" s="34"/>
      <c r="F1010" s="35"/>
      <c r="G1010" s="33"/>
      <c r="H1010" s="34"/>
      <c r="I1010" s="35"/>
      <c r="J1010" s="43"/>
      <c r="K1010" s="42"/>
      <c r="L1010" s="39"/>
      <c r="M1010" s="41"/>
      <c r="N1010" s="40"/>
      <c r="O1010" s="40"/>
      <c r="P1010" s="39"/>
      <c r="Q1010" s="38"/>
      <c r="R1010" s="365"/>
      <c r="S1010" s="366"/>
      <c r="T1010" s="46"/>
      <c r="U1010" s="44"/>
      <c r="V1010" s="1418">
        <f t="shared" si="106"/>
        <v>0</v>
      </c>
      <c r="W1010" s="367"/>
      <c r="X1010" s="367"/>
      <c r="Y1010" s="367"/>
      <c r="Z1010" s="368"/>
    </row>
    <row r="1011" spans="1:36" s="77" customFormat="1" ht="15" hidden="1">
      <c r="A1011" s="370"/>
      <c r="B1011" s="29"/>
      <c r="C1011" s="30"/>
      <c r="D1011" s="18"/>
      <c r="E1011" s="19"/>
      <c r="F1011" s="20"/>
      <c r="G1011" s="18"/>
      <c r="H1011" s="19"/>
      <c r="I1011" s="20"/>
      <c r="J1011" s="21"/>
      <c r="K1011" s="22"/>
      <c r="L1011" s="23"/>
      <c r="M1011" s="24"/>
      <c r="N1011" s="25"/>
      <c r="O1011" s="25"/>
      <c r="P1011" s="23"/>
      <c r="Q1011" s="26"/>
      <c r="R1011" s="371"/>
      <c r="S1011" s="27"/>
      <c r="T1011" s="372"/>
      <c r="U1011" s="31"/>
      <c r="V1011" s="1418">
        <f t="shared" si="106"/>
        <v>0</v>
      </c>
      <c r="AB1011" s="15"/>
    </row>
    <row r="1012" spans="1:36" s="77" customFormat="1" ht="15.6" hidden="1">
      <c r="A1012" s="370"/>
      <c r="B1012" s="499"/>
      <c r="C1012" s="37"/>
      <c r="D1012" s="1929" t="s">
        <v>1520</v>
      </c>
      <c r="E1012" s="1930"/>
      <c r="F1012" s="1930"/>
      <c r="G1012" s="1930"/>
      <c r="H1012" s="1930"/>
      <c r="I1012" s="1931"/>
      <c r="J1012" s="1932">
        <f>VLOOKUP(A1014,'11 - FINANCEIRA'!_xlnm.Print_Area,6,FALSE)</f>
        <v>5.04</v>
      </c>
      <c r="K1012" s="1933"/>
      <c r="L1012" s="1343" t="str">
        <f>VLOOKUP(A1014,'11 - FINANCEIRA'!_xlnm.Print_Area,4,FALSE)</f>
        <v>m²</v>
      </c>
      <c r="M1012" s="1934" t="s">
        <v>1521</v>
      </c>
      <c r="N1012" s="1935"/>
      <c r="O1012" s="1935"/>
      <c r="P1012" s="1935"/>
      <c r="Q1012" s="1936"/>
      <c r="R1012" s="726">
        <f>SUM(R1008:R1011)</f>
        <v>5.04</v>
      </c>
      <c r="S1012" s="1344" t="str">
        <f>L1012</f>
        <v>m²</v>
      </c>
      <c r="T1012" s="373"/>
      <c r="U1012" s="486"/>
      <c r="V1012" s="1418">
        <f t="shared" si="106"/>
        <v>0</v>
      </c>
      <c r="AB1012" s="15"/>
    </row>
    <row r="1013" spans="1:36" s="77" customFormat="1" ht="15.6" hidden="1">
      <c r="A1013" s="370"/>
      <c r="B1013" s="499"/>
      <c r="C1013" s="725"/>
      <c r="D1013" s="1937" t="s">
        <v>1522</v>
      </c>
      <c r="E1013" s="1938"/>
      <c r="F1013" s="1938"/>
      <c r="G1013" s="1938"/>
      <c r="H1013" s="1938"/>
      <c r="I1013" s="1939"/>
      <c r="J1013" s="1943">
        <f>R1012/J1012</f>
        <v>1</v>
      </c>
      <c r="K1013" s="1944"/>
      <c r="L1013" s="1947"/>
      <c r="M1013" s="1934" t="s">
        <v>1523</v>
      </c>
      <c r="N1013" s="1935"/>
      <c r="O1013" s="1935"/>
      <c r="P1013" s="1935"/>
      <c r="Q1013" s="1936"/>
      <c r="R1013" s="726">
        <f>VLOOKUP(A1014,'11 - FINANCEIRA'!_xlnm.Print_Area,8,FALSE)</f>
        <v>5.04</v>
      </c>
      <c r="S1013" s="727" t="str">
        <f>L1012</f>
        <v>m²</v>
      </c>
      <c r="T1013" s="373"/>
      <c r="U1013" s="486"/>
      <c r="V1013" s="1418">
        <f t="shared" si="106"/>
        <v>0</v>
      </c>
      <c r="AB1013" s="15"/>
    </row>
    <row r="1014" spans="1:36" s="77" customFormat="1" ht="15.6" hidden="1">
      <c r="A1014" s="364" t="s">
        <v>394</v>
      </c>
      <c r="B1014" s="499"/>
      <c r="C1014" s="37"/>
      <c r="D1014" s="2013"/>
      <c r="E1014" s="2014"/>
      <c r="F1014" s="2014"/>
      <c r="G1014" s="2014"/>
      <c r="H1014" s="2014"/>
      <c r="I1014" s="2015"/>
      <c r="J1014" s="2016"/>
      <c r="K1014" s="2017"/>
      <c r="L1014" s="1962"/>
      <c r="M1014" s="2007" t="s">
        <v>1524</v>
      </c>
      <c r="N1014" s="2008"/>
      <c r="O1014" s="2008"/>
      <c r="P1014" s="2008"/>
      <c r="Q1014" s="2009"/>
      <c r="R1014" s="1345">
        <f>R1012-R1013</f>
        <v>0</v>
      </c>
      <c r="S1014" s="1346" t="str">
        <f>L1012</f>
        <v>m²</v>
      </c>
      <c r="T1014" s="373"/>
      <c r="U1014" s="486"/>
      <c r="V1014" s="1418">
        <f>R1014</f>
        <v>0</v>
      </c>
      <c r="AB1014" s="15"/>
    </row>
    <row r="1015" spans="1:36" s="77" customFormat="1" ht="15.6" hidden="1">
      <c r="A1015" s="370"/>
      <c r="B1015" s="1347"/>
      <c r="C1015" s="1348"/>
      <c r="D1015" s="1349"/>
      <c r="E1015" s="1350"/>
      <c r="F1015" s="1349"/>
      <c r="G1015" s="1349"/>
      <c r="H1015" s="1349"/>
      <c r="I1015" s="1349"/>
      <c r="J1015" s="1351"/>
      <c r="K1015" s="1352"/>
      <c r="L1015" s="1353"/>
      <c r="M1015" s="1354"/>
      <c r="N1015" s="1354"/>
      <c r="O1015" s="1354"/>
      <c r="P1015" s="1354"/>
      <c r="Q1015" s="1354"/>
      <c r="R1015" s="1355"/>
      <c r="S1015" s="1356"/>
      <c r="T1015" s="1357"/>
      <c r="U1015" s="1358"/>
      <c r="V1015" s="1420">
        <f>SUM(V1006:V1014)</f>
        <v>0</v>
      </c>
      <c r="AB1015" s="15"/>
    </row>
    <row r="1016" spans="1:36" s="352" customFormat="1" ht="15.6" hidden="1">
      <c r="A1016" s="351"/>
      <c r="B1016" s="1963" t="str">
        <f>VLOOKUP(A1024,'11 - FINANCEIRA'!_xlnm.Print_Area,1,FALSE)</f>
        <v>2.3.2.3</v>
      </c>
      <c r="C1016" s="1965" t="str">
        <f>VLOOKUP(A1024,'11 - FINANCEIRA'!_xlnm.Print_Area,3,FALSE)</f>
        <v>Soleira em granito, largura 15 cm, espessura 2,0 cm. af_06/2018</v>
      </c>
      <c r="D1016" s="1967" t="s">
        <v>1503</v>
      </c>
      <c r="E1016" s="1968"/>
      <c r="F1016" s="1968"/>
      <c r="G1016" s="1968"/>
      <c r="H1016" s="1968"/>
      <c r="I1016" s="1969"/>
      <c r="J1016" s="1914" t="s">
        <v>1504</v>
      </c>
      <c r="K1016" s="1914" t="s">
        <v>1505</v>
      </c>
      <c r="L1016" s="1914" t="s">
        <v>1506</v>
      </c>
      <c r="M1016" s="1914" t="s">
        <v>1507</v>
      </c>
      <c r="N1016" s="1914" t="s">
        <v>1508</v>
      </c>
      <c r="O1016" s="1914" t="s">
        <v>1509</v>
      </c>
      <c r="P1016" s="1341" t="s">
        <v>1510</v>
      </c>
      <c r="Q1016" s="1914" t="s">
        <v>1493</v>
      </c>
      <c r="R1016" s="1916" t="s">
        <v>804</v>
      </c>
      <c r="S1016" s="1914" t="s">
        <v>1511</v>
      </c>
      <c r="T1016" s="1914" t="s">
        <v>1512</v>
      </c>
      <c r="U1016" s="1918" t="s">
        <v>1513</v>
      </c>
      <c r="V1016" s="1418">
        <f t="shared" ref="V1016:V1023" si="107">V1017</f>
        <v>0</v>
      </c>
      <c r="W1016" s="16"/>
      <c r="X1016" s="16"/>
      <c r="Y1016" s="16"/>
      <c r="Z1016" s="17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</row>
    <row r="1017" spans="1:36" s="352" customFormat="1" ht="15.6" hidden="1">
      <c r="A1017" s="351"/>
      <c r="B1017" s="1964" t="e">
        <f>LEFT(#REF!,5)</f>
        <v>#REF!</v>
      </c>
      <c r="C1017" s="1966" t="e">
        <f>VLOOKUP(LEFT(#REF!,5),'11 - FINANCEIRA'!_xlnm.Print_Area,2,FALSE)</f>
        <v>#REF!</v>
      </c>
      <c r="D1017" s="1920" t="s">
        <v>1514</v>
      </c>
      <c r="E1017" s="1921"/>
      <c r="F1017" s="1922"/>
      <c r="G1017" s="1923" t="s">
        <v>1515</v>
      </c>
      <c r="H1017" s="1924"/>
      <c r="I1017" s="1925"/>
      <c r="J1017" s="1915"/>
      <c r="K1017" s="1915"/>
      <c r="L1017" s="1915"/>
      <c r="M1017" s="1915"/>
      <c r="N1017" s="1915"/>
      <c r="O1017" s="1915"/>
      <c r="P1017" s="353" t="s">
        <v>1516</v>
      </c>
      <c r="Q1017" s="1915"/>
      <c r="R1017" s="1917"/>
      <c r="S1017" s="1915"/>
      <c r="T1017" s="1915"/>
      <c r="U1017" s="1919"/>
      <c r="V1017" s="1418">
        <f t="shared" si="107"/>
        <v>0</v>
      </c>
      <c r="W1017" s="16"/>
      <c r="X1017" s="16"/>
      <c r="Y1017" s="16"/>
      <c r="Z1017" s="17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</row>
    <row r="1018" spans="1:36" s="361" customFormat="1" ht="15" hidden="1" customHeight="1">
      <c r="A1018" s="354"/>
      <c r="B1018" s="355"/>
      <c r="C1018" s="32" t="s">
        <v>901</v>
      </c>
      <c r="D1018" s="33"/>
      <c r="E1018" s="34"/>
      <c r="F1018" s="35"/>
      <c r="G1018" s="33"/>
      <c r="H1018" s="34"/>
      <c r="I1018" s="35"/>
      <c r="J1018" s="43"/>
      <c r="K1018" s="42"/>
      <c r="L1018" s="39"/>
      <c r="M1018" s="41"/>
      <c r="N1018" s="356"/>
      <c r="O1018" s="40"/>
      <c r="P1018" s="39"/>
      <c r="Q1018" s="45"/>
      <c r="R1018" s="1359">
        <v>3.2</v>
      </c>
      <c r="S1018" s="1265" t="s">
        <v>902</v>
      </c>
      <c r="T1018" s="46" t="s">
        <v>329</v>
      </c>
      <c r="U1018" s="44"/>
      <c r="V1018" s="1418">
        <f t="shared" si="107"/>
        <v>0</v>
      </c>
      <c r="W1018" s="357"/>
      <c r="X1018" s="357"/>
      <c r="Y1018" s="357"/>
      <c r="Z1018" s="358"/>
      <c r="AA1018" s="359"/>
      <c r="AB1018" s="360"/>
    </row>
    <row r="1019" spans="1:36" s="361" customFormat="1" ht="15" hidden="1" customHeight="1">
      <c r="A1019" s="354"/>
      <c r="B1019" s="355"/>
      <c r="C1019" s="32"/>
      <c r="D1019" s="33"/>
      <c r="E1019" s="34"/>
      <c r="F1019" s="35"/>
      <c r="G1019" s="33"/>
      <c r="H1019" s="34"/>
      <c r="I1019" s="35"/>
      <c r="J1019" s="43"/>
      <c r="K1019" s="42"/>
      <c r="L1019" s="39"/>
      <c r="M1019" s="41"/>
      <c r="N1019" s="356"/>
      <c r="O1019" s="40"/>
      <c r="P1019" s="39"/>
      <c r="Q1019" s="45"/>
      <c r="R1019" s="362"/>
      <c r="S1019" s="363"/>
      <c r="T1019" s="46"/>
      <c r="U1019" s="44"/>
      <c r="V1019" s="1418">
        <f t="shared" si="107"/>
        <v>0</v>
      </c>
      <c r="W1019" s="357"/>
      <c r="X1019" s="357"/>
      <c r="Y1019" s="357"/>
      <c r="Z1019" s="358"/>
      <c r="AA1019" s="359"/>
      <c r="AB1019" s="360"/>
    </row>
    <row r="1020" spans="1:36" s="369" customFormat="1" ht="15" hidden="1">
      <c r="A1020" s="364"/>
      <c r="B1020" s="355"/>
      <c r="C1020" s="32"/>
      <c r="D1020" s="33"/>
      <c r="E1020" s="34"/>
      <c r="F1020" s="35"/>
      <c r="G1020" s="33"/>
      <c r="H1020" s="34"/>
      <c r="I1020" s="35"/>
      <c r="J1020" s="43"/>
      <c r="K1020" s="42"/>
      <c r="L1020" s="39"/>
      <c r="M1020" s="41"/>
      <c r="N1020" s="40"/>
      <c r="O1020" s="40"/>
      <c r="P1020" s="39"/>
      <c r="Q1020" s="38"/>
      <c r="R1020" s="365"/>
      <c r="S1020" s="366"/>
      <c r="T1020" s="46"/>
      <c r="U1020" s="44"/>
      <c r="V1020" s="1418">
        <f t="shared" si="107"/>
        <v>0</v>
      </c>
      <c r="W1020" s="367"/>
      <c r="X1020" s="367"/>
      <c r="Y1020" s="367"/>
      <c r="Z1020" s="368"/>
    </row>
    <row r="1021" spans="1:36" s="77" customFormat="1" ht="15" hidden="1">
      <c r="A1021" s="370"/>
      <c r="B1021" s="29"/>
      <c r="C1021" s="30"/>
      <c r="D1021" s="18"/>
      <c r="E1021" s="19"/>
      <c r="F1021" s="20"/>
      <c r="G1021" s="18"/>
      <c r="H1021" s="19"/>
      <c r="I1021" s="20"/>
      <c r="J1021" s="21"/>
      <c r="K1021" s="22"/>
      <c r="L1021" s="23"/>
      <c r="M1021" s="24"/>
      <c r="N1021" s="25"/>
      <c r="O1021" s="25"/>
      <c r="P1021" s="23"/>
      <c r="Q1021" s="26"/>
      <c r="R1021" s="371"/>
      <c r="S1021" s="27"/>
      <c r="T1021" s="372"/>
      <c r="U1021" s="31"/>
      <c r="V1021" s="1418">
        <f t="shared" si="107"/>
        <v>0</v>
      </c>
      <c r="AB1021" s="15"/>
    </row>
    <row r="1022" spans="1:36" s="77" customFormat="1" ht="15.6" hidden="1">
      <c r="A1022" s="370"/>
      <c r="B1022" s="499"/>
      <c r="C1022" s="37"/>
      <c r="D1022" s="1929" t="s">
        <v>1520</v>
      </c>
      <c r="E1022" s="1930"/>
      <c r="F1022" s="1930"/>
      <c r="G1022" s="1930"/>
      <c r="H1022" s="1930"/>
      <c r="I1022" s="1931"/>
      <c r="J1022" s="1932">
        <f>VLOOKUP(A1024,'11 - FINANCEIRA'!_xlnm.Print_Area,6,FALSE)</f>
        <v>3.2</v>
      </c>
      <c r="K1022" s="1933"/>
      <c r="L1022" s="1343" t="str">
        <f>VLOOKUP(A1024,'11 - FINANCEIRA'!_xlnm.Print_Area,4,FALSE)</f>
        <v>M</v>
      </c>
      <c r="M1022" s="1934" t="s">
        <v>1521</v>
      </c>
      <c r="N1022" s="1935"/>
      <c r="O1022" s="1935"/>
      <c r="P1022" s="1935"/>
      <c r="Q1022" s="1936"/>
      <c r="R1022" s="726">
        <f>SUM(R1018:R1021)</f>
        <v>3.2</v>
      </c>
      <c r="S1022" s="1344" t="str">
        <f>L1022</f>
        <v>M</v>
      </c>
      <c r="T1022" s="373"/>
      <c r="U1022" s="486"/>
      <c r="V1022" s="1418">
        <f t="shared" si="107"/>
        <v>0</v>
      </c>
      <c r="AB1022" s="15"/>
    </row>
    <row r="1023" spans="1:36" s="77" customFormat="1" ht="15.6" hidden="1">
      <c r="A1023" s="370"/>
      <c r="B1023" s="499"/>
      <c r="C1023" s="725"/>
      <c r="D1023" s="1937" t="s">
        <v>1522</v>
      </c>
      <c r="E1023" s="1938"/>
      <c r="F1023" s="1938"/>
      <c r="G1023" s="1938"/>
      <c r="H1023" s="1938"/>
      <c r="I1023" s="1939"/>
      <c r="J1023" s="1943">
        <f>R1022/J1022</f>
        <v>1</v>
      </c>
      <c r="K1023" s="1944"/>
      <c r="L1023" s="1947"/>
      <c r="M1023" s="1934" t="s">
        <v>1523</v>
      </c>
      <c r="N1023" s="1935"/>
      <c r="O1023" s="1935"/>
      <c r="P1023" s="1935"/>
      <c r="Q1023" s="1936"/>
      <c r="R1023" s="726">
        <f>VLOOKUP(A1024,'11 - FINANCEIRA'!_xlnm.Print_Area,8,FALSE)</f>
        <v>3.2</v>
      </c>
      <c r="S1023" s="727" t="str">
        <f>L1022</f>
        <v>M</v>
      </c>
      <c r="T1023" s="373"/>
      <c r="U1023" s="486"/>
      <c r="V1023" s="1418">
        <f t="shared" si="107"/>
        <v>0</v>
      </c>
      <c r="AB1023" s="15"/>
    </row>
    <row r="1024" spans="1:36" s="77" customFormat="1" ht="15.6" hidden="1">
      <c r="A1024" s="364" t="s">
        <v>395</v>
      </c>
      <c r="B1024" s="499"/>
      <c r="C1024" s="37"/>
      <c r="D1024" s="2013"/>
      <c r="E1024" s="2014"/>
      <c r="F1024" s="2014"/>
      <c r="G1024" s="2014"/>
      <c r="H1024" s="2014"/>
      <c r="I1024" s="2015"/>
      <c r="J1024" s="2016"/>
      <c r="K1024" s="2017"/>
      <c r="L1024" s="1962"/>
      <c r="M1024" s="2007" t="s">
        <v>1524</v>
      </c>
      <c r="N1024" s="2008"/>
      <c r="O1024" s="2008"/>
      <c r="P1024" s="2008"/>
      <c r="Q1024" s="2009"/>
      <c r="R1024" s="1345">
        <f>R1022-R1023</f>
        <v>0</v>
      </c>
      <c r="S1024" s="1346" t="str">
        <f>L1022</f>
        <v>M</v>
      </c>
      <c r="T1024" s="373"/>
      <c r="U1024" s="486"/>
      <c r="V1024" s="1418">
        <f>R1024</f>
        <v>0</v>
      </c>
      <c r="AB1024" s="15"/>
    </row>
    <row r="1025" spans="1:36" s="77" customFormat="1" ht="15.6" hidden="1">
      <c r="A1025" s="370"/>
      <c r="B1025" s="1347"/>
      <c r="C1025" s="1348"/>
      <c r="D1025" s="1349"/>
      <c r="E1025" s="1350"/>
      <c r="F1025" s="1349"/>
      <c r="G1025" s="1349"/>
      <c r="H1025" s="1349"/>
      <c r="I1025" s="1349"/>
      <c r="J1025" s="1351"/>
      <c r="K1025" s="1352"/>
      <c r="L1025" s="1353"/>
      <c r="M1025" s="1354"/>
      <c r="N1025" s="1354"/>
      <c r="O1025" s="1354"/>
      <c r="P1025" s="1354"/>
      <c r="Q1025" s="1354"/>
      <c r="R1025" s="1355"/>
      <c r="S1025" s="1356"/>
      <c r="T1025" s="1357"/>
      <c r="U1025" s="1358"/>
      <c r="V1025" s="1420">
        <f>SUM(V1016:V1024)</f>
        <v>0</v>
      </c>
      <c r="AB1025" s="15"/>
    </row>
    <row r="1026" spans="1:36" s="352" customFormat="1" ht="15.6" hidden="1">
      <c r="A1026" s="351"/>
      <c r="B1026" s="1963" t="str">
        <f>VLOOKUP(A1034,'11 - FINANCEIRA'!_xlnm.Print_Area,1,FALSE)</f>
        <v>2.3.2.4</v>
      </c>
      <c r="C1026" s="1965" t="str">
        <f>VLOOKUP(A1034,'11 - FINANCEIRA'!_xlnm.Print_Area,3,FALSE)</f>
        <v>Janela de alumínio tipo maxim-ar, com vidros - fornecimento e instalação.</v>
      </c>
      <c r="D1026" s="1967" t="s">
        <v>1503</v>
      </c>
      <c r="E1026" s="1968"/>
      <c r="F1026" s="1968"/>
      <c r="G1026" s="1968"/>
      <c r="H1026" s="1968"/>
      <c r="I1026" s="1969"/>
      <c r="J1026" s="1914" t="s">
        <v>1504</v>
      </c>
      <c r="K1026" s="1914" t="s">
        <v>1505</v>
      </c>
      <c r="L1026" s="1914" t="s">
        <v>1506</v>
      </c>
      <c r="M1026" s="1914" t="s">
        <v>1507</v>
      </c>
      <c r="N1026" s="1914" t="s">
        <v>1508</v>
      </c>
      <c r="O1026" s="1914" t="s">
        <v>1509</v>
      </c>
      <c r="P1026" s="1341" t="s">
        <v>1510</v>
      </c>
      <c r="Q1026" s="1914" t="s">
        <v>1493</v>
      </c>
      <c r="R1026" s="1916" t="s">
        <v>804</v>
      </c>
      <c r="S1026" s="1914" t="s">
        <v>1511</v>
      </c>
      <c r="T1026" s="1914" t="s">
        <v>1512</v>
      </c>
      <c r="U1026" s="1918" t="s">
        <v>1513</v>
      </c>
      <c r="V1026" s="1418">
        <f t="shared" ref="V1026:V1033" si="108">V1027</f>
        <v>0</v>
      </c>
      <c r="W1026" s="16"/>
      <c r="X1026" s="16"/>
      <c r="Y1026" s="16"/>
      <c r="Z1026" s="17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</row>
    <row r="1027" spans="1:36" s="352" customFormat="1" ht="15.6" hidden="1">
      <c r="A1027" s="351"/>
      <c r="B1027" s="1964" t="e">
        <f>LEFT(#REF!,5)</f>
        <v>#REF!</v>
      </c>
      <c r="C1027" s="1966" t="e">
        <f>VLOOKUP(LEFT(#REF!,5),'11 - FINANCEIRA'!_xlnm.Print_Area,2,FALSE)</f>
        <v>#REF!</v>
      </c>
      <c r="D1027" s="1920" t="s">
        <v>1514</v>
      </c>
      <c r="E1027" s="1921"/>
      <c r="F1027" s="1922"/>
      <c r="G1027" s="1923" t="s">
        <v>1515</v>
      </c>
      <c r="H1027" s="1924"/>
      <c r="I1027" s="1925"/>
      <c r="J1027" s="1915"/>
      <c r="K1027" s="1915"/>
      <c r="L1027" s="1915"/>
      <c r="M1027" s="1915"/>
      <c r="N1027" s="1915"/>
      <c r="O1027" s="1915"/>
      <c r="P1027" s="353" t="s">
        <v>1516</v>
      </c>
      <c r="Q1027" s="1915"/>
      <c r="R1027" s="1917"/>
      <c r="S1027" s="1915"/>
      <c r="T1027" s="1915"/>
      <c r="U1027" s="1919"/>
      <c r="V1027" s="1418">
        <f t="shared" si="108"/>
        <v>0</v>
      </c>
      <c r="W1027" s="16"/>
      <c r="X1027" s="16"/>
      <c r="Y1027" s="16"/>
      <c r="Z1027" s="17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</row>
    <row r="1028" spans="1:36" s="361" customFormat="1" ht="15" hidden="1" customHeight="1">
      <c r="A1028" s="354"/>
      <c r="B1028" s="355"/>
      <c r="C1028" s="32" t="s">
        <v>904</v>
      </c>
      <c r="D1028" s="33"/>
      <c r="E1028" s="34"/>
      <c r="F1028" s="35"/>
      <c r="G1028" s="33"/>
      <c r="H1028" s="34"/>
      <c r="I1028" s="35"/>
      <c r="J1028" s="43"/>
      <c r="K1028" s="42"/>
      <c r="L1028" s="39"/>
      <c r="M1028" s="41"/>
      <c r="N1028" s="356"/>
      <c r="O1028" s="40"/>
      <c r="P1028" s="39"/>
      <c r="Q1028" s="45"/>
      <c r="R1028" s="1359">
        <v>2.16</v>
      </c>
      <c r="S1028" s="1265" t="s">
        <v>821</v>
      </c>
      <c r="T1028" s="46" t="s">
        <v>54</v>
      </c>
      <c r="U1028" s="44"/>
      <c r="V1028" s="1418">
        <f t="shared" si="108"/>
        <v>0</v>
      </c>
      <c r="W1028" s="357"/>
      <c r="X1028" s="357"/>
      <c r="Y1028" s="357"/>
      <c r="Z1028" s="358"/>
      <c r="AA1028" s="359"/>
      <c r="AB1028" s="360"/>
    </row>
    <row r="1029" spans="1:36" s="361" customFormat="1" ht="15" hidden="1" customHeight="1">
      <c r="A1029" s="354"/>
      <c r="B1029" s="355"/>
      <c r="C1029" s="32"/>
      <c r="D1029" s="33"/>
      <c r="E1029" s="34"/>
      <c r="F1029" s="35"/>
      <c r="G1029" s="33"/>
      <c r="H1029" s="34"/>
      <c r="I1029" s="35"/>
      <c r="J1029" s="43"/>
      <c r="K1029" s="42"/>
      <c r="L1029" s="39"/>
      <c r="M1029" s="41"/>
      <c r="N1029" s="356"/>
      <c r="O1029" s="40"/>
      <c r="P1029" s="39"/>
      <c r="Q1029" s="45"/>
      <c r="R1029" s="362"/>
      <c r="S1029" s="363"/>
      <c r="T1029" s="46"/>
      <c r="U1029" s="44"/>
      <c r="V1029" s="1418">
        <f t="shared" si="108"/>
        <v>0</v>
      </c>
      <c r="W1029" s="357"/>
      <c r="X1029" s="357"/>
      <c r="Y1029" s="357"/>
      <c r="Z1029" s="358"/>
      <c r="AA1029" s="359"/>
      <c r="AB1029" s="360"/>
    </row>
    <row r="1030" spans="1:36" s="369" customFormat="1" ht="15" hidden="1">
      <c r="A1030" s="364"/>
      <c r="B1030" s="355"/>
      <c r="C1030" s="32"/>
      <c r="D1030" s="33"/>
      <c r="E1030" s="34"/>
      <c r="F1030" s="35"/>
      <c r="G1030" s="33"/>
      <c r="H1030" s="34"/>
      <c r="I1030" s="35"/>
      <c r="J1030" s="43"/>
      <c r="K1030" s="42"/>
      <c r="L1030" s="39"/>
      <c r="M1030" s="41"/>
      <c r="N1030" s="40"/>
      <c r="O1030" s="40"/>
      <c r="P1030" s="39"/>
      <c r="Q1030" s="38"/>
      <c r="R1030" s="365"/>
      <c r="S1030" s="366"/>
      <c r="T1030" s="46"/>
      <c r="U1030" s="44"/>
      <c r="V1030" s="1418">
        <f t="shared" si="108"/>
        <v>0</v>
      </c>
      <c r="W1030" s="367"/>
      <c r="X1030" s="367"/>
      <c r="Y1030" s="367"/>
      <c r="Z1030" s="368"/>
    </row>
    <row r="1031" spans="1:36" s="77" customFormat="1" ht="15" hidden="1">
      <c r="A1031" s="370"/>
      <c r="B1031" s="29"/>
      <c r="C1031" s="30"/>
      <c r="D1031" s="18"/>
      <c r="E1031" s="19"/>
      <c r="F1031" s="20"/>
      <c r="G1031" s="18"/>
      <c r="H1031" s="19"/>
      <c r="I1031" s="20"/>
      <c r="J1031" s="21"/>
      <c r="K1031" s="22"/>
      <c r="L1031" s="23"/>
      <c r="M1031" s="24"/>
      <c r="N1031" s="25"/>
      <c r="O1031" s="25"/>
      <c r="P1031" s="23"/>
      <c r="Q1031" s="26"/>
      <c r="R1031" s="371"/>
      <c r="S1031" s="27"/>
      <c r="T1031" s="372"/>
      <c r="U1031" s="31"/>
      <c r="V1031" s="1418">
        <f t="shared" si="108"/>
        <v>0</v>
      </c>
      <c r="AB1031" s="15"/>
    </row>
    <row r="1032" spans="1:36" s="77" customFormat="1" ht="15.6" hidden="1">
      <c r="A1032" s="370"/>
      <c r="B1032" s="499"/>
      <c r="C1032" s="37"/>
      <c r="D1032" s="1929" t="s">
        <v>1520</v>
      </c>
      <c r="E1032" s="1930"/>
      <c r="F1032" s="1930"/>
      <c r="G1032" s="1930"/>
      <c r="H1032" s="1930"/>
      <c r="I1032" s="1931"/>
      <c r="J1032" s="1932">
        <f>VLOOKUP(A1034,'11 - FINANCEIRA'!_xlnm.Print_Area,6,FALSE)</f>
        <v>2.16</v>
      </c>
      <c r="K1032" s="1933"/>
      <c r="L1032" s="1343" t="str">
        <f>VLOOKUP(A1034,'11 - FINANCEIRA'!_xlnm.Print_Area,4,FALSE)</f>
        <v>m²</v>
      </c>
      <c r="M1032" s="1934" t="s">
        <v>1521</v>
      </c>
      <c r="N1032" s="1935"/>
      <c r="O1032" s="1935"/>
      <c r="P1032" s="1935"/>
      <c r="Q1032" s="1936"/>
      <c r="R1032" s="726">
        <f>SUM(R1028:R1031)</f>
        <v>2.16</v>
      </c>
      <c r="S1032" s="1344" t="str">
        <f>L1032</f>
        <v>m²</v>
      </c>
      <c r="T1032" s="373"/>
      <c r="U1032" s="486"/>
      <c r="V1032" s="1418">
        <f t="shared" si="108"/>
        <v>0</v>
      </c>
      <c r="AB1032" s="15"/>
    </row>
    <row r="1033" spans="1:36" s="77" customFormat="1" ht="15.6" hidden="1">
      <c r="A1033" s="370"/>
      <c r="B1033" s="499"/>
      <c r="C1033" s="725"/>
      <c r="D1033" s="1937" t="s">
        <v>1522</v>
      </c>
      <c r="E1033" s="1938"/>
      <c r="F1033" s="1938"/>
      <c r="G1033" s="1938"/>
      <c r="H1033" s="1938"/>
      <c r="I1033" s="1939"/>
      <c r="J1033" s="1943">
        <f>R1032/J1032</f>
        <v>1</v>
      </c>
      <c r="K1033" s="1944"/>
      <c r="L1033" s="1947"/>
      <c r="M1033" s="1934" t="s">
        <v>1523</v>
      </c>
      <c r="N1033" s="1935"/>
      <c r="O1033" s="1935"/>
      <c r="P1033" s="1935"/>
      <c r="Q1033" s="1936"/>
      <c r="R1033" s="726">
        <f>VLOOKUP(A1034,'11 - FINANCEIRA'!_xlnm.Print_Area,8,FALSE)</f>
        <v>2.16</v>
      </c>
      <c r="S1033" s="727" t="str">
        <f>L1032</f>
        <v>m²</v>
      </c>
      <c r="T1033" s="373"/>
      <c r="U1033" s="486"/>
      <c r="V1033" s="1418">
        <f t="shared" si="108"/>
        <v>0</v>
      </c>
      <c r="AB1033" s="15"/>
    </row>
    <row r="1034" spans="1:36" s="77" customFormat="1" ht="15.6" hidden="1">
      <c r="A1034" s="364" t="s">
        <v>396</v>
      </c>
      <c r="B1034" s="499"/>
      <c r="C1034" s="37"/>
      <c r="D1034" s="2013"/>
      <c r="E1034" s="2014"/>
      <c r="F1034" s="2014"/>
      <c r="G1034" s="2014"/>
      <c r="H1034" s="2014"/>
      <c r="I1034" s="2015"/>
      <c r="J1034" s="2016"/>
      <c r="K1034" s="2017"/>
      <c r="L1034" s="1962"/>
      <c r="M1034" s="2007" t="s">
        <v>1524</v>
      </c>
      <c r="N1034" s="2008"/>
      <c r="O1034" s="2008"/>
      <c r="P1034" s="2008"/>
      <c r="Q1034" s="2009"/>
      <c r="R1034" s="1345">
        <f>R1032-R1033</f>
        <v>0</v>
      </c>
      <c r="S1034" s="1346" t="str">
        <f>L1032</f>
        <v>m²</v>
      </c>
      <c r="T1034" s="373"/>
      <c r="U1034" s="486"/>
      <c r="V1034" s="1418">
        <f>R1034</f>
        <v>0</v>
      </c>
      <c r="AB1034" s="15"/>
    </row>
    <row r="1035" spans="1:36" s="77" customFormat="1" ht="15.6" hidden="1">
      <c r="A1035" s="370"/>
      <c r="B1035" s="1347"/>
      <c r="C1035" s="1348"/>
      <c r="D1035" s="1349"/>
      <c r="E1035" s="1350"/>
      <c r="F1035" s="1349"/>
      <c r="G1035" s="1349"/>
      <c r="H1035" s="1349"/>
      <c r="I1035" s="1349"/>
      <c r="J1035" s="1351"/>
      <c r="K1035" s="1352"/>
      <c r="L1035" s="1353"/>
      <c r="M1035" s="1354"/>
      <c r="N1035" s="1354"/>
      <c r="O1035" s="1354"/>
      <c r="P1035" s="1354"/>
      <c r="Q1035" s="1354"/>
      <c r="R1035" s="1355"/>
      <c r="S1035" s="1356"/>
      <c r="T1035" s="1357"/>
      <c r="U1035" s="1358"/>
      <c r="V1035" s="1420">
        <f>SUM(V1026:V1034)</f>
        <v>0</v>
      </c>
      <c r="AB1035" s="15"/>
    </row>
    <row r="1036" spans="1:36" s="352" customFormat="1" ht="15.6" hidden="1">
      <c r="A1036" s="351"/>
      <c r="B1036" s="1963" t="str">
        <f>VLOOKUP(A1044,'11 - FINANCEIRA'!_xlnm.Print_Area,1,FALSE)</f>
        <v>2.3.2.5</v>
      </c>
      <c r="C1036" s="1965" t="str">
        <f>VLOOKUP(A1044,'11 - FINANCEIRA'!_xlnm.Print_Area,3,FALSE)</f>
        <v>Peitoril em marmore branco, largura de 15cm, assentado com argamassa traco 1:4 (cimento e areia media), preparo manual da argamassa</v>
      </c>
      <c r="D1036" s="1967" t="s">
        <v>1503</v>
      </c>
      <c r="E1036" s="1968"/>
      <c r="F1036" s="1968"/>
      <c r="G1036" s="1968"/>
      <c r="H1036" s="1968"/>
      <c r="I1036" s="1969"/>
      <c r="J1036" s="1914" t="s">
        <v>1504</v>
      </c>
      <c r="K1036" s="1914" t="s">
        <v>1505</v>
      </c>
      <c r="L1036" s="1914" t="s">
        <v>1506</v>
      </c>
      <c r="M1036" s="1914" t="s">
        <v>1507</v>
      </c>
      <c r="N1036" s="1914" t="s">
        <v>1508</v>
      </c>
      <c r="O1036" s="1914" t="s">
        <v>1509</v>
      </c>
      <c r="P1036" s="1341" t="s">
        <v>1510</v>
      </c>
      <c r="Q1036" s="1914" t="s">
        <v>1493</v>
      </c>
      <c r="R1036" s="1916" t="s">
        <v>804</v>
      </c>
      <c r="S1036" s="1914" t="s">
        <v>1511</v>
      </c>
      <c r="T1036" s="1914" t="s">
        <v>1512</v>
      </c>
      <c r="U1036" s="1918" t="s">
        <v>1513</v>
      </c>
      <c r="V1036" s="1418">
        <f t="shared" ref="V1036:V1043" si="109">V1037</f>
        <v>0</v>
      </c>
      <c r="W1036" s="16"/>
      <c r="X1036" s="16"/>
      <c r="Y1036" s="16"/>
      <c r="Z1036" s="17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</row>
    <row r="1037" spans="1:36" s="352" customFormat="1" ht="15.6" hidden="1">
      <c r="A1037" s="351"/>
      <c r="B1037" s="1964" t="e">
        <f>LEFT(#REF!,5)</f>
        <v>#REF!</v>
      </c>
      <c r="C1037" s="1966" t="e">
        <f>VLOOKUP(LEFT(#REF!,5),'11 - FINANCEIRA'!_xlnm.Print_Area,2,FALSE)</f>
        <v>#REF!</v>
      </c>
      <c r="D1037" s="1920" t="s">
        <v>1514</v>
      </c>
      <c r="E1037" s="1921"/>
      <c r="F1037" s="1922"/>
      <c r="G1037" s="1923" t="s">
        <v>1515</v>
      </c>
      <c r="H1037" s="1924"/>
      <c r="I1037" s="1925"/>
      <c r="J1037" s="1915"/>
      <c r="K1037" s="1915"/>
      <c r="L1037" s="1915"/>
      <c r="M1037" s="1915"/>
      <c r="N1037" s="1915"/>
      <c r="O1037" s="1915"/>
      <c r="P1037" s="353" t="s">
        <v>1516</v>
      </c>
      <c r="Q1037" s="1915"/>
      <c r="R1037" s="1917"/>
      <c r="S1037" s="1915"/>
      <c r="T1037" s="1915"/>
      <c r="U1037" s="1919"/>
      <c r="V1037" s="1418">
        <f t="shared" si="109"/>
        <v>0</v>
      </c>
      <c r="W1037" s="16"/>
      <c r="X1037" s="16"/>
      <c r="Y1037" s="16"/>
      <c r="Z1037" s="17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</row>
    <row r="1038" spans="1:36" s="361" customFormat="1" ht="15" hidden="1" customHeight="1">
      <c r="A1038" s="354"/>
      <c r="B1038" s="355"/>
      <c r="C1038" s="32" t="s">
        <v>906</v>
      </c>
      <c r="D1038" s="33"/>
      <c r="E1038" s="34"/>
      <c r="F1038" s="35"/>
      <c r="G1038" s="33"/>
      <c r="H1038" s="34"/>
      <c r="I1038" s="35"/>
      <c r="J1038" s="43"/>
      <c r="K1038" s="42"/>
      <c r="L1038" s="39"/>
      <c r="M1038" s="41"/>
      <c r="N1038" s="356"/>
      <c r="O1038" s="40"/>
      <c r="P1038" s="39"/>
      <c r="Q1038" s="45"/>
      <c r="R1038" s="1359">
        <v>3.6</v>
      </c>
      <c r="S1038" s="1265" t="s">
        <v>809</v>
      </c>
      <c r="T1038" s="46" t="s">
        <v>329</v>
      </c>
      <c r="U1038" s="44"/>
      <c r="V1038" s="1418">
        <f t="shared" si="109"/>
        <v>0</v>
      </c>
      <c r="W1038" s="357"/>
      <c r="X1038" s="357"/>
      <c r="Y1038" s="357"/>
      <c r="Z1038" s="358"/>
      <c r="AA1038" s="359"/>
      <c r="AB1038" s="360"/>
    </row>
    <row r="1039" spans="1:36" s="361" customFormat="1" ht="15" hidden="1" customHeight="1">
      <c r="A1039" s="354"/>
      <c r="B1039" s="355"/>
      <c r="C1039" s="32"/>
      <c r="D1039" s="33"/>
      <c r="E1039" s="34"/>
      <c r="F1039" s="35"/>
      <c r="G1039" s="33"/>
      <c r="H1039" s="34"/>
      <c r="I1039" s="35"/>
      <c r="J1039" s="43"/>
      <c r="K1039" s="42"/>
      <c r="L1039" s="39"/>
      <c r="M1039" s="41"/>
      <c r="N1039" s="356"/>
      <c r="O1039" s="40"/>
      <c r="P1039" s="39"/>
      <c r="Q1039" s="45"/>
      <c r="R1039" s="362"/>
      <c r="S1039" s="363"/>
      <c r="T1039" s="46"/>
      <c r="U1039" s="44"/>
      <c r="V1039" s="1418">
        <f t="shared" si="109"/>
        <v>0</v>
      </c>
      <c r="W1039" s="357"/>
      <c r="X1039" s="357"/>
      <c r="Y1039" s="357"/>
      <c r="Z1039" s="358"/>
      <c r="AA1039" s="359"/>
      <c r="AB1039" s="360"/>
    </row>
    <row r="1040" spans="1:36" s="369" customFormat="1" ht="15" hidden="1">
      <c r="A1040" s="364"/>
      <c r="B1040" s="355"/>
      <c r="C1040" s="32"/>
      <c r="D1040" s="33"/>
      <c r="E1040" s="34"/>
      <c r="F1040" s="35"/>
      <c r="G1040" s="33"/>
      <c r="H1040" s="34"/>
      <c r="I1040" s="35"/>
      <c r="J1040" s="43"/>
      <c r="K1040" s="42"/>
      <c r="L1040" s="39"/>
      <c r="M1040" s="41"/>
      <c r="N1040" s="40"/>
      <c r="O1040" s="40"/>
      <c r="P1040" s="39"/>
      <c r="Q1040" s="38"/>
      <c r="R1040" s="365"/>
      <c r="S1040" s="366"/>
      <c r="T1040" s="46"/>
      <c r="U1040" s="44"/>
      <c r="V1040" s="1418">
        <f t="shared" si="109"/>
        <v>0</v>
      </c>
      <c r="W1040" s="367"/>
      <c r="X1040" s="367"/>
      <c r="Y1040" s="367"/>
      <c r="Z1040" s="368"/>
    </row>
    <row r="1041" spans="1:36" s="77" customFormat="1" ht="15" hidden="1">
      <c r="A1041" s="370"/>
      <c r="B1041" s="29"/>
      <c r="C1041" s="30"/>
      <c r="D1041" s="18"/>
      <c r="E1041" s="19"/>
      <c r="F1041" s="20"/>
      <c r="G1041" s="18"/>
      <c r="H1041" s="19"/>
      <c r="I1041" s="20"/>
      <c r="J1041" s="21"/>
      <c r="K1041" s="22"/>
      <c r="L1041" s="23"/>
      <c r="M1041" s="24"/>
      <c r="N1041" s="25"/>
      <c r="O1041" s="25"/>
      <c r="P1041" s="23"/>
      <c r="Q1041" s="26"/>
      <c r="R1041" s="371"/>
      <c r="S1041" s="27"/>
      <c r="T1041" s="372"/>
      <c r="U1041" s="31"/>
      <c r="V1041" s="1418">
        <f t="shared" si="109"/>
        <v>0</v>
      </c>
      <c r="AB1041" s="15"/>
    </row>
    <row r="1042" spans="1:36" s="77" customFormat="1" ht="15.6" hidden="1">
      <c r="A1042" s="370"/>
      <c r="B1042" s="499"/>
      <c r="C1042" s="37"/>
      <c r="D1042" s="1929" t="s">
        <v>1520</v>
      </c>
      <c r="E1042" s="1930"/>
      <c r="F1042" s="1930"/>
      <c r="G1042" s="1930"/>
      <c r="H1042" s="1930"/>
      <c r="I1042" s="1931"/>
      <c r="J1042" s="1932">
        <f>VLOOKUP(A1044,'11 - FINANCEIRA'!_xlnm.Print_Area,6,FALSE)</f>
        <v>3.6</v>
      </c>
      <c r="K1042" s="1933"/>
      <c r="L1042" s="1343" t="str">
        <f>VLOOKUP(A1044,'11 - FINANCEIRA'!_xlnm.Print_Area,4,FALSE)</f>
        <v>m</v>
      </c>
      <c r="M1042" s="1934" t="s">
        <v>1521</v>
      </c>
      <c r="N1042" s="1935"/>
      <c r="O1042" s="1935"/>
      <c r="P1042" s="1935"/>
      <c r="Q1042" s="1936"/>
      <c r="R1042" s="726">
        <f>SUM(R1038:R1041)</f>
        <v>3.6</v>
      </c>
      <c r="S1042" s="1344" t="str">
        <f>L1042</f>
        <v>m</v>
      </c>
      <c r="T1042" s="373"/>
      <c r="U1042" s="486"/>
      <c r="V1042" s="1418">
        <f t="shared" si="109"/>
        <v>0</v>
      </c>
      <c r="AB1042" s="15"/>
    </row>
    <row r="1043" spans="1:36" s="77" customFormat="1" ht="15.6" hidden="1">
      <c r="A1043" s="370"/>
      <c r="B1043" s="499"/>
      <c r="C1043" s="725"/>
      <c r="D1043" s="1937" t="s">
        <v>1522</v>
      </c>
      <c r="E1043" s="1938"/>
      <c r="F1043" s="1938"/>
      <c r="G1043" s="1938"/>
      <c r="H1043" s="1938"/>
      <c r="I1043" s="1939"/>
      <c r="J1043" s="1943">
        <f>R1042/J1042</f>
        <v>1</v>
      </c>
      <c r="K1043" s="1944"/>
      <c r="L1043" s="1947"/>
      <c r="M1043" s="1934" t="s">
        <v>1523</v>
      </c>
      <c r="N1043" s="1935"/>
      <c r="O1043" s="1935"/>
      <c r="P1043" s="1935"/>
      <c r="Q1043" s="1936"/>
      <c r="R1043" s="726">
        <f>VLOOKUP(A1044,'11 - FINANCEIRA'!_xlnm.Print_Area,8,FALSE)</f>
        <v>3.6</v>
      </c>
      <c r="S1043" s="727" t="str">
        <f>L1042</f>
        <v>m</v>
      </c>
      <c r="T1043" s="373"/>
      <c r="U1043" s="486"/>
      <c r="V1043" s="1418">
        <f t="shared" si="109"/>
        <v>0</v>
      </c>
      <c r="AB1043" s="15"/>
    </row>
    <row r="1044" spans="1:36" s="77" customFormat="1" ht="15.6" hidden="1">
      <c r="A1044" s="364" t="s">
        <v>397</v>
      </c>
      <c r="B1044" s="499"/>
      <c r="C1044" s="37"/>
      <c r="D1044" s="2013"/>
      <c r="E1044" s="2014"/>
      <c r="F1044" s="2014"/>
      <c r="G1044" s="2014"/>
      <c r="H1044" s="2014"/>
      <c r="I1044" s="2015"/>
      <c r="J1044" s="2016"/>
      <c r="K1044" s="2017"/>
      <c r="L1044" s="1962"/>
      <c r="M1044" s="2007" t="s">
        <v>1524</v>
      </c>
      <c r="N1044" s="2008"/>
      <c r="O1044" s="2008"/>
      <c r="P1044" s="2008"/>
      <c r="Q1044" s="2009"/>
      <c r="R1044" s="1345">
        <f>R1042-R1043</f>
        <v>0</v>
      </c>
      <c r="S1044" s="1346" t="str">
        <f>L1042</f>
        <v>m</v>
      </c>
      <c r="T1044" s="373"/>
      <c r="U1044" s="486"/>
      <c r="V1044" s="1418">
        <f>R1044</f>
        <v>0</v>
      </c>
      <c r="AB1044" s="15"/>
    </row>
    <row r="1045" spans="1:36" s="77" customFormat="1" ht="15.6" hidden="1">
      <c r="A1045" s="370"/>
      <c r="B1045" s="1347"/>
      <c r="C1045" s="1348"/>
      <c r="D1045" s="1349"/>
      <c r="E1045" s="1350"/>
      <c r="F1045" s="1349"/>
      <c r="G1045" s="1349"/>
      <c r="H1045" s="1349"/>
      <c r="I1045" s="1349"/>
      <c r="J1045" s="1351"/>
      <c r="K1045" s="1352"/>
      <c r="L1045" s="1353"/>
      <c r="M1045" s="1354"/>
      <c r="N1045" s="1354"/>
      <c r="O1045" s="1354"/>
      <c r="P1045" s="1354"/>
      <c r="Q1045" s="1354"/>
      <c r="R1045" s="1355"/>
      <c r="S1045" s="1356"/>
      <c r="T1045" s="1357"/>
      <c r="U1045" s="1358"/>
      <c r="V1045" s="1420">
        <f>SUM(V1036:V1044)</f>
        <v>0</v>
      </c>
      <c r="AB1045" s="15"/>
    </row>
    <row r="1046" spans="1:36" s="352" customFormat="1" ht="15.6" hidden="1">
      <c r="A1046" s="351"/>
      <c r="B1046" s="1963" t="str">
        <f>VLOOKUP(A1054,'11 - FINANCEIRA'!_xlnm.Print_Area,1,FALSE)</f>
        <v>2.3.2.6</v>
      </c>
      <c r="C1046" s="1965" t="str">
        <f>VLOOKUP(A1054,'11 - FINANCEIRA'!_xlnm.Print_Area,3,FALSE)</f>
        <v>Cobogó ceramico (elemento vazado), 9x20x20cm, assentado com argamassa traco 1:4 de cimento e areia</v>
      </c>
      <c r="D1046" s="1967" t="s">
        <v>1503</v>
      </c>
      <c r="E1046" s="1968"/>
      <c r="F1046" s="1968"/>
      <c r="G1046" s="1968"/>
      <c r="H1046" s="1968"/>
      <c r="I1046" s="1969"/>
      <c r="J1046" s="1914" t="s">
        <v>1504</v>
      </c>
      <c r="K1046" s="1914" t="s">
        <v>1505</v>
      </c>
      <c r="L1046" s="1914" t="s">
        <v>1506</v>
      </c>
      <c r="M1046" s="1914" t="s">
        <v>1507</v>
      </c>
      <c r="N1046" s="1914" t="s">
        <v>1508</v>
      </c>
      <c r="O1046" s="1914" t="s">
        <v>1509</v>
      </c>
      <c r="P1046" s="1341" t="s">
        <v>1510</v>
      </c>
      <c r="Q1046" s="1914" t="s">
        <v>1493</v>
      </c>
      <c r="R1046" s="1916" t="s">
        <v>804</v>
      </c>
      <c r="S1046" s="1914" t="s">
        <v>1511</v>
      </c>
      <c r="T1046" s="1914" t="s">
        <v>1512</v>
      </c>
      <c r="U1046" s="1918" t="s">
        <v>1513</v>
      </c>
      <c r="V1046" s="1418">
        <f t="shared" ref="V1046:V1053" si="110">V1047</f>
        <v>0</v>
      </c>
      <c r="W1046" s="16"/>
      <c r="X1046" s="16"/>
      <c r="Y1046" s="16"/>
      <c r="Z1046" s="17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</row>
    <row r="1047" spans="1:36" s="352" customFormat="1" ht="15.6" hidden="1">
      <c r="A1047" s="351"/>
      <c r="B1047" s="1964" t="e">
        <f>LEFT(#REF!,5)</f>
        <v>#REF!</v>
      </c>
      <c r="C1047" s="1966" t="e">
        <f>VLOOKUP(LEFT(#REF!,5),'11 - FINANCEIRA'!_xlnm.Print_Area,2,FALSE)</f>
        <v>#REF!</v>
      </c>
      <c r="D1047" s="1920" t="s">
        <v>1514</v>
      </c>
      <c r="E1047" s="1921"/>
      <c r="F1047" s="1922"/>
      <c r="G1047" s="1923" t="s">
        <v>1515</v>
      </c>
      <c r="H1047" s="1924"/>
      <c r="I1047" s="1925"/>
      <c r="J1047" s="1915"/>
      <c r="K1047" s="1915"/>
      <c r="L1047" s="1915"/>
      <c r="M1047" s="1915"/>
      <c r="N1047" s="1915"/>
      <c r="O1047" s="1915"/>
      <c r="P1047" s="353" t="s">
        <v>1516</v>
      </c>
      <c r="Q1047" s="1915"/>
      <c r="R1047" s="1917"/>
      <c r="S1047" s="1915"/>
      <c r="T1047" s="1915"/>
      <c r="U1047" s="1919"/>
      <c r="V1047" s="1418">
        <f t="shared" si="110"/>
        <v>0</v>
      </c>
      <c r="W1047" s="16"/>
      <c r="X1047" s="16"/>
      <c r="Y1047" s="16"/>
      <c r="Z1047" s="17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</row>
    <row r="1048" spans="1:36" s="361" customFormat="1" ht="30" hidden="1">
      <c r="A1048" s="354"/>
      <c r="B1048" s="355"/>
      <c r="C1048" s="32" t="s">
        <v>908</v>
      </c>
      <c r="D1048" s="33"/>
      <c r="E1048" s="34"/>
      <c r="F1048" s="35"/>
      <c r="G1048" s="33"/>
      <c r="H1048" s="34"/>
      <c r="I1048" s="35"/>
      <c r="J1048" s="43"/>
      <c r="K1048" s="42"/>
      <c r="L1048" s="39">
        <v>0.8</v>
      </c>
      <c r="M1048" s="41">
        <v>0.4</v>
      </c>
      <c r="N1048" s="356">
        <f>L1048*M1048</f>
        <v>0.32000000000000006</v>
      </c>
      <c r="O1048" s="40"/>
      <c r="P1048" s="39"/>
      <c r="Q1048" s="45"/>
      <c r="R1048" s="1359">
        <v>0.32</v>
      </c>
      <c r="S1048" s="1265" t="s">
        <v>821</v>
      </c>
      <c r="T1048" s="46" t="s">
        <v>328</v>
      </c>
      <c r="U1048" s="44"/>
      <c r="V1048" s="1418">
        <f t="shared" si="110"/>
        <v>0</v>
      </c>
      <c r="W1048" s="357"/>
      <c r="X1048" s="357"/>
      <c r="Y1048" s="357"/>
      <c r="Z1048" s="358"/>
      <c r="AA1048" s="359"/>
      <c r="AB1048" s="360"/>
    </row>
    <row r="1049" spans="1:36" s="361" customFormat="1" ht="15" hidden="1" customHeight="1">
      <c r="A1049" s="354"/>
      <c r="B1049" s="355"/>
      <c r="C1049" s="32"/>
      <c r="D1049" s="33"/>
      <c r="E1049" s="34"/>
      <c r="F1049" s="35"/>
      <c r="G1049" s="33"/>
      <c r="H1049" s="34"/>
      <c r="I1049" s="35"/>
      <c r="J1049" s="43"/>
      <c r="K1049" s="42"/>
      <c r="L1049" s="39"/>
      <c r="M1049" s="41"/>
      <c r="N1049" s="356"/>
      <c r="O1049" s="40"/>
      <c r="P1049" s="39"/>
      <c r="Q1049" s="45"/>
      <c r="R1049" s="362"/>
      <c r="S1049" s="363"/>
      <c r="T1049" s="46"/>
      <c r="U1049" s="44"/>
      <c r="V1049" s="1418">
        <f t="shared" si="110"/>
        <v>0</v>
      </c>
      <c r="W1049" s="357"/>
      <c r="X1049" s="357"/>
      <c r="Y1049" s="357"/>
      <c r="Z1049" s="358"/>
      <c r="AA1049" s="359"/>
      <c r="AB1049" s="360"/>
    </row>
    <row r="1050" spans="1:36" s="369" customFormat="1" ht="15" hidden="1">
      <c r="A1050" s="364"/>
      <c r="B1050" s="355"/>
      <c r="C1050" s="32"/>
      <c r="D1050" s="33"/>
      <c r="E1050" s="34"/>
      <c r="F1050" s="35"/>
      <c r="G1050" s="33"/>
      <c r="H1050" s="34"/>
      <c r="I1050" s="35"/>
      <c r="J1050" s="43"/>
      <c r="K1050" s="42"/>
      <c r="L1050" s="39"/>
      <c r="M1050" s="41"/>
      <c r="N1050" s="40"/>
      <c r="O1050" s="40"/>
      <c r="P1050" s="39"/>
      <c r="Q1050" s="38"/>
      <c r="R1050" s="365"/>
      <c r="S1050" s="366"/>
      <c r="T1050" s="46"/>
      <c r="U1050" s="44"/>
      <c r="V1050" s="1418">
        <f t="shared" si="110"/>
        <v>0</v>
      </c>
      <c r="W1050" s="367"/>
      <c r="X1050" s="367"/>
      <c r="Y1050" s="367"/>
      <c r="Z1050" s="368"/>
    </row>
    <row r="1051" spans="1:36" s="77" customFormat="1" ht="15" hidden="1">
      <c r="A1051" s="370"/>
      <c r="B1051" s="29"/>
      <c r="C1051" s="30"/>
      <c r="D1051" s="18"/>
      <c r="E1051" s="19"/>
      <c r="F1051" s="20"/>
      <c r="G1051" s="18"/>
      <c r="H1051" s="19"/>
      <c r="I1051" s="20"/>
      <c r="J1051" s="21"/>
      <c r="K1051" s="22"/>
      <c r="L1051" s="23"/>
      <c r="M1051" s="24"/>
      <c r="N1051" s="25"/>
      <c r="O1051" s="25"/>
      <c r="P1051" s="23"/>
      <c r="Q1051" s="26"/>
      <c r="R1051" s="371"/>
      <c r="S1051" s="27"/>
      <c r="T1051" s="372"/>
      <c r="U1051" s="31"/>
      <c r="V1051" s="1418">
        <f t="shared" si="110"/>
        <v>0</v>
      </c>
      <c r="AB1051" s="15"/>
    </row>
    <row r="1052" spans="1:36" s="77" customFormat="1" ht="15.6" hidden="1">
      <c r="A1052" s="370"/>
      <c r="B1052" s="499"/>
      <c r="C1052" s="37"/>
      <c r="D1052" s="1929" t="s">
        <v>1520</v>
      </c>
      <c r="E1052" s="1930"/>
      <c r="F1052" s="1930"/>
      <c r="G1052" s="1930"/>
      <c r="H1052" s="1930"/>
      <c r="I1052" s="1931"/>
      <c r="J1052" s="1932">
        <f>VLOOKUP(A1054,'11 - FINANCEIRA'!_xlnm.Print_Area,6,FALSE)</f>
        <v>0.32</v>
      </c>
      <c r="K1052" s="1933"/>
      <c r="L1052" s="1343" t="str">
        <f>VLOOKUP(A1054,'11 - FINANCEIRA'!_xlnm.Print_Area,4,FALSE)</f>
        <v>m²</v>
      </c>
      <c r="M1052" s="1934" t="s">
        <v>1521</v>
      </c>
      <c r="N1052" s="1935"/>
      <c r="O1052" s="1935"/>
      <c r="P1052" s="1935"/>
      <c r="Q1052" s="1936"/>
      <c r="R1052" s="726">
        <f>SUM(R1048:R1051)</f>
        <v>0.32</v>
      </c>
      <c r="S1052" s="1344" t="str">
        <f>L1052</f>
        <v>m²</v>
      </c>
      <c r="T1052" s="373"/>
      <c r="U1052" s="486"/>
      <c r="V1052" s="1418">
        <f t="shared" si="110"/>
        <v>0</v>
      </c>
      <c r="AB1052" s="15"/>
    </row>
    <row r="1053" spans="1:36" s="77" customFormat="1" ht="15.6" hidden="1">
      <c r="A1053" s="370"/>
      <c r="B1053" s="499"/>
      <c r="C1053" s="725"/>
      <c r="D1053" s="1937" t="s">
        <v>1522</v>
      </c>
      <c r="E1053" s="1938"/>
      <c r="F1053" s="1938"/>
      <c r="G1053" s="1938"/>
      <c r="H1053" s="1938"/>
      <c r="I1053" s="1939"/>
      <c r="J1053" s="1943">
        <f>R1052/J1052</f>
        <v>1</v>
      </c>
      <c r="K1053" s="1944"/>
      <c r="L1053" s="1947"/>
      <c r="M1053" s="1934" t="s">
        <v>1523</v>
      </c>
      <c r="N1053" s="1935"/>
      <c r="O1053" s="1935"/>
      <c r="P1053" s="1935"/>
      <c r="Q1053" s="1936"/>
      <c r="R1053" s="726">
        <f>VLOOKUP(A1054,'11 - FINANCEIRA'!_xlnm.Print_Area,8,FALSE)</f>
        <v>0.32</v>
      </c>
      <c r="S1053" s="727" t="str">
        <f>L1052</f>
        <v>m²</v>
      </c>
      <c r="T1053" s="373"/>
      <c r="U1053" s="486"/>
      <c r="V1053" s="1418">
        <f t="shared" si="110"/>
        <v>0</v>
      </c>
      <c r="AB1053" s="15"/>
    </row>
    <row r="1054" spans="1:36" s="77" customFormat="1" ht="15.6" hidden="1">
      <c r="A1054" s="364" t="s">
        <v>398</v>
      </c>
      <c r="B1054" s="499"/>
      <c r="C1054" s="37"/>
      <c r="D1054" s="2013"/>
      <c r="E1054" s="2014"/>
      <c r="F1054" s="2014"/>
      <c r="G1054" s="2014"/>
      <c r="H1054" s="2014"/>
      <c r="I1054" s="2015"/>
      <c r="J1054" s="2016"/>
      <c r="K1054" s="2017"/>
      <c r="L1054" s="1962"/>
      <c r="M1054" s="2007" t="s">
        <v>1524</v>
      </c>
      <c r="N1054" s="2008"/>
      <c r="O1054" s="2008"/>
      <c r="P1054" s="2008"/>
      <c r="Q1054" s="2009"/>
      <c r="R1054" s="1345">
        <f>R1052-R1053</f>
        <v>0</v>
      </c>
      <c r="S1054" s="1346" t="str">
        <f>L1052</f>
        <v>m²</v>
      </c>
      <c r="T1054" s="373"/>
      <c r="U1054" s="486"/>
      <c r="V1054" s="1418">
        <f>R1054</f>
        <v>0</v>
      </c>
      <c r="AB1054" s="15"/>
    </row>
    <row r="1055" spans="1:36" s="77" customFormat="1" ht="15.6" hidden="1">
      <c r="A1055" s="370"/>
      <c r="B1055" s="1347"/>
      <c r="C1055" s="1348"/>
      <c r="D1055" s="1349"/>
      <c r="E1055" s="1350"/>
      <c r="F1055" s="1349"/>
      <c r="G1055" s="1349"/>
      <c r="H1055" s="1349"/>
      <c r="I1055" s="1349"/>
      <c r="J1055" s="1351"/>
      <c r="K1055" s="1352"/>
      <c r="L1055" s="1353"/>
      <c r="M1055" s="1354"/>
      <c r="N1055" s="1354"/>
      <c r="O1055" s="1354"/>
      <c r="P1055" s="1354"/>
      <c r="Q1055" s="1354"/>
      <c r="R1055" s="1355"/>
      <c r="S1055" s="1356"/>
      <c r="T1055" s="1357"/>
      <c r="U1055" s="1358"/>
      <c r="V1055" s="1420">
        <f>SUM(V1046:V1054)</f>
        <v>0</v>
      </c>
      <c r="AB1055" s="15"/>
    </row>
    <row r="1056" spans="1:36" s="352" customFormat="1" ht="15.6" hidden="1">
      <c r="A1056" s="351"/>
      <c r="B1056" s="1963" t="str">
        <f>VLOOKUP(A1064,'11 - FINANCEIRA'!_xlnm.Print_Area,1,FALSE)</f>
        <v>2.3.2.7</v>
      </c>
      <c r="C1056" s="1965" t="str">
        <f>VLOOKUP(A1064,'11 - FINANCEIRA'!_xlnm.Print_Area,3,FALSE)</f>
        <v>Telhamento com telha cerâmica capa-canal, tipo colonial, com até 2 águas, incluso transporte vertical. af_07/2019</v>
      </c>
      <c r="D1056" s="1967" t="s">
        <v>1503</v>
      </c>
      <c r="E1056" s="1968"/>
      <c r="F1056" s="1968"/>
      <c r="G1056" s="1968"/>
      <c r="H1056" s="1968"/>
      <c r="I1056" s="1969"/>
      <c r="J1056" s="1914" t="s">
        <v>1504</v>
      </c>
      <c r="K1056" s="1914" t="s">
        <v>1505</v>
      </c>
      <c r="L1056" s="1914" t="s">
        <v>1506</v>
      </c>
      <c r="M1056" s="1914" t="s">
        <v>1507</v>
      </c>
      <c r="N1056" s="1914" t="s">
        <v>1508</v>
      </c>
      <c r="O1056" s="1914" t="s">
        <v>1509</v>
      </c>
      <c r="P1056" s="1341" t="s">
        <v>1510</v>
      </c>
      <c r="Q1056" s="1914" t="s">
        <v>1493</v>
      </c>
      <c r="R1056" s="1916" t="s">
        <v>804</v>
      </c>
      <c r="S1056" s="1914" t="s">
        <v>1511</v>
      </c>
      <c r="T1056" s="1914" t="s">
        <v>1512</v>
      </c>
      <c r="U1056" s="1918" t="s">
        <v>1513</v>
      </c>
      <c r="V1056" s="1418">
        <f t="shared" ref="V1056:V1063" si="111">V1057</f>
        <v>0</v>
      </c>
      <c r="W1056" s="16"/>
      <c r="X1056" s="16"/>
      <c r="Y1056" s="16"/>
      <c r="Z1056" s="17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</row>
    <row r="1057" spans="1:36" s="352" customFormat="1" ht="15.6" hidden="1">
      <c r="A1057" s="351"/>
      <c r="B1057" s="1964" t="e">
        <f>LEFT(#REF!,5)</f>
        <v>#REF!</v>
      </c>
      <c r="C1057" s="1966" t="e">
        <f>VLOOKUP(LEFT(#REF!,5),'11 - FINANCEIRA'!_xlnm.Print_Area,2,FALSE)</f>
        <v>#REF!</v>
      </c>
      <c r="D1057" s="1920" t="s">
        <v>1514</v>
      </c>
      <c r="E1057" s="1921"/>
      <c r="F1057" s="1922"/>
      <c r="G1057" s="1923" t="s">
        <v>1515</v>
      </c>
      <c r="H1057" s="1924"/>
      <c r="I1057" s="1925"/>
      <c r="J1057" s="1915"/>
      <c r="K1057" s="1915"/>
      <c r="L1057" s="1915"/>
      <c r="M1057" s="1915"/>
      <c r="N1057" s="1915"/>
      <c r="O1057" s="1915"/>
      <c r="P1057" s="353" t="s">
        <v>1516</v>
      </c>
      <c r="Q1057" s="1915"/>
      <c r="R1057" s="1917"/>
      <c r="S1057" s="1915"/>
      <c r="T1057" s="1915"/>
      <c r="U1057" s="1919"/>
      <c r="V1057" s="1418">
        <f t="shared" si="111"/>
        <v>0</v>
      </c>
      <c r="W1057" s="16"/>
      <c r="X1057" s="16"/>
      <c r="Y1057" s="16"/>
      <c r="Z1057" s="17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</row>
    <row r="1058" spans="1:36" s="361" customFormat="1" ht="30" hidden="1">
      <c r="A1058" s="354"/>
      <c r="B1058" s="355"/>
      <c r="C1058" s="32" t="s">
        <v>910</v>
      </c>
      <c r="D1058" s="33"/>
      <c r="E1058" s="34"/>
      <c r="F1058" s="35"/>
      <c r="G1058" s="33"/>
      <c r="H1058" s="34"/>
      <c r="I1058" s="35"/>
      <c r="J1058" s="43"/>
      <c r="K1058" s="42"/>
      <c r="L1058" s="39"/>
      <c r="M1058" s="41"/>
      <c r="N1058" s="356"/>
      <c r="O1058" s="40"/>
      <c r="P1058" s="39"/>
      <c r="Q1058" s="45"/>
      <c r="R1058" s="1359">
        <v>34.200000000000003</v>
      </c>
      <c r="S1058" s="1265" t="s">
        <v>821</v>
      </c>
      <c r="T1058" s="46" t="s">
        <v>329</v>
      </c>
      <c r="U1058" s="44"/>
      <c r="V1058" s="1418">
        <f t="shared" si="111"/>
        <v>0</v>
      </c>
      <c r="W1058" s="357"/>
      <c r="X1058" s="357"/>
      <c r="Y1058" s="357"/>
      <c r="Z1058" s="358"/>
      <c r="AA1058" s="359"/>
      <c r="AB1058" s="360"/>
    </row>
    <row r="1059" spans="1:36" s="361" customFormat="1" ht="15" hidden="1" customHeight="1">
      <c r="A1059" s="354"/>
      <c r="B1059" s="355"/>
      <c r="C1059" s="32"/>
      <c r="D1059" s="33"/>
      <c r="E1059" s="34"/>
      <c r="F1059" s="35"/>
      <c r="G1059" s="33"/>
      <c r="H1059" s="34"/>
      <c r="I1059" s="35"/>
      <c r="J1059" s="43"/>
      <c r="K1059" s="42"/>
      <c r="L1059" s="39"/>
      <c r="M1059" s="41"/>
      <c r="N1059" s="356"/>
      <c r="O1059" s="40"/>
      <c r="P1059" s="39"/>
      <c r="Q1059" s="45"/>
      <c r="R1059" s="362"/>
      <c r="S1059" s="363"/>
      <c r="T1059" s="46"/>
      <c r="U1059" s="44"/>
      <c r="V1059" s="1418">
        <f t="shared" si="111"/>
        <v>0</v>
      </c>
      <c r="W1059" s="357"/>
      <c r="X1059" s="357"/>
      <c r="Y1059" s="357"/>
      <c r="Z1059" s="358"/>
      <c r="AA1059" s="359"/>
      <c r="AB1059" s="360"/>
    </row>
    <row r="1060" spans="1:36" s="369" customFormat="1" ht="15" hidden="1">
      <c r="A1060" s="364"/>
      <c r="B1060" s="355"/>
      <c r="C1060" s="32"/>
      <c r="D1060" s="33"/>
      <c r="E1060" s="34"/>
      <c r="F1060" s="35"/>
      <c r="G1060" s="33"/>
      <c r="H1060" s="34"/>
      <c r="I1060" s="35"/>
      <c r="J1060" s="43"/>
      <c r="K1060" s="42"/>
      <c r="L1060" s="39"/>
      <c r="M1060" s="41"/>
      <c r="N1060" s="40"/>
      <c r="O1060" s="40"/>
      <c r="P1060" s="39"/>
      <c r="Q1060" s="38"/>
      <c r="R1060" s="365"/>
      <c r="S1060" s="366"/>
      <c r="T1060" s="46"/>
      <c r="U1060" s="44"/>
      <c r="V1060" s="1418">
        <f t="shared" si="111"/>
        <v>0</v>
      </c>
      <c r="W1060" s="367"/>
      <c r="X1060" s="367"/>
      <c r="Y1060" s="367"/>
      <c r="Z1060" s="368"/>
    </row>
    <row r="1061" spans="1:36" s="77" customFormat="1" ht="15" hidden="1">
      <c r="A1061" s="370"/>
      <c r="B1061" s="29"/>
      <c r="C1061" s="30"/>
      <c r="D1061" s="18"/>
      <c r="E1061" s="19"/>
      <c r="F1061" s="20"/>
      <c r="G1061" s="18"/>
      <c r="H1061" s="19"/>
      <c r="I1061" s="20"/>
      <c r="J1061" s="21"/>
      <c r="K1061" s="22"/>
      <c r="L1061" s="23"/>
      <c r="M1061" s="24"/>
      <c r="N1061" s="25"/>
      <c r="O1061" s="25"/>
      <c r="P1061" s="23"/>
      <c r="Q1061" s="26"/>
      <c r="R1061" s="371"/>
      <c r="S1061" s="27"/>
      <c r="T1061" s="372"/>
      <c r="U1061" s="31"/>
      <c r="V1061" s="1418">
        <f t="shared" si="111"/>
        <v>0</v>
      </c>
      <c r="AB1061" s="15"/>
    </row>
    <row r="1062" spans="1:36" s="77" customFormat="1" ht="15.6" hidden="1">
      <c r="A1062" s="370"/>
      <c r="B1062" s="499"/>
      <c r="C1062" s="37"/>
      <c r="D1062" s="1929" t="s">
        <v>1520</v>
      </c>
      <c r="E1062" s="1930"/>
      <c r="F1062" s="1930"/>
      <c r="G1062" s="1930"/>
      <c r="H1062" s="1930"/>
      <c r="I1062" s="1931"/>
      <c r="J1062" s="1932">
        <f>VLOOKUP(A1064,'11 - FINANCEIRA'!_xlnm.Print_Area,6,FALSE)</f>
        <v>34.200000000000003</v>
      </c>
      <c r="K1062" s="1933"/>
      <c r="L1062" s="1343" t="str">
        <f>VLOOKUP(A1064,'11 - FINANCEIRA'!_xlnm.Print_Area,4,FALSE)</f>
        <v>m²</v>
      </c>
      <c r="M1062" s="1934" t="s">
        <v>1521</v>
      </c>
      <c r="N1062" s="1935"/>
      <c r="O1062" s="1935"/>
      <c r="P1062" s="1935"/>
      <c r="Q1062" s="1936"/>
      <c r="R1062" s="726">
        <f>SUM(R1058:R1061)</f>
        <v>34.200000000000003</v>
      </c>
      <c r="S1062" s="1344" t="str">
        <f>L1062</f>
        <v>m²</v>
      </c>
      <c r="T1062" s="373"/>
      <c r="U1062" s="486"/>
      <c r="V1062" s="1418">
        <f t="shared" si="111"/>
        <v>0</v>
      </c>
      <c r="AB1062" s="15"/>
    </row>
    <row r="1063" spans="1:36" s="77" customFormat="1" ht="15.6" hidden="1">
      <c r="A1063" s="370"/>
      <c r="B1063" s="499"/>
      <c r="C1063" s="725"/>
      <c r="D1063" s="1937" t="s">
        <v>1522</v>
      </c>
      <c r="E1063" s="1938"/>
      <c r="F1063" s="1938"/>
      <c r="G1063" s="1938"/>
      <c r="H1063" s="1938"/>
      <c r="I1063" s="1939"/>
      <c r="J1063" s="1943">
        <f>R1062/J1062</f>
        <v>1</v>
      </c>
      <c r="K1063" s="1944"/>
      <c r="L1063" s="1947"/>
      <c r="M1063" s="1934" t="s">
        <v>1523</v>
      </c>
      <c r="N1063" s="1935"/>
      <c r="O1063" s="1935"/>
      <c r="P1063" s="1935"/>
      <c r="Q1063" s="1936"/>
      <c r="R1063" s="726">
        <f>VLOOKUP(A1064,'11 - FINANCEIRA'!_xlnm.Print_Area,8,FALSE)</f>
        <v>34.200000000000003</v>
      </c>
      <c r="S1063" s="727" t="str">
        <f>L1062</f>
        <v>m²</v>
      </c>
      <c r="T1063" s="373"/>
      <c r="U1063" s="486"/>
      <c r="V1063" s="1418">
        <f t="shared" si="111"/>
        <v>0</v>
      </c>
      <c r="AB1063" s="15"/>
    </row>
    <row r="1064" spans="1:36" s="77" customFormat="1" ht="15.6" hidden="1">
      <c r="A1064" s="364" t="s">
        <v>399</v>
      </c>
      <c r="B1064" s="499"/>
      <c r="C1064" s="37"/>
      <c r="D1064" s="2013"/>
      <c r="E1064" s="2014"/>
      <c r="F1064" s="2014"/>
      <c r="G1064" s="2014"/>
      <c r="H1064" s="2014"/>
      <c r="I1064" s="2015"/>
      <c r="J1064" s="2016"/>
      <c r="K1064" s="2017"/>
      <c r="L1064" s="1962"/>
      <c r="M1064" s="2007" t="s">
        <v>1524</v>
      </c>
      <c r="N1064" s="2008"/>
      <c r="O1064" s="2008"/>
      <c r="P1064" s="2008"/>
      <c r="Q1064" s="2009"/>
      <c r="R1064" s="1345">
        <f>R1062-R1063</f>
        <v>0</v>
      </c>
      <c r="S1064" s="1346" t="str">
        <f>L1062</f>
        <v>m²</v>
      </c>
      <c r="T1064" s="373"/>
      <c r="U1064" s="486"/>
      <c r="V1064" s="1418">
        <f>R1064</f>
        <v>0</v>
      </c>
      <c r="AB1064" s="15"/>
    </row>
    <row r="1065" spans="1:36" s="77" customFormat="1" ht="15.6" hidden="1">
      <c r="A1065" s="370"/>
      <c r="B1065" s="1347"/>
      <c r="C1065" s="1348"/>
      <c r="D1065" s="1349"/>
      <c r="E1065" s="1350"/>
      <c r="F1065" s="1349"/>
      <c r="G1065" s="1349"/>
      <c r="H1065" s="1349"/>
      <c r="I1065" s="1349"/>
      <c r="J1065" s="1351"/>
      <c r="K1065" s="1352"/>
      <c r="L1065" s="1353"/>
      <c r="M1065" s="1354"/>
      <c r="N1065" s="1354"/>
      <c r="O1065" s="1354"/>
      <c r="P1065" s="1354"/>
      <c r="Q1065" s="1354"/>
      <c r="R1065" s="1355"/>
      <c r="S1065" s="1356"/>
      <c r="T1065" s="1357"/>
      <c r="U1065" s="1358"/>
      <c r="V1065" s="1420">
        <f>SUM(V1056:V1064)</f>
        <v>0</v>
      </c>
      <c r="AB1065" s="15"/>
    </row>
    <row r="1066" spans="1:36" s="352" customFormat="1" ht="15.6" hidden="1">
      <c r="A1066" s="351"/>
      <c r="B1066" s="1963" t="str">
        <f>VLOOKUP(A1074,'11 - FINANCEIRA'!_xlnm.Print_Area,1,FALSE)</f>
        <v>2.3.2.8</v>
      </c>
      <c r="C1066" s="1965" t="str">
        <f>VLOOKUP(A1074,'11 - FINANCEIRA'!_xlnm.Print_Area,3,FALSE)</f>
        <v>Fabricação e instalação de estrutura pontaletada de madeira não aparelhada para telhados com até 2 águas e para telha cerâmica ou de concreto, incluso transporte vertical. af_12/2015</v>
      </c>
      <c r="D1066" s="1967" t="s">
        <v>1503</v>
      </c>
      <c r="E1066" s="1968"/>
      <c r="F1066" s="1968"/>
      <c r="G1066" s="1968"/>
      <c r="H1066" s="1968"/>
      <c r="I1066" s="1969"/>
      <c r="J1066" s="1914" t="s">
        <v>1504</v>
      </c>
      <c r="K1066" s="1914" t="s">
        <v>1505</v>
      </c>
      <c r="L1066" s="1914" t="s">
        <v>1506</v>
      </c>
      <c r="M1066" s="1914" t="s">
        <v>1507</v>
      </c>
      <c r="N1066" s="1914" t="s">
        <v>1508</v>
      </c>
      <c r="O1066" s="1914" t="s">
        <v>1509</v>
      </c>
      <c r="P1066" s="1341" t="s">
        <v>1510</v>
      </c>
      <c r="Q1066" s="1914" t="s">
        <v>1493</v>
      </c>
      <c r="R1066" s="1916" t="s">
        <v>804</v>
      </c>
      <c r="S1066" s="1914" t="s">
        <v>1511</v>
      </c>
      <c r="T1066" s="1914" t="s">
        <v>1512</v>
      </c>
      <c r="U1066" s="1918" t="s">
        <v>1513</v>
      </c>
      <c r="V1066" s="1418">
        <f t="shared" ref="V1066:V1073" si="112">V1067</f>
        <v>0</v>
      </c>
      <c r="W1066" s="16"/>
      <c r="X1066" s="16"/>
      <c r="Y1066" s="16"/>
      <c r="Z1066" s="17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</row>
    <row r="1067" spans="1:36" s="352" customFormat="1" ht="15.6" hidden="1">
      <c r="A1067" s="351"/>
      <c r="B1067" s="1964" t="e">
        <f>LEFT(#REF!,5)</f>
        <v>#REF!</v>
      </c>
      <c r="C1067" s="1966" t="e">
        <f>VLOOKUP(LEFT(#REF!,5),'11 - FINANCEIRA'!_xlnm.Print_Area,2,FALSE)</f>
        <v>#REF!</v>
      </c>
      <c r="D1067" s="1920" t="s">
        <v>1514</v>
      </c>
      <c r="E1067" s="1921"/>
      <c r="F1067" s="1922"/>
      <c r="G1067" s="1923" t="s">
        <v>1515</v>
      </c>
      <c r="H1067" s="1924"/>
      <c r="I1067" s="1925"/>
      <c r="J1067" s="1915"/>
      <c r="K1067" s="1915"/>
      <c r="L1067" s="1915"/>
      <c r="M1067" s="1915"/>
      <c r="N1067" s="1915"/>
      <c r="O1067" s="1915"/>
      <c r="P1067" s="353" t="s">
        <v>1516</v>
      </c>
      <c r="Q1067" s="1915"/>
      <c r="R1067" s="1917"/>
      <c r="S1067" s="1915"/>
      <c r="T1067" s="1915"/>
      <c r="U1067" s="1919"/>
      <c r="V1067" s="1418">
        <f t="shared" si="112"/>
        <v>0</v>
      </c>
      <c r="W1067" s="16"/>
      <c r="X1067" s="16"/>
      <c r="Y1067" s="16"/>
      <c r="Z1067" s="17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</row>
    <row r="1068" spans="1:36" s="361" customFormat="1" ht="45" hidden="1">
      <c r="A1068" s="354"/>
      <c r="B1068" s="355"/>
      <c r="C1068" s="32" t="s">
        <v>912</v>
      </c>
      <c r="D1068" s="33"/>
      <c r="E1068" s="34"/>
      <c r="F1068" s="35"/>
      <c r="G1068" s="33"/>
      <c r="H1068" s="34"/>
      <c r="I1068" s="35"/>
      <c r="J1068" s="43"/>
      <c r="K1068" s="42"/>
      <c r="L1068" s="39"/>
      <c r="M1068" s="41"/>
      <c r="N1068" s="356"/>
      <c r="O1068" s="40"/>
      <c r="P1068" s="39"/>
      <c r="Q1068" s="45"/>
      <c r="R1068" s="1359">
        <v>34.200000000000003</v>
      </c>
      <c r="S1068" s="1265" t="s">
        <v>821</v>
      </c>
      <c r="T1068" s="46" t="s">
        <v>329</v>
      </c>
      <c r="U1068" s="44"/>
      <c r="V1068" s="1418">
        <f t="shared" si="112"/>
        <v>0</v>
      </c>
      <c r="W1068" s="357"/>
      <c r="X1068" s="357"/>
      <c r="Y1068" s="357"/>
      <c r="Z1068" s="358"/>
      <c r="AA1068" s="359"/>
      <c r="AB1068" s="360"/>
    </row>
    <row r="1069" spans="1:36" s="361" customFormat="1" ht="15" hidden="1" customHeight="1">
      <c r="A1069" s="354"/>
      <c r="B1069" s="355"/>
      <c r="C1069" s="32"/>
      <c r="D1069" s="33"/>
      <c r="E1069" s="34"/>
      <c r="F1069" s="35"/>
      <c r="G1069" s="33"/>
      <c r="H1069" s="34"/>
      <c r="I1069" s="35"/>
      <c r="J1069" s="43"/>
      <c r="K1069" s="42"/>
      <c r="L1069" s="39"/>
      <c r="M1069" s="41"/>
      <c r="N1069" s="356"/>
      <c r="O1069" s="40"/>
      <c r="P1069" s="39"/>
      <c r="Q1069" s="45"/>
      <c r="R1069" s="362"/>
      <c r="S1069" s="363"/>
      <c r="T1069" s="46"/>
      <c r="U1069" s="44"/>
      <c r="V1069" s="1418">
        <f t="shared" si="112"/>
        <v>0</v>
      </c>
      <c r="W1069" s="357"/>
      <c r="X1069" s="357"/>
      <c r="Y1069" s="357"/>
      <c r="Z1069" s="358"/>
      <c r="AA1069" s="359"/>
      <c r="AB1069" s="360"/>
    </row>
    <row r="1070" spans="1:36" s="369" customFormat="1" ht="15" hidden="1">
      <c r="A1070" s="364"/>
      <c r="B1070" s="355"/>
      <c r="C1070" s="32"/>
      <c r="D1070" s="33"/>
      <c r="E1070" s="34"/>
      <c r="F1070" s="35"/>
      <c r="G1070" s="33"/>
      <c r="H1070" s="34"/>
      <c r="I1070" s="35"/>
      <c r="J1070" s="43"/>
      <c r="K1070" s="42"/>
      <c r="L1070" s="39"/>
      <c r="M1070" s="41"/>
      <c r="N1070" s="40"/>
      <c r="O1070" s="40"/>
      <c r="P1070" s="39"/>
      <c r="Q1070" s="38"/>
      <c r="R1070" s="365"/>
      <c r="S1070" s="366"/>
      <c r="T1070" s="46"/>
      <c r="U1070" s="44"/>
      <c r="V1070" s="1418">
        <f t="shared" si="112"/>
        <v>0</v>
      </c>
      <c r="W1070" s="367"/>
      <c r="X1070" s="367"/>
      <c r="Y1070" s="367"/>
      <c r="Z1070" s="368"/>
    </row>
    <row r="1071" spans="1:36" s="77" customFormat="1" ht="15" hidden="1">
      <c r="A1071" s="370"/>
      <c r="B1071" s="29"/>
      <c r="C1071" s="30"/>
      <c r="D1071" s="18"/>
      <c r="E1071" s="19"/>
      <c r="F1071" s="20"/>
      <c r="G1071" s="18"/>
      <c r="H1071" s="19"/>
      <c r="I1071" s="20"/>
      <c r="J1071" s="21"/>
      <c r="K1071" s="22"/>
      <c r="L1071" s="23"/>
      <c r="M1071" s="24"/>
      <c r="N1071" s="25"/>
      <c r="O1071" s="25"/>
      <c r="P1071" s="23"/>
      <c r="Q1071" s="26"/>
      <c r="R1071" s="371"/>
      <c r="S1071" s="27"/>
      <c r="T1071" s="372"/>
      <c r="U1071" s="31"/>
      <c r="V1071" s="1418">
        <f t="shared" si="112"/>
        <v>0</v>
      </c>
      <c r="AB1071" s="15"/>
    </row>
    <row r="1072" spans="1:36" s="77" customFormat="1" ht="15.6" hidden="1">
      <c r="A1072" s="370"/>
      <c r="B1072" s="499"/>
      <c r="C1072" s="37"/>
      <c r="D1072" s="1929" t="s">
        <v>1520</v>
      </c>
      <c r="E1072" s="1930"/>
      <c r="F1072" s="1930"/>
      <c r="G1072" s="1930"/>
      <c r="H1072" s="1930"/>
      <c r="I1072" s="1931"/>
      <c r="J1072" s="1932">
        <f>VLOOKUP(A1074,'11 - FINANCEIRA'!_xlnm.Print_Area,6,FALSE)</f>
        <v>34.200000000000003</v>
      </c>
      <c r="K1072" s="1933"/>
      <c r="L1072" s="1343" t="str">
        <f>VLOOKUP(A1074,'11 - FINANCEIRA'!_xlnm.Print_Area,4,FALSE)</f>
        <v>m²</v>
      </c>
      <c r="M1072" s="1934" t="s">
        <v>1521</v>
      </c>
      <c r="N1072" s="1935"/>
      <c r="O1072" s="1935"/>
      <c r="P1072" s="1935"/>
      <c r="Q1072" s="1936"/>
      <c r="R1072" s="726">
        <f>SUM(R1068:R1071)</f>
        <v>34.200000000000003</v>
      </c>
      <c r="S1072" s="1344" t="str">
        <f>L1072</f>
        <v>m²</v>
      </c>
      <c r="T1072" s="373"/>
      <c r="U1072" s="486"/>
      <c r="V1072" s="1418">
        <f t="shared" si="112"/>
        <v>0</v>
      </c>
      <c r="AB1072" s="15"/>
    </row>
    <row r="1073" spans="1:36" s="77" customFormat="1" ht="15.6" hidden="1">
      <c r="A1073" s="370"/>
      <c r="B1073" s="499"/>
      <c r="C1073" s="725"/>
      <c r="D1073" s="1937" t="s">
        <v>1522</v>
      </c>
      <c r="E1073" s="1938"/>
      <c r="F1073" s="1938"/>
      <c r="G1073" s="1938"/>
      <c r="H1073" s="1938"/>
      <c r="I1073" s="1939"/>
      <c r="J1073" s="1943">
        <f>R1072/J1072</f>
        <v>1</v>
      </c>
      <c r="K1073" s="1944"/>
      <c r="L1073" s="1947"/>
      <c r="M1073" s="1934" t="s">
        <v>1523</v>
      </c>
      <c r="N1073" s="1935"/>
      <c r="O1073" s="1935"/>
      <c r="P1073" s="1935"/>
      <c r="Q1073" s="1936"/>
      <c r="R1073" s="726">
        <f>VLOOKUP(A1074,'11 - FINANCEIRA'!_xlnm.Print_Area,8,FALSE)</f>
        <v>34.200000000000003</v>
      </c>
      <c r="S1073" s="727" t="str">
        <f>L1072</f>
        <v>m²</v>
      </c>
      <c r="T1073" s="373"/>
      <c r="U1073" s="486"/>
      <c r="V1073" s="1418">
        <f t="shared" si="112"/>
        <v>0</v>
      </c>
      <c r="AB1073" s="15"/>
    </row>
    <row r="1074" spans="1:36" s="77" customFormat="1" ht="15.6" hidden="1">
      <c r="A1074" s="364" t="s">
        <v>400</v>
      </c>
      <c r="B1074" s="499"/>
      <c r="C1074" s="37"/>
      <c r="D1074" s="2013"/>
      <c r="E1074" s="2014"/>
      <c r="F1074" s="2014"/>
      <c r="G1074" s="2014"/>
      <c r="H1074" s="2014"/>
      <c r="I1074" s="2015"/>
      <c r="J1074" s="2016"/>
      <c r="K1074" s="2017"/>
      <c r="L1074" s="1962"/>
      <c r="M1074" s="2007" t="s">
        <v>1524</v>
      </c>
      <c r="N1074" s="2008"/>
      <c r="O1074" s="2008"/>
      <c r="P1074" s="2008"/>
      <c r="Q1074" s="2009"/>
      <c r="R1074" s="1345">
        <f>R1072-R1073</f>
        <v>0</v>
      </c>
      <c r="S1074" s="1346" t="str">
        <f>L1072</f>
        <v>m²</v>
      </c>
      <c r="T1074" s="373"/>
      <c r="U1074" s="486"/>
      <c r="V1074" s="1418">
        <f>R1074</f>
        <v>0</v>
      </c>
      <c r="AB1074" s="15"/>
    </row>
    <row r="1075" spans="1:36" s="77" customFormat="1" ht="15.6" hidden="1">
      <c r="A1075" s="370"/>
      <c r="B1075" s="1347"/>
      <c r="C1075" s="1348"/>
      <c r="D1075" s="1349"/>
      <c r="E1075" s="1350"/>
      <c r="F1075" s="1349"/>
      <c r="G1075" s="1349"/>
      <c r="H1075" s="1349"/>
      <c r="I1075" s="1349"/>
      <c r="J1075" s="1351"/>
      <c r="K1075" s="1352"/>
      <c r="L1075" s="1353"/>
      <c r="M1075" s="1354"/>
      <c r="N1075" s="1354"/>
      <c r="O1075" s="1354"/>
      <c r="P1075" s="1354"/>
      <c r="Q1075" s="1354"/>
      <c r="R1075" s="1355"/>
      <c r="S1075" s="1356"/>
      <c r="T1075" s="1357"/>
      <c r="U1075" s="1358"/>
      <c r="V1075" s="1420">
        <f>SUM(V1066:V1074)</f>
        <v>0</v>
      </c>
      <c r="AB1075" s="15"/>
    </row>
    <row r="1076" spans="1:36" s="352" customFormat="1" ht="15.6" hidden="1">
      <c r="A1076" s="351"/>
      <c r="B1076" s="1963" t="str">
        <f>VLOOKUP(A1084,'11 - FINANCEIRA'!_xlnm.Print_Area,1,FALSE)</f>
        <v>2.3.2.9</v>
      </c>
      <c r="C1076" s="1965" t="str">
        <f>VLOOKUP(A1084,'11 - FINANCEIRA'!_xlnm.Print_Area,3,FALSE)</f>
        <v>Escada tipo marinheiro em aco ca-50 9,52mm incluso pintura com fundo anticorrosivo tipo zarcao</v>
      </c>
      <c r="D1076" s="1967" t="s">
        <v>1503</v>
      </c>
      <c r="E1076" s="1968"/>
      <c r="F1076" s="1968"/>
      <c r="G1076" s="1968"/>
      <c r="H1076" s="1968"/>
      <c r="I1076" s="1969"/>
      <c r="J1076" s="1914" t="s">
        <v>1504</v>
      </c>
      <c r="K1076" s="1914" t="s">
        <v>1505</v>
      </c>
      <c r="L1076" s="1914" t="s">
        <v>1506</v>
      </c>
      <c r="M1076" s="1914" t="s">
        <v>1507</v>
      </c>
      <c r="N1076" s="1914" t="s">
        <v>1508</v>
      </c>
      <c r="O1076" s="1914" t="s">
        <v>1509</v>
      </c>
      <c r="P1076" s="1341" t="s">
        <v>1510</v>
      </c>
      <c r="Q1076" s="1914" t="s">
        <v>1493</v>
      </c>
      <c r="R1076" s="1916" t="s">
        <v>804</v>
      </c>
      <c r="S1076" s="1914" t="s">
        <v>1511</v>
      </c>
      <c r="T1076" s="1914" t="s">
        <v>1512</v>
      </c>
      <c r="U1076" s="1918" t="s">
        <v>1513</v>
      </c>
      <c r="V1076" s="1418">
        <f t="shared" ref="V1076:V1083" si="113">V1077</f>
        <v>0</v>
      </c>
      <c r="W1076" s="16"/>
      <c r="X1076" s="16"/>
      <c r="Y1076" s="16"/>
      <c r="Z1076" s="17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</row>
    <row r="1077" spans="1:36" s="352" customFormat="1" ht="15.6" hidden="1">
      <c r="A1077" s="351"/>
      <c r="B1077" s="1964" t="e">
        <f>LEFT(#REF!,5)</f>
        <v>#REF!</v>
      </c>
      <c r="C1077" s="1966" t="e">
        <f>VLOOKUP(LEFT(#REF!,5),'11 - FINANCEIRA'!_xlnm.Print_Area,2,FALSE)</f>
        <v>#REF!</v>
      </c>
      <c r="D1077" s="1920" t="s">
        <v>1514</v>
      </c>
      <c r="E1077" s="1921"/>
      <c r="F1077" s="1922"/>
      <c r="G1077" s="1923" t="s">
        <v>1515</v>
      </c>
      <c r="H1077" s="1924"/>
      <c r="I1077" s="1925"/>
      <c r="J1077" s="1915"/>
      <c r="K1077" s="1915"/>
      <c r="L1077" s="1915"/>
      <c r="M1077" s="1915"/>
      <c r="N1077" s="1915"/>
      <c r="O1077" s="1915"/>
      <c r="P1077" s="353" t="s">
        <v>1516</v>
      </c>
      <c r="Q1077" s="1915"/>
      <c r="R1077" s="1917"/>
      <c r="S1077" s="1915"/>
      <c r="T1077" s="1915"/>
      <c r="U1077" s="1919"/>
      <c r="V1077" s="1418">
        <f t="shared" si="113"/>
        <v>0</v>
      </c>
      <c r="W1077" s="16"/>
      <c r="X1077" s="16"/>
      <c r="Y1077" s="16"/>
      <c r="Z1077" s="17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</row>
    <row r="1078" spans="1:36" s="361" customFormat="1" ht="30" hidden="1">
      <c r="A1078" s="354"/>
      <c r="B1078" s="355"/>
      <c r="C1078" s="32" t="s">
        <v>914</v>
      </c>
      <c r="D1078" s="33"/>
      <c r="E1078" s="34"/>
      <c r="F1078" s="35"/>
      <c r="G1078" s="33"/>
      <c r="H1078" s="34"/>
      <c r="I1078" s="35"/>
      <c r="J1078" s="43"/>
      <c r="K1078" s="42"/>
      <c r="L1078" s="39"/>
      <c r="M1078" s="41"/>
      <c r="N1078" s="356"/>
      <c r="O1078" s="40"/>
      <c r="P1078" s="39"/>
      <c r="Q1078" s="45"/>
      <c r="R1078" s="1359">
        <v>3.1</v>
      </c>
      <c r="S1078" s="1265" t="s">
        <v>809</v>
      </c>
      <c r="T1078" s="46" t="s">
        <v>330</v>
      </c>
      <c r="U1078" s="44"/>
      <c r="V1078" s="1418">
        <f t="shared" si="113"/>
        <v>0</v>
      </c>
      <c r="W1078" s="357"/>
      <c r="X1078" s="357"/>
      <c r="Y1078" s="357"/>
      <c r="Z1078" s="358"/>
      <c r="AA1078" s="359"/>
      <c r="AB1078" s="360"/>
    </row>
    <row r="1079" spans="1:36" s="361" customFormat="1" ht="15" hidden="1" customHeight="1">
      <c r="A1079" s="354"/>
      <c r="B1079" s="355"/>
      <c r="C1079" s="32"/>
      <c r="D1079" s="33"/>
      <c r="E1079" s="34"/>
      <c r="F1079" s="35"/>
      <c r="G1079" s="33"/>
      <c r="H1079" s="34"/>
      <c r="I1079" s="35"/>
      <c r="J1079" s="43"/>
      <c r="K1079" s="42"/>
      <c r="L1079" s="39"/>
      <c r="M1079" s="41"/>
      <c r="N1079" s="356"/>
      <c r="O1079" s="40"/>
      <c r="P1079" s="39"/>
      <c r="Q1079" s="45"/>
      <c r="R1079" s="362"/>
      <c r="S1079" s="363"/>
      <c r="T1079" s="46"/>
      <c r="U1079" s="44"/>
      <c r="V1079" s="1418">
        <f t="shared" si="113"/>
        <v>0</v>
      </c>
      <c r="W1079" s="357"/>
      <c r="X1079" s="357"/>
      <c r="Y1079" s="357"/>
      <c r="Z1079" s="358"/>
      <c r="AA1079" s="359"/>
      <c r="AB1079" s="360"/>
    </row>
    <row r="1080" spans="1:36" s="369" customFormat="1" ht="15" hidden="1">
      <c r="A1080" s="364"/>
      <c r="B1080" s="355"/>
      <c r="C1080" s="32"/>
      <c r="D1080" s="33"/>
      <c r="E1080" s="34"/>
      <c r="F1080" s="35"/>
      <c r="G1080" s="33"/>
      <c r="H1080" s="34"/>
      <c r="I1080" s="35"/>
      <c r="J1080" s="43"/>
      <c r="K1080" s="42"/>
      <c r="L1080" s="39"/>
      <c r="M1080" s="41"/>
      <c r="N1080" s="40"/>
      <c r="O1080" s="40"/>
      <c r="P1080" s="39"/>
      <c r="Q1080" s="38"/>
      <c r="R1080" s="365"/>
      <c r="S1080" s="366"/>
      <c r="T1080" s="46"/>
      <c r="U1080" s="44"/>
      <c r="V1080" s="1418">
        <f t="shared" si="113"/>
        <v>0</v>
      </c>
      <c r="W1080" s="367"/>
      <c r="X1080" s="367"/>
      <c r="Y1080" s="367"/>
      <c r="Z1080" s="368"/>
    </row>
    <row r="1081" spans="1:36" s="77" customFormat="1" ht="15" hidden="1">
      <c r="A1081" s="370"/>
      <c r="B1081" s="29"/>
      <c r="C1081" s="30"/>
      <c r="D1081" s="18"/>
      <c r="E1081" s="19"/>
      <c r="F1081" s="20"/>
      <c r="G1081" s="18"/>
      <c r="H1081" s="19"/>
      <c r="I1081" s="20"/>
      <c r="J1081" s="21"/>
      <c r="K1081" s="22"/>
      <c r="L1081" s="23"/>
      <c r="M1081" s="24"/>
      <c r="N1081" s="25"/>
      <c r="O1081" s="25"/>
      <c r="P1081" s="23"/>
      <c r="Q1081" s="26"/>
      <c r="R1081" s="371"/>
      <c r="S1081" s="27"/>
      <c r="T1081" s="372"/>
      <c r="U1081" s="31"/>
      <c r="V1081" s="1418">
        <f t="shared" si="113"/>
        <v>0</v>
      </c>
      <c r="AB1081" s="15"/>
    </row>
    <row r="1082" spans="1:36" s="77" customFormat="1" ht="15.6" hidden="1">
      <c r="A1082" s="370"/>
      <c r="B1082" s="499"/>
      <c r="C1082" s="37"/>
      <c r="D1082" s="1929" t="s">
        <v>1520</v>
      </c>
      <c r="E1082" s="1930"/>
      <c r="F1082" s="1930"/>
      <c r="G1082" s="1930"/>
      <c r="H1082" s="1930"/>
      <c r="I1082" s="1931"/>
      <c r="J1082" s="1932">
        <f>VLOOKUP(A1084,'11 - FINANCEIRA'!_xlnm.Print_Area,6,FALSE)</f>
        <v>3.1</v>
      </c>
      <c r="K1082" s="1933"/>
      <c r="L1082" s="1343" t="str">
        <f>VLOOKUP(A1084,'11 - FINANCEIRA'!_xlnm.Print_Area,4,FALSE)</f>
        <v>m</v>
      </c>
      <c r="M1082" s="1934" t="s">
        <v>1521</v>
      </c>
      <c r="N1082" s="1935"/>
      <c r="O1082" s="1935"/>
      <c r="P1082" s="1935"/>
      <c r="Q1082" s="1936"/>
      <c r="R1082" s="726">
        <f>SUM(R1078:R1081)</f>
        <v>3.1</v>
      </c>
      <c r="S1082" s="1344" t="str">
        <f>L1082</f>
        <v>m</v>
      </c>
      <c r="T1082" s="373"/>
      <c r="U1082" s="486"/>
      <c r="V1082" s="1418">
        <f t="shared" si="113"/>
        <v>0</v>
      </c>
      <c r="AB1082" s="15"/>
    </row>
    <row r="1083" spans="1:36" s="77" customFormat="1" ht="15.6" hidden="1">
      <c r="A1083" s="370"/>
      <c r="B1083" s="499"/>
      <c r="C1083" s="725"/>
      <c r="D1083" s="1937" t="s">
        <v>1522</v>
      </c>
      <c r="E1083" s="1938"/>
      <c r="F1083" s="1938"/>
      <c r="G1083" s="1938"/>
      <c r="H1083" s="1938"/>
      <c r="I1083" s="1939"/>
      <c r="J1083" s="1943">
        <f>R1082/J1082</f>
        <v>1</v>
      </c>
      <c r="K1083" s="1944"/>
      <c r="L1083" s="1947"/>
      <c r="M1083" s="1934" t="s">
        <v>1523</v>
      </c>
      <c r="N1083" s="1935"/>
      <c r="O1083" s="1935"/>
      <c r="P1083" s="1935"/>
      <c r="Q1083" s="1936"/>
      <c r="R1083" s="726">
        <f>VLOOKUP(A1084,'11 - FINANCEIRA'!_xlnm.Print_Area,8,FALSE)</f>
        <v>3.1</v>
      </c>
      <c r="S1083" s="727" t="str">
        <f>L1082</f>
        <v>m</v>
      </c>
      <c r="T1083" s="373"/>
      <c r="U1083" s="486"/>
      <c r="V1083" s="1418">
        <f t="shared" si="113"/>
        <v>0</v>
      </c>
      <c r="AB1083" s="15"/>
    </row>
    <row r="1084" spans="1:36" s="77" customFormat="1" ht="15.6" hidden="1">
      <c r="A1084" s="364" t="s">
        <v>401</v>
      </c>
      <c r="B1084" s="499"/>
      <c r="C1084" s="37"/>
      <c r="D1084" s="2013"/>
      <c r="E1084" s="2014"/>
      <c r="F1084" s="2014"/>
      <c r="G1084" s="2014"/>
      <c r="H1084" s="2014"/>
      <c r="I1084" s="2015"/>
      <c r="J1084" s="2016"/>
      <c r="K1084" s="2017"/>
      <c r="L1084" s="1962"/>
      <c r="M1084" s="2007" t="s">
        <v>1524</v>
      </c>
      <c r="N1084" s="2008"/>
      <c r="O1084" s="2008"/>
      <c r="P1084" s="2008"/>
      <c r="Q1084" s="2009"/>
      <c r="R1084" s="1345">
        <f>R1082-R1083</f>
        <v>0</v>
      </c>
      <c r="S1084" s="1346" t="str">
        <f>L1082</f>
        <v>m</v>
      </c>
      <c r="T1084" s="373"/>
      <c r="U1084" s="486"/>
      <c r="V1084" s="1418">
        <f>R1084</f>
        <v>0</v>
      </c>
      <c r="AB1084" s="15"/>
    </row>
    <row r="1085" spans="1:36" s="77" customFormat="1" ht="15.6" hidden="1">
      <c r="A1085" s="370"/>
      <c r="B1085" s="1347"/>
      <c r="C1085" s="1348"/>
      <c r="D1085" s="1349"/>
      <c r="E1085" s="1350"/>
      <c r="F1085" s="1349"/>
      <c r="G1085" s="1349"/>
      <c r="H1085" s="1349"/>
      <c r="I1085" s="1349"/>
      <c r="J1085" s="1351"/>
      <c r="K1085" s="1352"/>
      <c r="L1085" s="1353"/>
      <c r="M1085" s="1354"/>
      <c r="N1085" s="1354"/>
      <c r="O1085" s="1354"/>
      <c r="P1085" s="1354"/>
      <c r="Q1085" s="1354"/>
      <c r="R1085" s="1355"/>
      <c r="S1085" s="1356"/>
      <c r="T1085" s="1357"/>
      <c r="U1085" s="1358"/>
      <c r="V1085" s="1420">
        <f>SUM(V1076:V1084)</f>
        <v>0</v>
      </c>
      <c r="AB1085" s="15"/>
    </row>
    <row r="1086" spans="1:36" s="352" customFormat="1" ht="15.6" hidden="1">
      <c r="A1086" s="351"/>
      <c r="B1086" s="1963" t="str">
        <f>VLOOKUP(A1094,'11 - FINANCEIRA'!_xlnm.Print_Area,1,FALSE)</f>
        <v>2.3.2.10</v>
      </c>
      <c r="C1086" s="1965" t="str">
        <f>VLOOKUP(A1094,'11 - FINANCEIRA'!_xlnm.Print_Area,3,FALSE)</f>
        <v>Escada tipo marinheiro em tubo aco galvanizado 1 1/2" 5 degraus</v>
      </c>
      <c r="D1086" s="1967" t="s">
        <v>1503</v>
      </c>
      <c r="E1086" s="1968"/>
      <c r="F1086" s="1968"/>
      <c r="G1086" s="1968"/>
      <c r="H1086" s="1968"/>
      <c r="I1086" s="1969"/>
      <c r="J1086" s="1914" t="s">
        <v>1504</v>
      </c>
      <c r="K1086" s="1914" t="s">
        <v>1505</v>
      </c>
      <c r="L1086" s="1914" t="s">
        <v>1506</v>
      </c>
      <c r="M1086" s="1914" t="s">
        <v>1507</v>
      </c>
      <c r="N1086" s="1914" t="s">
        <v>1508</v>
      </c>
      <c r="O1086" s="1914" t="s">
        <v>1509</v>
      </c>
      <c r="P1086" s="1341" t="s">
        <v>1510</v>
      </c>
      <c r="Q1086" s="1914" t="s">
        <v>1493</v>
      </c>
      <c r="R1086" s="1916" t="s">
        <v>804</v>
      </c>
      <c r="S1086" s="1914" t="s">
        <v>1511</v>
      </c>
      <c r="T1086" s="1914" t="s">
        <v>1512</v>
      </c>
      <c r="U1086" s="1918" t="s">
        <v>1513</v>
      </c>
      <c r="V1086" s="1418">
        <f t="shared" ref="V1086:V1093" si="114">V1087</f>
        <v>0</v>
      </c>
      <c r="W1086" s="16"/>
      <c r="X1086" s="16"/>
      <c r="Y1086" s="16"/>
      <c r="Z1086" s="17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</row>
    <row r="1087" spans="1:36" s="352" customFormat="1" ht="15.6" hidden="1">
      <c r="A1087" s="351"/>
      <c r="B1087" s="1964" t="e">
        <f>LEFT(#REF!,5)</f>
        <v>#REF!</v>
      </c>
      <c r="C1087" s="1966" t="e">
        <f>VLOOKUP(LEFT(#REF!,5),'11 - FINANCEIRA'!_xlnm.Print_Area,2,FALSE)</f>
        <v>#REF!</v>
      </c>
      <c r="D1087" s="1920" t="s">
        <v>1514</v>
      </c>
      <c r="E1087" s="1921"/>
      <c r="F1087" s="1922"/>
      <c r="G1087" s="1923" t="s">
        <v>1515</v>
      </c>
      <c r="H1087" s="1924"/>
      <c r="I1087" s="1925"/>
      <c r="J1087" s="1915"/>
      <c r="K1087" s="1915"/>
      <c r="L1087" s="1915"/>
      <c r="M1087" s="1915"/>
      <c r="N1087" s="1915"/>
      <c r="O1087" s="1915"/>
      <c r="P1087" s="353" t="s">
        <v>1516</v>
      </c>
      <c r="Q1087" s="1915"/>
      <c r="R1087" s="1917"/>
      <c r="S1087" s="1915"/>
      <c r="T1087" s="1915"/>
      <c r="U1087" s="1919"/>
      <c r="V1087" s="1418">
        <f t="shared" si="114"/>
        <v>0</v>
      </c>
      <c r="W1087" s="16"/>
      <c r="X1087" s="16"/>
      <c r="Y1087" s="16"/>
      <c r="Z1087" s="17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</row>
    <row r="1088" spans="1:36" s="361" customFormat="1" ht="15" hidden="1" customHeight="1">
      <c r="A1088" s="354"/>
      <c r="B1088" s="355"/>
      <c r="C1088" s="32" t="s">
        <v>916</v>
      </c>
      <c r="D1088" s="33"/>
      <c r="E1088" s="34"/>
      <c r="F1088" s="35"/>
      <c r="G1088" s="33"/>
      <c r="H1088" s="34"/>
      <c r="I1088" s="35"/>
      <c r="J1088" s="43"/>
      <c r="K1088" s="42"/>
      <c r="L1088" s="39"/>
      <c r="M1088" s="41"/>
      <c r="N1088" s="356"/>
      <c r="O1088" s="40"/>
      <c r="P1088" s="39"/>
      <c r="Q1088" s="45"/>
      <c r="R1088" s="1359">
        <v>0.45</v>
      </c>
      <c r="S1088" s="1265" t="s">
        <v>809</v>
      </c>
      <c r="T1088" s="46" t="s">
        <v>330</v>
      </c>
      <c r="U1088" s="44"/>
      <c r="V1088" s="1418">
        <f t="shared" si="114"/>
        <v>0</v>
      </c>
      <c r="W1088" s="357"/>
      <c r="X1088" s="357"/>
      <c r="Y1088" s="357"/>
      <c r="Z1088" s="358"/>
      <c r="AA1088" s="359"/>
      <c r="AB1088" s="360"/>
    </row>
    <row r="1089" spans="1:36" s="361" customFormat="1" ht="15" hidden="1" customHeight="1">
      <c r="A1089" s="354"/>
      <c r="B1089" s="355"/>
      <c r="C1089" s="32"/>
      <c r="D1089" s="33"/>
      <c r="E1089" s="34"/>
      <c r="F1089" s="35"/>
      <c r="G1089" s="33"/>
      <c r="H1089" s="34"/>
      <c r="I1089" s="35"/>
      <c r="J1089" s="43"/>
      <c r="K1089" s="42"/>
      <c r="L1089" s="39"/>
      <c r="M1089" s="41"/>
      <c r="N1089" s="356"/>
      <c r="O1089" s="40"/>
      <c r="P1089" s="39"/>
      <c r="Q1089" s="45"/>
      <c r="R1089" s="362"/>
      <c r="S1089" s="363"/>
      <c r="T1089" s="46"/>
      <c r="U1089" s="44"/>
      <c r="V1089" s="1418">
        <f t="shared" si="114"/>
        <v>0</v>
      </c>
      <c r="W1089" s="357"/>
      <c r="X1089" s="357"/>
      <c r="Y1089" s="357"/>
      <c r="Z1089" s="358"/>
      <c r="AA1089" s="359"/>
      <c r="AB1089" s="360"/>
    </row>
    <row r="1090" spans="1:36" s="369" customFormat="1" ht="15" hidden="1">
      <c r="A1090" s="364"/>
      <c r="B1090" s="355"/>
      <c r="C1090" s="32"/>
      <c r="D1090" s="33"/>
      <c r="E1090" s="34"/>
      <c r="F1090" s="35"/>
      <c r="G1090" s="33"/>
      <c r="H1090" s="34"/>
      <c r="I1090" s="35"/>
      <c r="J1090" s="43"/>
      <c r="K1090" s="42"/>
      <c r="L1090" s="39"/>
      <c r="M1090" s="41"/>
      <c r="N1090" s="40"/>
      <c r="O1090" s="40"/>
      <c r="P1090" s="39"/>
      <c r="Q1090" s="38"/>
      <c r="R1090" s="365"/>
      <c r="S1090" s="366"/>
      <c r="T1090" s="46"/>
      <c r="U1090" s="44"/>
      <c r="V1090" s="1418">
        <f t="shared" si="114"/>
        <v>0</v>
      </c>
      <c r="W1090" s="367"/>
      <c r="X1090" s="367"/>
      <c r="Y1090" s="367"/>
      <c r="Z1090" s="368"/>
    </row>
    <row r="1091" spans="1:36" s="77" customFormat="1" ht="15" hidden="1">
      <c r="A1091" s="370"/>
      <c r="B1091" s="29"/>
      <c r="C1091" s="30"/>
      <c r="D1091" s="18"/>
      <c r="E1091" s="19"/>
      <c r="F1091" s="20"/>
      <c r="G1091" s="18"/>
      <c r="H1091" s="19"/>
      <c r="I1091" s="20"/>
      <c r="J1091" s="21"/>
      <c r="K1091" s="22"/>
      <c r="L1091" s="23"/>
      <c r="M1091" s="24"/>
      <c r="N1091" s="25"/>
      <c r="O1091" s="25"/>
      <c r="P1091" s="23"/>
      <c r="Q1091" s="26"/>
      <c r="R1091" s="371"/>
      <c r="S1091" s="27"/>
      <c r="T1091" s="372"/>
      <c r="U1091" s="31"/>
      <c r="V1091" s="1418">
        <f t="shared" si="114"/>
        <v>0</v>
      </c>
      <c r="AB1091" s="15"/>
    </row>
    <row r="1092" spans="1:36" s="77" customFormat="1" ht="15.6" hidden="1">
      <c r="A1092" s="370"/>
      <c r="B1092" s="499"/>
      <c r="C1092" s="37"/>
      <c r="D1092" s="1929" t="s">
        <v>1520</v>
      </c>
      <c r="E1092" s="1930"/>
      <c r="F1092" s="1930"/>
      <c r="G1092" s="1930"/>
      <c r="H1092" s="1930"/>
      <c r="I1092" s="1931"/>
      <c r="J1092" s="1932">
        <f>VLOOKUP(A1094,'11 - FINANCEIRA'!_xlnm.Print_Area,6,FALSE)</f>
        <v>0.45</v>
      </c>
      <c r="K1092" s="1933"/>
      <c r="L1092" s="1343" t="str">
        <f>VLOOKUP(A1094,'11 - FINANCEIRA'!_xlnm.Print_Area,4,FALSE)</f>
        <v>m</v>
      </c>
      <c r="M1092" s="1934" t="s">
        <v>1521</v>
      </c>
      <c r="N1092" s="1935"/>
      <c r="O1092" s="1935"/>
      <c r="P1092" s="1935"/>
      <c r="Q1092" s="1936"/>
      <c r="R1092" s="726">
        <f>SUM(R1088:R1091)</f>
        <v>0.45</v>
      </c>
      <c r="S1092" s="1344" t="str">
        <f>L1092</f>
        <v>m</v>
      </c>
      <c r="T1092" s="373"/>
      <c r="U1092" s="486"/>
      <c r="V1092" s="1418">
        <f t="shared" si="114"/>
        <v>0</v>
      </c>
      <c r="AB1092" s="15"/>
    </row>
    <row r="1093" spans="1:36" s="77" customFormat="1" ht="15.6" hidden="1">
      <c r="A1093" s="370"/>
      <c r="B1093" s="499"/>
      <c r="C1093" s="725"/>
      <c r="D1093" s="1937" t="s">
        <v>1522</v>
      </c>
      <c r="E1093" s="1938"/>
      <c r="F1093" s="1938"/>
      <c r="G1093" s="1938"/>
      <c r="H1093" s="1938"/>
      <c r="I1093" s="1939"/>
      <c r="J1093" s="1943">
        <f>R1092/J1092</f>
        <v>1</v>
      </c>
      <c r="K1093" s="1944"/>
      <c r="L1093" s="1947"/>
      <c r="M1093" s="1934" t="s">
        <v>1523</v>
      </c>
      <c r="N1093" s="1935"/>
      <c r="O1093" s="1935"/>
      <c r="P1093" s="1935"/>
      <c r="Q1093" s="1936"/>
      <c r="R1093" s="726">
        <f>VLOOKUP(A1094,'11 - FINANCEIRA'!_xlnm.Print_Area,8,FALSE)</f>
        <v>0.45</v>
      </c>
      <c r="S1093" s="727" t="str">
        <f>L1092</f>
        <v>m</v>
      </c>
      <c r="T1093" s="373"/>
      <c r="U1093" s="486"/>
      <c r="V1093" s="1418">
        <f t="shared" si="114"/>
        <v>0</v>
      </c>
      <c r="AB1093" s="15"/>
    </row>
    <row r="1094" spans="1:36" s="77" customFormat="1" ht="15.6" hidden="1">
      <c r="A1094" s="364" t="s">
        <v>402</v>
      </c>
      <c r="B1094" s="499"/>
      <c r="C1094" s="37"/>
      <c r="D1094" s="2013"/>
      <c r="E1094" s="2014"/>
      <c r="F1094" s="2014"/>
      <c r="G1094" s="2014"/>
      <c r="H1094" s="2014"/>
      <c r="I1094" s="2015"/>
      <c r="J1094" s="2016"/>
      <c r="K1094" s="2017"/>
      <c r="L1094" s="1962"/>
      <c r="M1094" s="2007" t="s">
        <v>1524</v>
      </c>
      <c r="N1094" s="2008"/>
      <c r="O1094" s="2008"/>
      <c r="P1094" s="2008"/>
      <c r="Q1094" s="2009"/>
      <c r="R1094" s="1345">
        <f>R1092-R1093</f>
        <v>0</v>
      </c>
      <c r="S1094" s="1346" t="str">
        <f>L1092</f>
        <v>m</v>
      </c>
      <c r="T1094" s="373"/>
      <c r="U1094" s="486"/>
      <c r="V1094" s="1418">
        <f>R1094</f>
        <v>0</v>
      </c>
      <c r="AB1094" s="15"/>
    </row>
    <row r="1095" spans="1:36" s="77" customFormat="1" ht="15.6" hidden="1">
      <c r="A1095" s="370"/>
      <c r="B1095" s="1347"/>
      <c r="C1095" s="1348"/>
      <c r="D1095" s="1349"/>
      <c r="E1095" s="1350"/>
      <c r="F1095" s="1349"/>
      <c r="G1095" s="1349"/>
      <c r="H1095" s="1349"/>
      <c r="I1095" s="1349"/>
      <c r="J1095" s="1351"/>
      <c r="K1095" s="1352"/>
      <c r="L1095" s="1353"/>
      <c r="M1095" s="1354"/>
      <c r="N1095" s="1354"/>
      <c r="O1095" s="1354"/>
      <c r="P1095" s="1354"/>
      <c r="Q1095" s="1354"/>
      <c r="R1095" s="1355"/>
      <c r="S1095" s="1356"/>
      <c r="T1095" s="1357"/>
      <c r="U1095" s="1358"/>
      <c r="V1095" s="1420">
        <f>SUM(V1086:V1094)</f>
        <v>0</v>
      </c>
      <c r="AB1095" s="15"/>
    </row>
    <row r="1096" spans="1:36" s="352" customFormat="1" ht="15.6" hidden="1">
      <c r="A1096" s="351"/>
      <c r="B1096" s="1963" t="str">
        <f>VLOOKUP(A1104,'11 - FINANCEIRA'!_xlnm.Print_Area,1,FALSE)</f>
        <v>2.3.2.11</v>
      </c>
      <c r="C1096" s="1965" t="str">
        <f>VLOOKUP(A1104,'11 - FINANCEIRA'!_xlnm.Print_Area,3,FALSE)</f>
        <v>Caixa d´agua em polietileno, 500 litros, com acessórios</v>
      </c>
      <c r="D1096" s="1967" t="s">
        <v>1503</v>
      </c>
      <c r="E1096" s="1968"/>
      <c r="F1096" s="1968"/>
      <c r="G1096" s="1968"/>
      <c r="H1096" s="1968"/>
      <c r="I1096" s="1969"/>
      <c r="J1096" s="1914" t="s">
        <v>1504</v>
      </c>
      <c r="K1096" s="1914" t="s">
        <v>1505</v>
      </c>
      <c r="L1096" s="1914" t="s">
        <v>1506</v>
      </c>
      <c r="M1096" s="1914" t="s">
        <v>1507</v>
      </c>
      <c r="N1096" s="1914" t="s">
        <v>1508</v>
      </c>
      <c r="O1096" s="1914" t="s">
        <v>1509</v>
      </c>
      <c r="P1096" s="1341" t="s">
        <v>1510</v>
      </c>
      <c r="Q1096" s="1914" t="s">
        <v>1493</v>
      </c>
      <c r="R1096" s="1916" t="s">
        <v>804</v>
      </c>
      <c r="S1096" s="1914" t="s">
        <v>1511</v>
      </c>
      <c r="T1096" s="1914" t="s">
        <v>1512</v>
      </c>
      <c r="U1096" s="1918" t="s">
        <v>1513</v>
      </c>
      <c r="V1096" s="1418">
        <f t="shared" ref="V1096:V1103" si="115">V1097</f>
        <v>0</v>
      </c>
      <c r="W1096" s="16"/>
      <c r="X1096" s="16"/>
      <c r="Y1096" s="16"/>
      <c r="Z1096" s="17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</row>
    <row r="1097" spans="1:36" s="352" customFormat="1" ht="15.6" hidden="1">
      <c r="A1097" s="351"/>
      <c r="B1097" s="1964" t="e">
        <f>LEFT(#REF!,5)</f>
        <v>#REF!</v>
      </c>
      <c r="C1097" s="1966" t="e">
        <f>VLOOKUP(LEFT(#REF!,5),'11 - FINANCEIRA'!_xlnm.Print_Area,2,FALSE)</f>
        <v>#REF!</v>
      </c>
      <c r="D1097" s="1920" t="s">
        <v>1514</v>
      </c>
      <c r="E1097" s="1921"/>
      <c r="F1097" s="1922"/>
      <c r="G1097" s="1923" t="s">
        <v>1515</v>
      </c>
      <c r="H1097" s="1924"/>
      <c r="I1097" s="1925"/>
      <c r="J1097" s="1915"/>
      <c r="K1097" s="1915"/>
      <c r="L1097" s="1915"/>
      <c r="M1097" s="1915"/>
      <c r="N1097" s="1915"/>
      <c r="O1097" s="1915"/>
      <c r="P1097" s="353" t="s">
        <v>1516</v>
      </c>
      <c r="Q1097" s="1915"/>
      <c r="R1097" s="1917"/>
      <c r="S1097" s="1915"/>
      <c r="T1097" s="1915"/>
      <c r="U1097" s="1919"/>
      <c r="V1097" s="1418">
        <f t="shared" si="115"/>
        <v>0</v>
      </c>
      <c r="W1097" s="16"/>
      <c r="X1097" s="16"/>
      <c r="Y1097" s="16"/>
      <c r="Z1097" s="17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</row>
    <row r="1098" spans="1:36" s="361" customFormat="1" ht="15" hidden="1">
      <c r="A1098" s="354"/>
      <c r="B1098" s="355"/>
      <c r="C1098" s="32" t="s">
        <v>918</v>
      </c>
      <c r="D1098" s="33"/>
      <c r="E1098" s="34"/>
      <c r="F1098" s="35"/>
      <c r="G1098" s="33"/>
      <c r="H1098" s="34"/>
      <c r="I1098" s="35"/>
      <c r="J1098" s="43"/>
      <c r="K1098" s="42"/>
      <c r="L1098" s="39"/>
      <c r="M1098" s="41"/>
      <c r="N1098" s="356"/>
      <c r="O1098" s="40"/>
      <c r="P1098" s="39"/>
      <c r="Q1098" s="45"/>
      <c r="R1098" s="1359">
        <v>2</v>
      </c>
      <c r="S1098" s="1265" t="s">
        <v>816</v>
      </c>
      <c r="T1098" s="46" t="s">
        <v>328</v>
      </c>
      <c r="U1098" s="44"/>
      <c r="V1098" s="1418">
        <f t="shared" si="115"/>
        <v>0</v>
      </c>
      <c r="W1098" s="357"/>
      <c r="X1098" s="357"/>
      <c r="Y1098" s="357"/>
      <c r="Z1098" s="358"/>
      <c r="AA1098" s="359"/>
      <c r="AB1098" s="360"/>
    </row>
    <row r="1099" spans="1:36" s="361" customFormat="1" ht="15" hidden="1" customHeight="1">
      <c r="A1099" s="354"/>
      <c r="B1099" s="355"/>
      <c r="C1099" s="32"/>
      <c r="D1099" s="33"/>
      <c r="E1099" s="34"/>
      <c r="F1099" s="35"/>
      <c r="G1099" s="33"/>
      <c r="H1099" s="34"/>
      <c r="I1099" s="35"/>
      <c r="J1099" s="43"/>
      <c r="K1099" s="42"/>
      <c r="L1099" s="39"/>
      <c r="M1099" s="41"/>
      <c r="N1099" s="356"/>
      <c r="O1099" s="40"/>
      <c r="P1099" s="39"/>
      <c r="Q1099" s="45"/>
      <c r="R1099" s="362"/>
      <c r="S1099" s="363"/>
      <c r="T1099" s="46"/>
      <c r="U1099" s="44"/>
      <c r="V1099" s="1418">
        <f t="shared" si="115"/>
        <v>0</v>
      </c>
      <c r="W1099" s="357"/>
      <c r="X1099" s="357"/>
      <c r="Y1099" s="357"/>
      <c r="Z1099" s="358"/>
      <c r="AA1099" s="359"/>
      <c r="AB1099" s="360"/>
    </row>
    <row r="1100" spans="1:36" s="369" customFormat="1" ht="15" hidden="1">
      <c r="A1100" s="364"/>
      <c r="B1100" s="355"/>
      <c r="C1100" s="32"/>
      <c r="D1100" s="33"/>
      <c r="E1100" s="34"/>
      <c r="F1100" s="35"/>
      <c r="G1100" s="33"/>
      <c r="H1100" s="34"/>
      <c r="I1100" s="35"/>
      <c r="J1100" s="43"/>
      <c r="K1100" s="42"/>
      <c r="L1100" s="39"/>
      <c r="M1100" s="41"/>
      <c r="N1100" s="40"/>
      <c r="O1100" s="40"/>
      <c r="P1100" s="39"/>
      <c r="Q1100" s="38"/>
      <c r="R1100" s="365"/>
      <c r="S1100" s="366"/>
      <c r="T1100" s="46"/>
      <c r="U1100" s="44"/>
      <c r="V1100" s="1418">
        <f t="shared" si="115"/>
        <v>0</v>
      </c>
      <c r="W1100" s="367"/>
      <c r="X1100" s="367"/>
      <c r="Y1100" s="367"/>
      <c r="Z1100" s="368"/>
    </row>
    <row r="1101" spans="1:36" s="77" customFormat="1" ht="15" hidden="1">
      <c r="A1101" s="370"/>
      <c r="B1101" s="29"/>
      <c r="C1101" s="30"/>
      <c r="D1101" s="18"/>
      <c r="E1101" s="19"/>
      <c r="F1101" s="20"/>
      <c r="G1101" s="18"/>
      <c r="H1101" s="19"/>
      <c r="I1101" s="20"/>
      <c r="J1101" s="21"/>
      <c r="K1101" s="22"/>
      <c r="L1101" s="23"/>
      <c r="M1101" s="24"/>
      <c r="N1101" s="25"/>
      <c r="O1101" s="25"/>
      <c r="P1101" s="23"/>
      <c r="Q1101" s="26"/>
      <c r="R1101" s="371"/>
      <c r="S1101" s="27"/>
      <c r="T1101" s="372"/>
      <c r="U1101" s="31"/>
      <c r="V1101" s="1418">
        <f t="shared" si="115"/>
        <v>0</v>
      </c>
      <c r="AB1101" s="15"/>
    </row>
    <row r="1102" spans="1:36" s="77" customFormat="1" ht="15.6" hidden="1">
      <c r="A1102" s="370"/>
      <c r="B1102" s="499"/>
      <c r="C1102" s="37"/>
      <c r="D1102" s="1929" t="s">
        <v>1520</v>
      </c>
      <c r="E1102" s="1930"/>
      <c r="F1102" s="1930"/>
      <c r="G1102" s="1930"/>
      <c r="H1102" s="1930"/>
      <c r="I1102" s="1931"/>
      <c r="J1102" s="1932">
        <f>VLOOKUP(A1104,'11 - FINANCEIRA'!_xlnm.Print_Area,6,FALSE)</f>
        <v>2</v>
      </c>
      <c r="K1102" s="1933"/>
      <c r="L1102" s="1343" t="str">
        <f>VLOOKUP(A1104,'11 - FINANCEIRA'!_xlnm.Print_Area,4,FALSE)</f>
        <v>und</v>
      </c>
      <c r="M1102" s="1934" t="s">
        <v>1521</v>
      </c>
      <c r="N1102" s="1935"/>
      <c r="O1102" s="1935"/>
      <c r="P1102" s="1935"/>
      <c r="Q1102" s="1936"/>
      <c r="R1102" s="726">
        <f>SUM(R1098:R1101)</f>
        <v>2</v>
      </c>
      <c r="S1102" s="1344" t="str">
        <f>L1102</f>
        <v>und</v>
      </c>
      <c r="T1102" s="373"/>
      <c r="U1102" s="486"/>
      <c r="V1102" s="1418">
        <f t="shared" si="115"/>
        <v>0</v>
      </c>
      <c r="AB1102" s="15"/>
    </row>
    <row r="1103" spans="1:36" s="77" customFormat="1" ht="15.6" hidden="1">
      <c r="A1103" s="370"/>
      <c r="B1103" s="499"/>
      <c r="C1103" s="725"/>
      <c r="D1103" s="1937" t="s">
        <v>1522</v>
      </c>
      <c r="E1103" s="1938"/>
      <c r="F1103" s="1938"/>
      <c r="G1103" s="1938"/>
      <c r="H1103" s="1938"/>
      <c r="I1103" s="1939"/>
      <c r="J1103" s="1943">
        <f>R1102/J1102</f>
        <v>1</v>
      </c>
      <c r="K1103" s="1944"/>
      <c r="L1103" s="1947"/>
      <c r="M1103" s="1934" t="s">
        <v>1523</v>
      </c>
      <c r="N1103" s="1935"/>
      <c r="O1103" s="1935"/>
      <c r="P1103" s="1935"/>
      <c r="Q1103" s="1936"/>
      <c r="R1103" s="726">
        <f>VLOOKUP(A1104,'11 - FINANCEIRA'!_xlnm.Print_Area,8,FALSE)</f>
        <v>2</v>
      </c>
      <c r="S1103" s="727" t="str">
        <f>L1102</f>
        <v>und</v>
      </c>
      <c r="T1103" s="373"/>
      <c r="U1103" s="486"/>
      <c r="V1103" s="1418">
        <f t="shared" si="115"/>
        <v>0</v>
      </c>
      <c r="AB1103" s="15"/>
    </row>
    <row r="1104" spans="1:36" s="77" customFormat="1" ht="15.6" hidden="1">
      <c r="A1104" s="364" t="s">
        <v>403</v>
      </c>
      <c r="B1104" s="499"/>
      <c r="C1104" s="37"/>
      <c r="D1104" s="2013"/>
      <c r="E1104" s="2014"/>
      <c r="F1104" s="2014"/>
      <c r="G1104" s="2014"/>
      <c r="H1104" s="2014"/>
      <c r="I1104" s="2015"/>
      <c r="J1104" s="2016"/>
      <c r="K1104" s="2017"/>
      <c r="L1104" s="1962"/>
      <c r="M1104" s="2007" t="s">
        <v>1524</v>
      </c>
      <c r="N1104" s="2008"/>
      <c r="O1104" s="2008"/>
      <c r="P1104" s="2008"/>
      <c r="Q1104" s="2009"/>
      <c r="R1104" s="1345">
        <f>R1102-R1103</f>
        <v>0</v>
      </c>
      <c r="S1104" s="1346" t="str">
        <f>L1102</f>
        <v>und</v>
      </c>
      <c r="T1104" s="373"/>
      <c r="U1104" s="486"/>
      <c r="V1104" s="1418">
        <f>R1104</f>
        <v>0</v>
      </c>
      <c r="AB1104" s="15"/>
    </row>
    <row r="1105" spans="1:36" s="77" customFormat="1" ht="15.6" hidden="1">
      <c r="A1105" s="370"/>
      <c r="B1105" s="1347"/>
      <c r="C1105" s="1348"/>
      <c r="D1105" s="1349"/>
      <c r="E1105" s="1350"/>
      <c r="F1105" s="1349"/>
      <c r="G1105" s="1349"/>
      <c r="H1105" s="1349"/>
      <c r="I1105" s="1349"/>
      <c r="J1105" s="1351"/>
      <c r="K1105" s="1352"/>
      <c r="L1105" s="1353"/>
      <c r="M1105" s="1354"/>
      <c r="N1105" s="1354"/>
      <c r="O1105" s="1354"/>
      <c r="P1105" s="1354"/>
      <c r="Q1105" s="1354"/>
      <c r="R1105" s="1355"/>
      <c r="S1105" s="1356"/>
      <c r="T1105" s="1357"/>
      <c r="U1105" s="1358"/>
      <c r="V1105" s="1420">
        <f>SUM(V1096:V1104)</f>
        <v>0</v>
      </c>
      <c r="AB1105" s="15"/>
    </row>
    <row r="1106" spans="1:36" s="352" customFormat="1" ht="15.6" hidden="1">
      <c r="A1106" s="351"/>
      <c r="B1106" s="1963" t="str">
        <f>VLOOKUP(A1114,'11 - FINANCEIRA'!_xlnm.Print_Area,1,FALSE)</f>
        <v>2.3.2.12</v>
      </c>
      <c r="C1106" s="1965" t="str">
        <f>VLOOKUP(A1114,'11 - FINANCEIRA'!_xlnm.Print_Area,3,FALSE)</f>
        <v>Aplicação manual de pintura com tinta látex acrílica em paredes, duas demãos. af_06/2014</v>
      </c>
      <c r="D1106" s="1967" t="s">
        <v>1503</v>
      </c>
      <c r="E1106" s="1968"/>
      <c r="F1106" s="1968"/>
      <c r="G1106" s="1968"/>
      <c r="H1106" s="1968"/>
      <c r="I1106" s="1969"/>
      <c r="J1106" s="1914" t="s">
        <v>1504</v>
      </c>
      <c r="K1106" s="1914" t="s">
        <v>1505</v>
      </c>
      <c r="L1106" s="1914" t="s">
        <v>1506</v>
      </c>
      <c r="M1106" s="1914" t="s">
        <v>1507</v>
      </c>
      <c r="N1106" s="1914" t="s">
        <v>1508</v>
      </c>
      <c r="O1106" s="1914" t="s">
        <v>1509</v>
      </c>
      <c r="P1106" s="1341" t="s">
        <v>1510</v>
      </c>
      <c r="Q1106" s="1914" t="s">
        <v>1493</v>
      </c>
      <c r="R1106" s="1916" t="s">
        <v>804</v>
      </c>
      <c r="S1106" s="1914" t="s">
        <v>1511</v>
      </c>
      <c r="T1106" s="1914" t="s">
        <v>1512</v>
      </c>
      <c r="U1106" s="1918" t="s">
        <v>1513</v>
      </c>
      <c r="V1106" s="1418">
        <f t="shared" ref="V1106:V1113" si="116">V1107</f>
        <v>0</v>
      </c>
      <c r="W1106" s="16"/>
      <c r="X1106" s="16"/>
      <c r="Y1106" s="16"/>
      <c r="Z1106" s="17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</row>
    <row r="1107" spans="1:36" s="352" customFormat="1" ht="15.6" hidden="1">
      <c r="A1107" s="351"/>
      <c r="B1107" s="1964" t="e">
        <f>LEFT(#REF!,5)</f>
        <v>#REF!</v>
      </c>
      <c r="C1107" s="1966" t="e">
        <f>VLOOKUP(LEFT(#REF!,5),'11 - FINANCEIRA'!_xlnm.Print_Area,2,FALSE)</f>
        <v>#REF!</v>
      </c>
      <c r="D1107" s="1920" t="s">
        <v>1514</v>
      </c>
      <c r="E1107" s="1921"/>
      <c r="F1107" s="1922"/>
      <c r="G1107" s="1923" t="s">
        <v>1515</v>
      </c>
      <c r="H1107" s="1924"/>
      <c r="I1107" s="1925"/>
      <c r="J1107" s="1915"/>
      <c r="K1107" s="1915"/>
      <c r="L1107" s="1915"/>
      <c r="M1107" s="1915"/>
      <c r="N1107" s="1915"/>
      <c r="O1107" s="1915"/>
      <c r="P1107" s="353" t="s">
        <v>1516</v>
      </c>
      <c r="Q1107" s="1915"/>
      <c r="R1107" s="1917"/>
      <c r="S1107" s="1915"/>
      <c r="T1107" s="1915"/>
      <c r="U1107" s="1919"/>
      <c r="V1107" s="1418">
        <f t="shared" si="116"/>
        <v>0</v>
      </c>
      <c r="W1107" s="16"/>
      <c r="X1107" s="16"/>
      <c r="Y1107" s="16"/>
      <c r="Z1107" s="17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</row>
    <row r="1108" spans="1:36" s="361" customFormat="1" ht="15" hidden="1">
      <c r="A1108" s="354"/>
      <c r="B1108" s="355"/>
      <c r="C1108" s="32" t="s">
        <v>920</v>
      </c>
      <c r="D1108" s="33"/>
      <c r="E1108" s="34"/>
      <c r="F1108" s="35"/>
      <c r="G1108" s="33"/>
      <c r="H1108" s="34"/>
      <c r="I1108" s="35"/>
      <c r="J1108" s="43"/>
      <c r="K1108" s="42"/>
      <c r="L1108" s="39"/>
      <c r="M1108" s="41"/>
      <c r="N1108" s="356"/>
      <c r="O1108" s="40"/>
      <c r="P1108" s="39"/>
      <c r="Q1108" s="45"/>
      <c r="R1108" s="1359">
        <v>109.8</v>
      </c>
      <c r="S1108" s="1265" t="s">
        <v>821</v>
      </c>
      <c r="T1108" s="46" t="s">
        <v>54</v>
      </c>
      <c r="U1108" s="44"/>
      <c r="V1108" s="1418">
        <f t="shared" si="116"/>
        <v>0</v>
      </c>
      <c r="W1108" s="357"/>
      <c r="X1108" s="357"/>
      <c r="Y1108" s="357"/>
      <c r="Z1108" s="358"/>
      <c r="AA1108" s="359"/>
      <c r="AB1108" s="360"/>
    </row>
    <row r="1109" spans="1:36" s="361" customFormat="1" ht="15" hidden="1" customHeight="1">
      <c r="A1109" s="354"/>
      <c r="B1109" s="355"/>
      <c r="C1109" s="32"/>
      <c r="D1109" s="33"/>
      <c r="E1109" s="34"/>
      <c r="F1109" s="35"/>
      <c r="G1109" s="33"/>
      <c r="H1109" s="34"/>
      <c r="I1109" s="35"/>
      <c r="J1109" s="43"/>
      <c r="K1109" s="42"/>
      <c r="L1109" s="39"/>
      <c r="M1109" s="41"/>
      <c r="N1109" s="356"/>
      <c r="O1109" s="40"/>
      <c r="P1109" s="39"/>
      <c r="Q1109" s="45"/>
      <c r="R1109" s="362"/>
      <c r="S1109" s="363"/>
      <c r="T1109" s="46"/>
      <c r="U1109" s="44"/>
      <c r="V1109" s="1418">
        <f t="shared" si="116"/>
        <v>0</v>
      </c>
      <c r="W1109" s="357"/>
      <c r="X1109" s="357"/>
      <c r="Y1109" s="357"/>
      <c r="Z1109" s="358"/>
      <c r="AA1109" s="359"/>
      <c r="AB1109" s="360"/>
    </row>
    <row r="1110" spans="1:36" s="369" customFormat="1" ht="15" hidden="1">
      <c r="A1110" s="364"/>
      <c r="B1110" s="355"/>
      <c r="C1110" s="32"/>
      <c r="D1110" s="33"/>
      <c r="E1110" s="34"/>
      <c r="F1110" s="35"/>
      <c r="G1110" s="33"/>
      <c r="H1110" s="34"/>
      <c r="I1110" s="35"/>
      <c r="J1110" s="43"/>
      <c r="K1110" s="42"/>
      <c r="L1110" s="39"/>
      <c r="M1110" s="41"/>
      <c r="N1110" s="40"/>
      <c r="O1110" s="40"/>
      <c r="P1110" s="39"/>
      <c r="Q1110" s="38"/>
      <c r="R1110" s="365"/>
      <c r="S1110" s="366"/>
      <c r="T1110" s="46"/>
      <c r="U1110" s="44"/>
      <c r="V1110" s="1418">
        <f t="shared" si="116"/>
        <v>0</v>
      </c>
      <c r="W1110" s="367"/>
      <c r="X1110" s="367"/>
      <c r="Y1110" s="367"/>
      <c r="Z1110" s="368"/>
    </row>
    <row r="1111" spans="1:36" s="77" customFormat="1" ht="15" hidden="1">
      <c r="A1111" s="370"/>
      <c r="B1111" s="29"/>
      <c r="C1111" s="30"/>
      <c r="D1111" s="18"/>
      <c r="E1111" s="19"/>
      <c r="F1111" s="20"/>
      <c r="G1111" s="18"/>
      <c r="H1111" s="19"/>
      <c r="I1111" s="20"/>
      <c r="J1111" s="21"/>
      <c r="K1111" s="22"/>
      <c r="L1111" s="23"/>
      <c r="M1111" s="24"/>
      <c r="N1111" s="25"/>
      <c r="O1111" s="25"/>
      <c r="P1111" s="23"/>
      <c r="Q1111" s="26"/>
      <c r="R1111" s="371"/>
      <c r="S1111" s="27"/>
      <c r="T1111" s="372"/>
      <c r="U1111" s="31"/>
      <c r="V1111" s="1418">
        <f t="shared" si="116"/>
        <v>0</v>
      </c>
      <c r="AB1111" s="15"/>
    </row>
    <row r="1112" spans="1:36" s="77" customFormat="1" ht="15.6" hidden="1">
      <c r="A1112" s="370"/>
      <c r="B1112" s="499"/>
      <c r="C1112" s="37"/>
      <c r="D1112" s="1929" t="s">
        <v>1520</v>
      </c>
      <c r="E1112" s="1930"/>
      <c r="F1112" s="1930"/>
      <c r="G1112" s="1930"/>
      <c r="H1112" s="1930"/>
      <c r="I1112" s="1931"/>
      <c r="J1112" s="1932">
        <f>VLOOKUP(A1114,'11 - FINANCEIRA'!_xlnm.Print_Area,6,FALSE)</f>
        <v>109.8</v>
      </c>
      <c r="K1112" s="1933"/>
      <c r="L1112" s="1343" t="str">
        <f>VLOOKUP(A1114,'11 - FINANCEIRA'!_xlnm.Print_Area,4,FALSE)</f>
        <v>m²</v>
      </c>
      <c r="M1112" s="1934" t="s">
        <v>1521</v>
      </c>
      <c r="N1112" s="1935"/>
      <c r="O1112" s="1935"/>
      <c r="P1112" s="1935"/>
      <c r="Q1112" s="1936"/>
      <c r="R1112" s="726">
        <f>SUM(R1108:R1111)</f>
        <v>109.8</v>
      </c>
      <c r="S1112" s="1344" t="str">
        <f>L1112</f>
        <v>m²</v>
      </c>
      <c r="T1112" s="373"/>
      <c r="U1112" s="486"/>
      <c r="V1112" s="1418">
        <f t="shared" si="116"/>
        <v>0</v>
      </c>
      <c r="AB1112" s="15"/>
    </row>
    <row r="1113" spans="1:36" s="77" customFormat="1" ht="15.6" hidden="1">
      <c r="A1113" s="370"/>
      <c r="B1113" s="499"/>
      <c r="C1113" s="725"/>
      <c r="D1113" s="1937" t="s">
        <v>1522</v>
      </c>
      <c r="E1113" s="1938"/>
      <c r="F1113" s="1938"/>
      <c r="G1113" s="1938"/>
      <c r="H1113" s="1938"/>
      <c r="I1113" s="1939"/>
      <c r="J1113" s="1943">
        <f>R1112/J1112</f>
        <v>1</v>
      </c>
      <c r="K1113" s="1944"/>
      <c r="L1113" s="1947"/>
      <c r="M1113" s="1934" t="s">
        <v>1523</v>
      </c>
      <c r="N1113" s="1935"/>
      <c r="O1113" s="1935"/>
      <c r="P1113" s="1935"/>
      <c r="Q1113" s="1936"/>
      <c r="R1113" s="726">
        <f>VLOOKUP(A1114,'11 - FINANCEIRA'!_xlnm.Print_Area,8,FALSE)</f>
        <v>109.8</v>
      </c>
      <c r="S1113" s="727" t="str">
        <f>L1112</f>
        <v>m²</v>
      </c>
      <c r="T1113" s="373"/>
      <c r="U1113" s="486"/>
      <c r="V1113" s="1418">
        <f t="shared" si="116"/>
        <v>0</v>
      </c>
      <c r="AB1113" s="15"/>
    </row>
    <row r="1114" spans="1:36" s="77" customFormat="1" ht="15.6" hidden="1">
      <c r="A1114" s="364" t="s">
        <v>404</v>
      </c>
      <c r="B1114" s="499"/>
      <c r="C1114" s="37"/>
      <c r="D1114" s="2013"/>
      <c r="E1114" s="2014"/>
      <c r="F1114" s="2014"/>
      <c r="G1114" s="2014"/>
      <c r="H1114" s="2014"/>
      <c r="I1114" s="2015"/>
      <c r="J1114" s="2016"/>
      <c r="K1114" s="2017"/>
      <c r="L1114" s="1962"/>
      <c r="M1114" s="2007" t="s">
        <v>1524</v>
      </c>
      <c r="N1114" s="2008"/>
      <c r="O1114" s="2008"/>
      <c r="P1114" s="2008"/>
      <c r="Q1114" s="2009"/>
      <c r="R1114" s="1345">
        <f>R1112-R1113</f>
        <v>0</v>
      </c>
      <c r="S1114" s="1346" t="str">
        <f>L1112</f>
        <v>m²</v>
      </c>
      <c r="T1114" s="373"/>
      <c r="U1114" s="486"/>
      <c r="V1114" s="1418">
        <f>R1114</f>
        <v>0</v>
      </c>
      <c r="AB1114" s="15"/>
    </row>
    <row r="1115" spans="1:36" s="77" customFormat="1" ht="15.6" hidden="1">
      <c r="A1115" s="370"/>
      <c r="B1115" s="1347"/>
      <c r="C1115" s="1348"/>
      <c r="D1115" s="1349"/>
      <c r="E1115" s="1350"/>
      <c r="F1115" s="1349"/>
      <c r="G1115" s="1349"/>
      <c r="H1115" s="1349"/>
      <c r="I1115" s="1349"/>
      <c r="J1115" s="1351"/>
      <c r="K1115" s="1352"/>
      <c r="L1115" s="1353"/>
      <c r="M1115" s="1354"/>
      <c r="N1115" s="1354"/>
      <c r="O1115" s="1354"/>
      <c r="P1115" s="1354"/>
      <c r="Q1115" s="1354"/>
      <c r="R1115" s="1355"/>
      <c r="S1115" s="1356"/>
      <c r="T1115" s="1357"/>
      <c r="U1115" s="1358"/>
      <c r="V1115" s="1420">
        <f>SUM(V1106:V1114)</f>
        <v>0</v>
      </c>
      <c r="AB1115" s="15"/>
    </row>
    <row r="1116" spans="1:36" s="352" customFormat="1" ht="15.6" hidden="1">
      <c r="A1116" s="351"/>
      <c r="B1116" s="1963" t="str">
        <f>VLOOKUP(A1124,'11 - FINANCEIRA'!_xlnm.Print_Area,1,FALSE)</f>
        <v>2.3.2.13</v>
      </c>
      <c r="C1116" s="1965" t="str">
        <f>VLOOKUP(A1124,'11 - FINANCEIRA'!_xlnm.Print_Area,3,FALSE)</f>
        <v>Tanque de louça branca suspenso, 18l ou equivalente, incluso sifão tipo garrafa em metal cromado, válvula metálica e torneira de metal cromado padrão médio - fornecimento e instalação. af_01/2020</v>
      </c>
      <c r="D1116" s="1967" t="s">
        <v>1503</v>
      </c>
      <c r="E1116" s="1968"/>
      <c r="F1116" s="1968"/>
      <c r="G1116" s="1968"/>
      <c r="H1116" s="1968"/>
      <c r="I1116" s="1969"/>
      <c r="J1116" s="1914" t="s">
        <v>1504</v>
      </c>
      <c r="K1116" s="1914" t="s">
        <v>1505</v>
      </c>
      <c r="L1116" s="1914" t="s">
        <v>1506</v>
      </c>
      <c r="M1116" s="1914" t="s">
        <v>1507</v>
      </c>
      <c r="N1116" s="1914" t="s">
        <v>1508</v>
      </c>
      <c r="O1116" s="1914" t="s">
        <v>1509</v>
      </c>
      <c r="P1116" s="1341" t="s">
        <v>1510</v>
      </c>
      <c r="Q1116" s="1914" t="s">
        <v>1493</v>
      </c>
      <c r="R1116" s="1916" t="s">
        <v>804</v>
      </c>
      <c r="S1116" s="1914" t="s">
        <v>1511</v>
      </c>
      <c r="T1116" s="1914" t="s">
        <v>1512</v>
      </c>
      <c r="U1116" s="1918" t="s">
        <v>1513</v>
      </c>
      <c r="V1116" s="1418">
        <f t="shared" ref="V1116:V1123" si="117">V1117</f>
        <v>0</v>
      </c>
      <c r="W1116" s="16"/>
      <c r="X1116" s="16"/>
      <c r="Y1116" s="16"/>
      <c r="Z1116" s="17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</row>
    <row r="1117" spans="1:36" s="352" customFormat="1" ht="15.6" hidden="1">
      <c r="A1117" s="351"/>
      <c r="B1117" s="1964" t="e">
        <f>LEFT(#REF!,5)</f>
        <v>#REF!</v>
      </c>
      <c r="C1117" s="1966" t="e">
        <f>VLOOKUP(LEFT(#REF!,5),'11 - FINANCEIRA'!_xlnm.Print_Area,2,FALSE)</f>
        <v>#REF!</v>
      </c>
      <c r="D1117" s="1920" t="s">
        <v>1514</v>
      </c>
      <c r="E1117" s="1921"/>
      <c r="F1117" s="1922"/>
      <c r="G1117" s="1923" t="s">
        <v>1515</v>
      </c>
      <c r="H1117" s="1924"/>
      <c r="I1117" s="1925"/>
      <c r="J1117" s="1915"/>
      <c r="K1117" s="1915"/>
      <c r="L1117" s="1915"/>
      <c r="M1117" s="1915"/>
      <c r="N1117" s="1915"/>
      <c r="O1117" s="1915"/>
      <c r="P1117" s="353" t="s">
        <v>1516</v>
      </c>
      <c r="Q1117" s="1915"/>
      <c r="R1117" s="1917"/>
      <c r="S1117" s="1915"/>
      <c r="T1117" s="1915"/>
      <c r="U1117" s="1919"/>
      <c r="V1117" s="1418">
        <f t="shared" si="117"/>
        <v>0</v>
      </c>
      <c r="W1117" s="16"/>
      <c r="X1117" s="16"/>
      <c r="Y1117" s="16"/>
      <c r="Z1117" s="17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</row>
    <row r="1118" spans="1:36" s="361" customFormat="1" ht="45" hidden="1">
      <c r="A1118" s="354"/>
      <c r="B1118" s="355"/>
      <c r="C1118" s="32" t="s">
        <v>922</v>
      </c>
      <c r="D1118" s="33"/>
      <c r="E1118" s="34"/>
      <c r="F1118" s="35"/>
      <c r="G1118" s="33"/>
      <c r="H1118" s="34"/>
      <c r="I1118" s="35"/>
      <c r="J1118" s="43"/>
      <c r="K1118" s="42"/>
      <c r="L1118" s="39"/>
      <c r="M1118" s="41"/>
      <c r="N1118" s="356"/>
      <c r="O1118" s="40"/>
      <c r="P1118" s="39"/>
      <c r="Q1118" s="45"/>
      <c r="R1118" s="1359">
        <v>1</v>
      </c>
      <c r="S1118" s="1265" t="s">
        <v>816</v>
      </c>
      <c r="T1118" s="46" t="s">
        <v>54</v>
      </c>
      <c r="U1118" s="44"/>
      <c r="V1118" s="1418">
        <f t="shared" si="117"/>
        <v>0</v>
      </c>
      <c r="W1118" s="357"/>
      <c r="X1118" s="357"/>
      <c r="Y1118" s="357"/>
      <c r="Z1118" s="358"/>
      <c r="AA1118" s="359"/>
      <c r="AB1118" s="360"/>
    </row>
    <row r="1119" spans="1:36" s="361" customFormat="1" ht="15" hidden="1" customHeight="1">
      <c r="A1119" s="354"/>
      <c r="B1119" s="355"/>
      <c r="C1119" s="32"/>
      <c r="D1119" s="33"/>
      <c r="E1119" s="34"/>
      <c r="F1119" s="35"/>
      <c r="G1119" s="33"/>
      <c r="H1119" s="34"/>
      <c r="I1119" s="35"/>
      <c r="J1119" s="43"/>
      <c r="K1119" s="42"/>
      <c r="L1119" s="39"/>
      <c r="M1119" s="41"/>
      <c r="N1119" s="356"/>
      <c r="O1119" s="40"/>
      <c r="P1119" s="39"/>
      <c r="Q1119" s="45"/>
      <c r="R1119" s="362"/>
      <c r="S1119" s="363"/>
      <c r="T1119" s="46"/>
      <c r="U1119" s="44"/>
      <c r="V1119" s="1418">
        <f t="shared" si="117"/>
        <v>0</v>
      </c>
      <c r="W1119" s="357"/>
      <c r="X1119" s="357"/>
      <c r="Y1119" s="357"/>
      <c r="Z1119" s="358"/>
      <c r="AA1119" s="359"/>
      <c r="AB1119" s="360"/>
    </row>
    <row r="1120" spans="1:36" s="369" customFormat="1" ht="15" hidden="1">
      <c r="A1120" s="364"/>
      <c r="B1120" s="355"/>
      <c r="C1120" s="32"/>
      <c r="D1120" s="33"/>
      <c r="E1120" s="34"/>
      <c r="F1120" s="35"/>
      <c r="G1120" s="33"/>
      <c r="H1120" s="34"/>
      <c r="I1120" s="35"/>
      <c r="J1120" s="43"/>
      <c r="K1120" s="42"/>
      <c r="L1120" s="39"/>
      <c r="M1120" s="41"/>
      <c r="N1120" s="40"/>
      <c r="O1120" s="40"/>
      <c r="P1120" s="39"/>
      <c r="Q1120" s="38"/>
      <c r="R1120" s="365"/>
      <c r="S1120" s="366"/>
      <c r="T1120" s="46"/>
      <c r="U1120" s="44"/>
      <c r="V1120" s="1418">
        <f t="shared" si="117"/>
        <v>0</v>
      </c>
      <c r="W1120" s="367"/>
      <c r="X1120" s="367"/>
      <c r="Y1120" s="367"/>
      <c r="Z1120" s="368"/>
    </row>
    <row r="1121" spans="1:36" s="77" customFormat="1" ht="15" hidden="1">
      <c r="A1121" s="370"/>
      <c r="B1121" s="29"/>
      <c r="C1121" s="30"/>
      <c r="D1121" s="18"/>
      <c r="E1121" s="19"/>
      <c r="F1121" s="20"/>
      <c r="G1121" s="18"/>
      <c r="H1121" s="19"/>
      <c r="I1121" s="20"/>
      <c r="J1121" s="21"/>
      <c r="K1121" s="22"/>
      <c r="L1121" s="23"/>
      <c r="M1121" s="24"/>
      <c r="N1121" s="25"/>
      <c r="O1121" s="25"/>
      <c r="P1121" s="23"/>
      <c r="Q1121" s="26"/>
      <c r="R1121" s="371"/>
      <c r="S1121" s="27"/>
      <c r="T1121" s="372"/>
      <c r="U1121" s="31"/>
      <c r="V1121" s="1418">
        <f t="shared" si="117"/>
        <v>0</v>
      </c>
      <c r="AB1121" s="15"/>
    </row>
    <row r="1122" spans="1:36" s="77" customFormat="1" ht="15.6" hidden="1">
      <c r="A1122" s="370"/>
      <c r="B1122" s="499"/>
      <c r="C1122" s="37"/>
      <c r="D1122" s="1929" t="s">
        <v>1520</v>
      </c>
      <c r="E1122" s="1930"/>
      <c r="F1122" s="1930"/>
      <c r="G1122" s="1930"/>
      <c r="H1122" s="1930"/>
      <c r="I1122" s="1931"/>
      <c r="J1122" s="1932">
        <f>VLOOKUP(A1124,'11 - FINANCEIRA'!_xlnm.Print_Area,6,FALSE)</f>
        <v>1</v>
      </c>
      <c r="K1122" s="1933"/>
      <c r="L1122" s="1343" t="str">
        <f>VLOOKUP(A1124,'11 - FINANCEIRA'!_xlnm.Print_Area,4,FALSE)</f>
        <v>und</v>
      </c>
      <c r="M1122" s="1934" t="s">
        <v>1521</v>
      </c>
      <c r="N1122" s="1935"/>
      <c r="O1122" s="1935"/>
      <c r="P1122" s="1935"/>
      <c r="Q1122" s="1936"/>
      <c r="R1122" s="726">
        <f>SUM(R1118:R1121)</f>
        <v>1</v>
      </c>
      <c r="S1122" s="1344" t="str">
        <f>L1122</f>
        <v>und</v>
      </c>
      <c r="T1122" s="373"/>
      <c r="U1122" s="486"/>
      <c r="V1122" s="1418">
        <f t="shared" si="117"/>
        <v>0</v>
      </c>
      <c r="AB1122" s="15"/>
    </row>
    <row r="1123" spans="1:36" s="77" customFormat="1" ht="15.6" hidden="1">
      <c r="A1123" s="370"/>
      <c r="B1123" s="499"/>
      <c r="C1123" s="725"/>
      <c r="D1123" s="1937" t="s">
        <v>1522</v>
      </c>
      <c r="E1123" s="1938"/>
      <c r="F1123" s="1938"/>
      <c r="G1123" s="1938"/>
      <c r="H1123" s="1938"/>
      <c r="I1123" s="1939"/>
      <c r="J1123" s="1943">
        <f>R1122/J1122</f>
        <v>1</v>
      </c>
      <c r="K1123" s="1944"/>
      <c r="L1123" s="1947"/>
      <c r="M1123" s="1934" t="s">
        <v>1523</v>
      </c>
      <c r="N1123" s="1935"/>
      <c r="O1123" s="1935"/>
      <c r="P1123" s="1935"/>
      <c r="Q1123" s="1936"/>
      <c r="R1123" s="726">
        <f>VLOOKUP(A1124,'11 - FINANCEIRA'!_xlnm.Print_Area,8,FALSE)</f>
        <v>1</v>
      </c>
      <c r="S1123" s="727" t="str">
        <f>L1122</f>
        <v>und</v>
      </c>
      <c r="T1123" s="373"/>
      <c r="U1123" s="486"/>
      <c r="V1123" s="1418">
        <f t="shared" si="117"/>
        <v>0</v>
      </c>
      <c r="AB1123" s="15"/>
    </row>
    <row r="1124" spans="1:36" s="77" customFormat="1" ht="15.6" hidden="1">
      <c r="A1124" s="364" t="s">
        <v>405</v>
      </c>
      <c r="B1124" s="499"/>
      <c r="C1124" s="37"/>
      <c r="D1124" s="2013"/>
      <c r="E1124" s="2014"/>
      <c r="F1124" s="2014"/>
      <c r="G1124" s="2014"/>
      <c r="H1124" s="2014"/>
      <c r="I1124" s="2015"/>
      <c r="J1124" s="2016"/>
      <c r="K1124" s="2017"/>
      <c r="L1124" s="1962"/>
      <c r="M1124" s="2007" t="s">
        <v>1524</v>
      </c>
      <c r="N1124" s="2008"/>
      <c r="O1124" s="2008"/>
      <c r="P1124" s="2008"/>
      <c r="Q1124" s="2009"/>
      <c r="R1124" s="1345">
        <f>R1122-R1123</f>
        <v>0</v>
      </c>
      <c r="S1124" s="1346" t="str">
        <f>L1122</f>
        <v>und</v>
      </c>
      <c r="T1124" s="373"/>
      <c r="U1124" s="486"/>
      <c r="V1124" s="1418">
        <f>R1124</f>
        <v>0</v>
      </c>
      <c r="AB1124" s="15"/>
    </row>
    <row r="1125" spans="1:36" s="77" customFormat="1" ht="15.6" hidden="1">
      <c r="A1125" s="370"/>
      <c r="B1125" s="1347"/>
      <c r="C1125" s="1348"/>
      <c r="D1125" s="1349"/>
      <c r="E1125" s="1350"/>
      <c r="F1125" s="1349"/>
      <c r="G1125" s="1349"/>
      <c r="H1125" s="1349"/>
      <c r="I1125" s="1349"/>
      <c r="J1125" s="1351"/>
      <c r="K1125" s="1352"/>
      <c r="L1125" s="1353"/>
      <c r="M1125" s="1354"/>
      <c r="N1125" s="1354"/>
      <c r="O1125" s="1354"/>
      <c r="P1125" s="1354"/>
      <c r="Q1125" s="1354"/>
      <c r="R1125" s="1355"/>
      <c r="S1125" s="1356"/>
      <c r="T1125" s="1357"/>
      <c r="U1125" s="1358"/>
      <c r="V1125" s="1420">
        <f>SUM(V1116:V1124)</f>
        <v>0</v>
      </c>
      <c r="AB1125" s="15"/>
    </row>
    <row r="1126" spans="1:36" s="352" customFormat="1" ht="15.6" hidden="1">
      <c r="A1126" s="351"/>
      <c r="B1126" s="1963" t="str">
        <f>VLOOKUP(A1134,'11 - FINANCEIRA'!_xlnm.Print_Area,1,FALSE)</f>
        <v>2.3.2.14</v>
      </c>
      <c r="C1126" s="1965" t="str">
        <f>VLOOKUP(A1134,'11 - FINANCEIRA'!_xlnm.Print_Area,3,FALSE)</f>
        <v>Torneira cromada 1/2? ou 3/4? para tanque, padrão médio - fornecimento e instalação. af_01/2020</v>
      </c>
      <c r="D1126" s="1967" t="s">
        <v>1503</v>
      </c>
      <c r="E1126" s="1968"/>
      <c r="F1126" s="1968"/>
      <c r="G1126" s="1968"/>
      <c r="H1126" s="1968"/>
      <c r="I1126" s="1969"/>
      <c r="J1126" s="1914" t="s">
        <v>1504</v>
      </c>
      <c r="K1126" s="1914" t="s">
        <v>1505</v>
      </c>
      <c r="L1126" s="1914" t="s">
        <v>1506</v>
      </c>
      <c r="M1126" s="1914" t="s">
        <v>1507</v>
      </c>
      <c r="N1126" s="1914" t="s">
        <v>1508</v>
      </c>
      <c r="O1126" s="1914" t="s">
        <v>1509</v>
      </c>
      <c r="P1126" s="1341" t="s">
        <v>1510</v>
      </c>
      <c r="Q1126" s="1914" t="s">
        <v>1493</v>
      </c>
      <c r="R1126" s="1916" t="s">
        <v>804</v>
      </c>
      <c r="S1126" s="1914" t="s">
        <v>1511</v>
      </c>
      <c r="T1126" s="1914" t="s">
        <v>1512</v>
      </c>
      <c r="U1126" s="1918" t="s">
        <v>1513</v>
      </c>
      <c r="V1126" s="1418">
        <f t="shared" ref="V1126:V1133" si="118">V1127</f>
        <v>0</v>
      </c>
      <c r="W1126" s="16"/>
      <c r="X1126" s="16"/>
      <c r="Y1126" s="16"/>
      <c r="Z1126" s="17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</row>
    <row r="1127" spans="1:36" s="352" customFormat="1" ht="15.6" hidden="1">
      <c r="A1127" s="351"/>
      <c r="B1127" s="1964" t="e">
        <f>LEFT(#REF!,5)</f>
        <v>#REF!</v>
      </c>
      <c r="C1127" s="1966" t="e">
        <f>VLOOKUP(LEFT(#REF!,5),'11 - FINANCEIRA'!_xlnm.Print_Area,2,FALSE)</f>
        <v>#REF!</v>
      </c>
      <c r="D1127" s="1920" t="s">
        <v>1514</v>
      </c>
      <c r="E1127" s="1921"/>
      <c r="F1127" s="1922"/>
      <c r="G1127" s="1923" t="s">
        <v>1515</v>
      </c>
      <c r="H1127" s="1924"/>
      <c r="I1127" s="1925"/>
      <c r="J1127" s="1915"/>
      <c r="K1127" s="1915"/>
      <c r="L1127" s="1915"/>
      <c r="M1127" s="1915"/>
      <c r="N1127" s="1915"/>
      <c r="O1127" s="1915"/>
      <c r="P1127" s="353" t="s">
        <v>1516</v>
      </c>
      <c r="Q1127" s="1915"/>
      <c r="R1127" s="1917"/>
      <c r="S1127" s="1915"/>
      <c r="T1127" s="1915"/>
      <c r="U1127" s="1919"/>
      <c r="V1127" s="1418">
        <f t="shared" si="118"/>
        <v>0</v>
      </c>
      <c r="W1127" s="16"/>
      <c r="X1127" s="16"/>
      <c r="Y1127" s="16"/>
      <c r="Z1127" s="17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</row>
    <row r="1128" spans="1:36" s="361" customFormat="1" ht="30" hidden="1">
      <c r="A1128" s="354"/>
      <c r="B1128" s="355"/>
      <c r="C1128" s="32" t="s">
        <v>924</v>
      </c>
      <c r="D1128" s="33"/>
      <c r="E1128" s="34"/>
      <c r="F1128" s="35"/>
      <c r="G1128" s="33"/>
      <c r="H1128" s="34"/>
      <c r="I1128" s="35"/>
      <c r="J1128" s="43"/>
      <c r="K1128" s="42"/>
      <c r="L1128" s="39"/>
      <c r="M1128" s="41"/>
      <c r="N1128" s="356"/>
      <c r="O1128" s="40"/>
      <c r="P1128" s="39"/>
      <c r="Q1128" s="45"/>
      <c r="R1128" s="1359">
        <v>1</v>
      </c>
      <c r="S1128" s="1265" t="s">
        <v>816</v>
      </c>
      <c r="T1128" s="46" t="s">
        <v>54</v>
      </c>
      <c r="U1128" s="44"/>
      <c r="V1128" s="1418">
        <f t="shared" si="118"/>
        <v>0</v>
      </c>
      <c r="W1128" s="357"/>
      <c r="X1128" s="357"/>
      <c r="Y1128" s="357"/>
      <c r="Z1128" s="358"/>
      <c r="AA1128" s="359"/>
      <c r="AB1128" s="360"/>
    </row>
    <row r="1129" spans="1:36" s="361" customFormat="1" ht="15" hidden="1" customHeight="1">
      <c r="A1129" s="354"/>
      <c r="B1129" s="355"/>
      <c r="C1129" s="32"/>
      <c r="D1129" s="33"/>
      <c r="E1129" s="34"/>
      <c r="F1129" s="35"/>
      <c r="G1129" s="33"/>
      <c r="H1129" s="34"/>
      <c r="I1129" s="35"/>
      <c r="J1129" s="43"/>
      <c r="K1129" s="42"/>
      <c r="L1129" s="39"/>
      <c r="M1129" s="41"/>
      <c r="N1129" s="356"/>
      <c r="O1129" s="40"/>
      <c r="P1129" s="39"/>
      <c r="Q1129" s="45"/>
      <c r="R1129" s="362"/>
      <c r="S1129" s="363"/>
      <c r="T1129" s="46"/>
      <c r="U1129" s="44"/>
      <c r="V1129" s="1418">
        <f t="shared" si="118"/>
        <v>0</v>
      </c>
      <c r="W1129" s="357"/>
      <c r="X1129" s="357"/>
      <c r="Y1129" s="357"/>
      <c r="Z1129" s="358"/>
      <c r="AA1129" s="359"/>
      <c r="AB1129" s="360"/>
    </row>
    <row r="1130" spans="1:36" s="369" customFormat="1" ht="15" hidden="1">
      <c r="A1130" s="364"/>
      <c r="B1130" s="355"/>
      <c r="C1130" s="32"/>
      <c r="D1130" s="33"/>
      <c r="E1130" s="34"/>
      <c r="F1130" s="35"/>
      <c r="G1130" s="33"/>
      <c r="H1130" s="34"/>
      <c r="I1130" s="35"/>
      <c r="J1130" s="43"/>
      <c r="K1130" s="42"/>
      <c r="L1130" s="39"/>
      <c r="M1130" s="41"/>
      <c r="N1130" s="40"/>
      <c r="O1130" s="40"/>
      <c r="P1130" s="39"/>
      <c r="Q1130" s="38"/>
      <c r="R1130" s="365"/>
      <c r="S1130" s="366"/>
      <c r="T1130" s="46"/>
      <c r="U1130" s="44"/>
      <c r="V1130" s="1418">
        <f t="shared" si="118"/>
        <v>0</v>
      </c>
      <c r="W1130" s="367"/>
      <c r="X1130" s="367"/>
      <c r="Y1130" s="367"/>
      <c r="Z1130" s="368"/>
    </row>
    <row r="1131" spans="1:36" s="77" customFormat="1" ht="15" hidden="1">
      <c r="A1131" s="370"/>
      <c r="B1131" s="29"/>
      <c r="C1131" s="30"/>
      <c r="D1131" s="18"/>
      <c r="E1131" s="19"/>
      <c r="F1131" s="20"/>
      <c r="G1131" s="18"/>
      <c r="H1131" s="19"/>
      <c r="I1131" s="20"/>
      <c r="J1131" s="21"/>
      <c r="K1131" s="22"/>
      <c r="L1131" s="23"/>
      <c r="M1131" s="24"/>
      <c r="N1131" s="25"/>
      <c r="O1131" s="25"/>
      <c r="P1131" s="23"/>
      <c r="Q1131" s="26"/>
      <c r="R1131" s="371"/>
      <c r="S1131" s="27"/>
      <c r="T1131" s="372"/>
      <c r="U1131" s="31"/>
      <c r="V1131" s="1418">
        <f t="shared" si="118"/>
        <v>0</v>
      </c>
      <c r="AB1131" s="15"/>
    </row>
    <row r="1132" spans="1:36" s="77" customFormat="1" ht="15.6" hidden="1">
      <c r="A1132" s="370"/>
      <c r="B1132" s="499"/>
      <c r="C1132" s="37"/>
      <c r="D1132" s="1929" t="s">
        <v>1520</v>
      </c>
      <c r="E1132" s="1930"/>
      <c r="F1132" s="1930"/>
      <c r="G1132" s="1930"/>
      <c r="H1132" s="1930"/>
      <c r="I1132" s="1931"/>
      <c r="J1132" s="1932">
        <f>VLOOKUP(A1134,'11 - FINANCEIRA'!_xlnm.Print_Area,6,FALSE)</f>
        <v>1</v>
      </c>
      <c r="K1132" s="1933"/>
      <c r="L1132" s="1343" t="str">
        <f>VLOOKUP(A1134,'11 - FINANCEIRA'!_xlnm.Print_Area,4,FALSE)</f>
        <v>und</v>
      </c>
      <c r="M1132" s="1934" t="s">
        <v>1521</v>
      </c>
      <c r="N1132" s="1935"/>
      <c r="O1132" s="1935"/>
      <c r="P1132" s="1935"/>
      <c r="Q1132" s="1936"/>
      <c r="R1132" s="726">
        <f>SUM(R1128:R1131)</f>
        <v>1</v>
      </c>
      <c r="S1132" s="1344" t="str">
        <f>L1132</f>
        <v>und</v>
      </c>
      <c r="T1132" s="373"/>
      <c r="U1132" s="486"/>
      <c r="V1132" s="1418">
        <f t="shared" si="118"/>
        <v>0</v>
      </c>
      <c r="AB1132" s="15"/>
    </row>
    <row r="1133" spans="1:36" s="77" customFormat="1" ht="15.6" hidden="1">
      <c r="A1133" s="370"/>
      <c r="B1133" s="499"/>
      <c r="C1133" s="725"/>
      <c r="D1133" s="1937" t="s">
        <v>1522</v>
      </c>
      <c r="E1133" s="1938"/>
      <c r="F1133" s="1938"/>
      <c r="G1133" s="1938"/>
      <c r="H1133" s="1938"/>
      <c r="I1133" s="1939"/>
      <c r="J1133" s="1943">
        <f>R1132/J1132</f>
        <v>1</v>
      </c>
      <c r="K1133" s="1944"/>
      <c r="L1133" s="1947"/>
      <c r="M1133" s="1934" t="s">
        <v>1523</v>
      </c>
      <c r="N1133" s="1935"/>
      <c r="O1133" s="1935"/>
      <c r="P1133" s="1935"/>
      <c r="Q1133" s="1936"/>
      <c r="R1133" s="726">
        <f>VLOOKUP(A1134,'11 - FINANCEIRA'!_xlnm.Print_Area,8,FALSE)</f>
        <v>1</v>
      </c>
      <c r="S1133" s="727" t="str">
        <f>L1132</f>
        <v>und</v>
      </c>
      <c r="T1133" s="373"/>
      <c r="U1133" s="486"/>
      <c r="V1133" s="1418">
        <f t="shared" si="118"/>
        <v>0</v>
      </c>
      <c r="AB1133" s="15"/>
    </row>
    <row r="1134" spans="1:36" s="77" customFormat="1" ht="15.6" hidden="1">
      <c r="A1134" s="364" t="s">
        <v>406</v>
      </c>
      <c r="B1134" s="499"/>
      <c r="C1134" s="37"/>
      <c r="D1134" s="2013"/>
      <c r="E1134" s="2014"/>
      <c r="F1134" s="2014"/>
      <c r="G1134" s="2014"/>
      <c r="H1134" s="2014"/>
      <c r="I1134" s="2015"/>
      <c r="J1134" s="2016"/>
      <c r="K1134" s="2017"/>
      <c r="L1134" s="1962"/>
      <c r="M1134" s="2007" t="s">
        <v>1524</v>
      </c>
      <c r="N1134" s="2008"/>
      <c r="O1134" s="2008"/>
      <c r="P1134" s="2008"/>
      <c r="Q1134" s="2009"/>
      <c r="R1134" s="1345">
        <f>R1132-R1133</f>
        <v>0</v>
      </c>
      <c r="S1134" s="1346" t="str">
        <f>L1132</f>
        <v>und</v>
      </c>
      <c r="T1134" s="373"/>
      <c r="U1134" s="486"/>
      <c r="V1134" s="1418">
        <f>R1134</f>
        <v>0</v>
      </c>
      <c r="AB1134" s="15"/>
    </row>
    <row r="1135" spans="1:36" s="77" customFormat="1" ht="15.6" hidden="1">
      <c r="A1135" s="370"/>
      <c r="B1135" s="1347"/>
      <c r="C1135" s="1348"/>
      <c r="D1135" s="1349"/>
      <c r="E1135" s="1350"/>
      <c r="F1135" s="1349"/>
      <c r="G1135" s="1349"/>
      <c r="H1135" s="1349"/>
      <c r="I1135" s="1349"/>
      <c r="J1135" s="1351"/>
      <c r="K1135" s="1352"/>
      <c r="L1135" s="1353"/>
      <c r="M1135" s="1354"/>
      <c r="N1135" s="1354"/>
      <c r="O1135" s="1354"/>
      <c r="P1135" s="1354"/>
      <c r="Q1135" s="1354"/>
      <c r="R1135" s="1355"/>
      <c r="S1135" s="1356"/>
      <c r="T1135" s="1357"/>
      <c r="U1135" s="1358"/>
      <c r="V1135" s="1420">
        <f>SUM(V1126:V1134)</f>
        <v>0</v>
      </c>
      <c r="AB1135" s="15"/>
    </row>
    <row r="1136" spans="1:36" s="632" customFormat="1" ht="15.6" hidden="1">
      <c r="A1136" s="630"/>
      <c r="B1136" s="1333" t="str">
        <f>LEFT(A1145,5)</f>
        <v>2.3.3</v>
      </c>
      <c r="C1136" s="1334" t="str">
        <f>VLOOKUP(LEFT(A1145,5),'11 - FINANCEIRA'!_xlnm.Print_Area,2,FALSE)</f>
        <v>I.S. - INTERNO</v>
      </c>
      <c r="D1136" s="1334"/>
      <c r="E1136" s="1335"/>
      <c r="F1136" s="1334"/>
      <c r="G1136" s="2071"/>
      <c r="H1136" s="2072"/>
      <c r="I1136" s="2072"/>
      <c r="J1136" s="2072"/>
      <c r="K1136" s="2072"/>
      <c r="L1136" s="2072"/>
      <c r="M1136" s="1338"/>
      <c r="N1136" s="1339"/>
      <c r="O1136" s="1339"/>
      <c r="P1136" s="1339"/>
      <c r="Q1136" s="1339"/>
      <c r="R1136" s="1339"/>
      <c r="S1136" s="1339"/>
      <c r="T1136" s="1339"/>
      <c r="U1136" s="1339"/>
      <c r="V1136" s="631">
        <f>SUM(V1137:V1296)</f>
        <v>0</v>
      </c>
    </row>
    <row r="1137" spans="1:36" s="352" customFormat="1" ht="15.6" hidden="1">
      <c r="A1137" s="351"/>
      <c r="B1137" s="1963" t="str">
        <f>VLOOKUP(A1145,'11 - FINANCEIRA'!_xlnm.Print_Area,1,FALSE)</f>
        <v>2.3.3.1</v>
      </c>
      <c r="C1137" s="1965" t="str">
        <f>VLOOKUP(A1145,'11 - FINANCEIRA'!_xlnm.Print_Area,3,FALSE)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137" s="1967" t="s">
        <v>1503</v>
      </c>
      <c r="E1137" s="1968"/>
      <c r="F1137" s="1968"/>
      <c r="G1137" s="1968"/>
      <c r="H1137" s="1968"/>
      <c r="I1137" s="1969"/>
      <c r="J1137" s="1914" t="s">
        <v>1504</v>
      </c>
      <c r="K1137" s="1914" t="s">
        <v>1505</v>
      </c>
      <c r="L1137" s="1914" t="s">
        <v>1506</v>
      </c>
      <c r="M1137" s="1914" t="s">
        <v>1507</v>
      </c>
      <c r="N1137" s="1914" t="s">
        <v>1508</v>
      </c>
      <c r="O1137" s="1914" t="s">
        <v>1509</v>
      </c>
      <c r="P1137" s="1341" t="s">
        <v>1510</v>
      </c>
      <c r="Q1137" s="1914" t="s">
        <v>1493</v>
      </c>
      <c r="R1137" s="1916" t="s">
        <v>804</v>
      </c>
      <c r="S1137" s="1914" t="s">
        <v>1511</v>
      </c>
      <c r="T1137" s="1914" t="s">
        <v>1512</v>
      </c>
      <c r="U1137" s="1918" t="s">
        <v>1513</v>
      </c>
      <c r="V1137" s="1418">
        <f t="shared" ref="V1137:V1144" si="119">V1138</f>
        <v>0</v>
      </c>
      <c r="W1137" s="16"/>
      <c r="X1137" s="16"/>
      <c r="Y1137" s="16"/>
      <c r="Z1137" s="17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</row>
    <row r="1138" spans="1:36" s="352" customFormat="1" ht="15.6" hidden="1">
      <c r="A1138" s="351"/>
      <c r="B1138" s="1964" t="e">
        <f>LEFT(#REF!,5)</f>
        <v>#REF!</v>
      </c>
      <c r="C1138" s="1966" t="e">
        <f>VLOOKUP(LEFT(#REF!,5),'11 - FINANCEIRA'!_xlnm.Print_Area,2,FALSE)</f>
        <v>#REF!</v>
      </c>
      <c r="D1138" s="1920" t="s">
        <v>1514</v>
      </c>
      <c r="E1138" s="1921"/>
      <c r="F1138" s="1922"/>
      <c r="G1138" s="1923" t="s">
        <v>1515</v>
      </c>
      <c r="H1138" s="1924"/>
      <c r="I1138" s="1925"/>
      <c r="J1138" s="1915"/>
      <c r="K1138" s="1915"/>
      <c r="L1138" s="1915"/>
      <c r="M1138" s="1915"/>
      <c r="N1138" s="1915"/>
      <c r="O1138" s="1915"/>
      <c r="P1138" s="353" t="s">
        <v>1516</v>
      </c>
      <c r="Q1138" s="1915"/>
      <c r="R1138" s="1917"/>
      <c r="S1138" s="1915"/>
      <c r="T1138" s="1915"/>
      <c r="U1138" s="1919"/>
      <c r="V1138" s="1418">
        <f t="shared" si="119"/>
        <v>0</v>
      </c>
      <c r="W1138" s="16"/>
      <c r="X1138" s="16"/>
      <c r="Y1138" s="16"/>
      <c r="Z1138" s="17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</row>
    <row r="1139" spans="1:36" s="361" customFormat="1" ht="45" hidden="1">
      <c r="A1139" s="354"/>
      <c r="B1139" s="355"/>
      <c r="C1139" s="32" t="s">
        <v>927</v>
      </c>
      <c r="D1139" s="33"/>
      <c r="E1139" s="34"/>
      <c r="F1139" s="35"/>
      <c r="G1139" s="33"/>
      <c r="H1139" s="34"/>
      <c r="I1139" s="35"/>
      <c r="J1139" s="43"/>
      <c r="K1139" s="42"/>
      <c r="L1139" s="39"/>
      <c r="M1139" s="41"/>
      <c r="N1139" s="356"/>
      <c r="O1139" s="40"/>
      <c r="P1139" s="39"/>
      <c r="Q1139" s="45"/>
      <c r="R1139" s="1359">
        <v>18.39</v>
      </c>
      <c r="S1139" s="1265" t="s">
        <v>821</v>
      </c>
      <c r="T1139" s="46" t="s">
        <v>329</v>
      </c>
      <c r="U1139" s="44"/>
      <c r="V1139" s="1418">
        <f t="shared" si="119"/>
        <v>0</v>
      </c>
      <c r="W1139" s="357"/>
      <c r="X1139" s="357"/>
      <c r="Y1139" s="357"/>
      <c r="Z1139" s="358"/>
      <c r="AA1139" s="359"/>
      <c r="AB1139" s="360"/>
    </row>
    <row r="1140" spans="1:36" s="361" customFormat="1" ht="15" hidden="1" customHeight="1">
      <c r="A1140" s="354"/>
      <c r="B1140" s="355"/>
      <c r="C1140" s="32"/>
      <c r="D1140" s="33"/>
      <c r="E1140" s="34"/>
      <c r="F1140" s="35"/>
      <c r="G1140" s="33"/>
      <c r="H1140" s="34"/>
      <c r="I1140" s="35"/>
      <c r="J1140" s="43"/>
      <c r="K1140" s="42"/>
      <c r="L1140" s="39"/>
      <c r="M1140" s="41"/>
      <c r="N1140" s="356"/>
      <c r="O1140" s="40"/>
      <c r="P1140" s="39"/>
      <c r="Q1140" s="45"/>
      <c r="R1140" s="362"/>
      <c r="S1140" s="363"/>
      <c r="T1140" s="46"/>
      <c r="U1140" s="44"/>
      <c r="V1140" s="1418">
        <f t="shared" si="119"/>
        <v>0</v>
      </c>
      <c r="W1140" s="357"/>
      <c r="X1140" s="357"/>
      <c r="Y1140" s="357"/>
      <c r="Z1140" s="358"/>
      <c r="AA1140" s="359"/>
      <c r="AB1140" s="360"/>
    </row>
    <row r="1141" spans="1:36" s="369" customFormat="1" ht="15" hidden="1">
      <c r="A1141" s="364"/>
      <c r="B1141" s="355"/>
      <c r="C1141" s="32"/>
      <c r="D1141" s="33"/>
      <c r="E1141" s="34"/>
      <c r="F1141" s="35"/>
      <c r="G1141" s="33"/>
      <c r="H1141" s="34"/>
      <c r="I1141" s="35"/>
      <c r="J1141" s="43"/>
      <c r="K1141" s="42"/>
      <c r="L1141" s="39"/>
      <c r="M1141" s="41"/>
      <c r="N1141" s="40"/>
      <c r="O1141" s="40"/>
      <c r="P1141" s="39"/>
      <c r="Q1141" s="38"/>
      <c r="R1141" s="365"/>
      <c r="S1141" s="366"/>
      <c r="T1141" s="46"/>
      <c r="U1141" s="44"/>
      <c r="V1141" s="1418">
        <f t="shared" si="119"/>
        <v>0</v>
      </c>
      <c r="W1141" s="367"/>
      <c r="X1141" s="367"/>
      <c r="Y1141" s="367"/>
      <c r="Z1141" s="368"/>
    </row>
    <row r="1142" spans="1:36" s="77" customFormat="1" ht="15" hidden="1">
      <c r="A1142" s="370"/>
      <c r="B1142" s="29"/>
      <c r="C1142" s="30"/>
      <c r="D1142" s="18"/>
      <c r="E1142" s="19"/>
      <c r="F1142" s="20"/>
      <c r="G1142" s="18"/>
      <c r="H1142" s="19"/>
      <c r="I1142" s="20"/>
      <c r="J1142" s="21"/>
      <c r="K1142" s="22"/>
      <c r="L1142" s="23"/>
      <c r="M1142" s="24"/>
      <c r="N1142" s="25"/>
      <c r="O1142" s="25"/>
      <c r="P1142" s="23"/>
      <c r="Q1142" s="26"/>
      <c r="R1142" s="371"/>
      <c r="S1142" s="27"/>
      <c r="T1142" s="372"/>
      <c r="U1142" s="31"/>
      <c r="V1142" s="1418">
        <f t="shared" si="119"/>
        <v>0</v>
      </c>
      <c r="AB1142" s="15"/>
    </row>
    <row r="1143" spans="1:36" s="77" customFormat="1" ht="15.6" hidden="1">
      <c r="A1143" s="370"/>
      <c r="B1143" s="499"/>
      <c r="C1143" s="37"/>
      <c r="D1143" s="1929" t="s">
        <v>1520</v>
      </c>
      <c r="E1143" s="1930"/>
      <c r="F1143" s="1930"/>
      <c r="G1143" s="1930"/>
      <c r="H1143" s="1930"/>
      <c r="I1143" s="1931"/>
      <c r="J1143" s="1932">
        <f>VLOOKUP(A1145,'11 - FINANCEIRA'!_xlnm.Print_Area,6,FALSE)</f>
        <v>18.39</v>
      </c>
      <c r="K1143" s="1933"/>
      <c r="L1143" s="1343" t="str">
        <f>VLOOKUP(A1145,'11 - FINANCEIRA'!_xlnm.Print_Area,4,FALSE)</f>
        <v>m²</v>
      </c>
      <c r="M1143" s="1934" t="s">
        <v>1521</v>
      </c>
      <c r="N1143" s="1935"/>
      <c r="O1143" s="1935"/>
      <c r="P1143" s="1935"/>
      <c r="Q1143" s="1936"/>
      <c r="R1143" s="726">
        <f>SUM(R1139:R1142)</f>
        <v>18.39</v>
      </c>
      <c r="S1143" s="1344" t="str">
        <f>L1143</f>
        <v>m²</v>
      </c>
      <c r="T1143" s="373"/>
      <c r="U1143" s="486"/>
      <c r="V1143" s="1418">
        <f t="shared" si="119"/>
        <v>0</v>
      </c>
      <c r="AB1143" s="15"/>
    </row>
    <row r="1144" spans="1:36" s="77" customFormat="1" ht="15.6" hidden="1">
      <c r="A1144" s="370"/>
      <c r="B1144" s="499"/>
      <c r="C1144" s="725"/>
      <c r="D1144" s="1937" t="s">
        <v>1522</v>
      </c>
      <c r="E1144" s="1938"/>
      <c r="F1144" s="1938"/>
      <c r="G1144" s="1938"/>
      <c r="H1144" s="1938"/>
      <c r="I1144" s="1939"/>
      <c r="J1144" s="1943">
        <f>R1143/J1143</f>
        <v>1</v>
      </c>
      <c r="K1144" s="1944"/>
      <c r="L1144" s="1947"/>
      <c r="M1144" s="1934" t="s">
        <v>1523</v>
      </c>
      <c r="N1144" s="1935"/>
      <c r="O1144" s="1935"/>
      <c r="P1144" s="1935"/>
      <c r="Q1144" s="1936"/>
      <c r="R1144" s="726">
        <f>VLOOKUP(A1145,'11 - FINANCEIRA'!_xlnm.Print_Area,8,FALSE)</f>
        <v>18.39</v>
      </c>
      <c r="S1144" s="727" t="str">
        <f>L1143</f>
        <v>m²</v>
      </c>
      <c r="T1144" s="373"/>
      <c r="U1144" s="486"/>
      <c r="V1144" s="1418">
        <f t="shared" si="119"/>
        <v>0</v>
      </c>
      <c r="AB1144" s="15"/>
    </row>
    <row r="1145" spans="1:36" s="77" customFormat="1" ht="15.6" hidden="1">
      <c r="A1145" s="364" t="s">
        <v>408</v>
      </c>
      <c r="B1145" s="499"/>
      <c r="C1145" s="37"/>
      <c r="D1145" s="2013"/>
      <c r="E1145" s="2014"/>
      <c r="F1145" s="2014"/>
      <c r="G1145" s="2014"/>
      <c r="H1145" s="2014"/>
      <c r="I1145" s="2015"/>
      <c r="J1145" s="2016"/>
      <c r="K1145" s="2017"/>
      <c r="L1145" s="1962"/>
      <c r="M1145" s="2007" t="s">
        <v>1524</v>
      </c>
      <c r="N1145" s="2008"/>
      <c r="O1145" s="2008"/>
      <c r="P1145" s="2008"/>
      <c r="Q1145" s="2009"/>
      <c r="R1145" s="1345">
        <f>R1143-R1144</f>
        <v>0</v>
      </c>
      <c r="S1145" s="1346" t="str">
        <f>L1143</f>
        <v>m²</v>
      </c>
      <c r="T1145" s="373"/>
      <c r="U1145" s="486"/>
      <c r="V1145" s="1418">
        <f>R1145</f>
        <v>0</v>
      </c>
      <c r="AB1145" s="15"/>
    </row>
    <row r="1146" spans="1:36" s="77" customFormat="1" ht="15.6" hidden="1">
      <c r="A1146" s="370"/>
      <c r="B1146" s="1347"/>
      <c r="C1146" s="1348"/>
      <c r="D1146" s="1349"/>
      <c r="E1146" s="1350"/>
      <c r="F1146" s="1349"/>
      <c r="G1146" s="1349"/>
      <c r="H1146" s="1349"/>
      <c r="I1146" s="1349"/>
      <c r="J1146" s="1351"/>
      <c r="K1146" s="1352"/>
      <c r="L1146" s="1353"/>
      <c r="M1146" s="1354"/>
      <c r="N1146" s="1354"/>
      <c r="O1146" s="1354"/>
      <c r="P1146" s="1354"/>
      <c r="Q1146" s="1354"/>
      <c r="R1146" s="1355"/>
      <c r="S1146" s="1356"/>
      <c r="T1146" s="1357"/>
      <c r="U1146" s="1358"/>
      <c r="V1146" s="1420">
        <f>SUM(V1137:V1145)</f>
        <v>0</v>
      </c>
      <c r="AB1146" s="15"/>
    </row>
    <row r="1147" spans="1:36" s="352" customFormat="1" ht="15.6" hidden="1">
      <c r="A1147" s="351"/>
      <c r="B1147" s="1963" t="str">
        <f>VLOOKUP(A1155,'11 - FINANCEIRA'!_xlnm.Print_Area,1,FALSE)</f>
        <v>2.3.3.2</v>
      </c>
      <c r="C1147" s="1965" t="str">
        <f>VLOOKUP(A1155,'11 - FINANCEIRA'!_xlnm.Print_Area,3,FALSE)</f>
        <v>Aplicação manual de pintura com tinta látex acrílica em paredes, duas demãos. af_06/2014</v>
      </c>
      <c r="D1147" s="1967" t="s">
        <v>1503</v>
      </c>
      <c r="E1147" s="1968"/>
      <c r="F1147" s="1968"/>
      <c r="G1147" s="1968"/>
      <c r="H1147" s="1968"/>
      <c r="I1147" s="1969"/>
      <c r="J1147" s="1914" t="s">
        <v>1504</v>
      </c>
      <c r="K1147" s="1914" t="s">
        <v>1505</v>
      </c>
      <c r="L1147" s="1914" t="s">
        <v>1506</v>
      </c>
      <c r="M1147" s="1914" t="s">
        <v>1507</v>
      </c>
      <c r="N1147" s="1914" t="s">
        <v>1508</v>
      </c>
      <c r="O1147" s="1914" t="s">
        <v>1509</v>
      </c>
      <c r="P1147" s="1341" t="s">
        <v>1510</v>
      </c>
      <c r="Q1147" s="1914" t="s">
        <v>1493</v>
      </c>
      <c r="R1147" s="1916" t="s">
        <v>804</v>
      </c>
      <c r="S1147" s="1914" t="s">
        <v>1511</v>
      </c>
      <c r="T1147" s="1914" t="s">
        <v>1512</v>
      </c>
      <c r="U1147" s="1918" t="s">
        <v>1513</v>
      </c>
      <c r="V1147" s="1418">
        <f t="shared" ref="V1147:V1154" si="120">V1148</f>
        <v>0</v>
      </c>
      <c r="W1147" s="16"/>
      <c r="X1147" s="16"/>
      <c r="Y1147" s="16"/>
      <c r="Z1147" s="17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</row>
    <row r="1148" spans="1:36" s="352" customFormat="1" ht="15.6" hidden="1">
      <c r="A1148" s="351"/>
      <c r="B1148" s="1964" t="e">
        <f>LEFT(#REF!,5)</f>
        <v>#REF!</v>
      </c>
      <c r="C1148" s="1966" t="e">
        <f>VLOOKUP(LEFT(#REF!,5),'11 - FINANCEIRA'!_xlnm.Print_Area,2,FALSE)</f>
        <v>#REF!</v>
      </c>
      <c r="D1148" s="1920" t="s">
        <v>1514</v>
      </c>
      <c r="E1148" s="1921"/>
      <c r="F1148" s="1922"/>
      <c r="G1148" s="1923" t="s">
        <v>1515</v>
      </c>
      <c r="H1148" s="1924"/>
      <c r="I1148" s="1925"/>
      <c r="J1148" s="1915"/>
      <c r="K1148" s="1915"/>
      <c r="L1148" s="1915"/>
      <c r="M1148" s="1915"/>
      <c r="N1148" s="1915"/>
      <c r="O1148" s="1915"/>
      <c r="P1148" s="353" t="s">
        <v>1516</v>
      </c>
      <c r="Q1148" s="1915"/>
      <c r="R1148" s="1917"/>
      <c r="S1148" s="1915"/>
      <c r="T1148" s="1915"/>
      <c r="U1148" s="1919"/>
      <c r="V1148" s="1418">
        <f t="shared" si="120"/>
        <v>0</v>
      </c>
      <c r="W1148" s="16"/>
      <c r="X1148" s="16"/>
      <c r="Y1148" s="16"/>
      <c r="Z1148" s="17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</row>
    <row r="1149" spans="1:36" s="361" customFormat="1" ht="15" hidden="1" customHeight="1">
      <c r="A1149" s="354"/>
      <c r="B1149" s="355"/>
      <c r="C1149" s="32" t="s">
        <v>920</v>
      </c>
      <c r="D1149" s="33"/>
      <c r="E1149" s="34"/>
      <c r="F1149" s="35"/>
      <c r="G1149" s="33"/>
      <c r="H1149" s="34"/>
      <c r="I1149" s="35"/>
      <c r="J1149" s="43"/>
      <c r="K1149" s="42"/>
      <c r="L1149" s="39"/>
      <c r="M1149" s="41"/>
      <c r="N1149" s="356"/>
      <c r="O1149" s="40"/>
      <c r="P1149" s="39"/>
      <c r="Q1149" s="45"/>
      <c r="R1149" s="1359">
        <v>8.2799999999999994</v>
      </c>
      <c r="S1149" s="1265" t="s">
        <v>821</v>
      </c>
      <c r="T1149" s="46" t="s">
        <v>54</v>
      </c>
      <c r="U1149" s="44"/>
      <c r="V1149" s="1418">
        <f t="shared" si="120"/>
        <v>0</v>
      </c>
      <c r="W1149" s="357"/>
      <c r="X1149" s="357"/>
      <c r="Y1149" s="357"/>
      <c r="Z1149" s="358"/>
      <c r="AA1149" s="359"/>
      <c r="AB1149" s="360"/>
    </row>
    <row r="1150" spans="1:36" s="361" customFormat="1" ht="15" hidden="1" customHeight="1">
      <c r="A1150" s="354"/>
      <c r="B1150" s="355"/>
      <c r="C1150" s="32"/>
      <c r="D1150" s="33"/>
      <c r="E1150" s="34"/>
      <c r="F1150" s="35"/>
      <c r="G1150" s="33"/>
      <c r="H1150" s="34"/>
      <c r="I1150" s="35"/>
      <c r="J1150" s="43"/>
      <c r="K1150" s="42"/>
      <c r="L1150" s="39"/>
      <c r="M1150" s="41"/>
      <c r="N1150" s="356"/>
      <c r="O1150" s="40"/>
      <c r="P1150" s="39"/>
      <c r="Q1150" s="45"/>
      <c r="R1150" s="362"/>
      <c r="S1150" s="363"/>
      <c r="T1150" s="46"/>
      <c r="U1150" s="44"/>
      <c r="V1150" s="1418">
        <f t="shared" si="120"/>
        <v>0</v>
      </c>
      <c r="W1150" s="357"/>
      <c r="X1150" s="357"/>
      <c r="Y1150" s="357"/>
      <c r="Z1150" s="358"/>
      <c r="AA1150" s="359"/>
      <c r="AB1150" s="360"/>
    </row>
    <row r="1151" spans="1:36" s="369" customFormat="1" ht="15" hidden="1">
      <c r="A1151" s="364"/>
      <c r="B1151" s="355"/>
      <c r="C1151" s="32"/>
      <c r="D1151" s="33"/>
      <c r="E1151" s="34"/>
      <c r="F1151" s="35"/>
      <c r="G1151" s="33"/>
      <c r="H1151" s="34"/>
      <c r="I1151" s="35"/>
      <c r="J1151" s="43"/>
      <c r="K1151" s="42"/>
      <c r="L1151" s="39"/>
      <c r="M1151" s="41"/>
      <c r="N1151" s="40"/>
      <c r="O1151" s="40"/>
      <c r="P1151" s="39"/>
      <c r="Q1151" s="38"/>
      <c r="R1151" s="365"/>
      <c r="S1151" s="366"/>
      <c r="T1151" s="46"/>
      <c r="U1151" s="44"/>
      <c r="V1151" s="1418">
        <f t="shared" si="120"/>
        <v>0</v>
      </c>
      <c r="W1151" s="367"/>
      <c r="X1151" s="367"/>
      <c r="Y1151" s="367"/>
      <c r="Z1151" s="368"/>
    </row>
    <row r="1152" spans="1:36" s="77" customFormat="1" ht="15" hidden="1">
      <c r="A1152" s="370"/>
      <c r="B1152" s="29"/>
      <c r="C1152" s="30"/>
      <c r="D1152" s="18"/>
      <c r="E1152" s="19"/>
      <c r="F1152" s="20"/>
      <c r="G1152" s="18"/>
      <c r="H1152" s="19"/>
      <c r="I1152" s="20"/>
      <c r="J1152" s="21"/>
      <c r="K1152" s="22"/>
      <c r="L1152" s="23"/>
      <c r="M1152" s="24"/>
      <c r="N1152" s="25"/>
      <c r="O1152" s="25"/>
      <c r="P1152" s="23"/>
      <c r="Q1152" s="26"/>
      <c r="R1152" s="371"/>
      <c r="S1152" s="27"/>
      <c r="T1152" s="372"/>
      <c r="U1152" s="31"/>
      <c r="V1152" s="1418">
        <f t="shared" si="120"/>
        <v>0</v>
      </c>
      <c r="AB1152" s="15"/>
    </row>
    <row r="1153" spans="1:36" s="77" customFormat="1" ht="15.6" hidden="1">
      <c r="A1153" s="370"/>
      <c r="B1153" s="499"/>
      <c r="C1153" s="37"/>
      <c r="D1153" s="1929" t="s">
        <v>1520</v>
      </c>
      <c r="E1153" s="1930"/>
      <c r="F1153" s="1930"/>
      <c r="G1153" s="1930"/>
      <c r="H1153" s="1930"/>
      <c r="I1153" s="1931"/>
      <c r="J1153" s="1932">
        <f>VLOOKUP(A1155,'11 - FINANCEIRA'!_xlnm.Print_Area,6,FALSE)</f>
        <v>8.2799999999999994</v>
      </c>
      <c r="K1153" s="1933"/>
      <c r="L1153" s="1343" t="str">
        <f>VLOOKUP(A1155,'11 - FINANCEIRA'!_xlnm.Print_Area,4,FALSE)</f>
        <v>m²</v>
      </c>
      <c r="M1153" s="1934" t="s">
        <v>1521</v>
      </c>
      <c r="N1153" s="1935"/>
      <c r="O1153" s="1935"/>
      <c r="P1153" s="1935"/>
      <c r="Q1153" s="1936"/>
      <c r="R1153" s="726">
        <f>SUM(R1149:R1152)</f>
        <v>8.2799999999999994</v>
      </c>
      <c r="S1153" s="1344" t="str">
        <f>L1153</f>
        <v>m²</v>
      </c>
      <c r="T1153" s="373"/>
      <c r="U1153" s="486"/>
      <c r="V1153" s="1418">
        <f t="shared" si="120"/>
        <v>0</v>
      </c>
      <c r="AB1153" s="15"/>
    </row>
    <row r="1154" spans="1:36" s="77" customFormat="1" ht="15.6" hidden="1">
      <c r="A1154" s="370"/>
      <c r="B1154" s="499"/>
      <c r="C1154" s="725"/>
      <c r="D1154" s="1937" t="s">
        <v>1522</v>
      </c>
      <c r="E1154" s="1938"/>
      <c r="F1154" s="1938"/>
      <c r="G1154" s="1938"/>
      <c r="H1154" s="1938"/>
      <c r="I1154" s="1939"/>
      <c r="J1154" s="1943">
        <f>R1153/J1153</f>
        <v>1</v>
      </c>
      <c r="K1154" s="1944"/>
      <c r="L1154" s="1947"/>
      <c r="M1154" s="1934" t="s">
        <v>1523</v>
      </c>
      <c r="N1154" s="1935"/>
      <c r="O1154" s="1935"/>
      <c r="P1154" s="1935"/>
      <c r="Q1154" s="1936"/>
      <c r="R1154" s="726">
        <f>VLOOKUP(A1155,'11 - FINANCEIRA'!_xlnm.Print_Area,8,FALSE)</f>
        <v>8.2799999999999994</v>
      </c>
      <c r="S1154" s="727" t="str">
        <f>L1153</f>
        <v>m²</v>
      </c>
      <c r="T1154" s="373"/>
      <c r="U1154" s="486"/>
      <c r="V1154" s="1418">
        <f t="shared" si="120"/>
        <v>0</v>
      </c>
      <c r="AB1154" s="15"/>
    </row>
    <row r="1155" spans="1:36" s="77" customFormat="1" ht="15.6" hidden="1">
      <c r="A1155" s="364" t="s">
        <v>409</v>
      </c>
      <c r="B1155" s="499"/>
      <c r="C1155" s="37"/>
      <c r="D1155" s="2013"/>
      <c r="E1155" s="2014"/>
      <c r="F1155" s="2014"/>
      <c r="G1155" s="2014"/>
      <c r="H1155" s="2014"/>
      <c r="I1155" s="2015"/>
      <c r="J1155" s="2016"/>
      <c r="K1155" s="2017"/>
      <c r="L1155" s="1962"/>
      <c r="M1155" s="2007" t="s">
        <v>1524</v>
      </c>
      <c r="N1155" s="2008"/>
      <c r="O1155" s="2008"/>
      <c r="P1155" s="2008"/>
      <c r="Q1155" s="2009"/>
      <c r="R1155" s="1345">
        <f>R1153-R1154</f>
        <v>0</v>
      </c>
      <c r="S1155" s="1346" t="str">
        <f>L1153</f>
        <v>m²</v>
      </c>
      <c r="T1155" s="373"/>
      <c r="U1155" s="486"/>
      <c r="V1155" s="1418">
        <f>R1155</f>
        <v>0</v>
      </c>
      <c r="AB1155" s="15"/>
    </row>
    <row r="1156" spans="1:36" s="77" customFormat="1" ht="15.6" hidden="1">
      <c r="A1156" s="370"/>
      <c r="B1156" s="1347"/>
      <c r="C1156" s="1348"/>
      <c r="D1156" s="1349"/>
      <c r="E1156" s="1350"/>
      <c r="F1156" s="1349"/>
      <c r="G1156" s="1349"/>
      <c r="H1156" s="1349"/>
      <c r="I1156" s="1349"/>
      <c r="J1156" s="1351"/>
      <c r="K1156" s="1352"/>
      <c r="L1156" s="1353"/>
      <c r="M1156" s="1354"/>
      <c r="N1156" s="1354"/>
      <c r="O1156" s="1354"/>
      <c r="P1156" s="1354"/>
      <c r="Q1156" s="1354"/>
      <c r="R1156" s="1355"/>
      <c r="S1156" s="1356"/>
      <c r="T1156" s="1357"/>
      <c r="U1156" s="1358"/>
      <c r="V1156" s="1420">
        <f>SUM(V1147:V1155)</f>
        <v>0</v>
      </c>
      <c r="AB1156" s="15"/>
    </row>
    <row r="1157" spans="1:36" s="352" customFormat="1" ht="15.6" hidden="1">
      <c r="A1157" s="351"/>
      <c r="B1157" s="1963" t="str">
        <f>VLOOKUP(A1165,'11 - FINANCEIRA'!_xlnm.Print_Area,1,FALSE)</f>
        <v>2.3.3.3</v>
      </c>
      <c r="C1157" s="1965" t="str">
        <f>VLOOKUP(A1165,'11 - FINANCEIRA'!_xlnm.Print_Area,3,FALSE)</f>
        <v>Aplicação manual de pintura com tinta látex acrílica em teto, duas demãos. af_06/2014</v>
      </c>
      <c r="D1157" s="1967" t="s">
        <v>1503</v>
      </c>
      <c r="E1157" s="1968"/>
      <c r="F1157" s="1968"/>
      <c r="G1157" s="1968"/>
      <c r="H1157" s="1968"/>
      <c r="I1157" s="1969"/>
      <c r="J1157" s="1914" t="s">
        <v>1504</v>
      </c>
      <c r="K1157" s="1914" t="s">
        <v>1505</v>
      </c>
      <c r="L1157" s="1914" t="s">
        <v>1506</v>
      </c>
      <c r="M1157" s="1914" t="s">
        <v>1507</v>
      </c>
      <c r="N1157" s="1914" t="s">
        <v>1508</v>
      </c>
      <c r="O1157" s="1914" t="s">
        <v>1509</v>
      </c>
      <c r="P1157" s="1341" t="s">
        <v>1510</v>
      </c>
      <c r="Q1157" s="1914" t="s">
        <v>1493</v>
      </c>
      <c r="R1157" s="1916" t="s">
        <v>804</v>
      </c>
      <c r="S1157" s="1914" t="s">
        <v>1511</v>
      </c>
      <c r="T1157" s="1914" t="s">
        <v>1512</v>
      </c>
      <c r="U1157" s="1918" t="s">
        <v>1513</v>
      </c>
      <c r="V1157" s="1418">
        <f t="shared" ref="V1157:V1164" si="121">V1158</f>
        <v>0</v>
      </c>
      <c r="W1157" s="16"/>
      <c r="X1157" s="16"/>
      <c r="Y1157" s="16"/>
      <c r="Z1157" s="17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</row>
    <row r="1158" spans="1:36" s="352" customFormat="1" ht="15.6" hidden="1">
      <c r="A1158" s="351"/>
      <c r="B1158" s="1964" t="e">
        <f>LEFT(#REF!,5)</f>
        <v>#REF!</v>
      </c>
      <c r="C1158" s="1966" t="e">
        <f>VLOOKUP(LEFT(#REF!,5),'11 - FINANCEIRA'!_xlnm.Print_Area,2,FALSE)</f>
        <v>#REF!</v>
      </c>
      <c r="D1158" s="1920" t="s">
        <v>1514</v>
      </c>
      <c r="E1158" s="1921"/>
      <c r="F1158" s="1922"/>
      <c r="G1158" s="1923" t="s">
        <v>1515</v>
      </c>
      <c r="H1158" s="1924"/>
      <c r="I1158" s="1925"/>
      <c r="J1158" s="1915"/>
      <c r="K1158" s="1915"/>
      <c r="L1158" s="1915"/>
      <c r="M1158" s="1915"/>
      <c r="N1158" s="1915"/>
      <c r="O1158" s="1915"/>
      <c r="P1158" s="353" t="s">
        <v>1516</v>
      </c>
      <c r="Q1158" s="1915"/>
      <c r="R1158" s="1917"/>
      <c r="S1158" s="1915"/>
      <c r="T1158" s="1915"/>
      <c r="U1158" s="1919"/>
      <c r="V1158" s="1418">
        <f t="shared" si="121"/>
        <v>0</v>
      </c>
      <c r="W1158" s="16"/>
      <c r="X1158" s="16"/>
      <c r="Y1158" s="16"/>
      <c r="Z1158" s="17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</row>
    <row r="1159" spans="1:36" s="361" customFormat="1" ht="15" hidden="1" customHeight="1">
      <c r="A1159" s="354"/>
      <c r="B1159" s="355"/>
      <c r="C1159" s="32" t="s">
        <v>929</v>
      </c>
      <c r="D1159" s="33"/>
      <c r="E1159" s="34"/>
      <c r="F1159" s="35"/>
      <c r="G1159" s="33"/>
      <c r="H1159" s="34"/>
      <c r="I1159" s="35"/>
      <c r="J1159" s="43"/>
      <c r="K1159" s="42"/>
      <c r="L1159" s="39"/>
      <c r="M1159" s="41"/>
      <c r="N1159" s="356"/>
      <c r="O1159" s="40"/>
      <c r="P1159" s="39"/>
      <c r="Q1159" s="45"/>
      <c r="R1159" s="1359">
        <v>5.28</v>
      </c>
      <c r="S1159" s="1265" t="s">
        <v>821</v>
      </c>
      <c r="T1159" s="46" t="s">
        <v>54</v>
      </c>
      <c r="U1159" s="44"/>
      <c r="V1159" s="1418">
        <f t="shared" si="121"/>
        <v>0</v>
      </c>
      <c r="W1159" s="357"/>
      <c r="X1159" s="357"/>
      <c r="Y1159" s="357"/>
      <c r="Z1159" s="358"/>
      <c r="AA1159" s="359"/>
      <c r="AB1159" s="360"/>
    </row>
    <row r="1160" spans="1:36" s="361" customFormat="1" ht="15" hidden="1" customHeight="1">
      <c r="A1160" s="354"/>
      <c r="B1160" s="355"/>
      <c r="C1160" s="32"/>
      <c r="D1160" s="33"/>
      <c r="E1160" s="34"/>
      <c r="F1160" s="35"/>
      <c r="G1160" s="33"/>
      <c r="H1160" s="34"/>
      <c r="I1160" s="35"/>
      <c r="J1160" s="43"/>
      <c r="K1160" s="42"/>
      <c r="L1160" s="39"/>
      <c r="M1160" s="41"/>
      <c r="N1160" s="356"/>
      <c r="O1160" s="40"/>
      <c r="P1160" s="39"/>
      <c r="Q1160" s="45"/>
      <c r="R1160" s="362"/>
      <c r="S1160" s="363"/>
      <c r="T1160" s="46"/>
      <c r="U1160" s="44"/>
      <c r="V1160" s="1418">
        <f t="shared" si="121"/>
        <v>0</v>
      </c>
      <c r="W1160" s="357"/>
      <c r="X1160" s="357"/>
      <c r="Y1160" s="357"/>
      <c r="Z1160" s="358"/>
      <c r="AA1160" s="359"/>
      <c r="AB1160" s="360"/>
    </row>
    <row r="1161" spans="1:36" s="369" customFormat="1" ht="15" hidden="1">
      <c r="A1161" s="364"/>
      <c r="B1161" s="355"/>
      <c r="C1161" s="32"/>
      <c r="D1161" s="33"/>
      <c r="E1161" s="34"/>
      <c r="F1161" s="35"/>
      <c r="G1161" s="33"/>
      <c r="H1161" s="34"/>
      <c r="I1161" s="35"/>
      <c r="J1161" s="43"/>
      <c r="K1161" s="42"/>
      <c r="L1161" s="39"/>
      <c r="M1161" s="41"/>
      <c r="N1161" s="40"/>
      <c r="O1161" s="40"/>
      <c r="P1161" s="39"/>
      <c r="Q1161" s="38"/>
      <c r="R1161" s="365"/>
      <c r="S1161" s="366"/>
      <c r="T1161" s="46"/>
      <c r="U1161" s="44"/>
      <c r="V1161" s="1418">
        <f t="shared" si="121"/>
        <v>0</v>
      </c>
      <c r="W1161" s="367"/>
      <c r="X1161" s="367"/>
      <c r="Y1161" s="367"/>
      <c r="Z1161" s="368"/>
    </row>
    <row r="1162" spans="1:36" s="77" customFormat="1" ht="15" hidden="1">
      <c r="A1162" s="370"/>
      <c r="B1162" s="29"/>
      <c r="C1162" s="30"/>
      <c r="D1162" s="18"/>
      <c r="E1162" s="19"/>
      <c r="F1162" s="20"/>
      <c r="G1162" s="18"/>
      <c r="H1162" s="19"/>
      <c r="I1162" s="20"/>
      <c r="J1162" s="21"/>
      <c r="K1162" s="22"/>
      <c r="L1162" s="23"/>
      <c r="M1162" s="24"/>
      <c r="N1162" s="25"/>
      <c r="O1162" s="25"/>
      <c r="P1162" s="23"/>
      <c r="Q1162" s="26"/>
      <c r="R1162" s="371"/>
      <c r="S1162" s="27"/>
      <c r="T1162" s="372"/>
      <c r="U1162" s="31"/>
      <c r="V1162" s="1418">
        <f t="shared" si="121"/>
        <v>0</v>
      </c>
      <c r="AB1162" s="15"/>
    </row>
    <row r="1163" spans="1:36" s="77" customFormat="1" ht="15.6" hidden="1">
      <c r="A1163" s="370"/>
      <c r="B1163" s="499"/>
      <c r="C1163" s="37"/>
      <c r="D1163" s="1929" t="s">
        <v>1520</v>
      </c>
      <c r="E1163" s="1930"/>
      <c r="F1163" s="1930"/>
      <c r="G1163" s="1930"/>
      <c r="H1163" s="1930"/>
      <c r="I1163" s="1931"/>
      <c r="J1163" s="1932">
        <f>VLOOKUP(A1165,'11 - FINANCEIRA'!_xlnm.Print_Area,6,FALSE)</f>
        <v>5.28</v>
      </c>
      <c r="K1163" s="1933"/>
      <c r="L1163" s="1343" t="str">
        <f>VLOOKUP(A1165,'11 - FINANCEIRA'!_xlnm.Print_Area,4,FALSE)</f>
        <v>m²</v>
      </c>
      <c r="M1163" s="1934" t="s">
        <v>1521</v>
      </c>
      <c r="N1163" s="1935"/>
      <c r="O1163" s="1935"/>
      <c r="P1163" s="1935"/>
      <c r="Q1163" s="1936"/>
      <c r="R1163" s="726">
        <f>SUM(R1159:R1162)</f>
        <v>5.28</v>
      </c>
      <c r="S1163" s="1344" t="str">
        <f>L1163</f>
        <v>m²</v>
      </c>
      <c r="T1163" s="373"/>
      <c r="U1163" s="486"/>
      <c r="V1163" s="1418">
        <f t="shared" si="121"/>
        <v>0</v>
      </c>
      <c r="AB1163" s="15"/>
    </row>
    <row r="1164" spans="1:36" s="77" customFormat="1" ht="15.6" hidden="1">
      <c r="A1164" s="370"/>
      <c r="B1164" s="499"/>
      <c r="C1164" s="725"/>
      <c r="D1164" s="1937" t="s">
        <v>1522</v>
      </c>
      <c r="E1164" s="1938"/>
      <c r="F1164" s="1938"/>
      <c r="G1164" s="1938"/>
      <c r="H1164" s="1938"/>
      <c r="I1164" s="1939"/>
      <c r="J1164" s="1943">
        <f>R1163/J1163</f>
        <v>1</v>
      </c>
      <c r="K1164" s="1944"/>
      <c r="L1164" s="1947"/>
      <c r="M1164" s="1934" t="s">
        <v>1523</v>
      </c>
      <c r="N1164" s="1935"/>
      <c r="O1164" s="1935"/>
      <c r="P1164" s="1935"/>
      <c r="Q1164" s="1936"/>
      <c r="R1164" s="726">
        <f>VLOOKUP(A1165,'11 - FINANCEIRA'!_xlnm.Print_Area,8,FALSE)</f>
        <v>5.28</v>
      </c>
      <c r="S1164" s="727" t="str">
        <f>L1163</f>
        <v>m²</v>
      </c>
      <c r="T1164" s="373"/>
      <c r="U1164" s="486"/>
      <c r="V1164" s="1418">
        <f t="shared" si="121"/>
        <v>0</v>
      </c>
      <c r="AB1164" s="15"/>
    </row>
    <row r="1165" spans="1:36" s="77" customFormat="1" ht="15.6" hidden="1">
      <c r="A1165" s="364" t="s">
        <v>410</v>
      </c>
      <c r="B1165" s="499"/>
      <c r="C1165" s="37"/>
      <c r="D1165" s="2013"/>
      <c r="E1165" s="2014"/>
      <c r="F1165" s="2014"/>
      <c r="G1165" s="2014"/>
      <c r="H1165" s="2014"/>
      <c r="I1165" s="2015"/>
      <c r="J1165" s="2016"/>
      <c r="K1165" s="2017"/>
      <c r="L1165" s="1962"/>
      <c r="M1165" s="2007" t="s">
        <v>1524</v>
      </c>
      <c r="N1165" s="2008"/>
      <c r="O1165" s="2008"/>
      <c r="P1165" s="2008"/>
      <c r="Q1165" s="2009"/>
      <c r="R1165" s="1345">
        <f>R1163-R1164</f>
        <v>0</v>
      </c>
      <c r="S1165" s="1346" t="str">
        <f>L1163</f>
        <v>m²</v>
      </c>
      <c r="T1165" s="373"/>
      <c r="U1165" s="486"/>
      <c r="V1165" s="1418">
        <f>R1165</f>
        <v>0</v>
      </c>
      <c r="AB1165" s="15"/>
    </row>
    <row r="1166" spans="1:36" s="77" customFormat="1" ht="15.6" hidden="1">
      <c r="A1166" s="370"/>
      <c r="B1166" s="1347"/>
      <c r="C1166" s="1348"/>
      <c r="D1166" s="1349"/>
      <c r="E1166" s="1350"/>
      <c r="F1166" s="1349"/>
      <c r="G1166" s="1349"/>
      <c r="H1166" s="1349"/>
      <c r="I1166" s="1349"/>
      <c r="J1166" s="1351"/>
      <c r="K1166" s="1352"/>
      <c r="L1166" s="1353"/>
      <c r="M1166" s="1354"/>
      <c r="N1166" s="1354"/>
      <c r="O1166" s="1354"/>
      <c r="P1166" s="1354"/>
      <c r="Q1166" s="1354"/>
      <c r="R1166" s="1355"/>
      <c r="S1166" s="1356"/>
      <c r="T1166" s="1357"/>
      <c r="U1166" s="1358"/>
      <c r="V1166" s="1420">
        <f>SUM(V1157:V1165)</f>
        <v>0</v>
      </c>
      <c r="AB1166" s="15"/>
    </row>
    <row r="1167" spans="1:36" s="352" customFormat="1" ht="15.6" hidden="1">
      <c r="A1167" s="351"/>
      <c r="B1167" s="1963" t="str">
        <f>VLOOKUP(A1175,'11 - FINANCEIRA'!_xlnm.Print_Area,1,FALSE)</f>
        <v>2.3.3.4</v>
      </c>
      <c r="C1167" s="1965" t="str">
        <f>VLOOKUP(A1175,'11 - FINANCEIRA'!_xlnm.Print_Area,3,FALSE)</f>
        <v>Revestimento cerâmico para piso com placas tipo esmaltada extra de dimensões 45x45 cm aplicada em ambientes de área entre 5 m² e 10 m². af_06/2014</v>
      </c>
      <c r="D1167" s="1967" t="s">
        <v>1503</v>
      </c>
      <c r="E1167" s="1968"/>
      <c r="F1167" s="1968"/>
      <c r="G1167" s="1968"/>
      <c r="H1167" s="1968"/>
      <c r="I1167" s="1969"/>
      <c r="J1167" s="1914" t="s">
        <v>1504</v>
      </c>
      <c r="K1167" s="1914" t="s">
        <v>1505</v>
      </c>
      <c r="L1167" s="1914" t="s">
        <v>1506</v>
      </c>
      <c r="M1167" s="1914" t="s">
        <v>1507</v>
      </c>
      <c r="N1167" s="1914" t="s">
        <v>1508</v>
      </c>
      <c r="O1167" s="1914" t="s">
        <v>1509</v>
      </c>
      <c r="P1167" s="1341" t="s">
        <v>1510</v>
      </c>
      <c r="Q1167" s="1914" t="s">
        <v>1493</v>
      </c>
      <c r="R1167" s="1916" t="s">
        <v>804</v>
      </c>
      <c r="S1167" s="1914" t="s">
        <v>1511</v>
      </c>
      <c r="T1167" s="1914" t="s">
        <v>1512</v>
      </c>
      <c r="U1167" s="1918" t="s">
        <v>1513</v>
      </c>
      <c r="V1167" s="1418">
        <f t="shared" ref="V1167:V1174" si="122">V1168</f>
        <v>0</v>
      </c>
      <c r="W1167" s="16"/>
      <c r="X1167" s="16"/>
      <c r="Y1167" s="16"/>
      <c r="Z1167" s="17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</row>
    <row r="1168" spans="1:36" s="352" customFormat="1" ht="15.6" hidden="1">
      <c r="A1168" s="351"/>
      <c r="B1168" s="1964" t="e">
        <f>LEFT(#REF!,5)</f>
        <v>#REF!</v>
      </c>
      <c r="C1168" s="1966" t="e">
        <f>VLOOKUP(LEFT(#REF!,5),'11 - FINANCEIRA'!_xlnm.Print_Area,2,FALSE)</f>
        <v>#REF!</v>
      </c>
      <c r="D1168" s="1920" t="s">
        <v>1514</v>
      </c>
      <c r="E1168" s="1921"/>
      <c r="F1168" s="1922"/>
      <c r="G1168" s="1923" t="s">
        <v>1515</v>
      </c>
      <c r="H1168" s="1924"/>
      <c r="I1168" s="1925"/>
      <c r="J1168" s="1915"/>
      <c r="K1168" s="1915"/>
      <c r="L1168" s="1915"/>
      <c r="M1168" s="1915"/>
      <c r="N1168" s="1915"/>
      <c r="O1168" s="1915"/>
      <c r="P1168" s="353" t="s">
        <v>1516</v>
      </c>
      <c r="Q1168" s="1915"/>
      <c r="R1168" s="1917"/>
      <c r="S1168" s="1915"/>
      <c r="T1168" s="1915"/>
      <c r="U1168" s="1919"/>
      <c r="V1168" s="1418">
        <f t="shared" si="122"/>
        <v>0</v>
      </c>
      <c r="W1168" s="16"/>
      <c r="X1168" s="16"/>
      <c r="Y1168" s="16"/>
      <c r="Z1168" s="17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</row>
    <row r="1169" spans="1:36" s="361" customFormat="1" ht="30" hidden="1">
      <c r="A1169" s="354"/>
      <c r="B1169" s="355"/>
      <c r="C1169" s="32" t="s">
        <v>931</v>
      </c>
      <c r="D1169" s="33"/>
      <c r="E1169" s="34"/>
      <c r="F1169" s="35"/>
      <c r="G1169" s="33"/>
      <c r="H1169" s="34"/>
      <c r="I1169" s="35"/>
      <c r="J1169" s="43"/>
      <c r="K1169" s="42"/>
      <c r="L1169" s="39"/>
      <c r="M1169" s="41"/>
      <c r="N1169" s="356"/>
      <c r="O1169" s="40"/>
      <c r="P1169" s="39"/>
      <c r="Q1169" s="45"/>
      <c r="R1169" s="1359">
        <v>6.86</v>
      </c>
      <c r="S1169" s="1265" t="s">
        <v>821</v>
      </c>
      <c r="T1169" s="46" t="s">
        <v>329</v>
      </c>
      <c r="U1169" s="44"/>
      <c r="V1169" s="1418">
        <f t="shared" si="122"/>
        <v>0</v>
      </c>
      <c r="W1169" s="357"/>
      <c r="X1169" s="357"/>
      <c r="Y1169" s="357"/>
      <c r="Z1169" s="358"/>
      <c r="AA1169" s="359"/>
      <c r="AB1169" s="360"/>
    </row>
    <row r="1170" spans="1:36" s="361" customFormat="1" ht="15" hidden="1" customHeight="1">
      <c r="A1170" s="354"/>
      <c r="B1170" s="355"/>
      <c r="C1170" s="32"/>
      <c r="D1170" s="33"/>
      <c r="E1170" s="34"/>
      <c r="F1170" s="35"/>
      <c r="G1170" s="33"/>
      <c r="H1170" s="34"/>
      <c r="I1170" s="35"/>
      <c r="J1170" s="43"/>
      <c r="K1170" s="42"/>
      <c r="L1170" s="39"/>
      <c r="M1170" s="41"/>
      <c r="N1170" s="356"/>
      <c r="O1170" s="40"/>
      <c r="P1170" s="39"/>
      <c r="Q1170" s="45"/>
      <c r="R1170" s="362"/>
      <c r="S1170" s="363"/>
      <c r="T1170" s="46"/>
      <c r="U1170" s="44"/>
      <c r="V1170" s="1418">
        <f t="shared" si="122"/>
        <v>0</v>
      </c>
      <c r="W1170" s="357"/>
      <c r="X1170" s="357"/>
      <c r="Y1170" s="357"/>
      <c r="Z1170" s="358"/>
      <c r="AA1170" s="359"/>
      <c r="AB1170" s="360"/>
    </row>
    <row r="1171" spans="1:36" s="369" customFormat="1" ht="15" hidden="1">
      <c r="A1171" s="364"/>
      <c r="B1171" s="355"/>
      <c r="C1171" s="32"/>
      <c r="D1171" s="33"/>
      <c r="E1171" s="34"/>
      <c r="F1171" s="35"/>
      <c r="G1171" s="33"/>
      <c r="H1171" s="34"/>
      <c r="I1171" s="35"/>
      <c r="J1171" s="43"/>
      <c r="K1171" s="42"/>
      <c r="L1171" s="39"/>
      <c r="M1171" s="41"/>
      <c r="N1171" s="40"/>
      <c r="O1171" s="40"/>
      <c r="P1171" s="39"/>
      <c r="Q1171" s="38"/>
      <c r="R1171" s="365"/>
      <c r="S1171" s="366"/>
      <c r="T1171" s="46"/>
      <c r="U1171" s="44"/>
      <c r="V1171" s="1418">
        <f t="shared" si="122"/>
        <v>0</v>
      </c>
      <c r="W1171" s="367"/>
      <c r="X1171" s="367"/>
      <c r="Y1171" s="367"/>
      <c r="Z1171" s="368"/>
    </row>
    <row r="1172" spans="1:36" s="77" customFormat="1" ht="15" hidden="1">
      <c r="A1172" s="370"/>
      <c r="B1172" s="29"/>
      <c r="C1172" s="30"/>
      <c r="D1172" s="18"/>
      <c r="E1172" s="19"/>
      <c r="F1172" s="20"/>
      <c r="G1172" s="18"/>
      <c r="H1172" s="19"/>
      <c r="I1172" s="20"/>
      <c r="J1172" s="21"/>
      <c r="K1172" s="22"/>
      <c r="L1172" s="23"/>
      <c r="M1172" s="24"/>
      <c r="N1172" s="25"/>
      <c r="O1172" s="25"/>
      <c r="P1172" s="23"/>
      <c r="Q1172" s="26"/>
      <c r="R1172" s="371"/>
      <c r="S1172" s="27"/>
      <c r="T1172" s="372"/>
      <c r="U1172" s="31"/>
      <c r="V1172" s="1418">
        <f t="shared" si="122"/>
        <v>0</v>
      </c>
      <c r="AB1172" s="15"/>
    </row>
    <row r="1173" spans="1:36" s="77" customFormat="1" ht="15.6" hidden="1">
      <c r="A1173" s="370"/>
      <c r="B1173" s="499"/>
      <c r="C1173" s="37"/>
      <c r="D1173" s="1929" t="s">
        <v>1520</v>
      </c>
      <c r="E1173" s="1930"/>
      <c r="F1173" s="1930"/>
      <c r="G1173" s="1930"/>
      <c r="H1173" s="1930"/>
      <c r="I1173" s="1931"/>
      <c r="J1173" s="1932">
        <f>VLOOKUP(A1175,'11 - FINANCEIRA'!_xlnm.Print_Area,6,FALSE)</f>
        <v>6.86</v>
      </c>
      <c r="K1173" s="1933"/>
      <c r="L1173" s="1343" t="str">
        <f>VLOOKUP(A1175,'11 - FINANCEIRA'!_xlnm.Print_Area,4,FALSE)</f>
        <v>m²</v>
      </c>
      <c r="M1173" s="1934" t="s">
        <v>1521</v>
      </c>
      <c r="N1173" s="1935"/>
      <c r="O1173" s="1935"/>
      <c r="P1173" s="1935"/>
      <c r="Q1173" s="1936"/>
      <c r="R1173" s="726">
        <f>SUM(R1169:R1172)</f>
        <v>6.86</v>
      </c>
      <c r="S1173" s="1344" t="str">
        <f>L1173</f>
        <v>m²</v>
      </c>
      <c r="T1173" s="373"/>
      <c r="U1173" s="486"/>
      <c r="V1173" s="1418">
        <f t="shared" si="122"/>
        <v>0</v>
      </c>
      <c r="AB1173" s="15"/>
    </row>
    <row r="1174" spans="1:36" s="77" customFormat="1" ht="15.6" hidden="1">
      <c r="A1174" s="370"/>
      <c r="B1174" s="499"/>
      <c r="C1174" s="725"/>
      <c r="D1174" s="1937" t="s">
        <v>1522</v>
      </c>
      <c r="E1174" s="1938"/>
      <c r="F1174" s="1938"/>
      <c r="G1174" s="1938"/>
      <c r="H1174" s="1938"/>
      <c r="I1174" s="1939"/>
      <c r="J1174" s="1943">
        <f>R1173/J1173</f>
        <v>1</v>
      </c>
      <c r="K1174" s="1944"/>
      <c r="L1174" s="1947"/>
      <c r="M1174" s="1934" t="s">
        <v>1523</v>
      </c>
      <c r="N1174" s="1935"/>
      <c r="O1174" s="1935"/>
      <c r="P1174" s="1935"/>
      <c r="Q1174" s="1936"/>
      <c r="R1174" s="726">
        <f>VLOOKUP(A1175,'11 - FINANCEIRA'!_xlnm.Print_Area,8,FALSE)</f>
        <v>6.86</v>
      </c>
      <c r="S1174" s="727" t="str">
        <f>L1173</f>
        <v>m²</v>
      </c>
      <c r="T1174" s="373"/>
      <c r="U1174" s="486"/>
      <c r="V1174" s="1418">
        <f t="shared" si="122"/>
        <v>0</v>
      </c>
      <c r="AB1174" s="15"/>
    </row>
    <row r="1175" spans="1:36" s="77" customFormat="1" ht="15.6" hidden="1">
      <c r="A1175" s="364" t="s">
        <v>411</v>
      </c>
      <c r="B1175" s="499"/>
      <c r="C1175" s="37"/>
      <c r="D1175" s="2013"/>
      <c r="E1175" s="2014"/>
      <c r="F1175" s="2014"/>
      <c r="G1175" s="2014"/>
      <c r="H1175" s="2014"/>
      <c r="I1175" s="2015"/>
      <c r="J1175" s="2016"/>
      <c r="K1175" s="2017"/>
      <c r="L1175" s="1962"/>
      <c r="M1175" s="2007" t="s">
        <v>1524</v>
      </c>
      <c r="N1175" s="2008"/>
      <c r="O1175" s="2008"/>
      <c r="P1175" s="2008"/>
      <c r="Q1175" s="2009"/>
      <c r="R1175" s="1345">
        <f>R1173-R1174</f>
        <v>0</v>
      </c>
      <c r="S1175" s="1346" t="str">
        <f>L1173</f>
        <v>m²</v>
      </c>
      <c r="T1175" s="373"/>
      <c r="U1175" s="486"/>
      <c r="V1175" s="1418">
        <f>R1175</f>
        <v>0</v>
      </c>
      <c r="AB1175" s="15"/>
    </row>
    <row r="1176" spans="1:36" s="77" customFormat="1" ht="15.6" hidden="1">
      <c r="A1176" s="370"/>
      <c r="B1176" s="1347"/>
      <c r="C1176" s="1348"/>
      <c r="D1176" s="1349"/>
      <c r="E1176" s="1350"/>
      <c r="F1176" s="1349"/>
      <c r="G1176" s="1349"/>
      <c r="H1176" s="1349"/>
      <c r="I1176" s="1349"/>
      <c r="J1176" s="1351"/>
      <c r="K1176" s="1352"/>
      <c r="L1176" s="1353"/>
      <c r="M1176" s="1354"/>
      <c r="N1176" s="1354"/>
      <c r="O1176" s="1354"/>
      <c r="P1176" s="1354"/>
      <c r="Q1176" s="1354"/>
      <c r="R1176" s="1355"/>
      <c r="S1176" s="1356"/>
      <c r="T1176" s="1357"/>
      <c r="U1176" s="1358"/>
      <c r="V1176" s="1420">
        <f>SUM(V1167:V1175)</f>
        <v>0</v>
      </c>
      <c r="AB1176" s="15"/>
    </row>
    <row r="1177" spans="1:36" s="352" customFormat="1" ht="15.6" hidden="1">
      <c r="A1177" s="351"/>
      <c r="B1177" s="1963" t="str">
        <f>VLOOKUP(A1185,'11 - FINANCEIRA'!_xlnm.Print_Area,1,FALSE)</f>
        <v>2.3.3.5</v>
      </c>
      <c r="C1177" s="1965" t="str">
        <f>VLOOKUP(A1185,'11 - FINANCEIRA'!_xlnm.Print_Area,3,FALSE)</f>
        <v>Lavatório louça branca com coluna, 45 x 55cm ou equivalente, padrão médio - fornecimento e instalação. af_01/2020</v>
      </c>
      <c r="D1177" s="1967" t="s">
        <v>1503</v>
      </c>
      <c r="E1177" s="1968"/>
      <c r="F1177" s="1968"/>
      <c r="G1177" s="1968"/>
      <c r="H1177" s="1968"/>
      <c r="I1177" s="1969"/>
      <c r="J1177" s="1914" t="s">
        <v>1504</v>
      </c>
      <c r="K1177" s="1914" t="s">
        <v>1505</v>
      </c>
      <c r="L1177" s="1914" t="s">
        <v>1506</v>
      </c>
      <c r="M1177" s="1914" t="s">
        <v>1507</v>
      </c>
      <c r="N1177" s="1914" t="s">
        <v>1508</v>
      </c>
      <c r="O1177" s="1914" t="s">
        <v>1509</v>
      </c>
      <c r="P1177" s="1341" t="s">
        <v>1510</v>
      </c>
      <c r="Q1177" s="1914" t="s">
        <v>1493</v>
      </c>
      <c r="R1177" s="1916" t="s">
        <v>804</v>
      </c>
      <c r="S1177" s="1914" t="s">
        <v>1511</v>
      </c>
      <c r="T1177" s="1914" t="s">
        <v>1512</v>
      </c>
      <c r="U1177" s="1918" t="s">
        <v>1513</v>
      </c>
      <c r="V1177" s="1418">
        <f t="shared" ref="V1177:V1184" si="123">V1178</f>
        <v>0</v>
      </c>
      <c r="W1177" s="16"/>
      <c r="X1177" s="16"/>
      <c r="Y1177" s="16"/>
      <c r="Z1177" s="17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</row>
    <row r="1178" spans="1:36" s="352" customFormat="1" ht="15.6" hidden="1">
      <c r="A1178" s="351"/>
      <c r="B1178" s="1964" t="e">
        <f>LEFT(#REF!,5)</f>
        <v>#REF!</v>
      </c>
      <c r="C1178" s="1966" t="e">
        <f>VLOOKUP(LEFT(#REF!,5),'11 - FINANCEIRA'!_xlnm.Print_Area,2,FALSE)</f>
        <v>#REF!</v>
      </c>
      <c r="D1178" s="1920" t="s">
        <v>1514</v>
      </c>
      <c r="E1178" s="1921"/>
      <c r="F1178" s="1922"/>
      <c r="G1178" s="1923" t="s">
        <v>1515</v>
      </c>
      <c r="H1178" s="1924"/>
      <c r="I1178" s="1925"/>
      <c r="J1178" s="1915"/>
      <c r="K1178" s="1915"/>
      <c r="L1178" s="1915"/>
      <c r="M1178" s="1915"/>
      <c r="N1178" s="1915"/>
      <c r="O1178" s="1915"/>
      <c r="P1178" s="353" t="s">
        <v>1516</v>
      </c>
      <c r="Q1178" s="1915"/>
      <c r="R1178" s="1917"/>
      <c r="S1178" s="1915"/>
      <c r="T1178" s="1915"/>
      <c r="U1178" s="1919"/>
      <c r="V1178" s="1418">
        <f t="shared" si="123"/>
        <v>0</v>
      </c>
      <c r="W1178" s="16"/>
      <c r="X1178" s="16"/>
      <c r="Y1178" s="16"/>
      <c r="Z1178" s="17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</row>
    <row r="1179" spans="1:36" s="361" customFormat="1" ht="30" hidden="1">
      <c r="A1179" s="354"/>
      <c r="B1179" s="355"/>
      <c r="C1179" s="32" t="s">
        <v>933</v>
      </c>
      <c r="D1179" s="33"/>
      <c r="E1179" s="34"/>
      <c r="F1179" s="35"/>
      <c r="G1179" s="33"/>
      <c r="H1179" s="34"/>
      <c r="I1179" s="35"/>
      <c r="J1179" s="43"/>
      <c r="K1179" s="42"/>
      <c r="L1179" s="39"/>
      <c r="M1179" s="41"/>
      <c r="N1179" s="356"/>
      <c r="O1179" s="40"/>
      <c r="P1179" s="39"/>
      <c r="Q1179" s="45"/>
      <c r="R1179" s="1359">
        <v>1</v>
      </c>
      <c r="S1179" s="1265" t="s">
        <v>816</v>
      </c>
      <c r="T1179" s="46" t="s">
        <v>54</v>
      </c>
      <c r="U1179" s="44"/>
      <c r="V1179" s="1418">
        <f t="shared" si="123"/>
        <v>0</v>
      </c>
      <c r="W1179" s="357"/>
      <c r="X1179" s="357"/>
      <c r="Y1179" s="357"/>
      <c r="Z1179" s="358"/>
      <c r="AA1179" s="359"/>
      <c r="AB1179" s="360"/>
    </row>
    <row r="1180" spans="1:36" s="361" customFormat="1" ht="15" hidden="1" customHeight="1">
      <c r="A1180" s="354"/>
      <c r="B1180" s="355"/>
      <c r="C1180" s="32"/>
      <c r="D1180" s="33"/>
      <c r="E1180" s="34"/>
      <c r="F1180" s="35"/>
      <c r="G1180" s="33"/>
      <c r="H1180" s="34"/>
      <c r="I1180" s="35"/>
      <c r="J1180" s="43"/>
      <c r="K1180" s="42"/>
      <c r="L1180" s="39"/>
      <c r="M1180" s="41"/>
      <c r="N1180" s="356"/>
      <c r="O1180" s="40"/>
      <c r="P1180" s="39"/>
      <c r="Q1180" s="45"/>
      <c r="R1180" s="362"/>
      <c r="S1180" s="363"/>
      <c r="T1180" s="46"/>
      <c r="U1180" s="44"/>
      <c r="V1180" s="1418">
        <f t="shared" si="123"/>
        <v>0</v>
      </c>
      <c r="W1180" s="357"/>
      <c r="X1180" s="357"/>
      <c r="Y1180" s="357"/>
      <c r="Z1180" s="358"/>
      <c r="AA1180" s="359"/>
      <c r="AB1180" s="360"/>
    </row>
    <row r="1181" spans="1:36" s="369" customFormat="1" ht="15" hidden="1">
      <c r="A1181" s="364"/>
      <c r="B1181" s="355"/>
      <c r="C1181" s="32"/>
      <c r="D1181" s="33"/>
      <c r="E1181" s="34"/>
      <c r="F1181" s="35"/>
      <c r="G1181" s="33"/>
      <c r="H1181" s="34"/>
      <c r="I1181" s="35"/>
      <c r="J1181" s="43"/>
      <c r="K1181" s="42"/>
      <c r="L1181" s="39"/>
      <c r="M1181" s="41"/>
      <c r="N1181" s="40"/>
      <c r="O1181" s="40"/>
      <c r="P1181" s="39"/>
      <c r="Q1181" s="38"/>
      <c r="R1181" s="365"/>
      <c r="S1181" s="366"/>
      <c r="T1181" s="46"/>
      <c r="U1181" s="44"/>
      <c r="V1181" s="1418">
        <f t="shared" si="123"/>
        <v>0</v>
      </c>
      <c r="W1181" s="367"/>
      <c r="X1181" s="367"/>
      <c r="Y1181" s="367"/>
      <c r="Z1181" s="368"/>
    </row>
    <row r="1182" spans="1:36" s="77" customFormat="1" ht="15" hidden="1">
      <c r="A1182" s="370"/>
      <c r="B1182" s="29"/>
      <c r="C1182" s="30"/>
      <c r="D1182" s="18"/>
      <c r="E1182" s="19"/>
      <c r="F1182" s="20"/>
      <c r="G1182" s="18"/>
      <c r="H1182" s="19"/>
      <c r="I1182" s="20"/>
      <c r="J1182" s="21"/>
      <c r="K1182" s="22"/>
      <c r="L1182" s="23"/>
      <c r="M1182" s="24"/>
      <c r="N1182" s="25"/>
      <c r="O1182" s="25"/>
      <c r="P1182" s="23"/>
      <c r="Q1182" s="26"/>
      <c r="R1182" s="371"/>
      <c r="S1182" s="27"/>
      <c r="T1182" s="372"/>
      <c r="U1182" s="31"/>
      <c r="V1182" s="1418">
        <f t="shared" si="123"/>
        <v>0</v>
      </c>
      <c r="AB1182" s="15"/>
    </row>
    <row r="1183" spans="1:36" s="77" customFormat="1" ht="15.6" hidden="1">
      <c r="A1183" s="370"/>
      <c r="B1183" s="499"/>
      <c r="C1183" s="37"/>
      <c r="D1183" s="1929" t="s">
        <v>1520</v>
      </c>
      <c r="E1183" s="1930"/>
      <c r="F1183" s="1930"/>
      <c r="G1183" s="1930"/>
      <c r="H1183" s="1930"/>
      <c r="I1183" s="1931"/>
      <c r="J1183" s="1932">
        <f>VLOOKUP(A1185,'11 - FINANCEIRA'!_xlnm.Print_Area,6,FALSE)</f>
        <v>1</v>
      </c>
      <c r="K1183" s="1933"/>
      <c r="L1183" s="1343" t="str">
        <f>VLOOKUP(A1185,'11 - FINANCEIRA'!_xlnm.Print_Area,4,FALSE)</f>
        <v>und</v>
      </c>
      <c r="M1183" s="1934" t="s">
        <v>1521</v>
      </c>
      <c r="N1183" s="1935"/>
      <c r="O1183" s="1935"/>
      <c r="P1183" s="1935"/>
      <c r="Q1183" s="1936"/>
      <c r="R1183" s="726">
        <f>SUM(R1179:R1182)</f>
        <v>1</v>
      </c>
      <c r="S1183" s="1344" t="str">
        <f>L1183</f>
        <v>und</v>
      </c>
      <c r="T1183" s="373"/>
      <c r="U1183" s="486"/>
      <c r="V1183" s="1418">
        <f t="shared" si="123"/>
        <v>0</v>
      </c>
      <c r="AB1183" s="15"/>
    </row>
    <row r="1184" spans="1:36" s="77" customFormat="1" ht="15.6" hidden="1">
      <c r="A1184" s="370"/>
      <c r="B1184" s="499"/>
      <c r="C1184" s="725"/>
      <c r="D1184" s="1937" t="s">
        <v>1522</v>
      </c>
      <c r="E1184" s="1938"/>
      <c r="F1184" s="1938"/>
      <c r="G1184" s="1938"/>
      <c r="H1184" s="1938"/>
      <c r="I1184" s="1939"/>
      <c r="J1184" s="1943">
        <f>R1183/J1183</f>
        <v>1</v>
      </c>
      <c r="K1184" s="1944"/>
      <c r="L1184" s="1947"/>
      <c r="M1184" s="1934" t="s">
        <v>1523</v>
      </c>
      <c r="N1184" s="1935"/>
      <c r="O1184" s="1935"/>
      <c r="P1184" s="1935"/>
      <c r="Q1184" s="1936"/>
      <c r="R1184" s="726">
        <f>VLOOKUP(A1185,'11 - FINANCEIRA'!_xlnm.Print_Area,8,FALSE)</f>
        <v>1</v>
      </c>
      <c r="S1184" s="727" t="str">
        <f>L1183</f>
        <v>und</v>
      </c>
      <c r="T1184" s="373"/>
      <c r="U1184" s="486"/>
      <c r="V1184" s="1418">
        <f t="shared" si="123"/>
        <v>0</v>
      </c>
      <c r="AB1184" s="15"/>
    </row>
    <row r="1185" spans="1:36" s="77" customFormat="1" ht="15.6" hidden="1">
      <c r="A1185" s="364" t="s">
        <v>412</v>
      </c>
      <c r="B1185" s="499"/>
      <c r="C1185" s="37"/>
      <c r="D1185" s="2013"/>
      <c r="E1185" s="2014"/>
      <c r="F1185" s="2014"/>
      <c r="G1185" s="2014"/>
      <c r="H1185" s="2014"/>
      <c r="I1185" s="2015"/>
      <c r="J1185" s="2016"/>
      <c r="K1185" s="2017"/>
      <c r="L1185" s="1962"/>
      <c r="M1185" s="2007" t="s">
        <v>1524</v>
      </c>
      <c r="N1185" s="2008"/>
      <c r="O1185" s="2008"/>
      <c r="P1185" s="2008"/>
      <c r="Q1185" s="2009"/>
      <c r="R1185" s="1345">
        <f>R1183-R1184</f>
        <v>0</v>
      </c>
      <c r="S1185" s="1346" t="str">
        <f>L1183</f>
        <v>und</v>
      </c>
      <c r="T1185" s="373"/>
      <c r="U1185" s="486"/>
      <c r="V1185" s="1418">
        <f>R1185</f>
        <v>0</v>
      </c>
      <c r="AB1185" s="15"/>
    </row>
    <row r="1186" spans="1:36" s="77" customFormat="1" ht="15.6" hidden="1">
      <c r="A1186" s="370"/>
      <c r="B1186" s="1347"/>
      <c r="C1186" s="1348"/>
      <c r="D1186" s="1349"/>
      <c r="E1186" s="1350"/>
      <c r="F1186" s="1349"/>
      <c r="G1186" s="1349"/>
      <c r="H1186" s="1349"/>
      <c r="I1186" s="1349"/>
      <c r="J1186" s="1351"/>
      <c r="K1186" s="1352"/>
      <c r="L1186" s="1353"/>
      <c r="M1186" s="1354"/>
      <c r="N1186" s="1354"/>
      <c r="O1186" s="1354"/>
      <c r="P1186" s="1354"/>
      <c r="Q1186" s="1354"/>
      <c r="R1186" s="1355"/>
      <c r="S1186" s="1356"/>
      <c r="T1186" s="1357"/>
      <c r="U1186" s="1358"/>
      <c r="V1186" s="1420">
        <f>SUM(V1177:V1185)</f>
        <v>0</v>
      </c>
      <c r="AB1186" s="15"/>
    </row>
    <row r="1187" spans="1:36" s="352" customFormat="1" ht="15.6" hidden="1">
      <c r="A1187" s="351"/>
      <c r="B1187" s="1963" t="str">
        <f>VLOOKUP(A1195,'11 - FINANCEIRA'!_xlnm.Print_Area,1,FALSE)</f>
        <v>2.3.3.6</v>
      </c>
      <c r="C1187" s="1965" t="str">
        <f>VLOOKUP(A1195,'11 - FINANCEIRA'!_xlnm.Print_Area,3,FALSE)</f>
        <v>Torneira cromada de mesa, 1/2? ou 3/4?, para lavatório, padrão médio - fornecimento e instalação. af_01/2020</v>
      </c>
      <c r="D1187" s="1967" t="s">
        <v>1503</v>
      </c>
      <c r="E1187" s="1968"/>
      <c r="F1187" s="1968"/>
      <c r="G1187" s="1968"/>
      <c r="H1187" s="1968"/>
      <c r="I1187" s="1969"/>
      <c r="J1187" s="1914" t="s">
        <v>1504</v>
      </c>
      <c r="K1187" s="1914" t="s">
        <v>1505</v>
      </c>
      <c r="L1187" s="1914" t="s">
        <v>1506</v>
      </c>
      <c r="M1187" s="1914" t="s">
        <v>1507</v>
      </c>
      <c r="N1187" s="1914" t="s">
        <v>1508</v>
      </c>
      <c r="O1187" s="1914" t="s">
        <v>1509</v>
      </c>
      <c r="P1187" s="1341" t="s">
        <v>1510</v>
      </c>
      <c r="Q1187" s="1914" t="s">
        <v>1493</v>
      </c>
      <c r="R1187" s="1916" t="s">
        <v>804</v>
      </c>
      <c r="S1187" s="1914" t="s">
        <v>1511</v>
      </c>
      <c r="T1187" s="1914" t="s">
        <v>1512</v>
      </c>
      <c r="U1187" s="1918" t="s">
        <v>1513</v>
      </c>
      <c r="V1187" s="1418">
        <f t="shared" ref="V1187:V1194" si="124">V1188</f>
        <v>0</v>
      </c>
      <c r="W1187" s="16"/>
      <c r="X1187" s="16"/>
      <c r="Y1187" s="16"/>
      <c r="Z1187" s="17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</row>
    <row r="1188" spans="1:36" s="352" customFormat="1" ht="15.6" hidden="1">
      <c r="A1188" s="351"/>
      <c r="B1188" s="1964" t="e">
        <f>LEFT(#REF!,5)</f>
        <v>#REF!</v>
      </c>
      <c r="C1188" s="1966" t="e">
        <f>VLOOKUP(LEFT(#REF!,5),'11 - FINANCEIRA'!_xlnm.Print_Area,2,FALSE)</f>
        <v>#REF!</v>
      </c>
      <c r="D1188" s="1920" t="s">
        <v>1514</v>
      </c>
      <c r="E1188" s="1921"/>
      <c r="F1188" s="1922"/>
      <c r="G1188" s="1923" t="s">
        <v>1515</v>
      </c>
      <c r="H1188" s="1924"/>
      <c r="I1188" s="1925"/>
      <c r="J1188" s="1915"/>
      <c r="K1188" s="1915"/>
      <c r="L1188" s="1915"/>
      <c r="M1188" s="1915"/>
      <c r="N1188" s="1915"/>
      <c r="O1188" s="1915"/>
      <c r="P1188" s="353" t="s">
        <v>1516</v>
      </c>
      <c r="Q1188" s="1915"/>
      <c r="R1188" s="1917"/>
      <c r="S1188" s="1915"/>
      <c r="T1188" s="1915"/>
      <c r="U1188" s="1919"/>
      <c r="V1188" s="1418">
        <f t="shared" si="124"/>
        <v>0</v>
      </c>
      <c r="W1188" s="16"/>
      <c r="X1188" s="16"/>
      <c r="Y1188" s="16"/>
      <c r="Z1188" s="17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</row>
    <row r="1189" spans="1:36" s="361" customFormat="1" ht="30" hidden="1">
      <c r="A1189" s="354"/>
      <c r="B1189" s="355"/>
      <c r="C1189" s="32" t="s">
        <v>935</v>
      </c>
      <c r="D1189" s="33"/>
      <c r="E1189" s="34"/>
      <c r="F1189" s="35"/>
      <c r="G1189" s="33"/>
      <c r="H1189" s="34"/>
      <c r="I1189" s="35"/>
      <c r="J1189" s="43"/>
      <c r="K1189" s="42"/>
      <c r="L1189" s="39"/>
      <c r="M1189" s="41"/>
      <c r="N1189" s="356"/>
      <c r="O1189" s="40"/>
      <c r="P1189" s="39"/>
      <c r="Q1189" s="45"/>
      <c r="R1189" s="1359">
        <v>1</v>
      </c>
      <c r="S1189" s="1265" t="s">
        <v>816</v>
      </c>
      <c r="T1189" s="46" t="s">
        <v>54</v>
      </c>
      <c r="U1189" s="44"/>
      <c r="V1189" s="1418">
        <f t="shared" si="124"/>
        <v>0</v>
      </c>
      <c r="W1189" s="357"/>
      <c r="X1189" s="357"/>
      <c r="Y1189" s="357"/>
      <c r="Z1189" s="358"/>
      <c r="AA1189" s="359"/>
      <c r="AB1189" s="360"/>
    </row>
    <row r="1190" spans="1:36" s="361" customFormat="1" ht="15" hidden="1" customHeight="1">
      <c r="A1190" s="354"/>
      <c r="B1190" s="355"/>
      <c r="C1190" s="32"/>
      <c r="D1190" s="33"/>
      <c r="E1190" s="34"/>
      <c r="F1190" s="35"/>
      <c r="G1190" s="33"/>
      <c r="H1190" s="34"/>
      <c r="I1190" s="35"/>
      <c r="J1190" s="43"/>
      <c r="K1190" s="42"/>
      <c r="L1190" s="39"/>
      <c r="M1190" s="41"/>
      <c r="N1190" s="356"/>
      <c r="O1190" s="40"/>
      <c r="P1190" s="39"/>
      <c r="Q1190" s="45"/>
      <c r="R1190" s="362"/>
      <c r="S1190" s="363"/>
      <c r="T1190" s="46"/>
      <c r="U1190" s="44"/>
      <c r="V1190" s="1418">
        <f t="shared" si="124"/>
        <v>0</v>
      </c>
      <c r="W1190" s="357"/>
      <c r="X1190" s="357"/>
      <c r="Y1190" s="357"/>
      <c r="Z1190" s="358"/>
      <c r="AA1190" s="359"/>
      <c r="AB1190" s="360"/>
    </row>
    <row r="1191" spans="1:36" s="369" customFormat="1" ht="15" hidden="1">
      <c r="A1191" s="364"/>
      <c r="B1191" s="355"/>
      <c r="C1191" s="32"/>
      <c r="D1191" s="33"/>
      <c r="E1191" s="34"/>
      <c r="F1191" s="35"/>
      <c r="G1191" s="33"/>
      <c r="H1191" s="34"/>
      <c r="I1191" s="35"/>
      <c r="J1191" s="43"/>
      <c r="K1191" s="42"/>
      <c r="L1191" s="39"/>
      <c r="M1191" s="41"/>
      <c r="N1191" s="40"/>
      <c r="O1191" s="40"/>
      <c r="P1191" s="39"/>
      <c r="Q1191" s="38"/>
      <c r="R1191" s="365"/>
      <c r="S1191" s="366"/>
      <c r="T1191" s="46"/>
      <c r="U1191" s="44"/>
      <c r="V1191" s="1418">
        <f t="shared" si="124"/>
        <v>0</v>
      </c>
      <c r="W1191" s="367"/>
      <c r="X1191" s="367"/>
      <c r="Y1191" s="367"/>
      <c r="Z1191" s="368"/>
    </row>
    <row r="1192" spans="1:36" s="77" customFormat="1" ht="15" hidden="1">
      <c r="A1192" s="370"/>
      <c r="B1192" s="29"/>
      <c r="C1192" s="30"/>
      <c r="D1192" s="18"/>
      <c r="E1192" s="19"/>
      <c r="F1192" s="20"/>
      <c r="G1192" s="18"/>
      <c r="H1192" s="19"/>
      <c r="I1192" s="20"/>
      <c r="J1192" s="21"/>
      <c r="K1192" s="22"/>
      <c r="L1192" s="23"/>
      <c r="M1192" s="24"/>
      <c r="N1192" s="25"/>
      <c r="O1192" s="25"/>
      <c r="P1192" s="23"/>
      <c r="Q1192" s="26"/>
      <c r="R1192" s="371"/>
      <c r="S1192" s="27"/>
      <c r="T1192" s="372"/>
      <c r="U1192" s="31"/>
      <c r="V1192" s="1418">
        <f t="shared" si="124"/>
        <v>0</v>
      </c>
      <c r="AB1192" s="15"/>
    </row>
    <row r="1193" spans="1:36" s="77" customFormat="1" ht="15.6" hidden="1">
      <c r="A1193" s="370"/>
      <c r="B1193" s="499"/>
      <c r="C1193" s="37"/>
      <c r="D1193" s="1929" t="s">
        <v>1520</v>
      </c>
      <c r="E1193" s="1930"/>
      <c r="F1193" s="1930"/>
      <c r="G1193" s="1930"/>
      <c r="H1193" s="1930"/>
      <c r="I1193" s="1931"/>
      <c r="J1193" s="1932">
        <f>VLOOKUP(A1195,'11 - FINANCEIRA'!_xlnm.Print_Area,6,FALSE)</f>
        <v>1</v>
      </c>
      <c r="K1193" s="1933"/>
      <c r="L1193" s="1343" t="str">
        <f>VLOOKUP(A1195,'11 - FINANCEIRA'!_xlnm.Print_Area,4,FALSE)</f>
        <v>und</v>
      </c>
      <c r="M1193" s="1934" t="s">
        <v>1521</v>
      </c>
      <c r="N1193" s="1935"/>
      <c r="O1193" s="1935"/>
      <c r="P1193" s="1935"/>
      <c r="Q1193" s="1936"/>
      <c r="R1193" s="726">
        <f>SUM(R1189:R1192)</f>
        <v>1</v>
      </c>
      <c r="S1193" s="1344" t="str">
        <f>L1193</f>
        <v>und</v>
      </c>
      <c r="T1193" s="373"/>
      <c r="U1193" s="486"/>
      <c r="V1193" s="1418">
        <f t="shared" si="124"/>
        <v>0</v>
      </c>
      <c r="AB1193" s="15"/>
    </row>
    <row r="1194" spans="1:36" s="77" customFormat="1" ht="15.6" hidden="1">
      <c r="A1194" s="370"/>
      <c r="B1194" s="499"/>
      <c r="C1194" s="725"/>
      <c r="D1194" s="1937" t="s">
        <v>1522</v>
      </c>
      <c r="E1194" s="1938"/>
      <c r="F1194" s="1938"/>
      <c r="G1194" s="1938"/>
      <c r="H1194" s="1938"/>
      <c r="I1194" s="1939"/>
      <c r="J1194" s="1943">
        <f>R1193/J1193</f>
        <v>1</v>
      </c>
      <c r="K1194" s="1944"/>
      <c r="L1194" s="1947"/>
      <c r="M1194" s="1934" t="s">
        <v>1523</v>
      </c>
      <c r="N1194" s="1935"/>
      <c r="O1194" s="1935"/>
      <c r="P1194" s="1935"/>
      <c r="Q1194" s="1936"/>
      <c r="R1194" s="726">
        <f>VLOOKUP(A1195,'11 - FINANCEIRA'!_xlnm.Print_Area,8,FALSE)</f>
        <v>1</v>
      </c>
      <c r="S1194" s="727" t="str">
        <f>L1193</f>
        <v>und</v>
      </c>
      <c r="T1194" s="373"/>
      <c r="U1194" s="486"/>
      <c r="V1194" s="1418">
        <f t="shared" si="124"/>
        <v>0</v>
      </c>
      <c r="AB1194" s="15"/>
    </row>
    <row r="1195" spans="1:36" s="77" customFormat="1" ht="15.6" hidden="1">
      <c r="A1195" s="364" t="s">
        <v>413</v>
      </c>
      <c r="B1195" s="499"/>
      <c r="C1195" s="37"/>
      <c r="D1195" s="2013"/>
      <c r="E1195" s="2014"/>
      <c r="F1195" s="2014"/>
      <c r="G1195" s="2014"/>
      <c r="H1195" s="2014"/>
      <c r="I1195" s="2015"/>
      <c r="J1195" s="2016"/>
      <c r="K1195" s="2017"/>
      <c r="L1195" s="1962"/>
      <c r="M1195" s="2007" t="s">
        <v>1524</v>
      </c>
      <c r="N1195" s="2008"/>
      <c r="O1195" s="2008"/>
      <c r="P1195" s="2008"/>
      <c r="Q1195" s="2009"/>
      <c r="R1195" s="1345">
        <f>R1193-R1194</f>
        <v>0</v>
      </c>
      <c r="S1195" s="1346" t="str">
        <f>L1193</f>
        <v>und</v>
      </c>
      <c r="T1195" s="373"/>
      <c r="U1195" s="486"/>
      <c r="V1195" s="1418">
        <f>R1195</f>
        <v>0</v>
      </c>
      <c r="AB1195" s="15"/>
    </row>
    <row r="1196" spans="1:36" s="77" customFormat="1" ht="15.6" hidden="1">
      <c r="A1196" s="370"/>
      <c r="B1196" s="1347"/>
      <c r="C1196" s="1348"/>
      <c r="D1196" s="1349"/>
      <c r="E1196" s="1350"/>
      <c r="F1196" s="1349"/>
      <c r="G1196" s="1349"/>
      <c r="H1196" s="1349"/>
      <c r="I1196" s="1349"/>
      <c r="J1196" s="1351"/>
      <c r="K1196" s="1352"/>
      <c r="L1196" s="1353"/>
      <c r="M1196" s="1354"/>
      <c r="N1196" s="1354"/>
      <c r="O1196" s="1354"/>
      <c r="P1196" s="1354"/>
      <c r="Q1196" s="1354"/>
      <c r="R1196" s="1355"/>
      <c r="S1196" s="1356"/>
      <c r="T1196" s="1357"/>
      <c r="U1196" s="1358"/>
      <c r="V1196" s="1420">
        <f>SUM(V1187:V1195)</f>
        <v>0</v>
      </c>
      <c r="AB1196" s="15"/>
    </row>
    <row r="1197" spans="1:36" s="352" customFormat="1" ht="15.6" hidden="1">
      <c r="A1197" s="351"/>
      <c r="B1197" s="1963" t="str">
        <f>VLOOKUP(A1205,'11 - FINANCEIRA'!_xlnm.Print_Area,1,FALSE)</f>
        <v>2.3.3.7</v>
      </c>
      <c r="C1197" s="1965" t="str">
        <f>VLOOKUP(A1205,'11 - FINANCEIRA'!_xlnm.Print_Area,3,FALSE)</f>
        <v>Kit de acessorios para banheiro em metal cromado, 5 pecas, incluso fixação. af_01/2020</v>
      </c>
      <c r="D1197" s="1967" t="s">
        <v>1503</v>
      </c>
      <c r="E1197" s="1968"/>
      <c r="F1197" s="1968"/>
      <c r="G1197" s="1968"/>
      <c r="H1197" s="1968"/>
      <c r="I1197" s="1969"/>
      <c r="J1197" s="1914" t="s">
        <v>1504</v>
      </c>
      <c r="K1197" s="1914" t="s">
        <v>1505</v>
      </c>
      <c r="L1197" s="1914" t="s">
        <v>1506</v>
      </c>
      <c r="M1197" s="1914" t="s">
        <v>1507</v>
      </c>
      <c r="N1197" s="1914" t="s">
        <v>1508</v>
      </c>
      <c r="O1197" s="1914" t="s">
        <v>1509</v>
      </c>
      <c r="P1197" s="1341" t="s">
        <v>1510</v>
      </c>
      <c r="Q1197" s="1914" t="s">
        <v>1493</v>
      </c>
      <c r="R1197" s="1916" t="s">
        <v>804</v>
      </c>
      <c r="S1197" s="1914" t="s">
        <v>1511</v>
      </c>
      <c r="T1197" s="1914" t="s">
        <v>1512</v>
      </c>
      <c r="U1197" s="1918" t="s">
        <v>1513</v>
      </c>
      <c r="V1197" s="1418">
        <f t="shared" ref="V1197:V1204" si="125">V1198</f>
        <v>0</v>
      </c>
      <c r="W1197" s="16"/>
      <c r="X1197" s="16"/>
      <c r="Y1197" s="16"/>
      <c r="Z1197" s="17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</row>
    <row r="1198" spans="1:36" s="352" customFormat="1" ht="15.6" hidden="1">
      <c r="A1198" s="351"/>
      <c r="B1198" s="1964" t="e">
        <f>LEFT(#REF!,5)</f>
        <v>#REF!</v>
      </c>
      <c r="C1198" s="1966" t="e">
        <f>VLOOKUP(LEFT(#REF!,5),'11 - FINANCEIRA'!_xlnm.Print_Area,2,FALSE)</f>
        <v>#REF!</v>
      </c>
      <c r="D1198" s="1920" t="s">
        <v>1514</v>
      </c>
      <c r="E1198" s="1921"/>
      <c r="F1198" s="1922"/>
      <c r="G1198" s="1923" t="s">
        <v>1515</v>
      </c>
      <c r="H1198" s="1924"/>
      <c r="I1198" s="1925"/>
      <c r="J1198" s="1915"/>
      <c r="K1198" s="1915"/>
      <c r="L1198" s="1915"/>
      <c r="M1198" s="1915"/>
      <c r="N1198" s="1915"/>
      <c r="O1198" s="1915"/>
      <c r="P1198" s="353" t="s">
        <v>1516</v>
      </c>
      <c r="Q1198" s="1915"/>
      <c r="R1198" s="1917"/>
      <c r="S1198" s="1915"/>
      <c r="T1198" s="1915"/>
      <c r="U1198" s="1919"/>
      <c r="V1198" s="1418">
        <f t="shared" si="125"/>
        <v>0</v>
      </c>
      <c r="W1198" s="16"/>
      <c r="X1198" s="16"/>
      <c r="Y1198" s="16"/>
      <c r="Z1198" s="17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</row>
    <row r="1199" spans="1:36" s="361" customFormat="1" ht="15" hidden="1" customHeight="1">
      <c r="A1199" s="354"/>
      <c r="B1199" s="355"/>
      <c r="C1199" s="32" t="s">
        <v>937</v>
      </c>
      <c r="D1199" s="33"/>
      <c r="E1199" s="34"/>
      <c r="F1199" s="35"/>
      <c r="G1199" s="33"/>
      <c r="H1199" s="34"/>
      <c r="I1199" s="35"/>
      <c r="J1199" s="43"/>
      <c r="K1199" s="42"/>
      <c r="L1199" s="39"/>
      <c r="M1199" s="41"/>
      <c r="N1199" s="356"/>
      <c r="O1199" s="40"/>
      <c r="P1199" s="39"/>
      <c r="Q1199" s="45"/>
      <c r="R1199" s="1359">
        <v>1</v>
      </c>
      <c r="S1199" s="1265" t="s">
        <v>816</v>
      </c>
      <c r="T1199" s="46" t="s">
        <v>54</v>
      </c>
      <c r="U1199" s="44"/>
      <c r="V1199" s="1418">
        <f t="shared" si="125"/>
        <v>0</v>
      </c>
      <c r="W1199" s="357"/>
      <c r="X1199" s="357"/>
      <c r="Y1199" s="357"/>
      <c r="Z1199" s="358"/>
      <c r="AA1199" s="359"/>
      <c r="AB1199" s="360"/>
    </row>
    <row r="1200" spans="1:36" s="361" customFormat="1" ht="15" hidden="1" customHeight="1">
      <c r="A1200" s="354"/>
      <c r="B1200" s="355"/>
      <c r="C1200" s="32"/>
      <c r="D1200" s="33"/>
      <c r="E1200" s="34"/>
      <c r="F1200" s="35"/>
      <c r="G1200" s="33"/>
      <c r="H1200" s="34"/>
      <c r="I1200" s="35"/>
      <c r="J1200" s="43"/>
      <c r="K1200" s="42"/>
      <c r="L1200" s="39"/>
      <c r="M1200" s="41"/>
      <c r="N1200" s="356"/>
      <c r="O1200" s="40"/>
      <c r="P1200" s="39"/>
      <c r="Q1200" s="45"/>
      <c r="R1200" s="362"/>
      <c r="S1200" s="363"/>
      <c r="T1200" s="46"/>
      <c r="U1200" s="44"/>
      <c r="V1200" s="1418">
        <f t="shared" si="125"/>
        <v>0</v>
      </c>
      <c r="W1200" s="357"/>
      <c r="X1200" s="357"/>
      <c r="Y1200" s="357"/>
      <c r="Z1200" s="358"/>
      <c r="AA1200" s="359"/>
      <c r="AB1200" s="360"/>
    </row>
    <row r="1201" spans="1:36" s="369" customFormat="1" ht="15" hidden="1">
      <c r="A1201" s="364"/>
      <c r="B1201" s="355"/>
      <c r="C1201" s="32"/>
      <c r="D1201" s="33"/>
      <c r="E1201" s="34"/>
      <c r="F1201" s="35"/>
      <c r="G1201" s="33"/>
      <c r="H1201" s="34"/>
      <c r="I1201" s="35"/>
      <c r="J1201" s="43"/>
      <c r="K1201" s="42"/>
      <c r="L1201" s="39"/>
      <c r="M1201" s="41"/>
      <c r="N1201" s="40"/>
      <c r="O1201" s="40"/>
      <c r="P1201" s="39"/>
      <c r="Q1201" s="38"/>
      <c r="R1201" s="365"/>
      <c r="S1201" s="366"/>
      <c r="T1201" s="46"/>
      <c r="U1201" s="44"/>
      <c r="V1201" s="1418">
        <f t="shared" si="125"/>
        <v>0</v>
      </c>
      <c r="W1201" s="367"/>
      <c r="X1201" s="367"/>
      <c r="Y1201" s="367"/>
      <c r="Z1201" s="368"/>
    </row>
    <row r="1202" spans="1:36" s="77" customFormat="1" ht="15" hidden="1">
      <c r="A1202" s="370"/>
      <c r="B1202" s="29"/>
      <c r="C1202" s="30"/>
      <c r="D1202" s="18"/>
      <c r="E1202" s="19"/>
      <c r="F1202" s="20"/>
      <c r="G1202" s="18"/>
      <c r="H1202" s="19"/>
      <c r="I1202" s="20"/>
      <c r="J1202" s="21"/>
      <c r="K1202" s="22"/>
      <c r="L1202" s="23"/>
      <c r="M1202" s="24"/>
      <c r="N1202" s="25"/>
      <c r="O1202" s="25"/>
      <c r="P1202" s="23"/>
      <c r="Q1202" s="26"/>
      <c r="R1202" s="371"/>
      <c r="S1202" s="27"/>
      <c r="T1202" s="372"/>
      <c r="U1202" s="31"/>
      <c r="V1202" s="1418">
        <f t="shared" si="125"/>
        <v>0</v>
      </c>
      <c r="AB1202" s="15"/>
    </row>
    <row r="1203" spans="1:36" s="77" customFormat="1" ht="15.6" hidden="1">
      <c r="A1203" s="370"/>
      <c r="B1203" s="499"/>
      <c r="C1203" s="37"/>
      <c r="D1203" s="1929" t="s">
        <v>1520</v>
      </c>
      <c r="E1203" s="1930"/>
      <c r="F1203" s="1930"/>
      <c r="G1203" s="1930"/>
      <c r="H1203" s="1930"/>
      <c r="I1203" s="1931"/>
      <c r="J1203" s="1932">
        <f>VLOOKUP(A1205,'11 - FINANCEIRA'!_xlnm.Print_Area,6,FALSE)</f>
        <v>1</v>
      </c>
      <c r="K1203" s="1933"/>
      <c r="L1203" s="1343" t="str">
        <f>VLOOKUP(A1205,'11 - FINANCEIRA'!_xlnm.Print_Area,4,FALSE)</f>
        <v>und</v>
      </c>
      <c r="M1203" s="1934" t="s">
        <v>1521</v>
      </c>
      <c r="N1203" s="1935"/>
      <c r="O1203" s="1935"/>
      <c r="P1203" s="1935"/>
      <c r="Q1203" s="1936"/>
      <c r="R1203" s="726">
        <f>SUM(R1199:R1202)</f>
        <v>1</v>
      </c>
      <c r="S1203" s="1344" t="str">
        <f>L1203</f>
        <v>und</v>
      </c>
      <c r="T1203" s="373"/>
      <c r="U1203" s="486"/>
      <c r="V1203" s="1418">
        <f t="shared" si="125"/>
        <v>0</v>
      </c>
      <c r="AB1203" s="15"/>
    </row>
    <row r="1204" spans="1:36" s="77" customFormat="1" ht="15.6" hidden="1">
      <c r="A1204" s="370"/>
      <c r="B1204" s="499"/>
      <c r="C1204" s="725"/>
      <c r="D1204" s="1937" t="s">
        <v>1522</v>
      </c>
      <c r="E1204" s="1938"/>
      <c r="F1204" s="1938"/>
      <c r="G1204" s="1938"/>
      <c r="H1204" s="1938"/>
      <c r="I1204" s="1939"/>
      <c r="J1204" s="1943">
        <f>R1203/J1203</f>
        <v>1</v>
      </c>
      <c r="K1204" s="1944"/>
      <c r="L1204" s="1947"/>
      <c r="M1204" s="1934" t="s">
        <v>1523</v>
      </c>
      <c r="N1204" s="1935"/>
      <c r="O1204" s="1935"/>
      <c r="P1204" s="1935"/>
      <c r="Q1204" s="1936"/>
      <c r="R1204" s="726">
        <f>VLOOKUP(A1205,'11 - FINANCEIRA'!_xlnm.Print_Area,8,FALSE)</f>
        <v>1</v>
      </c>
      <c r="S1204" s="727" t="str">
        <f>L1203</f>
        <v>und</v>
      </c>
      <c r="T1204" s="373"/>
      <c r="U1204" s="486"/>
      <c r="V1204" s="1418">
        <f t="shared" si="125"/>
        <v>0</v>
      </c>
      <c r="AB1204" s="15"/>
    </row>
    <row r="1205" spans="1:36" s="77" customFormat="1" ht="15.6" hidden="1">
      <c r="A1205" s="364" t="s">
        <v>414</v>
      </c>
      <c r="B1205" s="499"/>
      <c r="C1205" s="37"/>
      <c r="D1205" s="2013"/>
      <c r="E1205" s="2014"/>
      <c r="F1205" s="2014"/>
      <c r="G1205" s="2014"/>
      <c r="H1205" s="2014"/>
      <c r="I1205" s="2015"/>
      <c r="J1205" s="2016"/>
      <c r="K1205" s="2017"/>
      <c r="L1205" s="1962"/>
      <c r="M1205" s="2007" t="s">
        <v>1524</v>
      </c>
      <c r="N1205" s="2008"/>
      <c r="O1205" s="2008"/>
      <c r="P1205" s="2008"/>
      <c r="Q1205" s="2009"/>
      <c r="R1205" s="1345">
        <f>R1203-R1204</f>
        <v>0</v>
      </c>
      <c r="S1205" s="1346" t="str">
        <f>L1203</f>
        <v>und</v>
      </c>
      <c r="T1205" s="373"/>
      <c r="U1205" s="486"/>
      <c r="V1205" s="1418">
        <f>R1205</f>
        <v>0</v>
      </c>
      <c r="AB1205" s="15"/>
    </row>
    <row r="1206" spans="1:36" s="77" customFormat="1" ht="15.6" hidden="1">
      <c r="A1206" s="370"/>
      <c r="B1206" s="1347"/>
      <c r="C1206" s="1348"/>
      <c r="D1206" s="1349"/>
      <c r="E1206" s="1350"/>
      <c r="F1206" s="1349"/>
      <c r="G1206" s="1349"/>
      <c r="H1206" s="1349"/>
      <c r="I1206" s="1349"/>
      <c r="J1206" s="1351"/>
      <c r="K1206" s="1352"/>
      <c r="L1206" s="1353"/>
      <c r="M1206" s="1354"/>
      <c r="N1206" s="1354"/>
      <c r="O1206" s="1354"/>
      <c r="P1206" s="1354"/>
      <c r="Q1206" s="1354"/>
      <c r="R1206" s="1355"/>
      <c r="S1206" s="1356"/>
      <c r="T1206" s="1357"/>
      <c r="U1206" s="1358"/>
      <c r="V1206" s="1420">
        <f>SUM(V1197:V1205)</f>
        <v>0</v>
      </c>
      <c r="AB1206" s="15"/>
    </row>
    <row r="1207" spans="1:36" s="352" customFormat="1" ht="15.6" hidden="1">
      <c r="A1207" s="351"/>
      <c r="B1207" s="1963" t="str">
        <f>VLOOKUP(A1215,'11 - FINANCEIRA'!_xlnm.Print_Area,1,FALSE)</f>
        <v>2.3.3.8</v>
      </c>
      <c r="C1207" s="1965" t="str">
        <f>VLOOKUP(A1215,'11 - FINANCEIRA'!_xlnm.Print_Area,3,FALSE)</f>
        <v>Vaso sanitário padrão popular completo com acessórios para ligação, marcas de referência deca, celite ou ideal standard, inclusive assento plástico</v>
      </c>
      <c r="D1207" s="1967" t="s">
        <v>1503</v>
      </c>
      <c r="E1207" s="1968"/>
      <c r="F1207" s="1968"/>
      <c r="G1207" s="1968"/>
      <c r="H1207" s="1968"/>
      <c r="I1207" s="1969"/>
      <c r="J1207" s="1914" t="s">
        <v>1504</v>
      </c>
      <c r="K1207" s="1914" t="s">
        <v>1505</v>
      </c>
      <c r="L1207" s="1914" t="s">
        <v>1506</v>
      </c>
      <c r="M1207" s="1914" t="s">
        <v>1507</v>
      </c>
      <c r="N1207" s="1914" t="s">
        <v>1508</v>
      </c>
      <c r="O1207" s="1914" t="s">
        <v>1509</v>
      </c>
      <c r="P1207" s="1341" t="s">
        <v>1510</v>
      </c>
      <c r="Q1207" s="1914" t="s">
        <v>1493</v>
      </c>
      <c r="R1207" s="1916" t="s">
        <v>804</v>
      </c>
      <c r="S1207" s="1914" t="s">
        <v>1511</v>
      </c>
      <c r="T1207" s="1914" t="s">
        <v>1512</v>
      </c>
      <c r="U1207" s="1918" t="s">
        <v>1513</v>
      </c>
      <c r="V1207" s="1418">
        <f t="shared" ref="V1207:V1214" si="126">V1208</f>
        <v>0</v>
      </c>
      <c r="W1207" s="16"/>
      <c r="X1207" s="16"/>
      <c r="Y1207" s="16"/>
      <c r="Z1207" s="17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</row>
    <row r="1208" spans="1:36" s="352" customFormat="1" ht="15.6" hidden="1">
      <c r="A1208" s="351"/>
      <c r="B1208" s="1964" t="e">
        <f>LEFT(#REF!,5)</f>
        <v>#REF!</v>
      </c>
      <c r="C1208" s="1966" t="e">
        <f>VLOOKUP(LEFT(#REF!,5),'11 - FINANCEIRA'!_xlnm.Print_Area,2,FALSE)</f>
        <v>#REF!</v>
      </c>
      <c r="D1208" s="1920" t="s">
        <v>1514</v>
      </c>
      <c r="E1208" s="1921"/>
      <c r="F1208" s="1922"/>
      <c r="G1208" s="1923" t="s">
        <v>1515</v>
      </c>
      <c r="H1208" s="1924"/>
      <c r="I1208" s="1925"/>
      <c r="J1208" s="1915"/>
      <c r="K1208" s="1915"/>
      <c r="L1208" s="1915"/>
      <c r="M1208" s="1915"/>
      <c r="N1208" s="1915"/>
      <c r="O1208" s="1915"/>
      <c r="P1208" s="353" t="s">
        <v>1516</v>
      </c>
      <c r="Q1208" s="1915"/>
      <c r="R1208" s="1917"/>
      <c r="S1208" s="1915"/>
      <c r="T1208" s="1915"/>
      <c r="U1208" s="1919"/>
      <c r="V1208" s="1418">
        <f t="shared" si="126"/>
        <v>0</v>
      </c>
      <c r="W1208" s="16"/>
      <c r="X1208" s="16"/>
      <c r="Y1208" s="16"/>
      <c r="Z1208" s="17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</row>
    <row r="1209" spans="1:36" s="361" customFormat="1" ht="30" hidden="1">
      <c r="A1209" s="354"/>
      <c r="B1209" s="355"/>
      <c r="C1209" s="32" t="s">
        <v>939</v>
      </c>
      <c r="D1209" s="33"/>
      <c r="E1209" s="34"/>
      <c r="F1209" s="35"/>
      <c r="G1209" s="33"/>
      <c r="H1209" s="34"/>
      <c r="I1209" s="35"/>
      <c r="J1209" s="43"/>
      <c r="K1209" s="42"/>
      <c r="L1209" s="39"/>
      <c r="M1209" s="41"/>
      <c r="N1209" s="356"/>
      <c r="O1209" s="40"/>
      <c r="P1209" s="39"/>
      <c r="Q1209" s="45"/>
      <c r="R1209" s="1359">
        <v>1</v>
      </c>
      <c r="S1209" s="1265" t="s">
        <v>816</v>
      </c>
      <c r="T1209" s="46" t="s">
        <v>54</v>
      </c>
      <c r="U1209" s="44"/>
      <c r="V1209" s="1418">
        <f t="shared" si="126"/>
        <v>0</v>
      </c>
      <c r="W1209" s="357"/>
      <c r="X1209" s="357"/>
      <c r="Y1209" s="357"/>
      <c r="Z1209" s="358"/>
      <c r="AA1209" s="359"/>
      <c r="AB1209" s="360"/>
    </row>
    <row r="1210" spans="1:36" s="361" customFormat="1" ht="15" hidden="1" customHeight="1">
      <c r="A1210" s="354"/>
      <c r="B1210" s="355"/>
      <c r="C1210" s="32"/>
      <c r="D1210" s="33"/>
      <c r="E1210" s="34"/>
      <c r="F1210" s="35"/>
      <c r="G1210" s="33"/>
      <c r="H1210" s="34"/>
      <c r="I1210" s="35"/>
      <c r="J1210" s="43"/>
      <c r="K1210" s="42"/>
      <c r="L1210" s="39"/>
      <c r="M1210" s="41"/>
      <c r="N1210" s="356"/>
      <c r="O1210" s="40"/>
      <c r="P1210" s="39"/>
      <c r="Q1210" s="45"/>
      <c r="R1210" s="362"/>
      <c r="S1210" s="363"/>
      <c r="T1210" s="46"/>
      <c r="U1210" s="44"/>
      <c r="V1210" s="1418">
        <f t="shared" si="126"/>
        <v>0</v>
      </c>
      <c r="W1210" s="357"/>
      <c r="X1210" s="357"/>
      <c r="Y1210" s="357"/>
      <c r="Z1210" s="358"/>
      <c r="AA1210" s="359"/>
      <c r="AB1210" s="360"/>
    </row>
    <row r="1211" spans="1:36" s="369" customFormat="1" ht="15" hidden="1">
      <c r="A1211" s="364"/>
      <c r="B1211" s="355"/>
      <c r="C1211" s="32"/>
      <c r="D1211" s="33"/>
      <c r="E1211" s="34"/>
      <c r="F1211" s="35"/>
      <c r="G1211" s="33"/>
      <c r="H1211" s="34"/>
      <c r="I1211" s="35"/>
      <c r="J1211" s="43"/>
      <c r="K1211" s="42"/>
      <c r="L1211" s="39"/>
      <c r="M1211" s="41"/>
      <c r="N1211" s="40"/>
      <c r="O1211" s="40"/>
      <c r="P1211" s="39"/>
      <c r="Q1211" s="38"/>
      <c r="R1211" s="365"/>
      <c r="S1211" s="366"/>
      <c r="T1211" s="46"/>
      <c r="U1211" s="44"/>
      <c r="V1211" s="1418">
        <f t="shared" si="126"/>
        <v>0</v>
      </c>
      <c r="W1211" s="367"/>
      <c r="X1211" s="367"/>
      <c r="Y1211" s="367"/>
      <c r="Z1211" s="368"/>
    </row>
    <row r="1212" spans="1:36" s="77" customFormat="1" ht="15" hidden="1">
      <c r="A1212" s="370"/>
      <c r="B1212" s="29"/>
      <c r="C1212" s="30"/>
      <c r="D1212" s="18"/>
      <c r="E1212" s="19"/>
      <c r="F1212" s="20"/>
      <c r="G1212" s="18"/>
      <c r="H1212" s="19"/>
      <c r="I1212" s="20"/>
      <c r="J1212" s="21"/>
      <c r="K1212" s="22"/>
      <c r="L1212" s="23"/>
      <c r="M1212" s="24"/>
      <c r="N1212" s="25"/>
      <c r="O1212" s="25"/>
      <c r="P1212" s="23"/>
      <c r="Q1212" s="26"/>
      <c r="R1212" s="371"/>
      <c r="S1212" s="27"/>
      <c r="T1212" s="372"/>
      <c r="U1212" s="31"/>
      <c r="V1212" s="1418">
        <f t="shared" si="126"/>
        <v>0</v>
      </c>
      <c r="AB1212" s="15"/>
    </row>
    <row r="1213" spans="1:36" s="77" customFormat="1" ht="15.6" hidden="1">
      <c r="A1213" s="370"/>
      <c r="B1213" s="499"/>
      <c r="C1213" s="37"/>
      <c r="D1213" s="1929" t="s">
        <v>1520</v>
      </c>
      <c r="E1213" s="1930"/>
      <c r="F1213" s="1930"/>
      <c r="G1213" s="1930"/>
      <c r="H1213" s="1930"/>
      <c r="I1213" s="1931"/>
      <c r="J1213" s="1932">
        <f>VLOOKUP(A1215,'11 - FINANCEIRA'!_xlnm.Print_Area,6,FALSE)</f>
        <v>1</v>
      </c>
      <c r="K1213" s="1933"/>
      <c r="L1213" s="1343" t="str">
        <f>VLOOKUP(A1215,'11 - FINANCEIRA'!_xlnm.Print_Area,4,FALSE)</f>
        <v>und</v>
      </c>
      <c r="M1213" s="1934" t="s">
        <v>1521</v>
      </c>
      <c r="N1213" s="1935"/>
      <c r="O1213" s="1935"/>
      <c r="P1213" s="1935"/>
      <c r="Q1213" s="1936"/>
      <c r="R1213" s="726">
        <f>SUM(R1209:R1212)</f>
        <v>1</v>
      </c>
      <c r="S1213" s="1344" t="str">
        <f>L1213</f>
        <v>und</v>
      </c>
      <c r="T1213" s="373"/>
      <c r="U1213" s="486"/>
      <c r="V1213" s="1418">
        <f t="shared" si="126"/>
        <v>0</v>
      </c>
      <c r="AB1213" s="15"/>
    </row>
    <row r="1214" spans="1:36" s="77" customFormat="1" ht="15.6" hidden="1">
      <c r="A1214" s="370"/>
      <c r="B1214" s="499"/>
      <c r="C1214" s="725"/>
      <c r="D1214" s="1937" t="s">
        <v>1522</v>
      </c>
      <c r="E1214" s="1938"/>
      <c r="F1214" s="1938"/>
      <c r="G1214" s="1938"/>
      <c r="H1214" s="1938"/>
      <c r="I1214" s="1939"/>
      <c r="J1214" s="1943">
        <f>R1213/J1213</f>
        <v>1</v>
      </c>
      <c r="K1214" s="1944"/>
      <c r="L1214" s="1947"/>
      <c r="M1214" s="1934" t="s">
        <v>1523</v>
      </c>
      <c r="N1214" s="1935"/>
      <c r="O1214" s="1935"/>
      <c r="P1214" s="1935"/>
      <c r="Q1214" s="1936"/>
      <c r="R1214" s="726">
        <f>VLOOKUP(A1215,'11 - FINANCEIRA'!_xlnm.Print_Area,8,FALSE)</f>
        <v>1</v>
      </c>
      <c r="S1214" s="727" t="str">
        <f>L1213</f>
        <v>und</v>
      </c>
      <c r="T1214" s="373"/>
      <c r="U1214" s="486"/>
      <c r="V1214" s="1418">
        <f t="shared" si="126"/>
        <v>0</v>
      </c>
      <c r="AB1214" s="15"/>
    </row>
    <row r="1215" spans="1:36" s="77" customFormat="1" ht="15.6" hidden="1">
      <c r="A1215" s="364" t="s">
        <v>415</v>
      </c>
      <c r="B1215" s="499"/>
      <c r="C1215" s="37"/>
      <c r="D1215" s="2013"/>
      <c r="E1215" s="2014"/>
      <c r="F1215" s="2014"/>
      <c r="G1215" s="2014"/>
      <c r="H1215" s="2014"/>
      <c r="I1215" s="2015"/>
      <c r="J1215" s="2016"/>
      <c r="K1215" s="2017"/>
      <c r="L1215" s="1962"/>
      <c r="M1215" s="2007" t="s">
        <v>1524</v>
      </c>
      <c r="N1215" s="2008"/>
      <c r="O1215" s="2008"/>
      <c r="P1215" s="2008"/>
      <c r="Q1215" s="2009"/>
      <c r="R1215" s="1345">
        <f>R1213-R1214</f>
        <v>0</v>
      </c>
      <c r="S1215" s="1346" t="str">
        <f>L1213</f>
        <v>und</v>
      </c>
      <c r="T1215" s="373"/>
      <c r="U1215" s="486"/>
      <c r="V1215" s="1418">
        <f>R1215</f>
        <v>0</v>
      </c>
      <c r="AB1215" s="15"/>
    </row>
    <row r="1216" spans="1:36" s="77" customFormat="1" ht="15.6" hidden="1">
      <c r="A1216" s="370"/>
      <c r="B1216" s="1347"/>
      <c r="C1216" s="1348"/>
      <c r="D1216" s="1349"/>
      <c r="E1216" s="1350"/>
      <c r="F1216" s="1349"/>
      <c r="G1216" s="1349"/>
      <c r="H1216" s="1349"/>
      <c r="I1216" s="1349"/>
      <c r="J1216" s="1351"/>
      <c r="K1216" s="1352"/>
      <c r="L1216" s="1353"/>
      <c r="M1216" s="1354"/>
      <c r="N1216" s="1354"/>
      <c r="O1216" s="1354"/>
      <c r="P1216" s="1354"/>
      <c r="Q1216" s="1354"/>
      <c r="R1216" s="1355"/>
      <c r="S1216" s="1356"/>
      <c r="T1216" s="1357"/>
      <c r="U1216" s="1358"/>
      <c r="V1216" s="1420">
        <f>SUM(V1207:V1215)</f>
        <v>0</v>
      </c>
      <c r="AB1216" s="15"/>
    </row>
    <row r="1217" spans="1:36" s="352" customFormat="1" ht="15.6" hidden="1">
      <c r="A1217" s="351"/>
      <c r="B1217" s="1963" t="str">
        <f>VLOOKUP(A1225,'11 - FINANCEIRA'!_xlnm.Print_Area,1,FALSE)</f>
        <v>2.3.3.9</v>
      </c>
      <c r="C1217" s="1965" t="str">
        <f>VLOOKUP(A1225,'11 - FINANCEIRA'!_xlnm.Print_Area,3,FALSE)</f>
        <v>Chuveiro completo, linha anti-vandalismo, marcas de referência fabrimar, deca ou docol</v>
      </c>
      <c r="D1217" s="1967" t="s">
        <v>1503</v>
      </c>
      <c r="E1217" s="1968"/>
      <c r="F1217" s="1968"/>
      <c r="G1217" s="1968"/>
      <c r="H1217" s="1968"/>
      <c r="I1217" s="1969"/>
      <c r="J1217" s="1914" t="s">
        <v>1504</v>
      </c>
      <c r="K1217" s="1914" t="s">
        <v>1505</v>
      </c>
      <c r="L1217" s="1914" t="s">
        <v>1506</v>
      </c>
      <c r="M1217" s="1914" t="s">
        <v>1507</v>
      </c>
      <c r="N1217" s="1914" t="s">
        <v>1508</v>
      </c>
      <c r="O1217" s="1914" t="s">
        <v>1509</v>
      </c>
      <c r="P1217" s="1341" t="s">
        <v>1510</v>
      </c>
      <c r="Q1217" s="1914" t="s">
        <v>1493</v>
      </c>
      <c r="R1217" s="1916" t="s">
        <v>804</v>
      </c>
      <c r="S1217" s="1914" t="s">
        <v>1511</v>
      </c>
      <c r="T1217" s="1914" t="s">
        <v>1512</v>
      </c>
      <c r="U1217" s="1918" t="s">
        <v>1513</v>
      </c>
      <c r="V1217" s="1418">
        <f t="shared" ref="V1217:V1224" si="127">V1218</f>
        <v>0</v>
      </c>
      <c r="W1217" s="16"/>
      <c r="X1217" s="16"/>
      <c r="Y1217" s="16"/>
      <c r="Z1217" s="17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</row>
    <row r="1218" spans="1:36" s="352" customFormat="1" ht="15.6" hidden="1">
      <c r="A1218" s="351"/>
      <c r="B1218" s="1964" t="e">
        <f>LEFT(#REF!,5)</f>
        <v>#REF!</v>
      </c>
      <c r="C1218" s="1966" t="e">
        <f>VLOOKUP(LEFT(#REF!,5),'11 - FINANCEIRA'!_xlnm.Print_Area,2,FALSE)</f>
        <v>#REF!</v>
      </c>
      <c r="D1218" s="1920" t="s">
        <v>1514</v>
      </c>
      <c r="E1218" s="1921"/>
      <c r="F1218" s="1922"/>
      <c r="G1218" s="1923" t="s">
        <v>1515</v>
      </c>
      <c r="H1218" s="1924"/>
      <c r="I1218" s="1925"/>
      <c r="J1218" s="1915"/>
      <c r="K1218" s="1915"/>
      <c r="L1218" s="1915"/>
      <c r="M1218" s="1915"/>
      <c r="N1218" s="1915"/>
      <c r="O1218" s="1915"/>
      <c r="P1218" s="353" t="s">
        <v>1516</v>
      </c>
      <c r="Q1218" s="1915"/>
      <c r="R1218" s="1917"/>
      <c r="S1218" s="1915"/>
      <c r="T1218" s="1915"/>
      <c r="U1218" s="1919"/>
      <c r="V1218" s="1418">
        <f t="shared" si="127"/>
        <v>0</v>
      </c>
      <c r="W1218" s="16"/>
      <c r="X1218" s="16"/>
      <c r="Y1218" s="16"/>
      <c r="Z1218" s="17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</row>
    <row r="1219" spans="1:36" s="361" customFormat="1" ht="15" hidden="1" customHeight="1">
      <c r="A1219" s="354"/>
      <c r="B1219" s="355"/>
      <c r="C1219" s="32" t="s">
        <v>941</v>
      </c>
      <c r="D1219" s="33"/>
      <c r="E1219" s="34"/>
      <c r="F1219" s="35"/>
      <c r="G1219" s="33"/>
      <c r="H1219" s="34"/>
      <c r="I1219" s="35"/>
      <c r="J1219" s="43"/>
      <c r="K1219" s="42"/>
      <c r="L1219" s="39"/>
      <c r="M1219" s="41"/>
      <c r="N1219" s="356"/>
      <c r="O1219" s="40"/>
      <c r="P1219" s="39"/>
      <c r="Q1219" s="45"/>
      <c r="R1219" s="1359">
        <v>1</v>
      </c>
      <c r="S1219" s="1265" t="s">
        <v>816</v>
      </c>
      <c r="T1219" s="46" t="s">
        <v>54</v>
      </c>
      <c r="U1219" s="44"/>
      <c r="V1219" s="1418">
        <f t="shared" si="127"/>
        <v>0</v>
      </c>
      <c r="W1219" s="357"/>
      <c r="X1219" s="357"/>
      <c r="Y1219" s="357"/>
      <c r="Z1219" s="358"/>
      <c r="AA1219" s="359"/>
      <c r="AB1219" s="360"/>
    </row>
    <row r="1220" spans="1:36" s="361" customFormat="1" ht="15" hidden="1" customHeight="1">
      <c r="A1220" s="354"/>
      <c r="B1220" s="355"/>
      <c r="C1220" s="32"/>
      <c r="D1220" s="33"/>
      <c r="E1220" s="34"/>
      <c r="F1220" s="35"/>
      <c r="G1220" s="33"/>
      <c r="H1220" s="34"/>
      <c r="I1220" s="35"/>
      <c r="J1220" s="43"/>
      <c r="K1220" s="42"/>
      <c r="L1220" s="39"/>
      <c r="M1220" s="41"/>
      <c r="N1220" s="356"/>
      <c r="O1220" s="40"/>
      <c r="P1220" s="39"/>
      <c r="Q1220" s="45"/>
      <c r="R1220" s="362"/>
      <c r="S1220" s="363"/>
      <c r="T1220" s="46"/>
      <c r="U1220" s="44"/>
      <c r="V1220" s="1418">
        <f t="shared" si="127"/>
        <v>0</v>
      </c>
      <c r="W1220" s="357"/>
      <c r="X1220" s="357"/>
      <c r="Y1220" s="357"/>
      <c r="Z1220" s="358"/>
      <c r="AA1220" s="359"/>
      <c r="AB1220" s="360"/>
    </row>
    <row r="1221" spans="1:36" s="369" customFormat="1" ht="15" hidden="1">
      <c r="A1221" s="364"/>
      <c r="B1221" s="355"/>
      <c r="C1221" s="32"/>
      <c r="D1221" s="33"/>
      <c r="E1221" s="34"/>
      <c r="F1221" s="35"/>
      <c r="G1221" s="33"/>
      <c r="H1221" s="34"/>
      <c r="I1221" s="35"/>
      <c r="J1221" s="43"/>
      <c r="K1221" s="42"/>
      <c r="L1221" s="39"/>
      <c r="M1221" s="41"/>
      <c r="N1221" s="40"/>
      <c r="O1221" s="40"/>
      <c r="P1221" s="39"/>
      <c r="Q1221" s="38"/>
      <c r="R1221" s="365"/>
      <c r="S1221" s="366"/>
      <c r="T1221" s="46"/>
      <c r="U1221" s="44"/>
      <c r="V1221" s="1418">
        <f t="shared" si="127"/>
        <v>0</v>
      </c>
      <c r="W1221" s="367"/>
      <c r="X1221" s="367"/>
      <c r="Y1221" s="367"/>
      <c r="Z1221" s="368"/>
    </row>
    <row r="1222" spans="1:36" s="77" customFormat="1" ht="15" hidden="1">
      <c r="A1222" s="370"/>
      <c r="B1222" s="29"/>
      <c r="C1222" s="30"/>
      <c r="D1222" s="18"/>
      <c r="E1222" s="19"/>
      <c r="F1222" s="20"/>
      <c r="G1222" s="18"/>
      <c r="H1222" s="19"/>
      <c r="I1222" s="20"/>
      <c r="J1222" s="21"/>
      <c r="K1222" s="22"/>
      <c r="L1222" s="23"/>
      <c r="M1222" s="24"/>
      <c r="N1222" s="25"/>
      <c r="O1222" s="25"/>
      <c r="P1222" s="23"/>
      <c r="Q1222" s="26"/>
      <c r="R1222" s="371"/>
      <c r="S1222" s="27"/>
      <c r="T1222" s="372"/>
      <c r="U1222" s="31"/>
      <c r="V1222" s="1418">
        <f t="shared" si="127"/>
        <v>0</v>
      </c>
      <c r="AB1222" s="15"/>
    </row>
    <row r="1223" spans="1:36" s="77" customFormat="1" ht="15.6" hidden="1">
      <c r="A1223" s="370"/>
      <c r="B1223" s="499"/>
      <c r="C1223" s="37"/>
      <c r="D1223" s="1929" t="s">
        <v>1520</v>
      </c>
      <c r="E1223" s="1930"/>
      <c r="F1223" s="1930"/>
      <c r="G1223" s="1930"/>
      <c r="H1223" s="1930"/>
      <c r="I1223" s="1931"/>
      <c r="J1223" s="1932">
        <f>VLOOKUP(A1225,'11 - FINANCEIRA'!_xlnm.Print_Area,6,FALSE)</f>
        <v>1</v>
      </c>
      <c r="K1223" s="1933"/>
      <c r="L1223" s="1343" t="str">
        <f>VLOOKUP(A1225,'11 - FINANCEIRA'!_xlnm.Print_Area,4,FALSE)</f>
        <v>und</v>
      </c>
      <c r="M1223" s="1934" t="s">
        <v>1521</v>
      </c>
      <c r="N1223" s="1935"/>
      <c r="O1223" s="1935"/>
      <c r="P1223" s="1935"/>
      <c r="Q1223" s="1936"/>
      <c r="R1223" s="726">
        <f>SUM(R1219:R1222)</f>
        <v>1</v>
      </c>
      <c r="S1223" s="1344" t="str">
        <f>L1223</f>
        <v>und</v>
      </c>
      <c r="T1223" s="373"/>
      <c r="U1223" s="486"/>
      <c r="V1223" s="1418">
        <f t="shared" si="127"/>
        <v>0</v>
      </c>
      <c r="AB1223" s="15"/>
    </row>
    <row r="1224" spans="1:36" s="77" customFormat="1" ht="15.6" hidden="1">
      <c r="A1224" s="370"/>
      <c r="B1224" s="499"/>
      <c r="C1224" s="725"/>
      <c r="D1224" s="1937" t="s">
        <v>1522</v>
      </c>
      <c r="E1224" s="1938"/>
      <c r="F1224" s="1938"/>
      <c r="G1224" s="1938"/>
      <c r="H1224" s="1938"/>
      <c r="I1224" s="1939"/>
      <c r="J1224" s="1943">
        <f>R1223/J1223</f>
        <v>1</v>
      </c>
      <c r="K1224" s="1944"/>
      <c r="L1224" s="1947"/>
      <c r="M1224" s="1934" t="s">
        <v>1523</v>
      </c>
      <c r="N1224" s="1935"/>
      <c r="O1224" s="1935"/>
      <c r="P1224" s="1935"/>
      <c r="Q1224" s="1936"/>
      <c r="R1224" s="726">
        <f>VLOOKUP(A1225,'11 - FINANCEIRA'!_xlnm.Print_Area,8,FALSE)</f>
        <v>1</v>
      </c>
      <c r="S1224" s="727" t="str">
        <f>L1223</f>
        <v>und</v>
      </c>
      <c r="T1224" s="373"/>
      <c r="U1224" s="486"/>
      <c r="V1224" s="1418">
        <f t="shared" si="127"/>
        <v>0</v>
      </c>
      <c r="AB1224" s="15"/>
    </row>
    <row r="1225" spans="1:36" s="77" customFormat="1" ht="15.6" hidden="1">
      <c r="A1225" s="364" t="s">
        <v>416</v>
      </c>
      <c r="B1225" s="499"/>
      <c r="C1225" s="37"/>
      <c r="D1225" s="2013"/>
      <c r="E1225" s="2014"/>
      <c r="F1225" s="2014"/>
      <c r="G1225" s="2014"/>
      <c r="H1225" s="2014"/>
      <c r="I1225" s="2015"/>
      <c r="J1225" s="2016"/>
      <c r="K1225" s="2017"/>
      <c r="L1225" s="1962"/>
      <c r="M1225" s="2007" t="s">
        <v>1524</v>
      </c>
      <c r="N1225" s="2008"/>
      <c r="O1225" s="2008"/>
      <c r="P1225" s="2008"/>
      <c r="Q1225" s="2009"/>
      <c r="R1225" s="1345">
        <f>R1223-R1224</f>
        <v>0</v>
      </c>
      <c r="S1225" s="1346" t="str">
        <f>L1223</f>
        <v>und</v>
      </c>
      <c r="T1225" s="373"/>
      <c r="U1225" s="486"/>
      <c r="V1225" s="1418">
        <f>R1225</f>
        <v>0</v>
      </c>
      <c r="AB1225" s="15"/>
    </row>
    <row r="1226" spans="1:36" s="77" customFormat="1" ht="15.6" hidden="1">
      <c r="A1226" s="370"/>
      <c r="B1226" s="1347"/>
      <c r="C1226" s="1348"/>
      <c r="D1226" s="1349"/>
      <c r="E1226" s="1350"/>
      <c r="F1226" s="1349"/>
      <c r="G1226" s="1349"/>
      <c r="H1226" s="1349"/>
      <c r="I1226" s="1349"/>
      <c r="J1226" s="1351"/>
      <c r="K1226" s="1352"/>
      <c r="L1226" s="1353"/>
      <c r="M1226" s="1354"/>
      <c r="N1226" s="1354"/>
      <c r="O1226" s="1354"/>
      <c r="P1226" s="1354"/>
      <c r="Q1226" s="1354"/>
      <c r="R1226" s="1355"/>
      <c r="S1226" s="1356"/>
      <c r="T1226" s="1357"/>
      <c r="U1226" s="1358"/>
      <c r="V1226" s="1420">
        <f>SUM(V1217:V1225)</f>
        <v>0</v>
      </c>
      <c r="AB1226" s="15"/>
    </row>
    <row r="1227" spans="1:36" s="352" customFormat="1" ht="15.6" hidden="1">
      <c r="A1227" s="351"/>
      <c r="B1227" s="1963" t="str">
        <f>VLOOKUP(A1235,'11 - FINANCEIRA'!_xlnm.Print_Area,1,FALSE)</f>
        <v>2.3.3.10</v>
      </c>
      <c r="C1227" s="1965" t="str">
        <f>VLOOKUP(A1235,'11 - FINANCEIRA'!_xlnm.Print_Area,3,FALSE)</f>
        <v>Barra de apoio reta, em aco inox polido, comprimento 60cm, fixada na parede - fornecimento e instalação. af_01/2020</v>
      </c>
      <c r="D1227" s="1967" t="s">
        <v>1503</v>
      </c>
      <c r="E1227" s="1968"/>
      <c r="F1227" s="1968"/>
      <c r="G1227" s="1968"/>
      <c r="H1227" s="1968"/>
      <c r="I1227" s="1969"/>
      <c r="J1227" s="1914" t="s">
        <v>1504</v>
      </c>
      <c r="K1227" s="1914" t="s">
        <v>1505</v>
      </c>
      <c r="L1227" s="1914" t="s">
        <v>1506</v>
      </c>
      <c r="M1227" s="1914" t="s">
        <v>1507</v>
      </c>
      <c r="N1227" s="1914" t="s">
        <v>1508</v>
      </c>
      <c r="O1227" s="1914" t="s">
        <v>1509</v>
      </c>
      <c r="P1227" s="1341" t="s">
        <v>1510</v>
      </c>
      <c r="Q1227" s="1914" t="s">
        <v>1493</v>
      </c>
      <c r="R1227" s="1916" t="s">
        <v>804</v>
      </c>
      <c r="S1227" s="1914" t="s">
        <v>1511</v>
      </c>
      <c r="T1227" s="1914" t="s">
        <v>1512</v>
      </c>
      <c r="U1227" s="1918" t="s">
        <v>1513</v>
      </c>
      <c r="V1227" s="1418">
        <f t="shared" ref="V1227:V1234" si="128">V1228</f>
        <v>0</v>
      </c>
      <c r="W1227" s="16"/>
      <c r="X1227" s="16"/>
      <c r="Y1227" s="16"/>
      <c r="Z1227" s="17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</row>
    <row r="1228" spans="1:36" s="352" customFormat="1" ht="15.6" hidden="1">
      <c r="A1228" s="351"/>
      <c r="B1228" s="1964" t="e">
        <f>LEFT(#REF!,5)</f>
        <v>#REF!</v>
      </c>
      <c r="C1228" s="1966" t="e">
        <f>VLOOKUP(LEFT(#REF!,5),'11 - FINANCEIRA'!_xlnm.Print_Area,2,FALSE)</f>
        <v>#REF!</v>
      </c>
      <c r="D1228" s="1920" t="s">
        <v>1514</v>
      </c>
      <c r="E1228" s="1921"/>
      <c r="F1228" s="1922"/>
      <c r="G1228" s="1923" t="s">
        <v>1515</v>
      </c>
      <c r="H1228" s="1924"/>
      <c r="I1228" s="1925"/>
      <c r="J1228" s="1915"/>
      <c r="K1228" s="1915"/>
      <c r="L1228" s="1915"/>
      <c r="M1228" s="1915"/>
      <c r="N1228" s="1915"/>
      <c r="O1228" s="1915"/>
      <c r="P1228" s="353" t="s">
        <v>1516</v>
      </c>
      <c r="Q1228" s="1915"/>
      <c r="R1228" s="1917"/>
      <c r="S1228" s="1915"/>
      <c r="T1228" s="1915"/>
      <c r="U1228" s="1919"/>
      <c r="V1228" s="1418">
        <f t="shared" si="128"/>
        <v>0</v>
      </c>
      <c r="W1228" s="16"/>
      <c r="X1228" s="16"/>
      <c r="Y1228" s="16"/>
      <c r="Z1228" s="17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</row>
    <row r="1229" spans="1:36" s="361" customFormat="1" ht="30" hidden="1">
      <c r="A1229" s="354"/>
      <c r="B1229" s="355"/>
      <c r="C1229" s="32" t="s">
        <v>943</v>
      </c>
      <c r="D1229" s="33"/>
      <c r="E1229" s="34"/>
      <c r="F1229" s="35"/>
      <c r="G1229" s="33"/>
      <c r="H1229" s="34"/>
      <c r="I1229" s="35"/>
      <c r="J1229" s="43"/>
      <c r="K1229" s="42"/>
      <c r="L1229" s="39"/>
      <c r="M1229" s="41"/>
      <c r="N1229" s="356"/>
      <c r="O1229" s="40"/>
      <c r="P1229" s="39"/>
      <c r="Q1229" s="45"/>
      <c r="R1229" s="1359">
        <v>1</v>
      </c>
      <c r="S1229" s="1265" t="s">
        <v>816</v>
      </c>
      <c r="T1229" s="46" t="s">
        <v>330</v>
      </c>
      <c r="U1229" s="44"/>
      <c r="V1229" s="1418">
        <f t="shared" si="128"/>
        <v>0</v>
      </c>
      <c r="W1229" s="357"/>
      <c r="X1229" s="357"/>
      <c r="Y1229" s="357"/>
      <c r="Z1229" s="358"/>
      <c r="AA1229" s="359"/>
      <c r="AB1229" s="360"/>
    </row>
    <row r="1230" spans="1:36" s="361" customFormat="1" ht="15" hidden="1" customHeight="1">
      <c r="A1230" s="354"/>
      <c r="B1230" s="355"/>
      <c r="C1230" s="32"/>
      <c r="D1230" s="33"/>
      <c r="E1230" s="34"/>
      <c r="F1230" s="35"/>
      <c r="G1230" s="33"/>
      <c r="H1230" s="34"/>
      <c r="I1230" s="35"/>
      <c r="J1230" s="43"/>
      <c r="K1230" s="42"/>
      <c r="L1230" s="39"/>
      <c r="M1230" s="41"/>
      <c r="N1230" s="356"/>
      <c r="O1230" s="40"/>
      <c r="P1230" s="39"/>
      <c r="Q1230" s="45"/>
      <c r="R1230" s="362"/>
      <c r="S1230" s="363"/>
      <c r="T1230" s="46"/>
      <c r="U1230" s="44"/>
      <c r="V1230" s="1418">
        <f t="shared" si="128"/>
        <v>0</v>
      </c>
      <c r="W1230" s="357"/>
      <c r="X1230" s="357"/>
      <c r="Y1230" s="357"/>
      <c r="Z1230" s="358"/>
      <c r="AA1230" s="359"/>
      <c r="AB1230" s="360"/>
    </row>
    <row r="1231" spans="1:36" s="369" customFormat="1" ht="15" hidden="1">
      <c r="A1231" s="364"/>
      <c r="B1231" s="355"/>
      <c r="C1231" s="32"/>
      <c r="D1231" s="33"/>
      <c r="E1231" s="34"/>
      <c r="F1231" s="35"/>
      <c r="G1231" s="33"/>
      <c r="H1231" s="34"/>
      <c r="I1231" s="35"/>
      <c r="J1231" s="43"/>
      <c r="K1231" s="42"/>
      <c r="L1231" s="39"/>
      <c r="M1231" s="41"/>
      <c r="N1231" s="40"/>
      <c r="O1231" s="40"/>
      <c r="P1231" s="39"/>
      <c r="Q1231" s="38"/>
      <c r="R1231" s="365"/>
      <c r="S1231" s="366"/>
      <c r="T1231" s="46"/>
      <c r="U1231" s="44"/>
      <c r="V1231" s="1418">
        <f t="shared" si="128"/>
        <v>0</v>
      </c>
      <c r="W1231" s="367"/>
      <c r="X1231" s="367"/>
      <c r="Y1231" s="367"/>
      <c r="Z1231" s="368"/>
    </row>
    <row r="1232" spans="1:36" s="77" customFormat="1" ht="15" hidden="1">
      <c r="A1232" s="370"/>
      <c r="B1232" s="29"/>
      <c r="C1232" s="30"/>
      <c r="D1232" s="18"/>
      <c r="E1232" s="19"/>
      <c r="F1232" s="20"/>
      <c r="G1232" s="18"/>
      <c r="H1232" s="19"/>
      <c r="I1232" s="20"/>
      <c r="J1232" s="21"/>
      <c r="K1232" s="22"/>
      <c r="L1232" s="23"/>
      <c r="M1232" s="24"/>
      <c r="N1232" s="25"/>
      <c r="O1232" s="25"/>
      <c r="P1232" s="23"/>
      <c r="Q1232" s="26"/>
      <c r="R1232" s="371"/>
      <c r="S1232" s="27"/>
      <c r="T1232" s="372"/>
      <c r="U1232" s="31"/>
      <c r="V1232" s="1418">
        <f t="shared" si="128"/>
        <v>0</v>
      </c>
      <c r="AB1232" s="15"/>
    </row>
    <row r="1233" spans="1:36" s="77" customFormat="1" ht="15.6" hidden="1">
      <c r="A1233" s="370"/>
      <c r="B1233" s="499"/>
      <c r="C1233" s="37"/>
      <c r="D1233" s="1929" t="s">
        <v>1520</v>
      </c>
      <c r="E1233" s="1930"/>
      <c r="F1233" s="1930"/>
      <c r="G1233" s="1930"/>
      <c r="H1233" s="1930"/>
      <c r="I1233" s="1931"/>
      <c r="J1233" s="1932">
        <f>VLOOKUP(A1235,'11 - FINANCEIRA'!_xlnm.Print_Area,6,FALSE)</f>
        <v>1</v>
      </c>
      <c r="K1233" s="1933"/>
      <c r="L1233" s="1343" t="str">
        <f>VLOOKUP(A1235,'11 - FINANCEIRA'!_xlnm.Print_Area,4,FALSE)</f>
        <v>und</v>
      </c>
      <c r="M1233" s="1934" t="s">
        <v>1521</v>
      </c>
      <c r="N1233" s="1935"/>
      <c r="O1233" s="1935"/>
      <c r="P1233" s="1935"/>
      <c r="Q1233" s="1936"/>
      <c r="R1233" s="726">
        <f>SUM(R1229:R1232)</f>
        <v>1</v>
      </c>
      <c r="S1233" s="1344" t="str">
        <f>L1233</f>
        <v>und</v>
      </c>
      <c r="T1233" s="373"/>
      <c r="U1233" s="486"/>
      <c r="V1233" s="1418">
        <f t="shared" si="128"/>
        <v>0</v>
      </c>
      <c r="AB1233" s="15"/>
    </row>
    <row r="1234" spans="1:36" s="77" customFormat="1" ht="15.6" hidden="1">
      <c r="A1234" s="370"/>
      <c r="B1234" s="499"/>
      <c r="C1234" s="725"/>
      <c r="D1234" s="1937" t="s">
        <v>1522</v>
      </c>
      <c r="E1234" s="1938"/>
      <c r="F1234" s="1938"/>
      <c r="G1234" s="1938"/>
      <c r="H1234" s="1938"/>
      <c r="I1234" s="1939"/>
      <c r="J1234" s="1943">
        <f>R1233/J1233</f>
        <v>1</v>
      </c>
      <c r="K1234" s="1944"/>
      <c r="L1234" s="1947"/>
      <c r="M1234" s="1934" t="s">
        <v>1523</v>
      </c>
      <c r="N1234" s="1935"/>
      <c r="O1234" s="1935"/>
      <c r="P1234" s="1935"/>
      <c r="Q1234" s="1936"/>
      <c r="R1234" s="726">
        <f>VLOOKUP(A1235,'11 - FINANCEIRA'!_xlnm.Print_Area,8,FALSE)</f>
        <v>1</v>
      </c>
      <c r="S1234" s="727" t="str">
        <f>L1233</f>
        <v>und</v>
      </c>
      <c r="T1234" s="373"/>
      <c r="U1234" s="486"/>
      <c r="V1234" s="1418">
        <f t="shared" si="128"/>
        <v>0</v>
      </c>
      <c r="AB1234" s="15"/>
    </row>
    <row r="1235" spans="1:36" s="77" customFormat="1" ht="15.6" hidden="1">
      <c r="A1235" s="364" t="s">
        <v>417</v>
      </c>
      <c r="B1235" s="499"/>
      <c r="C1235" s="37"/>
      <c r="D1235" s="2013"/>
      <c r="E1235" s="2014"/>
      <c r="F1235" s="2014"/>
      <c r="G1235" s="2014"/>
      <c r="H1235" s="2014"/>
      <c r="I1235" s="2015"/>
      <c r="J1235" s="2016"/>
      <c r="K1235" s="2017"/>
      <c r="L1235" s="1962"/>
      <c r="M1235" s="2007" t="s">
        <v>1524</v>
      </c>
      <c r="N1235" s="2008"/>
      <c r="O1235" s="2008"/>
      <c r="P1235" s="2008"/>
      <c r="Q1235" s="2009"/>
      <c r="R1235" s="1345">
        <f>R1233-R1234</f>
        <v>0</v>
      </c>
      <c r="S1235" s="1346" t="str">
        <f>L1233</f>
        <v>und</v>
      </c>
      <c r="T1235" s="373"/>
      <c r="U1235" s="486"/>
      <c r="V1235" s="1418">
        <f>R1235</f>
        <v>0</v>
      </c>
      <c r="AB1235" s="15"/>
    </row>
    <row r="1236" spans="1:36" s="77" customFormat="1" ht="15.6" hidden="1">
      <c r="A1236" s="370"/>
      <c r="B1236" s="1347"/>
      <c r="C1236" s="1348"/>
      <c r="D1236" s="1349"/>
      <c r="E1236" s="1350"/>
      <c r="F1236" s="1349"/>
      <c r="G1236" s="1349"/>
      <c r="H1236" s="1349"/>
      <c r="I1236" s="1349"/>
      <c r="J1236" s="1351"/>
      <c r="K1236" s="1352"/>
      <c r="L1236" s="1353"/>
      <c r="M1236" s="1354"/>
      <c r="N1236" s="1354"/>
      <c r="O1236" s="1354"/>
      <c r="P1236" s="1354"/>
      <c r="Q1236" s="1354"/>
      <c r="R1236" s="1355"/>
      <c r="S1236" s="1356"/>
      <c r="T1236" s="1357"/>
      <c r="U1236" s="1358"/>
      <c r="V1236" s="1420">
        <f>SUM(V1227:V1235)</f>
        <v>0</v>
      </c>
      <c r="AB1236" s="15"/>
    </row>
    <row r="1237" spans="1:36" s="352" customFormat="1" ht="15.6" hidden="1">
      <c r="A1237" s="351"/>
      <c r="B1237" s="1963" t="str">
        <f>VLOOKUP(A1245,'11 - FINANCEIRA'!_xlnm.Print_Area,1,FALSE)</f>
        <v>2.3.3.11</v>
      </c>
      <c r="C1237" s="1965" t="str">
        <f>VLOOKUP(A1245,'11 - FINANCEIRA'!_xlnm.Print_Area,3,FALSE)</f>
        <v>Barra de apoio reta, em aco inox polido, comprimento 80 cm, fixada na parede - fornecimento e instalação. af_01/2020</v>
      </c>
      <c r="D1237" s="1967" t="s">
        <v>1503</v>
      </c>
      <c r="E1237" s="1968"/>
      <c r="F1237" s="1968"/>
      <c r="G1237" s="1968"/>
      <c r="H1237" s="1968"/>
      <c r="I1237" s="1969"/>
      <c r="J1237" s="1914" t="s">
        <v>1504</v>
      </c>
      <c r="K1237" s="1914" t="s">
        <v>1505</v>
      </c>
      <c r="L1237" s="1914" t="s">
        <v>1506</v>
      </c>
      <c r="M1237" s="1914" t="s">
        <v>1507</v>
      </c>
      <c r="N1237" s="1914" t="s">
        <v>1508</v>
      </c>
      <c r="O1237" s="1914" t="s">
        <v>1509</v>
      </c>
      <c r="P1237" s="1341" t="s">
        <v>1510</v>
      </c>
      <c r="Q1237" s="1914" t="s">
        <v>1493</v>
      </c>
      <c r="R1237" s="1916" t="s">
        <v>804</v>
      </c>
      <c r="S1237" s="1914" t="s">
        <v>1511</v>
      </c>
      <c r="T1237" s="1914" t="s">
        <v>1512</v>
      </c>
      <c r="U1237" s="1918" t="s">
        <v>1513</v>
      </c>
      <c r="V1237" s="1418">
        <f t="shared" ref="V1237:V1244" si="129">V1238</f>
        <v>0</v>
      </c>
      <c r="W1237" s="16"/>
      <c r="X1237" s="16"/>
      <c r="Y1237" s="16"/>
      <c r="Z1237" s="17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</row>
    <row r="1238" spans="1:36" s="352" customFormat="1" ht="15.6" hidden="1">
      <c r="A1238" s="351"/>
      <c r="B1238" s="1964" t="e">
        <f>LEFT(#REF!,5)</f>
        <v>#REF!</v>
      </c>
      <c r="C1238" s="1966" t="e">
        <f>VLOOKUP(LEFT(#REF!,5),'11 - FINANCEIRA'!_xlnm.Print_Area,2,FALSE)</f>
        <v>#REF!</v>
      </c>
      <c r="D1238" s="1920" t="s">
        <v>1514</v>
      </c>
      <c r="E1238" s="1921"/>
      <c r="F1238" s="1922"/>
      <c r="G1238" s="1923" t="s">
        <v>1515</v>
      </c>
      <c r="H1238" s="1924"/>
      <c r="I1238" s="1925"/>
      <c r="J1238" s="1915"/>
      <c r="K1238" s="1915"/>
      <c r="L1238" s="1915"/>
      <c r="M1238" s="1915"/>
      <c r="N1238" s="1915"/>
      <c r="O1238" s="1915"/>
      <c r="P1238" s="353" t="s">
        <v>1516</v>
      </c>
      <c r="Q1238" s="1915"/>
      <c r="R1238" s="1917"/>
      <c r="S1238" s="1915"/>
      <c r="T1238" s="1915"/>
      <c r="U1238" s="1919"/>
      <c r="V1238" s="1418">
        <f t="shared" si="129"/>
        <v>0</v>
      </c>
      <c r="W1238" s="16"/>
      <c r="X1238" s="16"/>
      <c r="Y1238" s="16"/>
      <c r="Z1238" s="17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</row>
    <row r="1239" spans="1:36" s="361" customFormat="1" ht="30" hidden="1">
      <c r="A1239" s="354"/>
      <c r="B1239" s="355"/>
      <c r="C1239" s="32" t="s">
        <v>945</v>
      </c>
      <c r="D1239" s="33"/>
      <c r="E1239" s="34"/>
      <c r="F1239" s="35"/>
      <c r="G1239" s="33"/>
      <c r="H1239" s="34"/>
      <c r="I1239" s="35"/>
      <c r="J1239" s="43"/>
      <c r="K1239" s="42"/>
      <c r="L1239" s="39"/>
      <c r="M1239" s="41"/>
      <c r="N1239" s="356"/>
      <c r="O1239" s="40"/>
      <c r="P1239" s="39"/>
      <c r="Q1239" s="45"/>
      <c r="R1239" s="1359">
        <v>2</v>
      </c>
      <c r="S1239" s="1265" t="s">
        <v>816</v>
      </c>
      <c r="T1239" s="46" t="s">
        <v>330</v>
      </c>
      <c r="U1239" s="44"/>
      <c r="V1239" s="1418">
        <f t="shared" si="129"/>
        <v>0</v>
      </c>
      <c r="W1239" s="357"/>
      <c r="X1239" s="357"/>
      <c r="Y1239" s="357"/>
      <c r="Z1239" s="358"/>
      <c r="AA1239" s="359"/>
      <c r="AB1239" s="360"/>
    </row>
    <row r="1240" spans="1:36" s="361" customFormat="1" ht="15" hidden="1" customHeight="1">
      <c r="A1240" s="354"/>
      <c r="B1240" s="355"/>
      <c r="C1240" s="32"/>
      <c r="D1240" s="33"/>
      <c r="E1240" s="34"/>
      <c r="F1240" s="35"/>
      <c r="G1240" s="33"/>
      <c r="H1240" s="34"/>
      <c r="I1240" s="35"/>
      <c r="J1240" s="43"/>
      <c r="K1240" s="42"/>
      <c r="L1240" s="39"/>
      <c r="M1240" s="41"/>
      <c r="N1240" s="356"/>
      <c r="O1240" s="40"/>
      <c r="P1240" s="39"/>
      <c r="Q1240" s="45"/>
      <c r="R1240" s="362"/>
      <c r="S1240" s="363"/>
      <c r="T1240" s="46"/>
      <c r="U1240" s="44"/>
      <c r="V1240" s="1418">
        <f t="shared" si="129"/>
        <v>0</v>
      </c>
      <c r="W1240" s="357"/>
      <c r="X1240" s="357"/>
      <c r="Y1240" s="357"/>
      <c r="Z1240" s="358"/>
      <c r="AA1240" s="359"/>
      <c r="AB1240" s="360"/>
    </row>
    <row r="1241" spans="1:36" s="369" customFormat="1" ht="15" hidden="1">
      <c r="A1241" s="364"/>
      <c r="B1241" s="355"/>
      <c r="C1241" s="32"/>
      <c r="D1241" s="33"/>
      <c r="E1241" s="34"/>
      <c r="F1241" s="35"/>
      <c r="G1241" s="33"/>
      <c r="H1241" s="34"/>
      <c r="I1241" s="35"/>
      <c r="J1241" s="43"/>
      <c r="K1241" s="42"/>
      <c r="L1241" s="39"/>
      <c r="M1241" s="41"/>
      <c r="N1241" s="40"/>
      <c r="O1241" s="40"/>
      <c r="P1241" s="39"/>
      <c r="Q1241" s="38"/>
      <c r="R1241" s="365"/>
      <c r="S1241" s="366"/>
      <c r="T1241" s="46"/>
      <c r="U1241" s="44"/>
      <c r="V1241" s="1418">
        <f t="shared" si="129"/>
        <v>0</v>
      </c>
      <c r="W1241" s="367"/>
      <c r="X1241" s="367"/>
      <c r="Y1241" s="367"/>
      <c r="Z1241" s="368"/>
    </row>
    <row r="1242" spans="1:36" s="77" customFormat="1" ht="15" hidden="1">
      <c r="A1242" s="370"/>
      <c r="B1242" s="29"/>
      <c r="C1242" s="30"/>
      <c r="D1242" s="18"/>
      <c r="E1242" s="19"/>
      <c r="F1242" s="20"/>
      <c r="G1242" s="18"/>
      <c r="H1242" s="19"/>
      <c r="I1242" s="20"/>
      <c r="J1242" s="21"/>
      <c r="K1242" s="22"/>
      <c r="L1242" s="23"/>
      <c r="M1242" s="24"/>
      <c r="N1242" s="25"/>
      <c r="O1242" s="25"/>
      <c r="P1242" s="23"/>
      <c r="Q1242" s="26"/>
      <c r="R1242" s="371"/>
      <c r="S1242" s="27"/>
      <c r="T1242" s="372"/>
      <c r="U1242" s="31"/>
      <c r="V1242" s="1418">
        <f t="shared" si="129"/>
        <v>0</v>
      </c>
      <c r="AB1242" s="15"/>
    </row>
    <row r="1243" spans="1:36" s="77" customFormat="1" ht="15.6" hidden="1">
      <c r="A1243" s="370"/>
      <c r="B1243" s="499"/>
      <c r="C1243" s="37"/>
      <c r="D1243" s="1929" t="s">
        <v>1520</v>
      </c>
      <c r="E1243" s="1930"/>
      <c r="F1243" s="1930"/>
      <c r="G1243" s="1930"/>
      <c r="H1243" s="1930"/>
      <c r="I1243" s="1931"/>
      <c r="J1243" s="1932">
        <f>VLOOKUP(A1245,'11 - FINANCEIRA'!_xlnm.Print_Area,6,FALSE)</f>
        <v>2</v>
      </c>
      <c r="K1243" s="1933"/>
      <c r="L1243" s="1343" t="str">
        <f>VLOOKUP(A1245,'11 - FINANCEIRA'!_xlnm.Print_Area,4,FALSE)</f>
        <v>und</v>
      </c>
      <c r="M1243" s="1934" t="s">
        <v>1521</v>
      </c>
      <c r="N1243" s="1935"/>
      <c r="O1243" s="1935"/>
      <c r="P1243" s="1935"/>
      <c r="Q1243" s="1936"/>
      <c r="R1243" s="726">
        <f>SUM(R1239:R1242)</f>
        <v>2</v>
      </c>
      <c r="S1243" s="1344" t="str">
        <f>L1243</f>
        <v>und</v>
      </c>
      <c r="T1243" s="373"/>
      <c r="U1243" s="486"/>
      <c r="V1243" s="1418">
        <f t="shared" si="129"/>
        <v>0</v>
      </c>
      <c r="AB1243" s="15"/>
    </row>
    <row r="1244" spans="1:36" s="77" customFormat="1" ht="15.6" hidden="1">
      <c r="A1244" s="370"/>
      <c r="B1244" s="499"/>
      <c r="C1244" s="725"/>
      <c r="D1244" s="1937" t="s">
        <v>1522</v>
      </c>
      <c r="E1244" s="1938"/>
      <c r="F1244" s="1938"/>
      <c r="G1244" s="1938"/>
      <c r="H1244" s="1938"/>
      <c r="I1244" s="1939"/>
      <c r="J1244" s="1943">
        <f>R1243/J1243</f>
        <v>1</v>
      </c>
      <c r="K1244" s="1944"/>
      <c r="L1244" s="1947"/>
      <c r="M1244" s="1934" t="s">
        <v>1523</v>
      </c>
      <c r="N1244" s="1935"/>
      <c r="O1244" s="1935"/>
      <c r="P1244" s="1935"/>
      <c r="Q1244" s="1936"/>
      <c r="R1244" s="726">
        <f>VLOOKUP(A1245,'11 - FINANCEIRA'!_xlnm.Print_Area,8,FALSE)</f>
        <v>2</v>
      </c>
      <c r="S1244" s="727" t="str">
        <f>L1243</f>
        <v>und</v>
      </c>
      <c r="T1244" s="373"/>
      <c r="U1244" s="486"/>
      <c r="V1244" s="1418">
        <f t="shared" si="129"/>
        <v>0</v>
      </c>
      <c r="AB1244" s="15"/>
    </row>
    <row r="1245" spans="1:36" s="77" customFormat="1" ht="15.6" hidden="1">
      <c r="A1245" s="364" t="s">
        <v>418</v>
      </c>
      <c r="B1245" s="499"/>
      <c r="C1245" s="37"/>
      <c r="D1245" s="2013"/>
      <c r="E1245" s="2014"/>
      <c r="F1245" s="2014"/>
      <c r="G1245" s="2014"/>
      <c r="H1245" s="2014"/>
      <c r="I1245" s="2015"/>
      <c r="J1245" s="2016"/>
      <c r="K1245" s="2017"/>
      <c r="L1245" s="1962"/>
      <c r="M1245" s="2007" t="s">
        <v>1524</v>
      </c>
      <c r="N1245" s="2008"/>
      <c r="O1245" s="2008"/>
      <c r="P1245" s="2008"/>
      <c r="Q1245" s="2009"/>
      <c r="R1245" s="1345">
        <f>R1243-R1244</f>
        <v>0</v>
      </c>
      <c r="S1245" s="1346" t="str">
        <f>L1243</f>
        <v>und</v>
      </c>
      <c r="T1245" s="373"/>
      <c r="U1245" s="486"/>
      <c r="V1245" s="1418">
        <f t="shared" ref="V1245:V1254" si="130">V1246</f>
        <v>0</v>
      </c>
      <c r="AB1245" s="15"/>
    </row>
    <row r="1246" spans="1:36" s="77" customFormat="1" ht="15.6" hidden="1">
      <c r="A1246" s="370"/>
      <c r="B1246" s="1347"/>
      <c r="C1246" s="1348"/>
      <c r="D1246" s="1349"/>
      <c r="E1246" s="1350"/>
      <c r="F1246" s="1349"/>
      <c r="G1246" s="1349"/>
      <c r="H1246" s="1349"/>
      <c r="I1246" s="1349"/>
      <c r="J1246" s="1351"/>
      <c r="K1246" s="1352"/>
      <c r="L1246" s="1353"/>
      <c r="M1246" s="1354"/>
      <c r="N1246" s="1354"/>
      <c r="O1246" s="1354"/>
      <c r="P1246" s="1354"/>
      <c r="Q1246" s="1354"/>
      <c r="R1246" s="1355"/>
      <c r="S1246" s="1356"/>
      <c r="T1246" s="1357"/>
      <c r="U1246" s="1358"/>
      <c r="V1246" s="1418">
        <f t="shared" si="130"/>
        <v>0</v>
      </c>
      <c r="AB1246" s="15"/>
    </row>
    <row r="1247" spans="1:36" s="352" customFormat="1" ht="15.6" hidden="1">
      <c r="A1247" s="351"/>
      <c r="B1247" s="1963" t="str">
        <f>VLOOKUP(A1255,'11 - FINANCEIRA'!_xlnm.Print_Area,1,FALSE)</f>
        <v>2.3.3.12</v>
      </c>
      <c r="C1247" s="1965" t="str">
        <f>VLOOKUP(A1255,'11 - FINANCEIRA'!_xlnm.Print_Area,3,FALSE)</f>
        <v>Barra de apoio lateral para lavatório, para pessoas com mobilidade reduzida, comprimento 25 a 30 cm</v>
      </c>
      <c r="D1247" s="1967" t="s">
        <v>1503</v>
      </c>
      <c r="E1247" s="1968"/>
      <c r="F1247" s="1968"/>
      <c r="G1247" s="1968"/>
      <c r="H1247" s="1968"/>
      <c r="I1247" s="1969"/>
      <c r="J1247" s="1914" t="s">
        <v>1504</v>
      </c>
      <c r="K1247" s="1914" t="s">
        <v>1505</v>
      </c>
      <c r="L1247" s="1914" t="s">
        <v>1506</v>
      </c>
      <c r="M1247" s="1914" t="s">
        <v>1507</v>
      </c>
      <c r="N1247" s="1914" t="s">
        <v>1508</v>
      </c>
      <c r="O1247" s="1914" t="s">
        <v>1509</v>
      </c>
      <c r="P1247" s="1341" t="s">
        <v>1510</v>
      </c>
      <c r="Q1247" s="1914" t="s">
        <v>1493</v>
      </c>
      <c r="R1247" s="1916" t="s">
        <v>804</v>
      </c>
      <c r="S1247" s="1914" t="s">
        <v>1511</v>
      </c>
      <c r="T1247" s="1914" t="s">
        <v>1512</v>
      </c>
      <c r="U1247" s="1918" t="s">
        <v>1513</v>
      </c>
      <c r="V1247" s="1418">
        <f t="shared" si="130"/>
        <v>0</v>
      </c>
      <c r="W1247" s="16"/>
      <c r="X1247" s="16"/>
      <c r="Y1247" s="16"/>
      <c r="Z1247" s="17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</row>
    <row r="1248" spans="1:36" s="352" customFormat="1" ht="15.6" hidden="1">
      <c r="A1248" s="351"/>
      <c r="B1248" s="1964" t="e">
        <f>LEFT(#REF!,5)</f>
        <v>#REF!</v>
      </c>
      <c r="C1248" s="1966" t="e">
        <f>VLOOKUP(LEFT(#REF!,5),'11 - FINANCEIRA'!_xlnm.Print_Area,2,FALSE)</f>
        <v>#REF!</v>
      </c>
      <c r="D1248" s="1920" t="s">
        <v>1514</v>
      </c>
      <c r="E1248" s="1921"/>
      <c r="F1248" s="1922"/>
      <c r="G1248" s="1923" t="s">
        <v>1515</v>
      </c>
      <c r="H1248" s="1924"/>
      <c r="I1248" s="1925"/>
      <c r="J1248" s="1915"/>
      <c r="K1248" s="1915"/>
      <c r="L1248" s="1915"/>
      <c r="M1248" s="1915"/>
      <c r="N1248" s="1915"/>
      <c r="O1248" s="1915"/>
      <c r="P1248" s="353" t="s">
        <v>1516</v>
      </c>
      <c r="Q1248" s="1915"/>
      <c r="R1248" s="1917"/>
      <c r="S1248" s="1915"/>
      <c r="T1248" s="1915"/>
      <c r="U1248" s="1919"/>
      <c r="V1248" s="1418">
        <f t="shared" si="130"/>
        <v>0</v>
      </c>
      <c r="W1248" s="16"/>
      <c r="X1248" s="16"/>
      <c r="Y1248" s="16"/>
      <c r="Z1248" s="17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</row>
    <row r="1249" spans="1:36" s="361" customFormat="1" ht="30" hidden="1">
      <c r="A1249" s="354"/>
      <c r="B1249" s="355"/>
      <c r="C1249" s="32" t="s">
        <v>947</v>
      </c>
      <c r="D1249" s="33"/>
      <c r="E1249" s="34"/>
      <c r="F1249" s="35"/>
      <c r="G1249" s="33"/>
      <c r="H1249" s="34"/>
      <c r="I1249" s="35"/>
      <c r="J1249" s="43"/>
      <c r="K1249" s="42"/>
      <c r="L1249" s="39"/>
      <c r="M1249" s="41"/>
      <c r="N1249" s="356"/>
      <c r="O1249" s="40"/>
      <c r="P1249" s="39"/>
      <c r="Q1249" s="45"/>
      <c r="R1249" s="1359">
        <v>2</v>
      </c>
      <c r="S1249" s="1265" t="s">
        <v>816</v>
      </c>
      <c r="T1249" s="46" t="s">
        <v>330</v>
      </c>
      <c r="U1249" s="44"/>
      <c r="V1249" s="1418">
        <f t="shared" si="130"/>
        <v>0</v>
      </c>
      <c r="W1249" s="357"/>
      <c r="X1249" s="357"/>
      <c r="Y1249" s="357"/>
      <c r="Z1249" s="358"/>
      <c r="AA1249" s="359"/>
      <c r="AB1249" s="360"/>
    </row>
    <row r="1250" spans="1:36" s="361" customFormat="1" ht="15" hidden="1" customHeight="1">
      <c r="A1250" s="354"/>
      <c r="B1250" s="355"/>
      <c r="C1250" s="32"/>
      <c r="D1250" s="33"/>
      <c r="E1250" s="34"/>
      <c r="F1250" s="35"/>
      <c r="G1250" s="33"/>
      <c r="H1250" s="34"/>
      <c r="I1250" s="35"/>
      <c r="J1250" s="43"/>
      <c r="K1250" s="42"/>
      <c r="L1250" s="39"/>
      <c r="M1250" s="41"/>
      <c r="N1250" s="356"/>
      <c r="O1250" s="40"/>
      <c r="P1250" s="39"/>
      <c r="Q1250" s="45"/>
      <c r="R1250" s="362"/>
      <c r="S1250" s="363"/>
      <c r="T1250" s="46"/>
      <c r="U1250" s="44"/>
      <c r="V1250" s="1418">
        <f t="shared" si="130"/>
        <v>0</v>
      </c>
      <c r="W1250" s="357"/>
      <c r="X1250" s="357"/>
      <c r="Y1250" s="357"/>
      <c r="Z1250" s="358"/>
      <c r="AA1250" s="359"/>
      <c r="AB1250" s="360"/>
    </row>
    <row r="1251" spans="1:36" s="369" customFormat="1" ht="15" hidden="1">
      <c r="A1251" s="364"/>
      <c r="B1251" s="355"/>
      <c r="C1251" s="32"/>
      <c r="D1251" s="33"/>
      <c r="E1251" s="34"/>
      <c r="F1251" s="35"/>
      <c r="G1251" s="33"/>
      <c r="H1251" s="34"/>
      <c r="I1251" s="35"/>
      <c r="J1251" s="43"/>
      <c r="K1251" s="42"/>
      <c r="L1251" s="39"/>
      <c r="M1251" s="41"/>
      <c r="N1251" s="40"/>
      <c r="O1251" s="40"/>
      <c r="P1251" s="39"/>
      <c r="Q1251" s="38"/>
      <c r="R1251" s="365"/>
      <c r="S1251" s="366"/>
      <c r="T1251" s="46"/>
      <c r="U1251" s="44"/>
      <c r="V1251" s="1418">
        <f t="shared" si="130"/>
        <v>0</v>
      </c>
      <c r="W1251" s="367"/>
      <c r="X1251" s="367"/>
      <c r="Y1251" s="367"/>
      <c r="Z1251" s="368"/>
    </row>
    <row r="1252" spans="1:36" s="77" customFormat="1" ht="15" hidden="1">
      <c r="A1252" s="370"/>
      <c r="B1252" s="29"/>
      <c r="C1252" s="30"/>
      <c r="D1252" s="18"/>
      <c r="E1252" s="19"/>
      <c r="F1252" s="20"/>
      <c r="G1252" s="18"/>
      <c r="H1252" s="19"/>
      <c r="I1252" s="20"/>
      <c r="J1252" s="21"/>
      <c r="K1252" s="22"/>
      <c r="L1252" s="23"/>
      <c r="M1252" s="24"/>
      <c r="N1252" s="25"/>
      <c r="O1252" s="25"/>
      <c r="P1252" s="23"/>
      <c r="Q1252" s="26"/>
      <c r="R1252" s="371"/>
      <c r="S1252" s="27"/>
      <c r="T1252" s="372"/>
      <c r="U1252" s="31"/>
      <c r="V1252" s="1418">
        <f t="shared" si="130"/>
        <v>0</v>
      </c>
      <c r="AB1252" s="15"/>
    </row>
    <row r="1253" spans="1:36" s="77" customFormat="1" ht="15.6" hidden="1">
      <c r="A1253" s="370"/>
      <c r="B1253" s="499"/>
      <c r="C1253" s="37"/>
      <c r="D1253" s="1929" t="s">
        <v>1520</v>
      </c>
      <c r="E1253" s="1930"/>
      <c r="F1253" s="1930"/>
      <c r="G1253" s="1930"/>
      <c r="H1253" s="1930"/>
      <c r="I1253" s="1931"/>
      <c r="J1253" s="1932">
        <f>VLOOKUP(A1255,'11 - FINANCEIRA'!_xlnm.Print_Area,6,FALSE)</f>
        <v>2</v>
      </c>
      <c r="K1253" s="1933"/>
      <c r="L1253" s="1343" t="str">
        <f>VLOOKUP(A1255,'11 - FINANCEIRA'!_xlnm.Print_Area,4,FALSE)</f>
        <v>und</v>
      </c>
      <c r="M1253" s="1934" t="s">
        <v>1521</v>
      </c>
      <c r="N1253" s="1935"/>
      <c r="O1253" s="1935"/>
      <c r="P1253" s="1935"/>
      <c r="Q1253" s="1936"/>
      <c r="R1253" s="726">
        <f>SUM(R1249:R1252)</f>
        <v>2</v>
      </c>
      <c r="S1253" s="1344" t="str">
        <f>L1253</f>
        <v>und</v>
      </c>
      <c r="T1253" s="373"/>
      <c r="U1253" s="486"/>
      <c r="V1253" s="1418">
        <f t="shared" si="130"/>
        <v>0</v>
      </c>
      <c r="AB1253" s="15"/>
    </row>
    <row r="1254" spans="1:36" s="77" customFormat="1" ht="15.6" hidden="1">
      <c r="A1254" s="370"/>
      <c r="B1254" s="499"/>
      <c r="C1254" s="725"/>
      <c r="D1254" s="1937" t="s">
        <v>1522</v>
      </c>
      <c r="E1254" s="1938"/>
      <c r="F1254" s="1938"/>
      <c r="G1254" s="1938"/>
      <c r="H1254" s="1938"/>
      <c r="I1254" s="1939"/>
      <c r="J1254" s="1943">
        <f>R1253/J1253</f>
        <v>1</v>
      </c>
      <c r="K1254" s="1944"/>
      <c r="L1254" s="1947"/>
      <c r="M1254" s="1934" t="s">
        <v>1523</v>
      </c>
      <c r="N1254" s="1935"/>
      <c r="O1254" s="1935"/>
      <c r="P1254" s="1935"/>
      <c r="Q1254" s="1936"/>
      <c r="R1254" s="726">
        <f>VLOOKUP(A1255,'11 - FINANCEIRA'!_xlnm.Print_Area,8,FALSE)</f>
        <v>2</v>
      </c>
      <c r="S1254" s="727" t="str">
        <f>L1253</f>
        <v>und</v>
      </c>
      <c r="T1254" s="373"/>
      <c r="U1254" s="486"/>
      <c r="V1254" s="1418">
        <f t="shared" si="130"/>
        <v>0</v>
      </c>
      <c r="AB1254" s="15"/>
    </row>
    <row r="1255" spans="1:36" s="77" customFormat="1" ht="15.6" hidden="1">
      <c r="A1255" s="364" t="s">
        <v>419</v>
      </c>
      <c r="B1255" s="499"/>
      <c r="C1255" s="37"/>
      <c r="D1255" s="2013"/>
      <c r="E1255" s="2014"/>
      <c r="F1255" s="2014"/>
      <c r="G1255" s="2014"/>
      <c r="H1255" s="2014"/>
      <c r="I1255" s="2015"/>
      <c r="J1255" s="2016"/>
      <c r="K1255" s="2017"/>
      <c r="L1255" s="1962"/>
      <c r="M1255" s="2007" t="s">
        <v>1524</v>
      </c>
      <c r="N1255" s="2008"/>
      <c r="O1255" s="2008"/>
      <c r="P1255" s="2008"/>
      <c r="Q1255" s="2009"/>
      <c r="R1255" s="1345">
        <f>R1253-R1254</f>
        <v>0</v>
      </c>
      <c r="S1255" s="1346" t="str">
        <f>L1253</f>
        <v>und</v>
      </c>
      <c r="T1255" s="373"/>
      <c r="U1255" s="486"/>
      <c r="V1255" s="1418">
        <f>R1255</f>
        <v>0</v>
      </c>
      <c r="AB1255" s="15"/>
    </row>
    <row r="1256" spans="1:36" s="77" customFormat="1" ht="15.6" hidden="1">
      <c r="A1256" s="370"/>
      <c r="B1256" s="1347"/>
      <c r="C1256" s="1348"/>
      <c r="D1256" s="1349"/>
      <c r="E1256" s="1350"/>
      <c r="F1256" s="1349"/>
      <c r="G1256" s="1349"/>
      <c r="H1256" s="1349"/>
      <c r="I1256" s="1349"/>
      <c r="J1256" s="1351"/>
      <c r="K1256" s="1352"/>
      <c r="L1256" s="1353"/>
      <c r="M1256" s="1354"/>
      <c r="N1256" s="1354"/>
      <c r="O1256" s="1354"/>
      <c r="P1256" s="1354"/>
      <c r="Q1256" s="1354"/>
      <c r="R1256" s="1355"/>
      <c r="S1256" s="1356"/>
      <c r="T1256" s="1357"/>
      <c r="U1256" s="1358"/>
      <c r="V1256" s="1420">
        <f>SUM(V1247:V1255)</f>
        <v>0</v>
      </c>
      <c r="AB1256" s="15"/>
    </row>
    <row r="1257" spans="1:36" s="352" customFormat="1" ht="15.6" hidden="1">
      <c r="A1257" s="351"/>
      <c r="B1257" s="1963" t="str">
        <f>VLOOKUP(A1265,'11 - FINANCEIRA'!_xlnm.Print_Area,1,FALSE)</f>
        <v>2.3.3.13</v>
      </c>
      <c r="C1257" s="1965" t="str">
        <f>VLOOKUP(A1265,'11 - FINANCEIRA'!_xlnm.Print_Area,3,FALSE)</f>
        <v>Banco articulado, em aco inox, para pcd, fixado na parede - fornecimento e instalação. af_01/2020</v>
      </c>
      <c r="D1257" s="1967" t="s">
        <v>1503</v>
      </c>
      <c r="E1257" s="1968"/>
      <c r="F1257" s="1968"/>
      <c r="G1257" s="1968"/>
      <c r="H1257" s="1968"/>
      <c r="I1257" s="1969"/>
      <c r="J1257" s="1914" t="s">
        <v>1504</v>
      </c>
      <c r="K1257" s="1914" t="s">
        <v>1505</v>
      </c>
      <c r="L1257" s="1914" t="s">
        <v>1506</v>
      </c>
      <c r="M1257" s="1914" t="s">
        <v>1507</v>
      </c>
      <c r="N1257" s="1914" t="s">
        <v>1508</v>
      </c>
      <c r="O1257" s="1914" t="s">
        <v>1509</v>
      </c>
      <c r="P1257" s="1341" t="s">
        <v>1510</v>
      </c>
      <c r="Q1257" s="1914" t="s">
        <v>1493</v>
      </c>
      <c r="R1257" s="1916" t="s">
        <v>804</v>
      </c>
      <c r="S1257" s="1914" t="s">
        <v>1511</v>
      </c>
      <c r="T1257" s="1914" t="s">
        <v>1512</v>
      </c>
      <c r="U1257" s="1918" t="s">
        <v>1513</v>
      </c>
      <c r="V1257" s="1418">
        <f t="shared" ref="V1257:V1264" si="131">V1258</f>
        <v>0</v>
      </c>
      <c r="W1257" s="16"/>
      <c r="X1257" s="16"/>
      <c r="Y1257" s="16"/>
      <c r="Z1257" s="17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</row>
    <row r="1258" spans="1:36" s="352" customFormat="1" ht="15.6" hidden="1">
      <c r="A1258" s="351"/>
      <c r="B1258" s="1964" t="e">
        <f>LEFT(#REF!,5)</f>
        <v>#REF!</v>
      </c>
      <c r="C1258" s="1966" t="e">
        <f>VLOOKUP(LEFT(#REF!,5),'11 - FINANCEIRA'!_xlnm.Print_Area,2,FALSE)</f>
        <v>#REF!</v>
      </c>
      <c r="D1258" s="1920" t="s">
        <v>1514</v>
      </c>
      <c r="E1258" s="1921"/>
      <c r="F1258" s="1922"/>
      <c r="G1258" s="1923" t="s">
        <v>1515</v>
      </c>
      <c r="H1258" s="1924"/>
      <c r="I1258" s="1925"/>
      <c r="J1258" s="1915"/>
      <c r="K1258" s="1915"/>
      <c r="L1258" s="1915"/>
      <c r="M1258" s="1915"/>
      <c r="N1258" s="1915"/>
      <c r="O1258" s="1915"/>
      <c r="P1258" s="353" t="s">
        <v>1516</v>
      </c>
      <c r="Q1258" s="1915"/>
      <c r="R1258" s="1917"/>
      <c r="S1258" s="1915"/>
      <c r="T1258" s="1915"/>
      <c r="U1258" s="1919"/>
      <c r="V1258" s="1418">
        <f t="shared" si="131"/>
        <v>0</v>
      </c>
      <c r="W1258" s="16"/>
      <c r="X1258" s="16"/>
      <c r="Y1258" s="16"/>
      <c r="Z1258" s="17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</row>
    <row r="1259" spans="1:36" s="361" customFormat="1" ht="30" hidden="1">
      <c r="A1259" s="354"/>
      <c r="B1259" s="355"/>
      <c r="C1259" s="32" t="s">
        <v>949</v>
      </c>
      <c r="D1259" s="33"/>
      <c r="E1259" s="34"/>
      <c r="F1259" s="35"/>
      <c r="G1259" s="33"/>
      <c r="H1259" s="34"/>
      <c r="I1259" s="35"/>
      <c r="J1259" s="43"/>
      <c r="K1259" s="42"/>
      <c r="L1259" s="39"/>
      <c r="M1259" s="41"/>
      <c r="N1259" s="356"/>
      <c r="O1259" s="40"/>
      <c r="P1259" s="39"/>
      <c r="Q1259" s="45"/>
      <c r="R1259" s="1359">
        <v>1</v>
      </c>
      <c r="S1259" s="1265" t="s">
        <v>816</v>
      </c>
      <c r="T1259" s="46" t="s">
        <v>330</v>
      </c>
      <c r="U1259" s="44"/>
      <c r="V1259" s="1418">
        <f t="shared" si="131"/>
        <v>0</v>
      </c>
      <c r="W1259" s="357"/>
      <c r="X1259" s="357"/>
      <c r="Y1259" s="357"/>
      <c r="Z1259" s="358"/>
      <c r="AA1259" s="359"/>
      <c r="AB1259" s="360"/>
    </row>
    <row r="1260" spans="1:36" s="361" customFormat="1" ht="15" hidden="1" customHeight="1">
      <c r="A1260" s="354"/>
      <c r="B1260" s="355"/>
      <c r="C1260" s="32"/>
      <c r="D1260" s="33"/>
      <c r="E1260" s="34"/>
      <c r="F1260" s="35"/>
      <c r="G1260" s="33"/>
      <c r="H1260" s="34"/>
      <c r="I1260" s="35"/>
      <c r="J1260" s="43"/>
      <c r="K1260" s="42"/>
      <c r="L1260" s="39"/>
      <c r="M1260" s="41"/>
      <c r="N1260" s="356"/>
      <c r="O1260" s="40"/>
      <c r="P1260" s="39"/>
      <c r="Q1260" s="45"/>
      <c r="R1260" s="362"/>
      <c r="S1260" s="363"/>
      <c r="T1260" s="46"/>
      <c r="U1260" s="44"/>
      <c r="V1260" s="1418">
        <f t="shared" si="131"/>
        <v>0</v>
      </c>
      <c r="W1260" s="357"/>
      <c r="X1260" s="357"/>
      <c r="Y1260" s="357"/>
      <c r="Z1260" s="358"/>
      <c r="AA1260" s="359"/>
      <c r="AB1260" s="360"/>
    </row>
    <row r="1261" spans="1:36" s="369" customFormat="1" ht="15" hidden="1">
      <c r="A1261" s="364"/>
      <c r="B1261" s="355"/>
      <c r="C1261" s="32"/>
      <c r="D1261" s="33"/>
      <c r="E1261" s="34"/>
      <c r="F1261" s="35"/>
      <c r="G1261" s="33"/>
      <c r="H1261" s="34"/>
      <c r="I1261" s="35"/>
      <c r="J1261" s="43"/>
      <c r="K1261" s="42"/>
      <c r="L1261" s="39"/>
      <c r="M1261" s="41"/>
      <c r="N1261" s="40"/>
      <c r="O1261" s="40"/>
      <c r="P1261" s="39"/>
      <c r="Q1261" s="38"/>
      <c r="R1261" s="365"/>
      <c r="S1261" s="366"/>
      <c r="T1261" s="46"/>
      <c r="U1261" s="44"/>
      <c r="V1261" s="1418">
        <f t="shared" si="131"/>
        <v>0</v>
      </c>
      <c r="W1261" s="367"/>
      <c r="X1261" s="367"/>
      <c r="Y1261" s="367"/>
      <c r="Z1261" s="368"/>
    </row>
    <row r="1262" spans="1:36" s="77" customFormat="1" ht="15" hidden="1">
      <c r="A1262" s="370"/>
      <c r="B1262" s="29"/>
      <c r="C1262" s="30"/>
      <c r="D1262" s="18"/>
      <c r="E1262" s="19"/>
      <c r="F1262" s="20"/>
      <c r="G1262" s="18"/>
      <c r="H1262" s="19"/>
      <c r="I1262" s="20"/>
      <c r="J1262" s="21"/>
      <c r="K1262" s="22"/>
      <c r="L1262" s="23"/>
      <c r="M1262" s="24"/>
      <c r="N1262" s="25"/>
      <c r="O1262" s="25"/>
      <c r="P1262" s="23"/>
      <c r="Q1262" s="26"/>
      <c r="R1262" s="371"/>
      <c r="S1262" s="27"/>
      <c r="T1262" s="372"/>
      <c r="U1262" s="31"/>
      <c r="V1262" s="1418">
        <f t="shared" si="131"/>
        <v>0</v>
      </c>
      <c r="AB1262" s="15"/>
    </row>
    <row r="1263" spans="1:36" s="77" customFormat="1" ht="15.6" hidden="1">
      <c r="A1263" s="370"/>
      <c r="B1263" s="499"/>
      <c r="C1263" s="37"/>
      <c r="D1263" s="1929" t="s">
        <v>1520</v>
      </c>
      <c r="E1263" s="1930"/>
      <c r="F1263" s="1930"/>
      <c r="G1263" s="1930"/>
      <c r="H1263" s="1930"/>
      <c r="I1263" s="1931"/>
      <c r="J1263" s="1932">
        <f>VLOOKUP(A1265,'11 - FINANCEIRA'!_xlnm.Print_Area,6,FALSE)</f>
        <v>1</v>
      </c>
      <c r="K1263" s="1933"/>
      <c r="L1263" s="1343" t="str">
        <f>VLOOKUP(A1265,'11 - FINANCEIRA'!_xlnm.Print_Area,4,FALSE)</f>
        <v>und</v>
      </c>
      <c r="M1263" s="1934" t="s">
        <v>1521</v>
      </c>
      <c r="N1263" s="1935"/>
      <c r="O1263" s="1935"/>
      <c r="P1263" s="1935"/>
      <c r="Q1263" s="1936"/>
      <c r="R1263" s="726">
        <f>SUM(R1259:R1262)</f>
        <v>1</v>
      </c>
      <c r="S1263" s="1344" t="str">
        <f>L1263</f>
        <v>und</v>
      </c>
      <c r="T1263" s="373"/>
      <c r="U1263" s="486"/>
      <c r="V1263" s="1418">
        <f t="shared" si="131"/>
        <v>0</v>
      </c>
      <c r="AB1263" s="15"/>
    </row>
    <row r="1264" spans="1:36" s="77" customFormat="1" ht="15.6" hidden="1">
      <c r="A1264" s="370"/>
      <c r="B1264" s="499"/>
      <c r="C1264" s="725"/>
      <c r="D1264" s="1937" t="s">
        <v>1522</v>
      </c>
      <c r="E1264" s="1938"/>
      <c r="F1264" s="1938"/>
      <c r="G1264" s="1938"/>
      <c r="H1264" s="1938"/>
      <c r="I1264" s="1939"/>
      <c r="J1264" s="1943">
        <f>R1263/J1263</f>
        <v>1</v>
      </c>
      <c r="K1264" s="1944"/>
      <c r="L1264" s="1947"/>
      <c r="M1264" s="1934" t="s">
        <v>1523</v>
      </c>
      <c r="N1264" s="1935"/>
      <c r="O1264" s="1935"/>
      <c r="P1264" s="1935"/>
      <c r="Q1264" s="1936"/>
      <c r="R1264" s="726">
        <f>VLOOKUP(A1265,'11 - FINANCEIRA'!_xlnm.Print_Area,8,FALSE)</f>
        <v>1</v>
      </c>
      <c r="S1264" s="727" t="str">
        <f>L1263</f>
        <v>und</v>
      </c>
      <c r="T1264" s="373"/>
      <c r="U1264" s="486"/>
      <c r="V1264" s="1418">
        <f t="shared" si="131"/>
        <v>0</v>
      </c>
      <c r="AB1264" s="15"/>
    </row>
    <row r="1265" spans="1:36" s="77" customFormat="1" ht="15.6" hidden="1">
      <c r="A1265" s="364" t="s">
        <v>420</v>
      </c>
      <c r="B1265" s="499"/>
      <c r="C1265" s="37"/>
      <c r="D1265" s="2013"/>
      <c r="E1265" s="2014"/>
      <c r="F1265" s="2014"/>
      <c r="G1265" s="2014"/>
      <c r="H1265" s="2014"/>
      <c r="I1265" s="2015"/>
      <c r="J1265" s="2016"/>
      <c r="K1265" s="2017"/>
      <c r="L1265" s="1962"/>
      <c r="M1265" s="2007" t="s">
        <v>1524</v>
      </c>
      <c r="N1265" s="2008"/>
      <c r="O1265" s="2008"/>
      <c r="P1265" s="2008"/>
      <c r="Q1265" s="2009"/>
      <c r="R1265" s="1345">
        <f>R1263-R1264</f>
        <v>0</v>
      </c>
      <c r="S1265" s="1346" t="str">
        <f>L1263</f>
        <v>und</v>
      </c>
      <c r="T1265" s="373"/>
      <c r="U1265" s="486"/>
      <c r="V1265" s="1418">
        <f>R1265</f>
        <v>0</v>
      </c>
      <c r="AB1265" s="15"/>
    </row>
    <row r="1266" spans="1:36" s="77" customFormat="1" ht="15.6" hidden="1">
      <c r="A1266" s="370"/>
      <c r="B1266" s="1347"/>
      <c r="C1266" s="1348"/>
      <c r="D1266" s="1349"/>
      <c r="E1266" s="1350"/>
      <c r="F1266" s="1349"/>
      <c r="G1266" s="1349"/>
      <c r="H1266" s="1349"/>
      <c r="I1266" s="1349"/>
      <c r="J1266" s="1351"/>
      <c r="K1266" s="1352"/>
      <c r="L1266" s="1353"/>
      <c r="M1266" s="1354"/>
      <c r="N1266" s="1354"/>
      <c r="O1266" s="1354"/>
      <c r="P1266" s="1354"/>
      <c r="Q1266" s="1354"/>
      <c r="R1266" s="1355"/>
      <c r="S1266" s="1356"/>
      <c r="T1266" s="1357"/>
      <c r="U1266" s="1358"/>
      <c r="V1266" s="1420">
        <f>SUM(V1257:V1265)</f>
        <v>0</v>
      </c>
      <c r="AB1266" s="15"/>
    </row>
    <row r="1267" spans="1:36" s="352" customFormat="1" ht="15.6" hidden="1">
      <c r="A1267" s="351"/>
      <c r="B1267" s="1963" t="str">
        <f>VLOOKUP(A1275,'11 - FINANCEIRA'!_xlnm.Print_Area,1,FALSE)</f>
        <v>2.3.3.14</v>
      </c>
      <c r="C1267" s="1965" t="str">
        <f>VLOOKUP(A1275,'11 -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267" s="1967" t="s">
        <v>1503</v>
      </c>
      <c r="E1267" s="1968"/>
      <c r="F1267" s="1968"/>
      <c r="G1267" s="1968"/>
      <c r="H1267" s="1968"/>
      <c r="I1267" s="1969"/>
      <c r="J1267" s="1914" t="s">
        <v>1504</v>
      </c>
      <c r="K1267" s="1914" t="s">
        <v>1505</v>
      </c>
      <c r="L1267" s="1914" t="s">
        <v>1506</v>
      </c>
      <c r="M1267" s="1914" t="s">
        <v>1507</v>
      </c>
      <c r="N1267" s="1914" t="s">
        <v>1508</v>
      </c>
      <c r="O1267" s="1914" t="s">
        <v>1509</v>
      </c>
      <c r="P1267" s="1341" t="s">
        <v>1510</v>
      </c>
      <c r="Q1267" s="1914" t="s">
        <v>1493</v>
      </c>
      <c r="R1267" s="1916" t="s">
        <v>804</v>
      </c>
      <c r="S1267" s="1914" t="s">
        <v>1511</v>
      </c>
      <c r="T1267" s="1914" t="s">
        <v>1512</v>
      </c>
      <c r="U1267" s="1918" t="s">
        <v>1513</v>
      </c>
      <c r="V1267" s="1418">
        <f t="shared" ref="V1267:V1274" si="132">V1268</f>
        <v>0</v>
      </c>
      <c r="W1267" s="16"/>
      <c r="X1267" s="16"/>
      <c r="Y1267" s="16"/>
      <c r="Z1267" s="17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</row>
    <row r="1268" spans="1:36" s="352" customFormat="1" ht="15.6" hidden="1">
      <c r="A1268" s="351"/>
      <c r="B1268" s="1964" t="e">
        <f>LEFT(#REF!,5)</f>
        <v>#REF!</v>
      </c>
      <c r="C1268" s="1966" t="e">
        <f>VLOOKUP(LEFT(#REF!,5),'11 - FINANCEIRA'!_xlnm.Print_Area,2,FALSE)</f>
        <v>#REF!</v>
      </c>
      <c r="D1268" s="1920" t="s">
        <v>1514</v>
      </c>
      <c r="E1268" s="1921"/>
      <c r="F1268" s="1922"/>
      <c r="G1268" s="1923" t="s">
        <v>1515</v>
      </c>
      <c r="H1268" s="1924"/>
      <c r="I1268" s="1925"/>
      <c r="J1268" s="1915"/>
      <c r="K1268" s="1915"/>
      <c r="L1268" s="1915"/>
      <c r="M1268" s="1915"/>
      <c r="N1268" s="1915"/>
      <c r="O1268" s="1915"/>
      <c r="P1268" s="353" t="s">
        <v>1516</v>
      </c>
      <c r="Q1268" s="1915"/>
      <c r="R1268" s="1917"/>
      <c r="S1268" s="1915"/>
      <c r="T1268" s="1915"/>
      <c r="U1268" s="1919"/>
      <c r="V1268" s="1418">
        <f t="shared" si="132"/>
        <v>0</v>
      </c>
      <c r="W1268" s="16"/>
      <c r="X1268" s="16"/>
      <c r="Y1268" s="16"/>
      <c r="Z1268" s="17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</row>
    <row r="1269" spans="1:36" s="361" customFormat="1" ht="45" hidden="1">
      <c r="A1269" s="354"/>
      <c r="B1269" s="355"/>
      <c r="C1269" s="32" t="s">
        <v>951</v>
      </c>
      <c r="D1269" s="33"/>
      <c r="E1269" s="34"/>
      <c r="F1269" s="35"/>
      <c r="G1269" s="33"/>
      <c r="H1269" s="34"/>
      <c r="I1269" s="35"/>
      <c r="J1269" s="43"/>
      <c r="K1269" s="42"/>
      <c r="L1269" s="39"/>
      <c r="M1269" s="41"/>
      <c r="N1269" s="356"/>
      <c r="O1269" s="40"/>
      <c r="P1269" s="39"/>
      <c r="Q1269" s="45"/>
      <c r="R1269" s="1359">
        <v>6.86</v>
      </c>
      <c r="S1269" s="1265" t="s">
        <v>821</v>
      </c>
      <c r="T1269" s="46" t="s">
        <v>328</v>
      </c>
      <c r="U1269" s="44"/>
      <c r="V1269" s="1418">
        <f t="shared" si="132"/>
        <v>0</v>
      </c>
      <c r="W1269" s="357"/>
      <c r="X1269" s="357"/>
      <c r="Y1269" s="357"/>
      <c r="Z1269" s="358"/>
      <c r="AA1269" s="359"/>
      <c r="AB1269" s="360"/>
    </row>
    <row r="1270" spans="1:36" s="361" customFormat="1" ht="15" hidden="1" customHeight="1">
      <c r="A1270" s="354"/>
      <c r="B1270" s="355"/>
      <c r="C1270" s="32"/>
      <c r="D1270" s="33"/>
      <c r="E1270" s="34"/>
      <c r="F1270" s="35"/>
      <c r="G1270" s="33"/>
      <c r="H1270" s="34"/>
      <c r="I1270" s="35"/>
      <c r="J1270" s="43"/>
      <c r="K1270" s="42"/>
      <c r="L1270" s="39"/>
      <c r="M1270" s="41"/>
      <c r="N1270" s="356"/>
      <c r="O1270" s="40"/>
      <c r="P1270" s="39"/>
      <c r="Q1270" s="45"/>
      <c r="R1270" s="362"/>
      <c r="S1270" s="363"/>
      <c r="T1270" s="46"/>
      <c r="U1270" s="44"/>
      <c r="V1270" s="1418">
        <f t="shared" si="132"/>
        <v>0</v>
      </c>
      <c r="W1270" s="357"/>
      <c r="X1270" s="357"/>
      <c r="Y1270" s="357"/>
      <c r="Z1270" s="358"/>
      <c r="AA1270" s="359"/>
      <c r="AB1270" s="360"/>
    </row>
    <row r="1271" spans="1:36" s="369" customFormat="1" ht="15" hidden="1">
      <c r="A1271" s="364"/>
      <c r="B1271" s="355"/>
      <c r="C1271" s="32"/>
      <c r="D1271" s="33"/>
      <c r="E1271" s="34"/>
      <c r="F1271" s="35"/>
      <c r="G1271" s="33"/>
      <c r="H1271" s="34"/>
      <c r="I1271" s="35"/>
      <c r="J1271" s="43"/>
      <c r="K1271" s="42"/>
      <c r="L1271" s="39"/>
      <c r="M1271" s="41"/>
      <c r="N1271" s="40"/>
      <c r="O1271" s="40"/>
      <c r="P1271" s="39"/>
      <c r="Q1271" s="38"/>
      <c r="R1271" s="365"/>
      <c r="S1271" s="366"/>
      <c r="T1271" s="46"/>
      <c r="U1271" s="44"/>
      <c r="V1271" s="1418">
        <f t="shared" si="132"/>
        <v>0</v>
      </c>
      <c r="W1271" s="367"/>
      <c r="X1271" s="367"/>
      <c r="Y1271" s="367"/>
      <c r="Z1271" s="368"/>
    </row>
    <row r="1272" spans="1:36" s="77" customFormat="1" ht="15" hidden="1">
      <c r="A1272" s="370"/>
      <c r="B1272" s="29"/>
      <c r="C1272" s="30"/>
      <c r="D1272" s="18"/>
      <c r="E1272" s="19"/>
      <c r="F1272" s="20"/>
      <c r="G1272" s="18"/>
      <c r="H1272" s="19"/>
      <c r="I1272" s="20"/>
      <c r="J1272" s="21"/>
      <c r="K1272" s="22"/>
      <c r="L1272" s="23"/>
      <c r="M1272" s="24"/>
      <c r="N1272" s="25"/>
      <c r="O1272" s="25"/>
      <c r="P1272" s="23"/>
      <c r="Q1272" s="26"/>
      <c r="R1272" s="371"/>
      <c r="S1272" s="27"/>
      <c r="T1272" s="372"/>
      <c r="U1272" s="31"/>
      <c r="V1272" s="1418">
        <f t="shared" si="132"/>
        <v>0</v>
      </c>
      <c r="AB1272" s="15"/>
    </row>
    <row r="1273" spans="1:36" s="77" customFormat="1" ht="15.6" hidden="1">
      <c r="A1273" s="370"/>
      <c r="B1273" s="499"/>
      <c r="C1273" s="37"/>
      <c r="D1273" s="1929" t="s">
        <v>1520</v>
      </c>
      <c r="E1273" s="1930"/>
      <c r="F1273" s="1930"/>
      <c r="G1273" s="1930"/>
      <c r="H1273" s="1930"/>
      <c r="I1273" s="1931"/>
      <c r="J1273" s="1932">
        <f>VLOOKUP(A1275,'11 - FINANCEIRA'!_xlnm.Print_Area,6,FALSE)</f>
        <v>6.86</v>
      </c>
      <c r="K1273" s="1933"/>
      <c r="L1273" s="1343" t="str">
        <f>VLOOKUP(A1275,'11 - FINANCEIRA'!_xlnm.Print_Area,4,FALSE)</f>
        <v>m²</v>
      </c>
      <c r="M1273" s="1934" t="s">
        <v>1521</v>
      </c>
      <c r="N1273" s="1935"/>
      <c r="O1273" s="1935"/>
      <c r="P1273" s="1935"/>
      <c r="Q1273" s="1936"/>
      <c r="R1273" s="726">
        <f>SUM(R1269:R1272)</f>
        <v>6.86</v>
      </c>
      <c r="S1273" s="1344" t="str">
        <f>L1273</f>
        <v>m²</v>
      </c>
      <c r="T1273" s="373"/>
      <c r="U1273" s="486"/>
      <c r="V1273" s="1418">
        <f t="shared" si="132"/>
        <v>0</v>
      </c>
      <c r="AB1273" s="15"/>
    </row>
    <row r="1274" spans="1:36" s="77" customFormat="1" ht="15.6" hidden="1">
      <c r="A1274" s="370"/>
      <c r="B1274" s="499"/>
      <c r="C1274" s="725"/>
      <c r="D1274" s="1937" t="s">
        <v>1522</v>
      </c>
      <c r="E1274" s="1938"/>
      <c r="F1274" s="1938"/>
      <c r="G1274" s="1938"/>
      <c r="H1274" s="1938"/>
      <c r="I1274" s="1939"/>
      <c r="J1274" s="1943">
        <f>R1273/J1273</f>
        <v>1</v>
      </c>
      <c r="K1274" s="1944"/>
      <c r="L1274" s="1947"/>
      <c r="M1274" s="1934" t="s">
        <v>1523</v>
      </c>
      <c r="N1274" s="1935"/>
      <c r="O1274" s="1935"/>
      <c r="P1274" s="1935"/>
      <c r="Q1274" s="1936"/>
      <c r="R1274" s="726">
        <f>VLOOKUP(A1275,'11 - FINANCEIRA'!_xlnm.Print_Area,8,FALSE)</f>
        <v>6.86</v>
      </c>
      <c r="S1274" s="727" t="str">
        <f>L1273</f>
        <v>m²</v>
      </c>
      <c r="T1274" s="373"/>
      <c r="U1274" s="486"/>
      <c r="V1274" s="1418">
        <f t="shared" si="132"/>
        <v>0</v>
      </c>
      <c r="AB1274" s="15"/>
    </row>
    <row r="1275" spans="1:36" s="77" customFormat="1" ht="15.6" hidden="1">
      <c r="A1275" s="364" t="s">
        <v>421</v>
      </c>
      <c r="B1275" s="499"/>
      <c r="C1275" s="37"/>
      <c r="D1275" s="2013"/>
      <c r="E1275" s="2014"/>
      <c r="F1275" s="2014"/>
      <c r="G1275" s="2014"/>
      <c r="H1275" s="2014"/>
      <c r="I1275" s="2015"/>
      <c r="J1275" s="2016"/>
      <c r="K1275" s="2017"/>
      <c r="L1275" s="1962"/>
      <c r="M1275" s="2007" t="s">
        <v>1524</v>
      </c>
      <c r="N1275" s="2008"/>
      <c r="O1275" s="2008"/>
      <c r="P1275" s="2008"/>
      <c r="Q1275" s="2009"/>
      <c r="R1275" s="1345">
        <f>R1273-R1274</f>
        <v>0</v>
      </c>
      <c r="S1275" s="1346" t="str">
        <f>L1273</f>
        <v>m²</v>
      </c>
      <c r="T1275" s="373"/>
      <c r="U1275" s="486"/>
      <c r="V1275" s="1418">
        <f>R1275</f>
        <v>0</v>
      </c>
      <c r="AB1275" s="15"/>
    </row>
    <row r="1276" spans="1:36" s="77" customFormat="1" ht="15.6" hidden="1">
      <c r="A1276" s="370"/>
      <c r="B1276" s="1347"/>
      <c r="C1276" s="1348"/>
      <c r="D1276" s="1349"/>
      <c r="E1276" s="1350"/>
      <c r="F1276" s="1349"/>
      <c r="G1276" s="1349"/>
      <c r="H1276" s="1349"/>
      <c r="I1276" s="1349"/>
      <c r="J1276" s="1351"/>
      <c r="K1276" s="1352"/>
      <c r="L1276" s="1353"/>
      <c r="M1276" s="1354"/>
      <c r="N1276" s="1354"/>
      <c r="O1276" s="1354"/>
      <c r="P1276" s="1354"/>
      <c r="Q1276" s="1354"/>
      <c r="R1276" s="1355"/>
      <c r="S1276" s="1356"/>
      <c r="T1276" s="1357"/>
      <c r="U1276" s="1358"/>
      <c r="V1276" s="1420">
        <f>SUM(V1267:V1275)</f>
        <v>0</v>
      </c>
      <c r="AB1276" s="15"/>
    </row>
    <row r="1277" spans="1:36" s="352" customFormat="1" ht="15.6" hidden="1">
      <c r="A1277" s="351"/>
      <c r="B1277" s="1963" t="str">
        <f>VLOOKUP(A1285,'11 - FINANCEIRA'!_xlnm.Print_Area,1,FALSE)</f>
        <v>2.3.3.15</v>
      </c>
      <c r="C1277" s="1965" t="str">
        <f>VLOOKUP(A1285,'11 - FINANCEIRA'!_xlnm.Print_Area,3,FALSE)</f>
        <v>Reboco de argamassa de cimento, cal hidratada ch1 e areia média ou grossa lavada no traço 1:0.5:6, espessura 5mm</v>
      </c>
      <c r="D1277" s="1967" t="s">
        <v>1503</v>
      </c>
      <c r="E1277" s="1968"/>
      <c r="F1277" s="1968"/>
      <c r="G1277" s="1968"/>
      <c r="H1277" s="1968"/>
      <c r="I1277" s="1969"/>
      <c r="J1277" s="1914" t="s">
        <v>1504</v>
      </c>
      <c r="K1277" s="1914" t="s">
        <v>1505</v>
      </c>
      <c r="L1277" s="1914" t="s">
        <v>1506</v>
      </c>
      <c r="M1277" s="1914" t="s">
        <v>1507</v>
      </c>
      <c r="N1277" s="1914" t="s">
        <v>1508</v>
      </c>
      <c r="O1277" s="1914" t="s">
        <v>1509</v>
      </c>
      <c r="P1277" s="1341" t="s">
        <v>1510</v>
      </c>
      <c r="Q1277" s="1914" t="s">
        <v>1493</v>
      </c>
      <c r="R1277" s="1916" t="s">
        <v>804</v>
      </c>
      <c r="S1277" s="1914" t="s">
        <v>1511</v>
      </c>
      <c r="T1277" s="1914" t="s">
        <v>1512</v>
      </c>
      <c r="U1277" s="1918" t="s">
        <v>1513</v>
      </c>
      <c r="V1277" s="1418">
        <f t="shared" ref="V1277:V1284" si="133">V1278</f>
        <v>0</v>
      </c>
      <c r="W1277" s="16"/>
      <c r="X1277" s="16"/>
      <c r="Y1277" s="16"/>
      <c r="Z1277" s="17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</row>
    <row r="1278" spans="1:36" s="352" customFormat="1" ht="15.6" hidden="1">
      <c r="A1278" s="351"/>
      <c r="B1278" s="1964" t="e">
        <f>LEFT(#REF!,5)</f>
        <v>#REF!</v>
      </c>
      <c r="C1278" s="1966" t="e">
        <f>VLOOKUP(LEFT(#REF!,5),'11 - FINANCEIRA'!_xlnm.Print_Area,2,FALSE)</f>
        <v>#REF!</v>
      </c>
      <c r="D1278" s="1920" t="s">
        <v>1514</v>
      </c>
      <c r="E1278" s="1921"/>
      <c r="F1278" s="1922"/>
      <c r="G1278" s="1923" t="s">
        <v>1515</v>
      </c>
      <c r="H1278" s="1924"/>
      <c r="I1278" s="1925"/>
      <c r="J1278" s="1915"/>
      <c r="K1278" s="1915"/>
      <c r="L1278" s="1915"/>
      <c r="M1278" s="1915"/>
      <c r="N1278" s="1915"/>
      <c r="O1278" s="1915"/>
      <c r="P1278" s="353" t="s">
        <v>1516</v>
      </c>
      <c r="Q1278" s="1915"/>
      <c r="R1278" s="1917"/>
      <c r="S1278" s="1915"/>
      <c r="T1278" s="1915"/>
      <c r="U1278" s="1919"/>
      <c r="V1278" s="1418">
        <f t="shared" si="133"/>
        <v>0</v>
      </c>
      <c r="W1278" s="16"/>
      <c r="X1278" s="16"/>
      <c r="Y1278" s="16"/>
      <c r="Z1278" s="17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</row>
    <row r="1279" spans="1:36" s="361" customFormat="1" ht="30" hidden="1">
      <c r="A1279" s="354"/>
      <c r="B1279" s="355"/>
      <c r="C1279" s="32" t="s">
        <v>953</v>
      </c>
      <c r="D1279" s="33"/>
      <c r="E1279" s="34"/>
      <c r="F1279" s="35"/>
      <c r="G1279" s="33"/>
      <c r="H1279" s="34"/>
      <c r="I1279" s="35"/>
      <c r="J1279" s="43"/>
      <c r="K1279" s="42"/>
      <c r="L1279" s="39"/>
      <c r="M1279" s="41"/>
      <c r="N1279" s="356"/>
      <c r="O1279" s="40"/>
      <c r="P1279" s="39"/>
      <c r="Q1279" s="45"/>
      <c r="R1279" s="1359">
        <v>8.2799999999999994</v>
      </c>
      <c r="S1279" s="1265" t="s">
        <v>821</v>
      </c>
      <c r="T1279" s="46" t="s">
        <v>328</v>
      </c>
      <c r="U1279" s="44"/>
      <c r="V1279" s="1418">
        <f t="shared" si="133"/>
        <v>0</v>
      </c>
      <c r="W1279" s="357"/>
      <c r="X1279" s="357"/>
      <c r="Y1279" s="357"/>
      <c r="Z1279" s="358"/>
      <c r="AA1279" s="359"/>
      <c r="AB1279" s="360"/>
    </row>
    <row r="1280" spans="1:36" s="361" customFormat="1" ht="15" hidden="1" customHeight="1">
      <c r="A1280" s="354"/>
      <c r="B1280" s="355"/>
      <c r="C1280" s="32"/>
      <c r="D1280" s="33"/>
      <c r="E1280" s="34"/>
      <c r="F1280" s="35"/>
      <c r="G1280" s="33"/>
      <c r="H1280" s="34"/>
      <c r="I1280" s="35"/>
      <c r="J1280" s="43"/>
      <c r="K1280" s="42"/>
      <c r="L1280" s="39"/>
      <c r="M1280" s="41"/>
      <c r="N1280" s="356"/>
      <c r="O1280" s="40"/>
      <c r="P1280" s="39"/>
      <c r="Q1280" s="45"/>
      <c r="R1280" s="362"/>
      <c r="S1280" s="363"/>
      <c r="T1280" s="46"/>
      <c r="U1280" s="44"/>
      <c r="V1280" s="1418">
        <f t="shared" si="133"/>
        <v>0</v>
      </c>
      <c r="W1280" s="357"/>
      <c r="X1280" s="357"/>
      <c r="Y1280" s="357"/>
      <c r="Z1280" s="358"/>
      <c r="AA1280" s="359"/>
      <c r="AB1280" s="360"/>
    </row>
    <row r="1281" spans="1:36" s="369" customFormat="1" ht="15" hidden="1">
      <c r="A1281" s="364"/>
      <c r="B1281" s="355"/>
      <c r="C1281" s="32"/>
      <c r="D1281" s="33"/>
      <c r="E1281" s="34"/>
      <c r="F1281" s="35"/>
      <c r="G1281" s="33"/>
      <c r="H1281" s="34"/>
      <c r="I1281" s="35"/>
      <c r="J1281" s="43"/>
      <c r="K1281" s="42"/>
      <c r="L1281" s="39"/>
      <c r="M1281" s="41"/>
      <c r="N1281" s="40"/>
      <c r="O1281" s="40"/>
      <c r="P1281" s="39"/>
      <c r="Q1281" s="38"/>
      <c r="R1281" s="365"/>
      <c r="S1281" s="366"/>
      <c r="T1281" s="46"/>
      <c r="U1281" s="44"/>
      <c r="V1281" s="1418">
        <f t="shared" si="133"/>
        <v>0</v>
      </c>
      <c r="W1281" s="367"/>
      <c r="X1281" s="367"/>
      <c r="Y1281" s="367"/>
      <c r="Z1281" s="368"/>
    </row>
    <row r="1282" spans="1:36" s="77" customFormat="1" ht="15" hidden="1">
      <c r="A1282" s="370"/>
      <c r="B1282" s="29"/>
      <c r="C1282" s="30"/>
      <c r="D1282" s="18"/>
      <c r="E1282" s="19"/>
      <c r="F1282" s="20"/>
      <c r="G1282" s="18"/>
      <c r="H1282" s="19"/>
      <c r="I1282" s="20"/>
      <c r="J1282" s="21"/>
      <c r="K1282" s="22"/>
      <c r="L1282" s="23"/>
      <c r="M1282" s="24"/>
      <c r="N1282" s="25"/>
      <c r="O1282" s="25"/>
      <c r="P1282" s="23"/>
      <c r="Q1282" s="26"/>
      <c r="R1282" s="371"/>
      <c r="S1282" s="27"/>
      <c r="T1282" s="372"/>
      <c r="U1282" s="31"/>
      <c r="V1282" s="1418">
        <f t="shared" si="133"/>
        <v>0</v>
      </c>
      <c r="AB1282" s="15"/>
    </row>
    <row r="1283" spans="1:36" s="77" customFormat="1" ht="15.6" hidden="1">
      <c r="A1283" s="370"/>
      <c r="B1283" s="499"/>
      <c r="C1283" s="37"/>
      <c r="D1283" s="1929" t="s">
        <v>1520</v>
      </c>
      <c r="E1283" s="1930"/>
      <c r="F1283" s="1930"/>
      <c r="G1283" s="1930"/>
      <c r="H1283" s="1930"/>
      <c r="I1283" s="1931"/>
      <c r="J1283" s="1932">
        <f>VLOOKUP(A1285,'11 - FINANCEIRA'!_xlnm.Print_Area,6,FALSE)</f>
        <v>8.2799999999999994</v>
      </c>
      <c r="K1283" s="1933"/>
      <c r="L1283" s="1343" t="str">
        <f>VLOOKUP(A1285,'11 - FINANCEIRA'!_xlnm.Print_Area,4,FALSE)</f>
        <v>m²</v>
      </c>
      <c r="M1283" s="1934" t="s">
        <v>1521</v>
      </c>
      <c r="N1283" s="1935"/>
      <c r="O1283" s="1935"/>
      <c r="P1283" s="1935"/>
      <c r="Q1283" s="1936"/>
      <c r="R1283" s="726">
        <f>SUM(R1279:R1282)</f>
        <v>8.2799999999999994</v>
      </c>
      <c r="S1283" s="1344" t="str">
        <f>L1283</f>
        <v>m²</v>
      </c>
      <c r="T1283" s="373"/>
      <c r="U1283" s="486"/>
      <c r="V1283" s="1418">
        <f t="shared" si="133"/>
        <v>0</v>
      </c>
      <c r="AB1283" s="15"/>
    </row>
    <row r="1284" spans="1:36" s="77" customFormat="1" ht="15.6" hidden="1">
      <c r="A1284" s="370"/>
      <c r="B1284" s="499"/>
      <c r="C1284" s="725"/>
      <c r="D1284" s="1937" t="s">
        <v>1522</v>
      </c>
      <c r="E1284" s="1938"/>
      <c r="F1284" s="1938"/>
      <c r="G1284" s="1938"/>
      <c r="H1284" s="1938"/>
      <c r="I1284" s="1939"/>
      <c r="J1284" s="1943">
        <f>R1283/J1283</f>
        <v>1</v>
      </c>
      <c r="K1284" s="1944"/>
      <c r="L1284" s="1947"/>
      <c r="M1284" s="1934" t="s">
        <v>1523</v>
      </c>
      <c r="N1284" s="1935"/>
      <c r="O1284" s="1935"/>
      <c r="P1284" s="1935"/>
      <c r="Q1284" s="1936"/>
      <c r="R1284" s="726">
        <f>VLOOKUP(A1285,'11 - FINANCEIRA'!_xlnm.Print_Area,8,FALSE)</f>
        <v>8.2799999999999994</v>
      </c>
      <c r="S1284" s="727" t="str">
        <f>L1283</f>
        <v>m²</v>
      </c>
      <c r="T1284" s="373"/>
      <c r="U1284" s="486"/>
      <c r="V1284" s="1418">
        <f t="shared" si="133"/>
        <v>0</v>
      </c>
      <c r="AB1284" s="15"/>
    </row>
    <row r="1285" spans="1:36" s="77" customFormat="1" ht="15.6" hidden="1">
      <c r="A1285" s="364" t="s">
        <v>422</v>
      </c>
      <c r="B1285" s="499"/>
      <c r="C1285" s="37"/>
      <c r="D1285" s="2013"/>
      <c r="E1285" s="2014"/>
      <c r="F1285" s="2014"/>
      <c r="G1285" s="2014"/>
      <c r="H1285" s="2014"/>
      <c r="I1285" s="2015"/>
      <c r="J1285" s="2016"/>
      <c r="K1285" s="2017"/>
      <c r="L1285" s="1962"/>
      <c r="M1285" s="2007" t="s">
        <v>1524</v>
      </c>
      <c r="N1285" s="2008"/>
      <c r="O1285" s="2008"/>
      <c r="P1285" s="2008"/>
      <c r="Q1285" s="2009"/>
      <c r="R1285" s="1345">
        <f>R1283-R1284</f>
        <v>0</v>
      </c>
      <c r="S1285" s="1346" t="str">
        <f>L1283</f>
        <v>m²</v>
      </c>
      <c r="T1285" s="373"/>
      <c r="U1285" s="486"/>
      <c r="V1285" s="1418">
        <f>R1285</f>
        <v>0</v>
      </c>
      <c r="AB1285" s="15"/>
    </row>
    <row r="1286" spans="1:36" s="77" customFormat="1" ht="15.6" hidden="1">
      <c r="A1286" s="370"/>
      <c r="B1286" s="1347"/>
      <c r="C1286" s="1348"/>
      <c r="D1286" s="1349"/>
      <c r="E1286" s="1350"/>
      <c r="F1286" s="1349"/>
      <c r="G1286" s="1349"/>
      <c r="H1286" s="1349"/>
      <c r="I1286" s="1349"/>
      <c r="J1286" s="1351"/>
      <c r="K1286" s="1352"/>
      <c r="L1286" s="1353"/>
      <c r="M1286" s="1354"/>
      <c r="N1286" s="1354"/>
      <c r="O1286" s="1354"/>
      <c r="P1286" s="1354"/>
      <c r="Q1286" s="1354"/>
      <c r="R1286" s="1355"/>
      <c r="S1286" s="1356"/>
      <c r="T1286" s="1357"/>
      <c r="U1286" s="1358"/>
      <c r="V1286" s="1420">
        <f>SUM(V1277:V1285)</f>
        <v>0</v>
      </c>
      <c r="AB1286" s="15"/>
    </row>
    <row r="1287" spans="1:36" s="352" customFormat="1" ht="15.6" hidden="1">
      <c r="A1287" s="351"/>
      <c r="B1287" s="1963" t="str">
        <f>VLOOKUP(A1295,'11 - FINANCEIRA'!_xlnm.Print_Area,1,FALSE)</f>
        <v>2.3.3.16</v>
      </c>
      <c r="C1287" s="1965" t="str">
        <f>VLOOKUP(A1295,'11 - FINANCEIRA'!_xlnm.Print_Area,3,FALSE)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287" s="1967" t="s">
        <v>1503</v>
      </c>
      <c r="E1287" s="1968"/>
      <c r="F1287" s="1968"/>
      <c r="G1287" s="1968"/>
      <c r="H1287" s="1968"/>
      <c r="I1287" s="1969"/>
      <c r="J1287" s="1914" t="s">
        <v>1504</v>
      </c>
      <c r="K1287" s="1914" t="s">
        <v>1505</v>
      </c>
      <c r="L1287" s="1914" t="s">
        <v>1506</v>
      </c>
      <c r="M1287" s="1914" t="s">
        <v>1507</v>
      </c>
      <c r="N1287" s="1914" t="s">
        <v>1508</v>
      </c>
      <c r="O1287" s="1914" t="s">
        <v>1509</v>
      </c>
      <c r="P1287" s="1341" t="s">
        <v>1510</v>
      </c>
      <c r="Q1287" s="1914" t="s">
        <v>1493</v>
      </c>
      <c r="R1287" s="1916" t="s">
        <v>804</v>
      </c>
      <c r="S1287" s="1914" t="s">
        <v>1511</v>
      </c>
      <c r="T1287" s="1914" t="s">
        <v>1512</v>
      </c>
      <c r="U1287" s="1918" t="s">
        <v>1513</v>
      </c>
      <c r="V1287" s="1418">
        <f t="shared" ref="V1287:V1294" si="134">V1288</f>
        <v>0</v>
      </c>
      <c r="W1287" s="16"/>
      <c r="X1287" s="16"/>
      <c r="Y1287" s="16"/>
      <c r="Z1287" s="17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</row>
    <row r="1288" spans="1:36" s="352" customFormat="1" ht="15.6" hidden="1">
      <c r="A1288" s="351"/>
      <c r="B1288" s="1964" t="e">
        <f>LEFT(#REF!,5)</f>
        <v>#REF!</v>
      </c>
      <c r="C1288" s="1966" t="e">
        <f>VLOOKUP(LEFT(#REF!,5),'11 - FINANCEIRA'!_xlnm.Print_Area,2,FALSE)</f>
        <v>#REF!</v>
      </c>
      <c r="D1288" s="1920" t="s">
        <v>1514</v>
      </c>
      <c r="E1288" s="1921"/>
      <c r="F1288" s="1922"/>
      <c r="G1288" s="1923" t="s">
        <v>1515</v>
      </c>
      <c r="H1288" s="1924"/>
      <c r="I1288" s="1925"/>
      <c r="J1288" s="1915"/>
      <c r="K1288" s="1915"/>
      <c r="L1288" s="1915"/>
      <c r="M1288" s="1915"/>
      <c r="N1288" s="1915"/>
      <c r="O1288" s="1915"/>
      <c r="P1288" s="353" t="s">
        <v>1516</v>
      </c>
      <c r="Q1288" s="1915"/>
      <c r="R1288" s="1917"/>
      <c r="S1288" s="1915"/>
      <c r="T1288" s="1915"/>
      <c r="U1288" s="1919"/>
      <c r="V1288" s="1418">
        <f t="shared" si="134"/>
        <v>0</v>
      </c>
      <c r="W1288" s="16"/>
      <c r="X1288" s="16"/>
      <c r="Y1288" s="16"/>
      <c r="Z1288" s="17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</row>
    <row r="1289" spans="1:36" s="361" customFormat="1" ht="45" hidden="1">
      <c r="A1289" s="354"/>
      <c r="B1289" s="355"/>
      <c r="C1289" s="32" t="s">
        <v>955</v>
      </c>
      <c r="D1289" s="33"/>
      <c r="E1289" s="34"/>
      <c r="F1289" s="35"/>
      <c r="G1289" s="33"/>
      <c r="H1289" s="34"/>
      <c r="I1289" s="35"/>
      <c r="J1289" s="43"/>
      <c r="K1289" s="42"/>
      <c r="L1289" s="39"/>
      <c r="M1289" s="41"/>
      <c r="N1289" s="356"/>
      <c r="O1289" s="40"/>
      <c r="P1289" s="39"/>
      <c r="Q1289" s="45"/>
      <c r="R1289" s="1359">
        <v>18.39</v>
      </c>
      <c r="S1289" s="1265" t="s">
        <v>821</v>
      </c>
      <c r="T1289" s="46" t="s">
        <v>328</v>
      </c>
      <c r="U1289" s="44"/>
      <c r="V1289" s="1418">
        <f t="shared" si="134"/>
        <v>0</v>
      </c>
      <c r="W1289" s="357"/>
      <c r="X1289" s="357"/>
      <c r="Y1289" s="357"/>
      <c r="Z1289" s="358"/>
      <c r="AA1289" s="359"/>
      <c r="AB1289" s="360"/>
    </row>
    <row r="1290" spans="1:36" s="361" customFormat="1" ht="15" hidden="1" customHeight="1">
      <c r="A1290" s="354"/>
      <c r="B1290" s="355"/>
      <c r="C1290" s="32"/>
      <c r="D1290" s="33"/>
      <c r="E1290" s="34"/>
      <c r="F1290" s="35"/>
      <c r="G1290" s="33"/>
      <c r="H1290" s="34"/>
      <c r="I1290" s="35"/>
      <c r="J1290" s="43"/>
      <c r="K1290" s="42"/>
      <c r="L1290" s="39"/>
      <c r="M1290" s="41"/>
      <c r="N1290" s="356"/>
      <c r="O1290" s="40"/>
      <c r="P1290" s="39"/>
      <c r="Q1290" s="45"/>
      <c r="R1290" s="362"/>
      <c r="S1290" s="363"/>
      <c r="T1290" s="46"/>
      <c r="U1290" s="44"/>
      <c r="V1290" s="1418">
        <f t="shared" si="134"/>
        <v>0</v>
      </c>
      <c r="W1290" s="357"/>
      <c r="X1290" s="357"/>
      <c r="Y1290" s="357"/>
      <c r="Z1290" s="358"/>
      <c r="AA1290" s="359"/>
      <c r="AB1290" s="360"/>
    </row>
    <row r="1291" spans="1:36" s="369" customFormat="1" ht="15" hidden="1">
      <c r="A1291" s="364"/>
      <c r="B1291" s="355"/>
      <c r="C1291" s="32"/>
      <c r="D1291" s="33"/>
      <c r="E1291" s="34"/>
      <c r="F1291" s="35"/>
      <c r="G1291" s="33"/>
      <c r="H1291" s="34"/>
      <c r="I1291" s="35"/>
      <c r="J1291" s="43"/>
      <c r="K1291" s="42"/>
      <c r="L1291" s="39"/>
      <c r="M1291" s="41"/>
      <c r="N1291" s="40"/>
      <c r="O1291" s="40"/>
      <c r="P1291" s="39"/>
      <c r="Q1291" s="38"/>
      <c r="R1291" s="365"/>
      <c r="S1291" s="366"/>
      <c r="T1291" s="46"/>
      <c r="U1291" s="44"/>
      <c r="V1291" s="1418">
        <f t="shared" si="134"/>
        <v>0</v>
      </c>
      <c r="W1291" s="367"/>
      <c r="X1291" s="367"/>
      <c r="Y1291" s="367"/>
      <c r="Z1291" s="368"/>
    </row>
    <row r="1292" spans="1:36" s="77" customFormat="1" ht="15" hidden="1">
      <c r="A1292" s="370"/>
      <c r="B1292" s="29"/>
      <c r="C1292" s="30"/>
      <c r="D1292" s="18"/>
      <c r="E1292" s="19"/>
      <c r="F1292" s="20"/>
      <c r="G1292" s="18"/>
      <c r="H1292" s="19"/>
      <c r="I1292" s="20"/>
      <c r="J1292" s="21"/>
      <c r="K1292" s="22"/>
      <c r="L1292" s="23"/>
      <c r="M1292" s="24"/>
      <c r="N1292" s="25"/>
      <c r="O1292" s="25"/>
      <c r="P1292" s="23"/>
      <c r="Q1292" s="26"/>
      <c r="R1292" s="371"/>
      <c r="S1292" s="27"/>
      <c r="T1292" s="372"/>
      <c r="U1292" s="31"/>
      <c r="V1292" s="1418">
        <f t="shared" si="134"/>
        <v>0</v>
      </c>
      <c r="AB1292" s="15"/>
    </row>
    <row r="1293" spans="1:36" s="77" customFormat="1" ht="15.6" hidden="1">
      <c r="A1293" s="370"/>
      <c r="B1293" s="499"/>
      <c r="C1293" s="37"/>
      <c r="D1293" s="1929" t="s">
        <v>1520</v>
      </c>
      <c r="E1293" s="1930"/>
      <c r="F1293" s="1930"/>
      <c r="G1293" s="1930"/>
      <c r="H1293" s="1930"/>
      <c r="I1293" s="1931"/>
      <c r="J1293" s="1932">
        <f>VLOOKUP(A1295,'11 - FINANCEIRA'!_xlnm.Print_Area,6,FALSE)</f>
        <v>18.39</v>
      </c>
      <c r="K1293" s="1933"/>
      <c r="L1293" s="1343" t="str">
        <f>VLOOKUP(A1295,'11 - FINANCEIRA'!_xlnm.Print_Area,4,FALSE)</f>
        <v>m²</v>
      </c>
      <c r="M1293" s="1934" t="s">
        <v>1521</v>
      </c>
      <c r="N1293" s="1935"/>
      <c r="O1293" s="1935"/>
      <c r="P1293" s="1935"/>
      <c r="Q1293" s="1936"/>
      <c r="R1293" s="726">
        <f>SUM(R1289:R1292)</f>
        <v>18.39</v>
      </c>
      <c r="S1293" s="1344" t="str">
        <f>L1293</f>
        <v>m²</v>
      </c>
      <c r="T1293" s="373"/>
      <c r="U1293" s="486"/>
      <c r="V1293" s="1418">
        <f t="shared" si="134"/>
        <v>0</v>
      </c>
      <c r="AB1293" s="15"/>
    </row>
    <row r="1294" spans="1:36" s="77" customFormat="1" ht="15.6" hidden="1">
      <c r="A1294" s="370"/>
      <c r="B1294" s="499"/>
      <c r="C1294" s="725"/>
      <c r="D1294" s="1937" t="s">
        <v>1522</v>
      </c>
      <c r="E1294" s="1938"/>
      <c r="F1294" s="1938"/>
      <c r="G1294" s="1938"/>
      <c r="H1294" s="1938"/>
      <c r="I1294" s="1939"/>
      <c r="J1294" s="1943">
        <f>R1293/J1293</f>
        <v>1</v>
      </c>
      <c r="K1294" s="1944"/>
      <c r="L1294" s="1947"/>
      <c r="M1294" s="1934" t="s">
        <v>1523</v>
      </c>
      <c r="N1294" s="1935"/>
      <c r="O1294" s="1935"/>
      <c r="P1294" s="1935"/>
      <c r="Q1294" s="1936"/>
      <c r="R1294" s="726">
        <f>VLOOKUP(A1295,'11 - FINANCEIRA'!_xlnm.Print_Area,8,FALSE)</f>
        <v>18.39</v>
      </c>
      <c r="S1294" s="727" t="str">
        <f>L1293</f>
        <v>m²</v>
      </c>
      <c r="T1294" s="373"/>
      <c r="U1294" s="486"/>
      <c r="V1294" s="1418">
        <f t="shared" si="134"/>
        <v>0</v>
      </c>
      <c r="AB1294" s="15"/>
    </row>
    <row r="1295" spans="1:36" s="77" customFormat="1" ht="15.6" hidden="1">
      <c r="A1295" s="364" t="s">
        <v>423</v>
      </c>
      <c r="B1295" s="499"/>
      <c r="C1295" s="37"/>
      <c r="D1295" s="2013"/>
      <c r="E1295" s="2014"/>
      <c r="F1295" s="2014"/>
      <c r="G1295" s="2014"/>
      <c r="H1295" s="2014"/>
      <c r="I1295" s="2015"/>
      <c r="J1295" s="2016"/>
      <c r="K1295" s="2017"/>
      <c r="L1295" s="1962"/>
      <c r="M1295" s="2007" t="s">
        <v>1524</v>
      </c>
      <c r="N1295" s="2008"/>
      <c r="O1295" s="2008"/>
      <c r="P1295" s="2008"/>
      <c r="Q1295" s="2009"/>
      <c r="R1295" s="1345">
        <f>R1293-R1294</f>
        <v>0</v>
      </c>
      <c r="S1295" s="1346" t="str">
        <f>L1293</f>
        <v>m²</v>
      </c>
      <c r="T1295" s="373"/>
      <c r="U1295" s="486"/>
      <c r="V1295" s="1418">
        <f>R1295</f>
        <v>0</v>
      </c>
      <c r="AB1295" s="15"/>
    </row>
    <row r="1296" spans="1:36" s="77" customFormat="1" ht="15.6" hidden="1">
      <c r="A1296" s="370"/>
      <c r="B1296" s="1347"/>
      <c r="C1296" s="1348"/>
      <c r="D1296" s="1349"/>
      <c r="E1296" s="1350"/>
      <c r="F1296" s="1349"/>
      <c r="G1296" s="1349"/>
      <c r="H1296" s="1349"/>
      <c r="I1296" s="1349"/>
      <c r="J1296" s="1351"/>
      <c r="K1296" s="1352"/>
      <c r="L1296" s="1353"/>
      <c r="M1296" s="1354"/>
      <c r="N1296" s="1354"/>
      <c r="O1296" s="1354"/>
      <c r="P1296" s="1354"/>
      <c r="Q1296" s="1354"/>
      <c r="R1296" s="1355"/>
      <c r="S1296" s="1356"/>
      <c r="T1296" s="1357"/>
      <c r="U1296" s="1358"/>
      <c r="V1296" s="1420">
        <f>SUM(V1287:V1295)</f>
        <v>0</v>
      </c>
      <c r="AB1296" s="15"/>
    </row>
    <row r="1297" spans="1:36" s="632" customFormat="1" ht="15.6" hidden="1">
      <c r="A1297" s="630"/>
      <c r="B1297" s="1333" t="str">
        <f>LEFT(A1306,5)</f>
        <v>2.3.4</v>
      </c>
      <c r="C1297" s="1334" t="str">
        <f>VLOOKUP(LEFT(A1306,5),'11 - FINANCEIRA'!_xlnm.Print_Area,2,FALSE)</f>
        <v>COPA - INTERNO</v>
      </c>
      <c r="D1297" s="1334"/>
      <c r="E1297" s="1335"/>
      <c r="F1297" s="1334"/>
      <c r="G1297" s="2071"/>
      <c r="H1297" s="2072"/>
      <c r="I1297" s="2072"/>
      <c r="J1297" s="2072"/>
      <c r="K1297" s="2072"/>
      <c r="L1297" s="2072"/>
      <c r="M1297" s="1338"/>
      <c r="N1297" s="1339"/>
      <c r="O1297" s="1339"/>
      <c r="P1297" s="1339"/>
      <c r="Q1297" s="1339"/>
      <c r="R1297" s="1339"/>
      <c r="S1297" s="1339"/>
      <c r="T1297" s="1339"/>
      <c r="U1297" s="1339"/>
      <c r="V1297" s="631">
        <f>SUM(V1298:V1397)</f>
        <v>0</v>
      </c>
    </row>
    <row r="1298" spans="1:36" s="352" customFormat="1" ht="15.6" hidden="1">
      <c r="A1298" s="351"/>
      <c r="B1298" s="1963" t="str">
        <f>VLOOKUP(A1306,'11 - FINANCEIRA'!_xlnm.Print_Area,1,FALSE)</f>
        <v>2.3.4.1</v>
      </c>
      <c r="C1298" s="1965" t="str">
        <f>VLOOKUP(A1306,'11 - FINANCEIRA'!_xlnm.Print_Area,3,FALSE)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298" s="1967" t="s">
        <v>1503</v>
      </c>
      <c r="E1298" s="1968"/>
      <c r="F1298" s="1968"/>
      <c r="G1298" s="1968"/>
      <c r="H1298" s="1968"/>
      <c r="I1298" s="1969"/>
      <c r="J1298" s="1914" t="s">
        <v>1504</v>
      </c>
      <c r="K1298" s="1914" t="s">
        <v>1505</v>
      </c>
      <c r="L1298" s="1914" t="s">
        <v>1506</v>
      </c>
      <c r="M1298" s="1914" t="s">
        <v>1507</v>
      </c>
      <c r="N1298" s="1914" t="s">
        <v>1508</v>
      </c>
      <c r="O1298" s="1914" t="s">
        <v>1509</v>
      </c>
      <c r="P1298" s="1341" t="s">
        <v>1510</v>
      </c>
      <c r="Q1298" s="1914" t="s">
        <v>1493</v>
      </c>
      <c r="R1298" s="1916" t="s">
        <v>804</v>
      </c>
      <c r="S1298" s="1914" t="s">
        <v>1511</v>
      </c>
      <c r="T1298" s="1914" t="s">
        <v>1512</v>
      </c>
      <c r="U1298" s="1918" t="s">
        <v>1513</v>
      </c>
      <c r="V1298" s="1418">
        <f t="shared" ref="V1298:V1305" si="135">V1299</f>
        <v>0</v>
      </c>
      <c r="W1298" s="16"/>
      <c r="X1298" s="16"/>
      <c r="Y1298" s="16"/>
      <c r="Z1298" s="17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</row>
    <row r="1299" spans="1:36" s="352" customFormat="1" ht="15.6" hidden="1">
      <c r="A1299" s="351"/>
      <c r="B1299" s="1964" t="e">
        <f>LEFT(#REF!,5)</f>
        <v>#REF!</v>
      </c>
      <c r="C1299" s="1966" t="e">
        <f>VLOOKUP(LEFT(#REF!,5),'11 - FINANCEIRA'!_xlnm.Print_Area,2,FALSE)</f>
        <v>#REF!</v>
      </c>
      <c r="D1299" s="1920" t="s">
        <v>1514</v>
      </c>
      <c r="E1299" s="1921"/>
      <c r="F1299" s="1922"/>
      <c r="G1299" s="1923" t="s">
        <v>1515</v>
      </c>
      <c r="H1299" s="1924"/>
      <c r="I1299" s="1925"/>
      <c r="J1299" s="1915"/>
      <c r="K1299" s="1915"/>
      <c r="L1299" s="1915"/>
      <c r="M1299" s="1915"/>
      <c r="N1299" s="1915"/>
      <c r="O1299" s="1915"/>
      <c r="P1299" s="353" t="s">
        <v>1516</v>
      </c>
      <c r="Q1299" s="1915"/>
      <c r="R1299" s="1917"/>
      <c r="S1299" s="1915"/>
      <c r="T1299" s="1915"/>
      <c r="U1299" s="1919"/>
      <c r="V1299" s="1418">
        <f t="shared" si="135"/>
        <v>0</v>
      </c>
      <c r="W1299" s="16"/>
      <c r="X1299" s="16"/>
      <c r="Y1299" s="16"/>
      <c r="Z1299" s="17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</row>
    <row r="1300" spans="1:36" s="361" customFormat="1" ht="45" hidden="1">
      <c r="A1300" s="354"/>
      <c r="B1300" s="355"/>
      <c r="C1300" s="32" t="s">
        <v>927</v>
      </c>
      <c r="D1300" s="33"/>
      <c r="E1300" s="34"/>
      <c r="F1300" s="35"/>
      <c r="G1300" s="33"/>
      <c r="H1300" s="34"/>
      <c r="I1300" s="35"/>
      <c r="J1300" s="43"/>
      <c r="K1300" s="42"/>
      <c r="L1300" s="39"/>
      <c r="M1300" s="41"/>
      <c r="N1300" s="356"/>
      <c r="O1300" s="40"/>
      <c r="P1300" s="39"/>
      <c r="Q1300" s="45"/>
      <c r="R1300" s="1359">
        <v>17.510000000000002</v>
      </c>
      <c r="S1300" s="1265" t="s">
        <v>821</v>
      </c>
      <c r="T1300" s="46" t="s">
        <v>329</v>
      </c>
      <c r="U1300" s="44"/>
      <c r="V1300" s="1418">
        <f t="shared" si="135"/>
        <v>0</v>
      </c>
      <c r="W1300" s="357"/>
      <c r="X1300" s="357"/>
      <c r="Y1300" s="357"/>
      <c r="Z1300" s="358"/>
      <c r="AA1300" s="359"/>
      <c r="AB1300" s="360"/>
    </row>
    <row r="1301" spans="1:36" s="361" customFormat="1" ht="15" hidden="1" customHeight="1">
      <c r="A1301" s="354"/>
      <c r="B1301" s="355"/>
      <c r="C1301" s="32"/>
      <c r="D1301" s="33"/>
      <c r="E1301" s="34"/>
      <c r="F1301" s="35"/>
      <c r="G1301" s="33"/>
      <c r="H1301" s="34"/>
      <c r="I1301" s="35"/>
      <c r="J1301" s="43"/>
      <c r="K1301" s="42"/>
      <c r="L1301" s="39"/>
      <c r="M1301" s="41"/>
      <c r="N1301" s="356"/>
      <c r="O1301" s="40"/>
      <c r="P1301" s="39"/>
      <c r="Q1301" s="45"/>
      <c r="R1301" s="362"/>
      <c r="S1301" s="363"/>
      <c r="T1301" s="46"/>
      <c r="U1301" s="44"/>
      <c r="V1301" s="1418">
        <f t="shared" si="135"/>
        <v>0</v>
      </c>
      <c r="W1301" s="357"/>
      <c r="X1301" s="357"/>
      <c r="Y1301" s="357"/>
      <c r="Z1301" s="358"/>
      <c r="AA1301" s="359"/>
      <c r="AB1301" s="360"/>
    </row>
    <row r="1302" spans="1:36" s="369" customFormat="1" ht="15" hidden="1">
      <c r="A1302" s="364"/>
      <c r="B1302" s="355"/>
      <c r="C1302" s="32"/>
      <c r="D1302" s="33"/>
      <c r="E1302" s="34"/>
      <c r="F1302" s="35"/>
      <c r="G1302" s="33"/>
      <c r="H1302" s="34"/>
      <c r="I1302" s="35"/>
      <c r="J1302" s="43"/>
      <c r="K1302" s="42"/>
      <c r="L1302" s="39"/>
      <c r="M1302" s="41"/>
      <c r="N1302" s="40"/>
      <c r="O1302" s="40"/>
      <c r="P1302" s="39"/>
      <c r="Q1302" s="38"/>
      <c r="R1302" s="365"/>
      <c r="S1302" s="366"/>
      <c r="T1302" s="46"/>
      <c r="U1302" s="44"/>
      <c r="V1302" s="1418">
        <f t="shared" si="135"/>
        <v>0</v>
      </c>
      <c r="W1302" s="367"/>
      <c r="X1302" s="367"/>
      <c r="Y1302" s="367"/>
      <c r="Z1302" s="368"/>
    </row>
    <row r="1303" spans="1:36" s="77" customFormat="1" ht="15" hidden="1">
      <c r="A1303" s="370"/>
      <c r="B1303" s="29"/>
      <c r="C1303" s="30"/>
      <c r="D1303" s="18"/>
      <c r="E1303" s="19"/>
      <c r="F1303" s="20"/>
      <c r="G1303" s="18"/>
      <c r="H1303" s="19"/>
      <c r="I1303" s="20"/>
      <c r="J1303" s="21"/>
      <c r="K1303" s="22"/>
      <c r="L1303" s="23"/>
      <c r="M1303" s="24"/>
      <c r="N1303" s="25"/>
      <c r="O1303" s="25"/>
      <c r="P1303" s="23"/>
      <c r="Q1303" s="26"/>
      <c r="R1303" s="371"/>
      <c r="S1303" s="27"/>
      <c r="T1303" s="372"/>
      <c r="U1303" s="31"/>
      <c r="V1303" s="1418">
        <f t="shared" si="135"/>
        <v>0</v>
      </c>
      <c r="AB1303" s="15"/>
    </row>
    <row r="1304" spans="1:36" s="77" customFormat="1" ht="15.6" hidden="1">
      <c r="A1304" s="370"/>
      <c r="B1304" s="499"/>
      <c r="C1304" s="37"/>
      <c r="D1304" s="1929" t="s">
        <v>1520</v>
      </c>
      <c r="E1304" s="1930"/>
      <c r="F1304" s="1930"/>
      <c r="G1304" s="1930"/>
      <c r="H1304" s="1930"/>
      <c r="I1304" s="1931"/>
      <c r="J1304" s="1932">
        <f>VLOOKUP(A1306,'11 - FINANCEIRA'!_xlnm.Print_Area,6,FALSE)</f>
        <v>17.510000000000002</v>
      </c>
      <c r="K1304" s="1933"/>
      <c r="L1304" s="1343" t="str">
        <f>VLOOKUP(A1306,'11 - FINANCEIRA'!_xlnm.Print_Area,4,FALSE)</f>
        <v>m²</v>
      </c>
      <c r="M1304" s="1934" t="s">
        <v>1521</v>
      </c>
      <c r="N1304" s="1935"/>
      <c r="O1304" s="1935"/>
      <c r="P1304" s="1935"/>
      <c r="Q1304" s="1936"/>
      <c r="R1304" s="726">
        <f>SUM(R1300:R1303)</f>
        <v>17.510000000000002</v>
      </c>
      <c r="S1304" s="1344" t="str">
        <f>L1304</f>
        <v>m²</v>
      </c>
      <c r="T1304" s="373"/>
      <c r="U1304" s="486"/>
      <c r="V1304" s="1418">
        <f t="shared" si="135"/>
        <v>0</v>
      </c>
      <c r="AB1304" s="15"/>
    </row>
    <row r="1305" spans="1:36" s="77" customFormat="1" ht="15.6" hidden="1">
      <c r="A1305" s="370"/>
      <c r="B1305" s="499"/>
      <c r="C1305" s="725"/>
      <c r="D1305" s="1937" t="s">
        <v>1522</v>
      </c>
      <c r="E1305" s="1938"/>
      <c r="F1305" s="1938"/>
      <c r="G1305" s="1938"/>
      <c r="H1305" s="1938"/>
      <c r="I1305" s="1939"/>
      <c r="J1305" s="1943">
        <f>R1304/J1304</f>
        <v>1</v>
      </c>
      <c r="K1305" s="1944"/>
      <c r="L1305" s="1947"/>
      <c r="M1305" s="1934" t="s">
        <v>1523</v>
      </c>
      <c r="N1305" s="1935"/>
      <c r="O1305" s="1935"/>
      <c r="P1305" s="1935"/>
      <c r="Q1305" s="1936"/>
      <c r="R1305" s="726">
        <f>VLOOKUP(A1306,'11 - FINANCEIRA'!_xlnm.Print_Area,8,FALSE)</f>
        <v>17.510000000000002</v>
      </c>
      <c r="S1305" s="727" t="str">
        <f>L1304</f>
        <v>m²</v>
      </c>
      <c r="T1305" s="373"/>
      <c r="U1305" s="486"/>
      <c r="V1305" s="1418">
        <f t="shared" si="135"/>
        <v>0</v>
      </c>
      <c r="AB1305" s="15"/>
    </row>
    <row r="1306" spans="1:36" s="77" customFormat="1" ht="15.6" hidden="1">
      <c r="A1306" s="364" t="s">
        <v>425</v>
      </c>
      <c r="B1306" s="499"/>
      <c r="C1306" s="37"/>
      <c r="D1306" s="2013"/>
      <c r="E1306" s="2014"/>
      <c r="F1306" s="2014"/>
      <c r="G1306" s="2014"/>
      <c r="H1306" s="2014"/>
      <c r="I1306" s="2015"/>
      <c r="J1306" s="2016"/>
      <c r="K1306" s="2017"/>
      <c r="L1306" s="1962"/>
      <c r="M1306" s="2007" t="s">
        <v>1524</v>
      </c>
      <c r="N1306" s="2008"/>
      <c r="O1306" s="2008"/>
      <c r="P1306" s="2008"/>
      <c r="Q1306" s="2009"/>
      <c r="R1306" s="1345">
        <f>R1304-R1305</f>
        <v>0</v>
      </c>
      <c r="S1306" s="1346" t="str">
        <f>L1304</f>
        <v>m²</v>
      </c>
      <c r="T1306" s="373"/>
      <c r="U1306" s="486"/>
      <c r="V1306" s="1418">
        <f>R1306</f>
        <v>0</v>
      </c>
      <c r="AB1306" s="15"/>
    </row>
    <row r="1307" spans="1:36" s="77" customFormat="1" ht="15.6" hidden="1">
      <c r="A1307" s="370"/>
      <c r="B1307" s="1347"/>
      <c r="C1307" s="1348"/>
      <c r="D1307" s="1349"/>
      <c r="E1307" s="1350"/>
      <c r="F1307" s="1349"/>
      <c r="G1307" s="1349"/>
      <c r="H1307" s="1349"/>
      <c r="I1307" s="1349"/>
      <c r="J1307" s="1351"/>
      <c r="K1307" s="1352"/>
      <c r="L1307" s="1353"/>
      <c r="M1307" s="1354"/>
      <c r="N1307" s="1354"/>
      <c r="O1307" s="1354"/>
      <c r="P1307" s="1354"/>
      <c r="Q1307" s="1354"/>
      <c r="R1307" s="1355"/>
      <c r="S1307" s="1356"/>
      <c r="T1307" s="1357"/>
      <c r="U1307" s="1358"/>
      <c r="V1307" s="1420">
        <f>SUM(V1298:V1306)</f>
        <v>0</v>
      </c>
      <c r="AB1307" s="15"/>
    </row>
    <row r="1308" spans="1:36" s="352" customFormat="1" ht="15.6" hidden="1">
      <c r="A1308" s="351"/>
      <c r="B1308" s="1963" t="str">
        <f>VLOOKUP(A1316,'11 - FINANCEIRA'!_xlnm.Print_Area,1,FALSE)</f>
        <v>2.3.4.2</v>
      </c>
      <c r="C1308" s="1965" t="str">
        <f>VLOOKUP(A1316,'11 - FINANCEIRA'!_xlnm.Print_Area,3,FALSE)</f>
        <v>Aplicação manual de pintura com tinta látex acrílica em paredes, duas demãos. af_06/2014</v>
      </c>
      <c r="D1308" s="1967" t="s">
        <v>1503</v>
      </c>
      <c r="E1308" s="1968"/>
      <c r="F1308" s="1968"/>
      <c r="G1308" s="1968"/>
      <c r="H1308" s="1968"/>
      <c r="I1308" s="1969"/>
      <c r="J1308" s="1914" t="s">
        <v>1504</v>
      </c>
      <c r="K1308" s="1914" t="s">
        <v>1505</v>
      </c>
      <c r="L1308" s="1914" t="s">
        <v>1506</v>
      </c>
      <c r="M1308" s="1914" t="s">
        <v>1507</v>
      </c>
      <c r="N1308" s="1914" t="s">
        <v>1508</v>
      </c>
      <c r="O1308" s="1914" t="s">
        <v>1509</v>
      </c>
      <c r="P1308" s="1341" t="s">
        <v>1510</v>
      </c>
      <c r="Q1308" s="1914" t="s">
        <v>1493</v>
      </c>
      <c r="R1308" s="1916" t="s">
        <v>804</v>
      </c>
      <c r="S1308" s="1914" t="s">
        <v>1511</v>
      </c>
      <c r="T1308" s="1914" t="s">
        <v>1512</v>
      </c>
      <c r="U1308" s="1918" t="s">
        <v>1513</v>
      </c>
      <c r="V1308" s="1418">
        <f t="shared" ref="V1308:V1315" si="136">V1309</f>
        <v>0</v>
      </c>
      <c r="W1308" s="16"/>
      <c r="X1308" s="16"/>
      <c r="Y1308" s="16"/>
      <c r="Z1308" s="17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</row>
    <row r="1309" spans="1:36" s="352" customFormat="1" ht="15.6" hidden="1">
      <c r="A1309" s="351"/>
      <c r="B1309" s="1964" t="e">
        <f>LEFT(#REF!,5)</f>
        <v>#REF!</v>
      </c>
      <c r="C1309" s="1966" t="e">
        <f>VLOOKUP(LEFT(#REF!,5),'11 - FINANCEIRA'!_xlnm.Print_Area,2,FALSE)</f>
        <v>#REF!</v>
      </c>
      <c r="D1309" s="1920" t="s">
        <v>1514</v>
      </c>
      <c r="E1309" s="1921"/>
      <c r="F1309" s="1922"/>
      <c r="G1309" s="1923" t="s">
        <v>1515</v>
      </c>
      <c r="H1309" s="1924"/>
      <c r="I1309" s="1925"/>
      <c r="J1309" s="1915"/>
      <c r="K1309" s="1915"/>
      <c r="L1309" s="1915"/>
      <c r="M1309" s="1915"/>
      <c r="N1309" s="1915"/>
      <c r="O1309" s="1915"/>
      <c r="P1309" s="353" t="s">
        <v>1516</v>
      </c>
      <c r="Q1309" s="1915"/>
      <c r="R1309" s="1917"/>
      <c r="S1309" s="1915"/>
      <c r="T1309" s="1915"/>
      <c r="U1309" s="1919"/>
      <c r="V1309" s="1418">
        <f t="shared" si="136"/>
        <v>0</v>
      </c>
      <c r="W1309" s="16"/>
      <c r="X1309" s="16"/>
      <c r="Y1309" s="16"/>
      <c r="Z1309" s="17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</row>
    <row r="1310" spans="1:36" s="361" customFormat="1" ht="15" hidden="1" customHeight="1">
      <c r="A1310" s="354"/>
      <c r="B1310" s="355"/>
      <c r="C1310" s="32" t="s">
        <v>920</v>
      </c>
      <c r="D1310" s="33"/>
      <c r="E1310" s="34"/>
      <c r="F1310" s="35"/>
      <c r="G1310" s="33"/>
      <c r="H1310" s="34"/>
      <c r="I1310" s="35"/>
      <c r="J1310" s="43"/>
      <c r="K1310" s="42"/>
      <c r="L1310" s="39"/>
      <c r="M1310" s="41"/>
      <c r="N1310" s="356"/>
      <c r="O1310" s="40"/>
      <c r="P1310" s="39"/>
      <c r="Q1310" s="45"/>
      <c r="R1310" s="1359">
        <v>7.92</v>
      </c>
      <c r="S1310" s="1265" t="s">
        <v>821</v>
      </c>
      <c r="T1310" s="46" t="s">
        <v>54</v>
      </c>
      <c r="U1310" s="44"/>
      <c r="V1310" s="1418">
        <f t="shared" si="136"/>
        <v>0</v>
      </c>
      <c r="W1310" s="357"/>
      <c r="X1310" s="357"/>
      <c r="Y1310" s="357"/>
      <c r="Z1310" s="358"/>
      <c r="AA1310" s="359"/>
      <c r="AB1310" s="360"/>
    </row>
    <row r="1311" spans="1:36" s="361" customFormat="1" ht="15" hidden="1" customHeight="1">
      <c r="A1311" s="354"/>
      <c r="B1311" s="355"/>
      <c r="C1311" s="32"/>
      <c r="D1311" s="33"/>
      <c r="E1311" s="34"/>
      <c r="F1311" s="35"/>
      <c r="G1311" s="33"/>
      <c r="H1311" s="34"/>
      <c r="I1311" s="35"/>
      <c r="J1311" s="43"/>
      <c r="K1311" s="42"/>
      <c r="L1311" s="39"/>
      <c r="M1311" s="41"/>
      <c r="N1311" s="356"/>
      <c r="O1311" s="40"/>
      <c r="P1311" s="39"/>
      <c r="Q1311" s="45"/>
      <c r="R1311" s="362"/>
      <c r="S1311" s="363"/>
      <c r="T1311" s="46"/>
      <c r="U1311" s="44"/>
      <c r="V1311" s="1418">
        <f t="shared" si="136"/>
        <v>0</v>
      </c>
      <c r="W1311" s="357"/>
      <c r="X1311" s="357"/>
      <c r="Y1311" s="357"/>
      <c r="Z1311" s="358"/>
      <c r="AA1311" s="359"/>
      <c r="AB1311" s="360"/>
    </row>
    <row r="1312" spans="1:36" s="369" customFormat="1" ht="15" hidden="1">
      <c r="A1312" s="364"/>
      <c r="B1312" s="355"/>
      <c r="C1312" s="32"/>
      <c r="D1312" s="33"/>
      <c r="E1312" s="34"/>
      <c r="F1312" s="35"/>
      <c r="G1312" s="33"/>
      <c r="H1312" s="34"/>
      <c r="I1312" s="35"/>
      <c r="J1312" s="43"/>
      <c r="K1312" s="42"/>
      <c r="L1312" s="39"/>
      <c r="M1312" s="41"/>
      <c r="N1312" s="40"/>
      <c r="O1312" s="40"/>
      <c r="P1312" s="39"/>
      <c r="Q1312" s="38"/>
      <c r="R1312" s="365"/>
      <c r="S1312" s="366"/>
      <c r="T1312" s="46"/>
      <c r="U1312" s="44"/>
      <c r="V1312" s="1418">
        <f t="shared" si="136"/>
        <v>0</v>
      </c>
      <c r="W1312" s="367"/>
      <c r="X1312" s="367"/>
      <c r="Y1312" s="367"/>
      <c r="Z1312" s="368"/>
    </row>
    <row r="1313" spans="1:36" s="77" customFormat="1" ht="15" hidden="1">
      <c r="A1313" s="370"/>
      <c r="B1313" s="29"/>
      <c r="C1313" s="30"/>
      <c r="D1313" s="18"/>
      <c r="E1313" s="19"/>
      <c r="F1313" s="20"/>
      <c r="G1313" s="18"/>
      <c r="H1313" s="19"/>
      <c r="I1313" s="20"/>
      <c r="J1313" s="21"/>
      <c r="K1313" s="22"/>
      <c r="L1313" s="23"/>
      <c r="M1313" s="24"/>
      <c r="N1313" s="25"/>
      <c r="O1313" s="25"/>
      <c r="P1313" s="23"/>
      <c r="Q1313" s="26"/>
      <c r="R1313" s="371"/>
      <c r="S1313" s="27"/>
      <c r="T1313" s="372"/>
      <c r="U1313" s="31"/>
      <c r="V1313" s="1418">
        <f t="shared" si="136"/>
        <v>0</v>
      </c>
      <c r="AB1313" s="15"/>
    </row>
    <row r="1314" spans="1:36" s="77" customFormat="1" ht="15.6" hidden="1">
      <c r="A1314" s="370"/>
      <c r="B1314" s="499"/>
      <c r="C1314" s="37"/>
      <c r="D1314" s="1929" t="s">
        <v>1520</v>
      </c>
      <c r="E1314" s="1930"/>
      <c r="F1314" s="1930"/>
      <c r="G1314" s="1930"/>
      <c r="H1314" s="1930"/>
      <c r="I1314" s="1931"/>
      <c r="J1314" s="1932">
        <f>VLOOKUP(A1316,'11 - FINANCEIRA'!_xlnm.Print_Area,6,FALSE)</f>
        <v>7.92</v>
      </c>
      <c r="K1314" s="1933"/>
      <c r="L1314" s="1343" t="str">
        <f>VLOOKUP(A1316,'11 - FINANCEIRA'!_xlnm.Print_Area,4,FALSE)</f>
        <v>m²</v>
      </c>
      <c r="M1314" s="1934" t="s">
        <v>1521</v>
      </c>
      <c r="N1314" s="1935"/>
      <c r="O1314" s="1935"/>
      <c r="P1314" s="1935"/>
      <c r="Q1314" s="1936"/>
      <c r="R1314" s="726">
        <f>SUM(R1310:R1313)</f>
        <v>7.92</v>
      </c>
      <c r="S1314" s="1344" t="str">
        <f>L1314</f>
        <v>m²</v>
      </c>
      <c r="T1314" s="373"/>
      <c r="U1314" s="486"/>
      <c r="V1314" s="1418">
        <f t="shared" si="136"/>
        <v>0</v>
      </c>
      <c r="AB1314" s="15"/>
    </row>
    <row r="1315" spans="1:36" s="77" customFormat="1" ht="15.6" hidden="1">
      <c r="A1315" s="370"/>
      <c r="B1315" s="499"/>
      <c r="C1315" s="725"/>
      <c r="D1315" s="1937" t="s">
        <v>1522</v>
      </c>
      <c r="E1315" s="1938"/>
      <c r="F1315" s="1938"/>
      <c r="G1315" s="1938"/>
      <c r="H1315" s="1938"/>
      <c r="I1315" s="1939"/>
      <c r="J1315" s="1943">
        <f>R1314/J1314</f>
        <v>1</v>
      </c>
      <c r="K1315" s="1944"/>
      <c r="L1315" s="1947"/>
      <c r="M1315" s="1934" t="s">
        <v>1523</v>
      </c>
      <c r="N1315" s="1935"/>
      <c r="O1315" s="1935"/>
      <c r="P1315" s="1935"/>
      <c r="Q1315" s="1936"/>
      <c r="R1315" s="726">
        <f>VLOOKUP(A1316,'11 - FINANCEIRA'!_xlnm.Print_Area,8,FALSE)</f>
        <v>7.92</v>
      </c>
      <c r="S1315" s="727" t="str">
        <f>L1314</f>
        <v>m²</v>
      </c>
      <c r="T1315" s="373"/>
      <c r="U1315" s="486"/>
      <c r="V1315" s="1418">
        <f t="shared" si="136"/>
        <v>0</v>
      </c>
      <c r="AB1315" s="15"/>
    </row>
    <row r="1316" spans="1:36" s="77" customFormat="1" ht="15.6" hidden="1">
      <c r="A1316" s="364" t="s">
        <v>426</v>
      </c>
      <c r="B1316" s="499"/>
      <c r="C1316" s="37"/>
      <c r="D1316" s="2013"/>
      <c r="E1316" s="2014"/>
      <c r="F1316" s="2014"/>
      <c r="G1316" s="2014"/>
      <c r="H1316" s="2014"/>
      <c r="I1316" s="2015"/>
      <c r="J1316" s="2016"/>
      <c r="K1316" s="2017"/>
      <c r="L1316" s="1962"/>
      <c r="M1316" s="2007" t="s">
        <v>1524</v>
      </c>
      <c r="N1316" s="2008"/>
      <c r="O1316" s="2008"/>
      <c r="P1316" s="2008"/>
      <c r="Q1316" s="2009"/>
      <c r="R1316" s="1345">
        <f>R1314-R1315</f>
        <v>0</v>
      </c>
      <c r="S1316" s="1346" t="str">
        <f>L1314</f>
        <v>m²</v>
      </c>
      <c r="T1316" s="373"/>
      <c r="U1316" s="486"/>
      <c r="V1316" s="1418">
        <f>R1316</f>
        <v>0</v>
      </c>
      <c r="AB1316" s="15"/>
    </row>
    <row r="1317" spans="1:36" s="77" customFormat="1" ht="15.6" hidden="1">
      <c r="A1317" s="370"/>
      <c r="B1317" s="1347"/>
      <c r="C1317" s="1348"/>
      <c r="D1317" s="1349"/>
      <c r="E1317" s="1350"/>
      <c r="F1317" s="1349"/>
      <c r="G1317" s="1349"/>
      <c r="H1317" s="1349"/>
      <c r="I1317" s="1349"/>
      <c r="J1317" s="1351"/>
      <c r="K1317" s="1352"/>
      <c r="L1317" s="1353"/>
      <c r="M1317" s="1354"/>
      <c r="N1317" s="1354"/>
      <c r="O1317" s="1354"/>
      <c r="P1317" s="1354"/>
      <c r="Q1317" s="1354"/>
      <c r="R1317" s="1355"/>
      <c r="S1317" s="1356"/>
      <c r="T1317" s="1357"/>
      <c r="U1317" s="1358"/>
      <c r="V1317" s="1420">
        <f>SUM(V1308:V1316)</f>
        <v>0</v>
      </c>
      <c r="AB1317" s="15"/>
    </row>
    <row r="1318" spans="1:36" s="352" customFormat="1" ht="15.6" hidden="1">
      <c r="A1318" s="351"/>
      <c r="B1318" s="1963" t="str">
        <f>VLOOKUP(A1326,'11 - FINANCEIRA'!_xlnm.Print_Area,1,FALSE)</f>
        <v>2.3.4.3</v>
      </c>
      <c r="C1318" s="1965" t="str">
        <f>VLOOKUP(A1326,'11 - FINANCEIRA'!_xlnm.Print_Area,3,FALSE)</f>
        <v>Aplicação manual de pintura com tinta látex acrílica em teto, duas demãos. af_06/2014</v>
      </c>
      <c r="D1318" s="1967" t="s">
        <v>1503</v>
      </c>
      <c r="E1318" s="1968"/>
      <c r="F1318" s="1968"/>
      <c r="G1318" s="1968"/>
      <c r="H1318" s="1968"/>
      <c r="I1318" s="1969"/>
      <c r="J1318" s="1914" t="s">
        <v>1504</v>
      </c>
      <c r="K1318" s="1914" t="s">
        <v>1505</v>
      </c>
      <c r="L1318" s="1914" t="s">
        <v>1506</v>
      </c>
      <c r="M1318" s="1914" t="s">
        <v>1507</v>
      </c>
      <c r="N1318" s="1914" t="s">
        <v>1508</v>
      </c>
      <c r="O1318" s="1914" t="s">
        <v>1509</v>
      </c>
      <c r="P1318" s="1341" t="s">
        <v>1510</v>
      </c>
      <c r="Q1318" s="1914" t="s">
        <v>1493</v>
      </c>
      <c r="R1318" s="1916" t="s">
        <v>804</v>
      </c>
      <c r="S1318" s="1914" t="s">
        <v>1511</v>
      </c>
      <c r="T1318" s="1914" t="s">
        <v>1512</v>
      </c>
      <c r="U1318" s="1918" t="s">
        <v>1513</v>
      </c>
      <c r="V1318" s="1418">
        <f t="shared" ref="V1318:V1325" si="137">V1319</f>
        <v>0</v>
      </c>
      <c r="W1318" s="16"/>
      <c r="X1318" s="16"/>
      <c r="Y1318" s="16"/>
      <c r="Z1318" s="17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</row>
    <row r="1319" spans="1:36" s="352" customFormat="1" ht="15.6" hidden="1">
      <c r="A1319" s="351"/>
      <c r="B1319" s="1964" t="e">
        <f>LEFT(#REF!,5)</f>
        <v>#REF!</v>
      </c>
      <c r="C1319" s="1966" t="e">
        <f>VLOOKUP(LEFT(#REF!,5),'11 - FINANCEIRA'!_xlnm.Print_Area,2,FALSE)</f>
        <v>#REF!</v>
      </c>
      <c r="D1319" s="1920" t="s">
        <v>1514</v>
      </c>
      <c r="E1319" s="1921"/>
      <c r="F1319" s="1922"/>
      <c r="G1319" s="1923" t="s">
        <v>1515</v>
      </c>
      <c r="H1319" s="1924"/>
      <c r="I1319" s="1925"/>
      <c r="J1319" s="1915"/>
      <c r="K1319" s="1915"/>
      <c r="L1319" s="1915"/>
      <c r="M1319" s="1915"/>
      <c r="N1319" s="1915"/>
      <c r="O1319" s="1915"/>
      <c r="P1319" s="353" t="s">
        <v>1516</v>
      </c>
      <c r="Q1319" s="1915"/>
      <c r="R1319" s="1917"/>
      <c r="S1319" s="1915"/>
      <c r="T1319" s="1915"/>
      <c r="U1319" s="1919"/>
      <c r="V1319" s="1418">
        <f t="shared" si="137"/>
        <v>0</v>
      </c>
      <c r="W1319" s="16"/>
      <c r="X1319" s="16"/>
      <c r="Y1319" s="16"/>
      <c r="Z1319" s="17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</row>
    <row r="1320" spans="1:36" s="361" customFormat="1" ht="15" hidden="1" customHeight="1">
      <c r="A1320" s="354"/>
      <c r="B1320" s="355"/>
      <c r="C1320" s="32" t="s">
        <v>929</v>
      </c>
      <c r="D1320" s="33"/>
      <c r="E1320" s="34"/>
      <c r="F1320" s="35"/>
      <c r="G1320" s="33"/>
      <c r="H1320" s="34"/>
      <c r="I1320" s="35"/>
      <c r="J1320" s="43"/>
      <c r="K1320" s="42"/>
      <c r="L1320" s="39"/>
      <c r="M1320" s="41"/>
      <c r="N1320" s="356"/>
      <c r="O1320" s="40"/>
      <c r="P1320" s="39"/>
      <c r="Q1320" s="45"/>
      <c r="R1320" s="1359">
        <v>4.84</v>
      </c>
      <c r="S1320" s="1265" t="s">
        <v>821</v>
      </c>
      <c r="T1320" s="46" t="s">
        <v>54</v>
      </c>
      <c r="U1320" s="44"/>
      <c r="V1320" s="1418">
        <f t="shared" si="137"/>
        <v>0</v>
      </c>
      <c r="W1320" s="357"/>
      <c r="X1320" s="357"/>
      <c r="Y1320" s="357"/>
      <c r="Z1320" s="358"/>
      <c r="AA1320" s="359"/>
      <c r="AB1320" s="360"/>
    </row>
    <row r="1321" spans="1:36" s="361" customFormat="1" ht="15" hidden="1" customHeight="1">
      <c r="A1321" s="354"/>
      <c r="B1321" s="355"/>
      <c r="C1321" s="32"/>
      <c r="D1321" s="33"/>
      <c r="E1321" s="34"/>
      <c r="F1321" s="35"/>
      <c r="G1321" s="33"/>
      <c r="H1321" s="34"/>
      <c r="I1321" s="35"/>
      <c r="J1321" s="43"/>
      <c r="K1321" s="42"/>
      <c r="L1321" s="39"/>
      <c r="M1321" s="41"/>
      <c r="N1321" s="356"/>
      <c r="O1321" s="40"/>
      <c r="P1321" s="39"/>
      <c r="Q1321" s="45"/>
      <c r="R1321" s="362"/>
      <c r="S1321" s="363"/>
      <c r="T1321" s="46"/>
      <c r="U1321" s="44"/>
      <c r="V1321" s="1418">
        <f t="shared" si="137"/>
        <v>0</v>
      </c>
      <c r="W1321" s="357"/>
      <c r="X1321" s="357"/>
      <c r="Y1321" s="357"/>
      <c r="Z1321" s="358"/>
      <c r="AA1321" s="359"/>
      <c r="AB1321" s="360"/>
    </row>
    <row r="1322" spans="1:36" s="369" customFormat="1" ht="15" hidden="1">
      <c r="A1322" s="364"/>
      <c r="B1322" s="355"/>
      <c r="C1322" s="32"/>
      <c r="D1322" s="33"/>
      <c r="E1322" s="34"/>
      <c r="F1322" s="35"/>
      <c r="G1322" s="33"/>
      <c r="H1322" s="34"/>
      <c r="I1322" s="35"/>
      <c r="J1322" s="43"/>
      <c r="K1322" s="42"/>
      <c r="L1322" s="39"/>
      <c r="M1322" s="41"/>
      <c r="N1322" s="40"/>
      <c r="O1322" s="40"/>
      <c r="P1322" s="39"/>
      <c r="Q1322" s="38"/>
      <c r="R1322" s="365"/>
      <c r="S1322" s="366"/>
      <c r="T1322" s="46"/>
      <c r="U1322" s="44"/>
      <c r="V1322" s="1418">
        <f t="shared" si="137"/>
        <v>0</v>
      </c>
      <c r="W1322" s="367"/>
      <c r="X1322" s="367"/>
      <c r="Y1322" s="367"/>
      <c r="Z1322" s="368"/>
    </row>
    <row r="1323" spans="1:36" s="77" customFormat="1" ht="15" hidden="1">
      <c r="A1323" s="370"/>
      <c r="B1323" s="29"/>
      <c r="C1323" s="30"/>
      <c r="D1323" s="18"/>
      <c r="E1323" s="19"/>
      <c r="F1323" s="20"/>
      <c r="G1323" s="18"/>
      <c r="H1323" s="19"/>
      <c r="I1323" s="20"/>
      <c r="J1323" s="21"/>
      <c r="K1323" s="22"/>
      <c r="L1323" s="23"/>
      <c r="M1323" s="24"/>
      <c r="N1323" s="25"/>
      <c r="O1323" s="25"/>
      <c r="P1323" s="23"/>
      <c r="Q1323" s="26"/>
      <c r="R1323" s="371"/>
      <c r="S1323" s="27"/>
      <c r="T1323" s="372"/>
      <c r="U1323" s="31"/>
      <c r="V1323" s="1418">
        <f t="shared" si="137"/>
        <v>0</v>
      </c>
      <c r="AB1323" s="15"/>
    </row>
    <row r="1324" spans="1:36" s="77" customFormat="1" ht="15.6" hidden="1">
      <c r="A1324" s="370"/>
      <c r="B1324" s="499"/>
      <c r="C1324" s="37"/>
      <c r="D1324" s="1929" t="s">
        <v>1520</v>
      </c>
      <c r="E1324" s="1930"/>
      <c r="F1324" s="1930"/>
      <c r="G1324" s="1930"/>
      <c r="H1324" s="1930"/>
      <c r="I1324" s="1931"/>
      <c r="J1324" s="1932">
        <f>VLOOKUP(A1326,'11 - FINANCEIRA'!_xlnm.Print_Area,6,FALSE)</f>
        <v>4.84</v>
      </c>
      <c r="K1324" s="1933"/>
      <c r="L1324" s="1343" t="str">
        <f>VLOOKUP(A1326,'11 - FINANCEIRA'!_xlnm.Print_Area,4,FALSE)</f>
        <v>m²</v>
      </c>
      <c r="M1324" s="1934" t="s">
        <v>1521</v>
      </c>
      <c r="N1324" s="1935"/>
      <c r="O1324" s="1935"/>
      <c r="P1324" s="1935"/>
      <c r="Q1324" s="1936"/>
      <c r="R1324" s="726">
        <f>SUM(R1320:R1323)</f>
        <v>4.84</v>
      </c>
      <c r="S1324" s="1344" t="str">
        <f>L1324</f>
        <v>m²</v>
      </c>
      <c r="T1324" s="373"/>
      <c r="U1324" s="486"/>
      <c r="V1324" s="1418">
        <f t="shared" si="137"/>
        <v>0</v>
      </c>
      <c r="AB1324" s="15"/>
    </row>
    <row r="1325" spans="1:36" s="77" customFormat="1" ht="15.6" hidden="1">
      <c r="A1325" s="370"/>
      <c r="B1325" s="499"/>
      <c r="C1325" s="725"/>
      <c r="D1325" s="1937" t="s">
        <v>1522</v>
      </c>
      <c r="E1325" s="1938"/>
      <c r="F1325" s="1938"/>
      <c r="G1325" s="1938"/>
      <c r="H1325" s="1938"/>
      <c r="I1325" s="1939"/>
      <c r="J1325" s="1943">
        <f>R1324/J1324</f>
        <v>1</v>
      </c>
      <c r="K1325" s="1944"/>
      <c r="L1325" s="1947"/>
      <c r="M1325" s="1934" t="s">
        <v>1523</v>
      </c>
      <c r="N1325" s="1935"/>
      <c r="O1325" s="1935"/>
      <c r="P1325" s="1935"/>
      <c r="Q1325" s="1936"/>
      <c r="R1325" s="726">
        <f>VLOOKUP(A1326,'11 - FINANCEIRA'!_xlnm.Print_Area,8,FALSE)</f>
        <v>4.84</v>
      </c>
      <c r="S1325" s="727" t="str">
        <f>L1324</f>
        <v>m²</v>
      </c>
      <c r="T1325" s="373"/>
      <c r="U1325" s="486"/>
      <c r="V1325" s="1418">
        <f t="shared" si="137"/>
        <v>0</v>
      </c>
      <c r="AB1325" s="15"/>
    </row>
    <row r="1326" spans="1:36" s="77" customFormat="1" ht="15.6" hidden="1">
      <c r="A1326" s="364" t="s">
        <v>427</v>
      </c>
      <c r="B1326" s="499"/>
      <c r="C1326" s="37"/>
      <c r="D1326" s="2013"/>
      <c r="E1326" s="2014"/>
      <c r="F1326" s="2014"/>
      <c r="G1326" s="2014"/>
      <c r="H1326" s="2014"/>
      <c r="I1326" s="2015"/>
      <c r="J1326" s="2016"/>
      <c r="K1326" s="2017"/>
      <c r="L1326" s="1962"/>
      <c r="M1326" s="2007" t="s">
        <v>1524</v>
      </c>
      <c r="N1326" s="2008"/>
      <c r="O1326" s="2008"/>
      <c r="P1326" s="2008"/>
      <c r="Q1326" s="2009"/>
      <c r="R1326" s="1345">
        <f>R1324-R1325</f>
        <v>0</v>
      </c>
      <c r="S1326" s="1346" t="str">
        <f>L1324</f>
        <v>m²</v>
      </c>
      <c r="T1326" s="373"/>
      <c r="U1326" s="486"/>
      <c r="V1326" s="1418">
        <f>R1326</f>
        <v>0</v>
      </c>
      <c r="AB1326" s="15"/>
    </row>
    <row r="1327" spans="1:36" s="77" customFormat="1" ht="15.6" hidden="1">
      <c r="A1327" s="370"/>
      <c r="B1327" s="1347"/>
      <c r="C1327" s="1348"/>
      <c r="D1327" s="1349"/>
      <c r="E1327" s="1350"/>
      <c r="F1327" s="1349"/>
      <c r="G1327" s="1349"/>
      <c r="H1327" s="1349"/>
      <c r="I1327" s="1349"/>
      <c r="J1327" s="1351"/>
      <c r="K1327" s="1352"/>
      <c r="L1327" s="1353"/>
      <c r="M1327" s="1354"/>
      <c r="N1327" s="1354"/>
      <c r="O1327" s="1354"/>
      <c r="P1327" s="1354"/>
      <c r="Q1327" s="1354"/>
      <c r="R1327" s="1355"/>
      <c r="S1327" s="1356"/>
      <c r="T1327" s="1357"/>
      <c r="U1327" s="1358"/>
      <c r="V1327" s="1420">
        <f>SUM(V1318:V1326)</f>
        <v>0</v>
      </c>
      <c r="AB1327" s="15"/>
    </row>
    <row r="1328" spans="1:36" s="352" customFormat="1" ht="15.6" hidden="1">
      <c r="A1328" s="351"/>
      <c r="B1328" s="1963" t="str">
        <f>VLOOKUP(A1336,'11 - FINANCEIRA'!_xlnm.Print_Area,1,FALSE)</f>
        <v>2.3.4.4</v>
      </c>
      <c r="C1328" s="1965" t="str">
        <f>VLOOKUP(A1336,'11 - FINANCEIRA'!_xlnm.Print_Area,3,FALSE)</f>
        <v>Revestimento cerâmico para piso com placas tipo esmaltada extra de dimensões 45x45 cm aplicada em ambientes de área entre 5 m² e 10 m². af_06/2014</v>
      </c>
      <c r="D1328" s="1967" t="s">
        <v>1503</v>
      </c>
      <c r="E1328" s="1968"/>
      <c r="F1328" s="1968"/>
      <c r="G1328" s="1968"/>
      <c r="H1328" s="1968"/>
      <c r="I1328" s="1969"/>
      <c r="J1328" s="1914" t="s">
        <v>1504</v>
      </c>
      <c r="K1328" s="1914" t="s">
        <v>1505</v>
      </c>
      <c r="L1328" s="1914" t="s">
        <v>1506</v>
      </c>
      <c r="M1328" s="1914" t="s">
        <v>1507</v>
      </c>
      <c r="N1328" s="1914" t="s">
        <v>1508</v>
      </c>
      <c r="O1328" s="1914" t="s">
        <v>1509</v>
      </c>
      <c r="P1328" s="1341" t="s">
        <v>1510</v>
      </c>
      <c r="Q1328" s="1914" t="s">
        <v>1493</v>
      </c>
      <c r="R1328" s="1916" t="s">
        <v>804</v>
      </c>
      <c r="S1328" s="1914" t="s">
        <v>1511</v>
      </c>
      <c r="T1328" s="1914" t="s">
        <v>1512</v>
      </c>
      <c r="U1328" s="1918" t="s">
        <v>1513</v>
      </c>
      <c r="V1328" s="1418">
        <f t="shared" ref="V1328:V1335" si="138">V1329</f>
        <v>0</v>
      </c>
      <c r="W1328" s="16"/>
      <c r="X1328" s="16"/>
      <c r="Y1328" s="16"/>
      <c r="Z1328" s="17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</row>
    <row r="1329" spans="1:36" s="352" customFormat="1" ht="15.6" hidden="1">
      <c r="A1329" s="351"/>
      <c r="B1329" s="1964" t="e">
        <f>LEFT(#REF!,5)</f>
        <v>#REF!</v>
      </c>
      <c r="C1329" s="1966" t="e">
        <f>VLOOKUP(LEFT(#REF!,5),'11 - FINANCEIRA'!_xlnm.Print_Area,2,FALSE)</f>
        <v>#REF!</v>
      </c>
      <c r="D1329" s="1920" t="s">
        <v>1514</v>
      </c>
      <c r="E1329" s="1921"/>
      <c r="F1329" s="1922"/>
      <c r="G1329" s="1923" t="s">
        <v>1515</v>
      </c>
      <c r="H1329" s="1924"/>
      <c r="I1329" s="1925"/>
      <c r="J1329" s="1915"/>
      <c r="K1329" s="1915"/>
      <c r="L1329" s="1915"/>
      <c r="M1329" s="1915"/>
      <c r="N1329" s="1915"/>
      <c r="O1329" s="1915"/>
      <c r="P1329" s="353" t="s">
        <v>1516</v>
      </c>
      <c r="Q1329" s="1915"/>
      <c r="R1329" s="1917"/>
      <c r="S1329" s="1915"/>
      <c r="T1329" s="1915"/>
      <c r="U1329" s="1919"/>
      <c r="V1329" s="1418">
        <f t="shared" si="138"/>
        <v>0</v>
      </c>
      <c r="W1329" s="16"/>
      <c r="X1329" s="16"/>
      <c r="Y1329" s="16"/>
      <c r="Z1329" s="17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</row>
    <row r="1330" spans="1:36" s="361" customFormat="1" ht="30" hidden="1">
      <c r="A1330" s="354"/>
      <c r="B1330" s="355"/>
      <c r="C1330" s="32" t="s">
        <v>931</v>
      </c>
      <c r="D1330" s="33"/>
      <c r="E1330" s="34"/>
      <c r="F1330" s="35"/>
      <c r="G1330" s="33"/>
      <c r="H1330" s="34"/>
      <c r="I1330" s="35"/>
      <c r="J1330" s="43"/>
      <c r="K1330" s="42"/>
      <c r="L1330" s="39"/>
      <c r="M1330" s="41"/>
      <c r="N1330" s="356"/>
      <c r="O1330" s="40"/>
      <c r="P1330" s="39"/>
      <c r="Q1330" s="45"/>
      <c r="R1330" s="1359">
        <v>6.29</v>
      </c>
      <c r="S1330" s="1265" t="s">
        <v>821</v>
      </c>
      <c r="T1330" s="46" t="s">
        <v>329</v>
      </c>
      <c r="U1330" s="44"/>
      <c r="V1330" s="1418">
        <f t="shared" si="138"/>
        <v>0</v>
      </c>
      <c r="W1330" s="357"/>
      <c r="X1330" s="357"/>
      <c r="Y1330" s="357"/>
      <c r="Z1330" s="358"/>
      <c r="AA1330" s="359"/>
      <c r="AB1330" s="360"/>
    </row>
    <row r="1331" spans="1:36" s="361" customFormat="1" ht="15" hidden="1" customHeight="1">
      <c r="A1331" s="354"/>
      <c r="B1331" s="355"/>
      <c r="C1331" s="32"/>
      <c r="D1331" s="33"/>
      <c r="E1331" s="34"/>
      <c r="F1331" s="35"/>
      <c r="G1331" s="33"/>
      <c r="H1331" s="34"/>
      <c r="I1331" s="35"/>
      <c r="J1331" s="43"/>
      <c r="K1331" s="42"/>
      <c r="L1331" s="39"/>
      <c r="M1331" s="41"/>
      <c r="N1331" s="356"/>
      <c r="O1331" s="40"/>
      <c r="P1331" s="39"/>
      <c r="Q1331" s="45"/>
      <c r="R1331" s="362"/>
      <c r="S1331" s="363"/>
      <c r="T1331" s="46"/>
      <c r="U1331" s="44"/>
      <c r="V1331" s="1418">
        <f t="shared" si="138"/>
        <v>0</v>
      </c>
      <c r="W1331" s="357"/>
      <c r="X1331" s="357"/>
      <c r="Y1331" s="357"/>
      <c r="Z1331" s="358"/>
      <c r="AA1331" s="359"/>
      <c r="AB1331" s="360"/>
    </row>
    <row r="1332" spans="1:36" s="369" customFormat="1" ht="15" hidden="1">
      <c r="A1332" s="364"/>
      <c r="B1332" s="355"/>
      <c r="C1332" s="32"/>
      <c r="D1332" s="33"/>
      <c r="E1332" s="34"/>
      <c r="F1332" s="35"/>
      <c r="G1332" s="33"/>
      <c r="H1332" s="34"/>
      <c r="I1332" s="35"/>
      <c r="J1332" s="43"/>
      <c r="K1332" s="42"/>
      <c r="L1332" s="39"/>
      <c r="M1332" s="41"/>
      <c r="N1332" s="40"/>
      <c r="O1332" s="40"/>
      <c r="P1332" s="39"/>
      <c r="Q1332" s="38"/>
      <c r="R1332" s="365"/>
      <c r="S1332" s="366"/>
      <c r="T1332" s="46"/>
      <c r="U1332" s="44"/>
      <c r="V1332" s="1418">
        <f t="shared" si="138"/>
        <v>0</v>
      </c>
      <c r="W1332" s="367"/>
      <c r="X1332" s="367"/>
      <c r="Y1332" s="367"/>
      <c r="Z1332" s="368"/>
    </row>
    <row r="1333" spans="1:36" s="77" customFormat="1" ht="15" hidden="1">
      <c r="A1333" s="370"/>
      <c r="B1333" s="29"/>
      <c r="C1333" s="30"/>
      <c r="D1333" s="18"/>
      <c r="E1333" s="19"/>
      <c r="F1333" s="20"/>
      <c r="G1333" s="18"/>
      <c r="H1333" s="19"/>
      <c r="I1333" s="20"/>
      <c r="J1333" s="21"/>
      <c r="K1333" s="22"/>
      <c r="L1333" s="23"/>
      <c r="M1333" s="24"/>
      <c r="N1333" s="25"/>
      <c r="O1333" s="25"/>
      <c r="P1333" s="23"/>
      <c r="Q1333" s="26"/>
      <c r="R1333" s="371"/>
      <c r="S1333" s="27"/>
      <c r="T1333" s="372"/>
      <c r="U1333" s="31"/>
      <c r="V1333" s="1418">
        <f t="shared" si="138"/>
        <v>0</v>
      </c>
      <c r="AB1333" s="15"/>
    </row>
    <row r="1334" spans="1:36" s="77" customFormat="1" ht="15.6" hidden="1">
      <c r="A1334" s="370"/>
      <c r="B1334" s="499"/>
      <c r="C1334" s="37"/>
      <c r="D1334" s="1929" t="s">
        <v>1520</v>
      </c>
      <c r="E1334" s="1930"/>
      <c r="F1334" s="1930"/>
      <c r="G1334" s="1930"/>
      <c r="H1334" s="1930"/>
      <c r="I1334" s="1931"/>
      <c r="J1334" s="1932">
        <f>VLOOKUP(A1336,'11 - FINANCEIRA'!_xlnm.Print_Area,6,FALSE)</f>
        <v>6.29</v>
      </c>
      <c r="K1334" s="1933"/>
      <c r="L1334" s="1343" t="str">
        <f>VLOOKUP(A1336,'11 - FINANCEIRA'!_xlnm.Print_Area,4,FALSE)</f>
        <v>m²</v>
      </c>
      <c r="M1334" s="1934" t="s">
        <v>1521</v>
      </c>
      <c r="N1334" s="1935"/>
      <c r="O1334" s="1935"/>
      <c r="P1334" s="1935"/>
      <c r="Q1334" s="1936"/>
      <c r="R1334" s="726">
        <f>SUM(R1330:R1333)</f>
        <v>6.29</v>
      </c>
      <c r="S1334" s="1344" t="str">
        <f>L1334</f>
        <v>m²</v>
      </c>
      <c r="T1334" s="373"/>
      <c r="U1334" s="486"/>
      <c r="V1334" s="1418">
        <f t="shared" si="138"/>
        <v>0</v>
      </c>
      <c r="AB1334" s="15"/>
    </row>
    <row r="1335" spans="1:36" s="77" customFormat="1" ht="15.6" hidden="1">
      <c r="A1335" s="370"/>
      <c r="B1335" s="499"/>
      <c r="C1335" s="725"/>
      <c r="D1335" s="1937" t="s">
        <v>1522</v>
      </c>
      <c r="E1335" s="1938"/>
      <c r="F1335" s="1938"/>
      <c r="G1335" s="1938"/>
      <c r="H1335" s="1938"/>
      <c r="I1335" s="1939"/>
      <c r="J1335" s="1943">
        <f>R1334/J1334</f>
        <v>1</v>
      </c>
      <c r="K1335" s="1944"/>
      <c r="L1335" s="1947"/>
      <c r="M1335" s="1934" t="s">
        <v>1523</v>
      </c>
      <c r="N1335" s="1935"/>
      <c r="O1335" s="1935"/>
      <c r="P1335" s="1935"/>
      <c r="Q1335" s="1936"/>
      <c r="R1335" s="726">
        <f>VLOOKUP(A1336,'11 - FINANCEIRA'!_xlnm.Print_Area,8,FALSE)</f>
        <v>6.29</v>
      </c>
      <c r="S1335" s="727" t="str">
        <f>L1334</f>
        <v>m²</v>
      </c>
      <c r="T1335" s="373"/>
      <c r="U1335" s="486"/>
      <c r="V1335" s="1418">
        <f t="shared" si="138"/>
        <v>0</v>
      </c>
      <c r="AB1335" s="15"/>
    </row>
    <row r="1336" spans="1:36" s="77" customFormat="1" ht="15.6" hidden="1">
      <c r="A1336" s="364" t="s">
        <v>428</v>
      </c>
      <c r="B1336" s="499"/>
      <c r="C1336" s="37"/>
      <c r="D1336" s="2013"/>
      <c r="E1336" s="2014"/>
      <c r="F1336" s="2014"/>
      <c r="G1336" s="2014"/>
      <c r="H1336" s="2014"/>
      <c r="I1336" s="2015"/>
      <c r="J1336" s="2016"/>
      <c r="K1336" s="2017"/>
      <c r="L1336" s="1962"/>
      <c r="M1336" s="2007" t="s">
        <v>1524</v>
      </c>
      <c r="N1336" s="2008"/>
      <c r="O1336" s="2008"/>
      <c r="P1336" s="2008"/>
      <c r="Q1336" s="2009"/>
      <c r="R1336" s="1345">
        <f>R1334-R1335</f>
        <v>0</v>
      </c>
      <c r="S1336" s="1346" t="str">
        <f>L1334</f>
        <v>m²</v>
      </c>
      <c r="T1336" s="373"/>
      <c r="U1336" s="486"/>
      <c r="V1336" s="1418">
        <f>R1336</f>
        <v>0</v>
      </c>
      <c r="AB1336" s="15"/>
    </row>
    <row r="1337" spans="1:36" s="77" customFormat="1" ht="15.6" hidden="1">
      <c r="A1337" s="370"/>
      <c r="B1337" s="1347"/>
      <c r="C1337" s="1348"/>
      <c r="D1337" s="1349"/>
      <c r="E1337" s="1350"/>
      <c r="F1337" s="1349"/>
      <c r="G1337" s="1349"/>
      <c r="H1337" s="1349"/>
      <c r="I1337" s="1349"/>
      <c r="J1337" s="1351"/>
      <c r="K1337" s="1352"/>
      <c r="L1337" s="1353"/>
      <c r="M1337" s="1354"/>
      <c r="N1337" s="1354"/>
      <c r="O1337" s="1354"/>
      <c r="P1337" s="1354"/>
      <c r="Q1337" s="1354"/>
      <c r="R1337" s="1355"/>
      <c r="S1337" s="1356"/>
      <c r="T1337" s="1357"/>
      <c r="U1337" s="1358"/>
      <c r="V1337" s="1420">
        <f>SUM(V1328:V1336)</f>
        <v>0</v>
      </c>
      <c r="AB1337" s="15"/>
    </row>
    <row r="1338" spans="1:36" s="352" customFormat="1" ht="15.6" hidden="1">
      <c r="A1338" s="351"/>
      <c r="B1338" s="1963" t="str">
        <f>VLOOKUP(A1346,'11 - FINANCEIRA'!_xlnm.Print_Area,1,FALSE)</f>
        <v>2.3.4.5</v>
      </c>
      <c r="C1338" s="1965" t="str">
        <f>VLOOKUP(A1346,'11 - FINANCEIRA'!_xlnm.Print_Area,3,FALSE)</f>
        <v>Bancada de granito cinza polido, de 1,50 x 0,60 m, para pia de cozinha - fornecimento e instalação. af_01/2020</v>
      </c>
      <c r="D1338" s="1967" t="s">
        <v>1503</v>
      </c>
      <c r="E1338" s="1968"/>
      <c r="F1338" s="1968"/>
      <c r="G1338" s="1968"/>
      <c r="H1338" s="1968"/>
      <c r="I1338" s="1969"/>
      <c r="J1338" s="1914" t="s">
        <v>1504</v>
      </c>
      <c r="K1338" s="1914" t="s">
        <v>1505</v>
      </c>
      <c r="L1338" s="1914" t="s">
        <v>1506</v>
      </c>
      <c r="M1338" s="1914" t="s">
        <v>1507</v>
      </c>
      <c r="N1338" s="1914" t="s">
        <v>1508</v>
      </c>
      <c r="O1338" s="1914" t="s">
        <v>1509</v>
      </c>
      <c r="P1338" s="1341" t="s">
        <v>1510</v>
      </c>
      <c r="Q1338" s="1914" t="s">
        <v>1493</v>
      </c>
      <c r="R1338" s="1916" t="s">
        <v>804</v>
      </c>
      <c r="S1338" s="1914" t="s">
        <v>1511</v>
      </c>
      <c r="T1338" s="1914" t="s">
        <v>1512</v>
      </c>
      <c r="U1338" s="1918" t="s">
        <v>1513</v>
      </c>
      <c r="V1338" s="1418">
        <f t="shared" ref="V1338:V1345" si="139">V1339</f>
        <v>0</v>
      </c>
      <c r="W1338" s="16"/>
      <c r="X1338" s="16"/>
      <c r="Y1338" s="16"/>
      <c r="Z1338" s="17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</row>
    <row r="1339" spans="1:36" s="352" customFormat="1" ht="15.6" hidden="1">
      <c r="A1339" s="351"/>
      <c r="B1339" s="1964" t="e">
        <f>LEFT(#REF!,5)</f>
        <v>#REF!</v>
      </c>
      <c r="C1339" s="1966" t="e">
        <f>VLOOKUP(LEFT(#REF!,5),'11 - FINANCEIRA'!_xlnm.Print_Area,2,FALSE)</f>
        <v>#REF!</v>
      </c>
      <c r="D1339" s="1920" t="s">
        <v>1514</v>
      </c>
      <c r="E1339" s="1921"/>
      <c r="F1339" s="1922"/>
      <c r="G1339" s="1923" t="s">
        <v>1515</v>
      </c>
      <c r="H1339" s="1924"/>
      <c r="I1339" s="1925"/>
      <c r="J1339" s="1915"/>
      <c r="K1339" s="1915"/>
      <c r="L1339" s="1915"/>
      <c r="M1339" s="1915"/>
      <c r="N1339" s="1915"/>
      <c r="O1339" s="1915"/>
      <c r="P1339" s="353" t="s">
        <v>1516</v>
      </c>
      <c r="Q1339" s="1915"/>
      <c r="R1339" s="1917"/>
      <c r="S1339" s="1915"/>
      <c r="T1339" s="1915"/>
      <c r="U1339" s="1919"/>
      <c r="V1339" s="1418">
        <f t="shared" si="139"/>
        <v>0</v>
      </c>
      <c r="W1339" s="16"/>
      <c r="X1339" s="16"/>
      <c r="Y1339" s="16"/>
      <c r="Z1339" s="17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</row>
    <row r="1340" spans="1:36" s="361" customFormat="1" ht="30" hidden="1">
      <c r="A1340" s="354"/>
      <c r="B1340" s="355"/>
      <c r="C1340" s="32" t="s">
        <v>958</v>
      </c>
      <c r="D1340" s="33"/>
      <c r="E1340" s="34"/>
      <c r="F1340" s="35"/>
      <c r="G1340" s="33"/>
      <c r="H1340" s="34"/>
      <c r="I1340" s="35"/>
      <c r="J1340" s="43"/>
      <c r="K1340" s="42"/>
      <c r="L1340" s="39"/>
      <c r="M1340" s="41"/>
      <c r="N1340" s="356"/>
      <c r="O1340" s="40"/>
      <c r="P1340" s="39"/>
      <c r="Q1340" s="45"/>
      <c r="R1340" s="1359">
        <v>1</v>
      </c>
      <c r="S1340" s="1265" t="s">
        <v>816</v>
      </c>
      <c r="T1340" s="46" t="s">
        <v>54</v>
      </c>
      <c r="U1340" s="44"/>
      <c r="V1340" s="1418">
        <f t="shared" si="139"/>
        <v>0</v>
      </c>
      <c r="W1340" s="357"/>
      <c r="X1340" s="357"/>
      <c r="Y1340" s="357"/>
      <c r="Z1340" s="358"/>
      <c r="AA1340" s="359"/>
      <c r="AB1340" s="360"/>
    </row>
    <row r="1341" spans="1:36" s="361" customFormat="1" ht="15" hidden="1" customHeight="1">
      <c r="A1341" s="354"/>
      <c r="B1341" s="355"/>
      <c r="C1341" s="32"/>
      <c r="D1341" s="33"/>
      <c r="E1341" s="34"/>
      <c r="F1341" s="35"/>
      <c r="G1341" s="33"/>
      <c r="H1341" s="34"/>
      <c r="I1341" s="35"/>
      <c r="J1341" s="43"/>
      <c r="K1341" s="42"/>
      <c r="L1341" s="39"/>
      <c r="M1341" s="41"/>
      <c r="N1341" s="356"/>
      <c r="O1341" s="40"/>
      <c r="P1341" s="39"/>
      <c r="Q1341" s="45"/>
      <c r="R1341" s="362"/>
      <c r="S1341" s="363"/>
      <c r="T1341" s="46"/>
      <c r="U1341" s="44"/>
      <c r="V1341" s="1418">
        <f t="shared" si="139"/>
        <v>0</v>
      </c>
      <c r="W1341" s="357"/>
      <c r="X1341" s="357"/>
      <c r="Y1341" s="357"/>
      <c r="Z1341" s="358"/>
      <c r="AA1341" s="359"/>
      <c r="AB1341" s="360"/>
    </row>
    <row r="1342" spans="1:36" s="369" customFormat="1" ht="15" hidden="1">
      <c r="A1342" s="364"/>
      <c r="B1342" s="355"/>
      <c r="C1342" s="32"/>
      <c r="D1342" s="33"/>
      <c r="E1342" s="34"/>
      <c r="F1342" s="35"/>
      <c r="G1342" s="33"/>
      <c r="H1342" s="34"/>
      <c r="I1342" s="35"/>
      <c r="J1342" s="43"/>
      <c r="K1342" s="42"/>
      <c r="L1342" s="39"/>
      <c r="M1342" s="41"/>
      <c r="N1342" s="40"/>
      <c r="O1342" s="40"/>
      <c r="P1342" s="39"/>
      <c r="Q1342" s="38"/>
      <c r="R1342" s="365"/>
      <c r="S1342" s="366"/>
      <c r="T1342" s="46"/>
      <c r="U1342" s="44"/>
      <c r="V1342" s="1418">
        <f t="shared" si="139"/>
        <v>0</v>
      </c>
      <c r="W1342" s="367"/>
      <c r="X1342" s="367"/>
      <c r="Y1342" s="367"/>
      <c r="Z1342" s="368"/>
    </row>
    <row r="1343" spans="1:36" s="77" customFormat="1" ht="15" hidden="1">
      <c r="A1343" s="370"/>
      <c r="B1343" s="29"/>
      <c r="C1343" s="30"/>
      <c r="D1343" s="18"/>
      <c r="E1343" s="19"/>
      <c r="F1343" s="20"/>
      <c r="G1343" s="18"/>
      <c r="H1343" s="19"/>
      <c r="I1343" s="20"/>
      <c r="J1343" s="21"/>
      <c r="K1343" s="22"/>
      <c r="L1343" s="23"/>
      <c r="M1343" s="24"/>
      <c r="N1343" s="25"/>
      <c r="O1343" s="25"/>
      <c r="P1343" s="23"/>
      <c r="Q1343" s="26"/>
      <c r="R1343" s="371"/>
      <c r="S1343" s="27"/>
      <c r="T1343" s="372"/>
      <c r="U1343" s="31"/>
      <c r="V1343" s="1418">
        <f t="shared" si="139"/>
        <v>0</v>
      </c>
      <c r="AB1343" s="15"/>
    </row>
    <row r="1344" spans="1:36" s="77" customFormat="1" ht="15.6" hidden="1">
      <c r="A1344" s="370"/>
      <c r="B1344" s="499"/>
      <c r="C1344" s="37"/>
      <c r="D1344" s="1929" t="s">
        <v>1520</v>
      </c>
      <c r="E1344" s="1930"/>
      <c r="F1344" s="1930"/>
      <c r="G1344" s="1930"/>
      <c r="H1344" s="1930"/>
      <c r="I1344" s="1931"/>
      <c r="J1344" s="1932">
        <f>VLOOKUP(A1346,'11 - FINANCEIRA'!_xlnm.Print_Area,6,FALSE)</f>
        <v>1</v>
      </c>
      <c r="K1344" s="1933"/>
      <c r="L1344" s="1343" t="str">
        <f>VLOOKUP(A1346,'11 - FINANCEIRA'!_xlnm.Print_Area,4,FALSE)</f>
        <v>und</v>
      </c>
      <c r="M1344" s="1934" t="s">
        <v>1521</v>
      </c>
      <c r="N1344" s="1935"/>
      <c r="O1344" s="1935"/>
      <c r="P1344" s="1935"/>
      <c r="Q1344" s="1936"/>
      <c r="R1344" s="726">
        <f>SUM(R1340:R1343)</f>
        <v>1</v>
      </c>
      <c r="S1344" s="1344" t="str">
        <f>L1344</f>
        <v>und</v>
      </c>
      <c r="T1344" s="373"/>
      <c r="U1344" s="486"/>
      <c r="V1344" s="1418">
        <f t="shared" si="139"/>
        <v>0</v>
      </c>
      <c r="AB1344" s="15"/>
    </row>
    <row r="1345" spans="1:36" s="77" customFormat="1" ht="15.6" hidden="1">
      <c r="A1345" s="370"/>
      <c r="B1345" s="499"/>
      <c r="C1345" s="725"/>
      <c r="D1345" s="1937" t="s">
        <v>1522</v>
      </c>
      <c r="E1345" s="1938"/>
      <c r="F1345" s="1938"/>
      <c r="G1345" s="1938"/>
      <c r="H1345" s="1938"/>
      <c r="I1345" s="1939"/>
      <c r="J1345" s="1943">
        <f>R1344/J1344</f>
        <v>1</v>
      </c>
      <c r="K1345" s="1944"/>
      <c r="L1345" s="1947"/>
      <c r="M1345" s="1934" t="s">
        <v>1523</v>
      </c>
      <c r="N1345" s="1935"/>
      <c r="O1345" s="1935"/>
      <c r="P1345" s="1935"/>
      <c r="Q1345" s="1936"/>
      <c r="R1345" s="726">
        <f>VLOOKUP(A1346,'11 - FINANCEIRA'!_xlnm.Print_Area,8,FALSE)</f>
        <v>1</v>
      </c>
      <c r="S1345" s="727" t="str">
        <f>L1344</f>
        <v>und</v>
      </c>
      <c r="T1345" s="373"/>
      <c r="U1345" s="486"/>
      <c r="V1345" s="1418">
        <f t="shared" si="139"/>
        <v>0</v>
      </c>
      <c r="AB1345" s="15"/>
    </row>
    <row r="1346" spans="1:36" s="77" customFormat="1" ht="15.6" hidden="1">
      <c r="A1346" s="364" t="s">
        <v>429</v>
      </c>
      <c r="B1346" s="499"/>
      <c r="C1346" s="37"/>
      <c r="D1346" s="2013"/>
      <c r="E1346" s="2014"/>
      <c r="F1346" s="2014"/>
      <c r="G1346" s="2014"/>
      <c r="H1346" s="2014"/>
      <c r="I1346" s="2015"/>
      <c r="J1346" s="2016"/>
      <c r="K1346" s="2017"/>
      <c r="L1346" s="1962"/>
      <c r="M1346" s="2007" t="s">
        <v>1524</v>
      </c>
      <c r="N1346" s="2008"/>
      <c r="O1346" s="2008"/>
      <c r="P1346" s="2008"/>
      <c r="Q1346" s="2009"/>
      <c r="R1346" s="1345">
        <f>R1344-R1345</f>
        <v>0</v>
      </c>
      <c r="S1346" s="1346" t="str">
        <f>L1344</f>
        <v>und</v>
      </c>
      <c r="T1346" s="373"/>
      <c r="U1346" s="486"/>
      <c r="V1346" s="1418">
        <f>R1346</f>
        <v>0</v>
      </c>
      <c r="AB1346" s="15"/>
    </row>
    <row r="1347" spans="1:36" s="77" customFormat="1" ht="15.6" hidden="1">
      <c r="A1347" s="370"/>
      <c r="B1347" s="1347"/>
      <c r="C1347" s="1348"/>
      <c r="D1347" s="1349"/>
      <c r="E1347" s="1350"/>
      <c r="F1347" s="1349"/>
      <c r="G1347" s="1349"/>
      <c r="H1347" s="1349"/>
      <c r="I1347" s="1349"/>
      <c r="J1347" s="1351"/>
      <c r="K1347" s="1352"/>
      <c r="L1347" s="1353"/>
      <c r="M1347" s="1354"/>
      <c r="N1347" s="1354"/>
      <c r="O1347" s="1354"/>
      <c r="P1347" s="1354"/>
      <c r="Q1347" s="1354"/>
      <c r="R1347" s="1355"/>
      <c r="S1347" s="1356"/>
      <c r="T1347" s="1357"/>
      <c r="U1347" s="1358"/>
      <c r="V1347" s="1420">
        <f>SUM(V1338:V1346)</f>
        <v>0</v>
      </c>
      <c r="AB1347" s="15"/>
    </row>
    <row r="1348" spans="1:36" s="352" customFormat="1" ht="15.6" hidden="1">
      <c r="A1348" s="351"/>
      <c r="B1348" s="1963" t="str">
        <f>VLOOKUP(A1356,'11 - FINANCEIRA'!_xlnm.Print_Area,1,FALSE)</f>
        <v>2.3.4.6</v>
      </c>
      <c r="C1348" s="1965" t="str">
        <f>VLOOKUP(A1356,'11 - FINANCEIRA'!_xlnm.Print_Area,3,FALSE)</f>
        <v>Cuba de embutir de aço inoxidável média, incluso válvula tipo americana e sifão tipo garrafa em metal cromado - fornecimento e instalação. af_01/2020</v>
      </c>
      <c r="D1348" s="1967" t="s">
        <v>1503</v>
      </c>
      <c r="E1348" s="1968"/>
      <c r="F1348" s="1968"/>
      <c r="G1348" s="1968"/>
      <c r="H1348" s="1968"/>
      <c r="I1348" s="1969"/>
      <c r="J1348" s="1914" t="s">
        <v>1504</v>
      </c>
      <c r="K1348" s="1914" t="s">
        <v>1505</v>
      </c>
      <c r="L1348" s="1914" t="s">
        <v>1506</v>
      </c>
      <c r="M1348" s="1914" t="s">
        <v>1507</v>
      </c>
      <c r="N1348" s="1914" t="s">
        <v>1508</v>
      </c>
      <c r="O1348" s="1914" t="s">
        <v>1509</v>
      </c>
      <c r="P1348" s="1341" t="s">
        <v>1510</v>
      </c>
      <c r="Q1348" s="1914" t="s">
        <v>1493</v>
      </c>
      <c r="R1348" s="1916" t="s">
        <v>804</v>
      </c>
      <c r="S1348" s="1914" t="s">
        <v>1511</v>
      </c>
      <c r="T1348" s="1914" t="s">
        <v>1512</v>
      </c>
      <c r="U1348" s="1918" t="s">
        <v>1513</v>
      </c>
      <c r="V1348" s="1418">
        <f t="shared" ref="V1348:V1355" si="140">V1349</f>
        <v>0</v>
      </c>
      <c r="W1348" s="16"/>
      <c r="X1348" s="16"/>
      <c r="Y1348" s="16"/>
      <c r="Z1348" s="17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</row>
    <row r="1349" spans="1:36" s="352" customFormat="1" ht="15.6" hidden="1">
      <c r="A1349" s="351"/>
      <c r="B1349" s="1964" t="e">
        <f>LEFT(#REF!,5)</f>
        <v>#REF!</v>
      </c>
      <c r="C1349" s="1966" t="e">
        <f>VLOOKUP(LEFT(#REF!,5),'11 - FINANCEIRA'!_xlnm.Print_Area,2,FALSE)</f>
        <v>#REF!</v>
      </c>
      <c r="D1349" s="1920" t="s">
        <v>1514</v>
      </c>
      <c r="E1349" s="1921"/>
      <c r="F1349" s="1922"/>
      <c r="G1349" s="1923" t="s">
        <v>1515</v>
      </c>
      <c r="H1349" s="1924"/>
      <c r="I1349" s="1925"/>
      <c r="J1349" s="1915"/>
      <c r="K1349" s="1915"/>
      <c r="L1349" s="1915"/>
      <c r="M1349" s="1915"/>
      <c r="N1349" s="1915"/>
      <c r="O1349" s="1915"/>
      <c r="P1349" s="353" t="s">
        <v>1516</v>
      </c>
      <c r="Q1349" s="1915"/>
      <c r="R1349" s="1917"/>
      <c r="S1349" s="1915"/>
      <c r="T1349" s="1915"/>
      <c r="U1349" s="1919"/>
      <c r="V1349" s="1418">
        <f t="shared" si="140"/>
        <v>0</v>
      </c>
      <c r="W1349" s="16"/>
      <c r="X1349" s="16"/>
      <c r="Y1349" s="16"/>
      <c r="Z1349" s="17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</row>
    <row r="1350" spans="1:36" s="361" customFormat="1" ht="30" hidden="1">
      <c r="A1350" s="354"/>
      <c r="B1350" s="355"/>
      <c r="C1350" s="32" t="s">
        <v>960</v>
      </c>
      <c r="D1350" s="33"/>
      <c r="E1350" s="34"/>
      <c r="F1350" s="35"/>
      <c r="G1350" s="33"/>
      <c r="H1350" s="34"/>
      <c r="I1350" s="35"/>
      <c r="J1350" s="43"/>
      <c r="K1350" s="42"/>
      <c r="L1350" s="39"/>
      <c r="M1350" s="41"/>
      <c r="N1350" s="356"/>
      <c r="O1350" s="40"/>
      <c r="P1350" s="39"/>
      <c r="Q1350" s="45"/>
      <c r="R1350" s="1359">
        <v>1</v>
      </c>
      <c r="S1350" s="1265" t="s">
        <v>816</v>
      </c>
      <c r="T1350" s="46" t="s">
        <v>54</v>
      </c>
      <c r="U1350" s="44"/>
      <c r="V1350" s="1418">
        <f t="shared" si="140"/>
        <v>0</v>
      </c>
      <c r="W1350" s="357"/>
      <c r="X1350" s="357"/>
      <c r="Y1350" s="357"/>
      <c r="Z1350" s="358"/>
      <c r="AA1350" s="359"/>
      <c r="AB1350" s="360"/>
    </row>
    <row r="1351" spans="1:36" s="361" customFormat="1" ht="15" hidden="1" customHeight="1">
      <c r="A1351" s="354"/>
      <c r="B1351" s="355"/>
      <c r="C1351" s="32"/>
      <c r="D1351" s="33"/>
      <c r="E1351" s="34"/>
      <c r="F1351" s="35"/>
      <c r="G1351" s="33"/>
      <c r="H1351" s="34"/>
      <c r="I1351" s="35"/>
      <c r="J1351" s="43"/>
      <c r="K1351" s="42"/>
      <c r="L1351" s="39"/>
      <c r="M1351" s="41"/>
      <c r="N1351" s="356"/>
      <c r="O1351" s="40"/>
      <c r="P1351" s="39"/>
      <c r="Q1351" s="45"/>
      <c r="R1351" s="362"/>
      <c r="S1351" s="363"/>
      <c r="T1351" s="46"/>
      <c r="U1351" s="44"/>
      <c r="V1351" s="1418">
        <f t="shared" si="140"/>
        <v>0</v>
      </c>
      <c r="W1351" s="357"/>
      <c r="X1351" s="357"/>
      <c r="Y1351" s="357"/>
      <c r="Z1351" s="358"/>
      <c r="AA1351" s="359"/>
      <c r="AB1351" s="360"/>
    </row>
    <row r="1352" spans="1:36" s="369" customFormat="1" ht="15" hidden="1">
      <c r="A1352" s="364"/>
      <c r="B1352" s="355"/>
      <c r="C1352" s="32"/>
      <c r="D1352" s="33"/>
      <c r="E1352" s="34"/>
      <c r="F1352" s="35"/>
      <c r="G1352" s="33"/>
      <c r="H1352" s="34"/>
      <c r="I1352" s="35"/>
      <c r="J1352" s="43"/>
      <c r="K1352" s="42"/>
      <c r="L1352" s="39"/>
      <c r="M1352" s="41"/>
      <c r="N1352" s="40"/>
      <c r="O1352" s="40"/>
      <c r="P1352" s="39"/>
      <c r="Q1352" s="38"/>
      <c r="R1352" s="365"/>
      <c r="S1352" s="366"/>
      <c r="T1352" s="46"/>
      <c r="U1352" s="44"/>
      <c r="V1352" s="1418">
        <f t="shared" si="140"/>
        <v>0</v>
      </c>
      <c r="W1352" s="367"/>
      <c r="X1352" s="367"/>
      <c r="Y1352" s="367"/>
      <c r="Z1352" s="368"/>
    </row>
    <row r="1353" spans="1:36" s="77" customFormat="1" ht="15" hidden="1">
      <c r="A1353" s="370"/>
      <c r="B1353" s="29"/>
      <c r="C1353" s="30"/>
      <c r="D1353" s="18"/>
      <c r="E1353" s="19"/>
      <c r="F1353" s="20"/>
      <c r="G1353" s="18"/>
      <c r="H1353" s="19"/>
      <c r="I1353" s="20"/>
      <c r="J1353" s="21"/>
      <c r="K1353" s="22"/>
      <c r="L1353" s="23"/>
      <c r="M1353" s="24"/>
      <c r="N1353" s="25"/>
      <c r="O1353" s="25"/>
      <c r="P1353" s="23"/>
      <c r="Q1353" s="26"/>
      <c r="R1353" s="371"/>
      <c r="S1353" s="27"/>
      <c r="T1353" s="372"/>
      <c r="U1353" s="31"/>
      <c r="V1353" s="1418">
        <f t="shared" si="140"/>
        <v>0</v>
      </c>
      <c r="AB1353" s="15"/>
    </row>
    <row r="1354" spans="1:36" s="77" customFormat="1" ht="15.6" hidden="1">
      <c r="A1354" s="370"/>
      <c r="B1354" s="499"/>
      <c r="C1354" s="37"/>
      <c r="D1354" s="1929" t="s">
        <v>1520</v>
      </c>
      <c r="E1354" s="1930"/>
      <c r="F1354" s="1930"/>
      <c r="G1354" s="1930"/>
      <c r="H1354" s="1930"/>
      <c r="I1354" s="1931"/>
      <c r="J1354" s="1932">
        <f>VLOOKUP(A1356,'11 - FINANCEIRA'!_xlnm.Print_Area,6,FALSE)</f>
        <v>1</v>
      </c>
      <c r="K1354" s="1933"/>
      <c r="L1354" s="1343" t="str">
        <f>VLOOKUP(A1356,'11 - FINANCEIRA'!_xlnm.Print_Area,4,FALSE)</f>
        <v>und</v>
      </c>
      <c r="M1354" s="1934" t="s">
        <v>1521</v>
      </c>
      <c r="N1354" s="1935"/>
      <c r="O1354" s="1935"/>
      <c r="P1354" s="1935"/>
      <c r="Q1354" s="1936"/>
      <c r="R1354" s="726">
        <f>SUM(R1350:R1353)</f>
        <v>1</v>
      </c>
      <c r="S1354" s="1344" t="str">
        <f>L1354</f>
        <v>und</v>
      </c>
      <c r="T1354" s="373"/>
      <c r="U1354" s="486"/>
      <c r="V1354" s="1418">
        <f t="shared" si="140"/>
        <v>0</v>
      </c>
      <c r="AB1354" s="15"/>
    </row>
    <row r="1355" spans="1:36" s="77" customFormat="1" ht="15.6" hidden="1">
      <c r="A1355" s="370"/>
      <c r="B1355" s="499"/>
      <c r="C1355" s="725"/>
      <c r="D1355" s="1937" t="s">
        <v>1522</v>
      </c>
      <c r="E1355" s="1938"/>
      <c r="F1355" s="1938"/>
      <c r="G1355" s="1938"/>
      <c r="H1355" s="1938"/>
      <c r="I1355" s="1939"/>
      <c r="J1355" s="1943">
        <f>R1354/J1354</f>
        <v>1</v>
      </c>
      <c r="K1355" s="1944"/>
      <c r="L1355" s="1947"/>
      <c r="M1355" s="1934" t="s">
        <v>1523</v>
      </c>
      <c r="N1355" s="1935"/>
      <c r="O1355" s="1935"/>
      <c r="P1355" s="1935"/>
      <c r="Q1355" s="1936"/>
      <c r="R1355" s="726">
        <f>VLOOKUP(A1356,'11 - FINANCEIRA'!_xlnm.Print_Area,8,FALSE)</f>
        <v>1</v>
      </c>
      <c r="S1355" s="727" t="str">
        <f>L1354</f>
        <v>und</v>
      </c>
      <c r="T1355" s="373"/>
      <c r="U1355" s="486"/>
      <c r="V1355" s="1418">
        <f t="shared" si="140"/>
        <v>0</v>
      </c>
      <c r="AB1355" s="15"/>
    </row>
    <row r="1356" spans="1:36" s="77" customFormat="1" ht="15.6" hidden="1">
      <c r="A1356" s="364" t="s">
        <v>430</v>
      </c>
      <c r="B1356" s="499"/>
      <c r="C1356" s="37"/>
      <c r="D1356" s="2013"/>
      <c r="E1356" s="2014"/>
      <c r="F1356" s="2014"/>
      <c r="G1356" s="2014"/>
      <c r="H1356" s="2014"/>
      <c r="I1356" s="2015"/>
      <c r="J1356" s="2016"/>
      <c r="K1356" s="2017"/>
      <c r="L1356" s="1962"/>
      <c r="M1356" s="2007" t="s">
        <v>1524</v>
      </c>
      <c r="N1356" s="2008"/>
      <c r="O1356" s="2008"/>
      <c r="P1356" s="2008"/>
      <c r="Q1356" s="2009"/>
      <c r="R1356" s="1345">
        <f>R1354-R1355</f>
        <v>0</v>
      </c>
      <c r="S1356" s="1346" t="str">
        <f>L1354</f>
        <v>und</v>
      </c>
      <c r="T1356" s="373"/>
      <c r="U1356" s="486"/>
      <c r="V1356" s="1418">
        <f>R1356</f>
        <v>0</v>
      </c>
      <c r="AB1356" s="15"/>
    </row>
    <row r="1357" spans="1:36" s="77" customFormat="1" ht="15.6" hidden="1">
      <c r="A1357" s="370"/>
      <c r="B1357" s="1347"/>
      <c r="C1357" s="1348"/>
      <c r="D1357" s="1349"/>
      <c r="E1357" s="1350"/>
      <c r="F1357" s="1349"/>
      <c r="G1357" s="1349"/>
      <c r="H1357" s="1349"/>
      <c r="I1357" s="1349"/>
      <c r="J1357" s="1351"/>
      <c r="K1357" s="1352"/>
      <c r="L1357" s="1353"/>
      <c r="M1357" s="1354"/>
      <c r="N1357" s="1354"/>
      <c r="O1357" s="1354"/>
      <c r="P1357" s="1354"/>
      <c r="Q1357" s="1354"/>
      <c r="R1357" s="1355"/>
      <c r="S1357" s="1356"/>
      <c r="T1357" s="1357"/>
      <c r="U1357" s="1358"/>
      <c r="V1357" s="1420">
        <f>SUM(V1348:V1356)</f>
        <v>0</v>
      </c>
      <c r="AB1357" s="15"/>
    </row>
    <row r="1358" spans="1:36" s="352" customFormat="1" ht="15.6" hidden="1">
      <c r="A1358" s="351"/>
      <c r="B1358" s="1963" t="str">
        <f>VLOOKUP(A1366,'11 - FINANCEIRA'!_xlnm.Print_Area,1,FALSE)</f>
        <v>2.3.4.7</v>
      </c>
      <c r="C1358" s="1965" t="str">
        <f>VLOOKUP(A1366,'11 - FINANCEIRA'!_xlnm.Print_Area,3,FALSE)</f>
        <v>Torneira cromada tubo móvel, de mesa, 1/2? ou 3/4?, para pia de cozinha, padrão alto - fornecimento e instalação. af_01/2020</v>
      </c>
      <c r="D1358" s="1967" t="s">
        <v>1503</v>
      </c>
      <c r="E1358" s="1968"/>
      <c r="F1358" s="1968"/>
      <c r="G1358" s="1968"/>
      <c r="H1358" s="1968"/>
      <c r="I1358" s="1969"/>
      <c r="J1358" s="1914" t="s">
        <v>1504</v>
      </c>
      <c r="K1358" s="1914" t="s">
        <v>1505</v>
      </c>
      <c r="L1358" s="1914" t="s">
        <v>1506</v>
      </c>
      <c r="M1358" s="1914" t="s">
        <v>1507</v>
      </c>
      <c r="N1358" s="1914" t="s">
        <v>1508</v>
      </c>
      <c r="O1358" s="1914" t="s">
        <v>1509</v>
      </c>
      <c r="P1358" s="1341" t="s">
        <v>1510</v>
      </c>
      <c r="Q1358" s="1914" t="s">
        <v>1493</v>
      </c>
      <c r="R1358" s="1916" t="s">
        <v>804</v>
      </c>
      <c r="S1358" s="1914" t="s">
        <v>1511</v>
      </c>
      <c r="T1358" s="1914" t="s">
        <v>1512</v>
      </c>
      <c r="U1358" s="1918" t="s">
        <v>1513</v>
      </c>
      <c r="V1358" s="1418">
        <f t="shared" ref="V1358:V1365" si="141">V1359</f>
        <v>0</v>
      </c>
      <c r="W1358" s="16"/>
      <c r="X1358" s="16"/>
      <c r="Y1358" s="16"/>
      <c r="Z1358" s="17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</row>
    <row r="1359" spans="1:36" s="352" customFormat="1" ht="15.6" hidden="1">
      <c r="A1359" s="351"/>
      <c r="B1359" s="1964" t="e">
        <f>LEFT(#REF!,5)</f>
        <v>#REF!</v>
      </c>
      <c r="C1359" s="1966" t="e">
        <f>VLOOKUP(LEFT(#REF!,5),'11 - FINANCEIRA'!_xlnm.Print_Area,2,FALSE)</f>
        <v>#REF!</v>
      </c>
      <c r="D1359" s="1920" t="s">
        <v>1514</v>
      </c>
      <c r="E1359" s="1921"/>
      <c r="F1359" s="1922"/>
      <c r="G1359" s="1923" t="s">
        <v>1515</v>
      </c>
      <c r="H1359" s="1924"/>
      <c r="I1359" s="1925"/>
      <c r="J1359" s="1915"/>
      <c r="K1359" s="1915"/>
      <c r="L1359" s="1915"/>
      <c r="M1359" s="1915"/>
      <c r="N1359" s="1915"/>
      <c r="O1359" s="1915"/>
      <c r="P1359" s="353" t="s">
        <v>1516</v>
      </c>
      <c r="Q1359" s="1915"/>
      <c r="R1359" s="1917"/>
      <c r="S1359" s="1915"/>
      <c r="T1359" s="1915"/>
      <c r="U1359" s="1919"/>
      <c r="V1359" s="1418">
        <f t="shared" si="141"/>
        <v>0</v>
      </c>
      <c r="W1359" s="16"/>
      <c r="X1359" s="16"/>
      <c r="Y1359" s="16"/>
      <c r="Z1359" s="17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</row>
    <row r="1360" spans="1:36" s="361" customFormat="1" ht="30" hidden="1">
      <c r="A1360" s="354"/>
      <c r="B1360" s="355"/>
      <c r="C1360" s="32" t="s">
        <v>962</v>
      </c>
      <c r="D1360" s="33"/>
      <c r="E1360" s="34"/>
      <c r="F1360" s="35"/>
      <c r="G1360" s="33"/>
      <c r="H1360" s="34"/>
      <c r="I1360" s="35"/>
      <c r="J1360" s="43"/>
      <c r="K1360" s="42"/>
      <c r="L1360" s="39"/>
      <c r="M1360" s="41"/>
      <c r="N1360" s="356"/>
      <c r="O1360" s="40"/>
      <c r="P1360" s="39"/>
      <c r="Q1360" s="45"/>
      <c r="R1360" s="1359">
        <v>1</v>
      </c>
      <c r="S1360" s="1265" t="s">
        <v>816</v>
      </c>
      <c r="T1360" s="46" t="s">
        <v>54</v>
      </c>
      <c r="U1360" s="44"/>
      <c r="V1360" s="1418">
        <f t="shared" si="141"/>
        <v>0</v>
      </c>
      <c r="W1360" s="357"/>
      <c r="X1360" s="357"/>
      <c r="Y1360" s="357"/>
      <c r="Z1360" s="358"/>
      <c r="AA1360" s="359"/>
      <c r="AB1360" s="360"/>
    </row>
    <row r="1361" spans="1:36" s="361" customFormat="1" ht="15" hidden="1" customHeight="1">
      <c r="A1361" s="354"/>
      <c r="B1361" s="355"/>
      <c r="C1361" s="32"/>
      <c r="D1361" s="33"/>
      <c r="E1361" s="34"/>
      <c r="F1361" s="35"/>
      <c r="G1361" s="33"/>
      <c r="H1361" s="34"/>
      <c r="I1361" s="35"/>
      <c r="J1361" s="43"/>
      <c r="K1361" s="42"/>
      <c r="L1361" s="39"/>
      <c r="M1361" s="41"/>
      <c r="N1361" s="356"/>
      <c r="O1361" s="40"/>
      <c r="P1361" s="39"/>
      <c r="Q1361" s="45"/>
      <c r="R1361" s="362"/>
      <c r="S1361" s="363"/>
      <c r="T1361" s="46"/>
      <c r="U1361" s="44"/>
      <c r="V1361" s="1418">
        <f t="shared" si="141"/>
        <v>0</v>
      </c>
      <c r="W1361" s="357"/>
      <c r="X1361" s="357"/>
      <c r="Y1361" s="357"/>
      <c r="Z1361" s="358"/>
      <c r="AA1361" s="359"/>
      <c r="AB1361" s="360"/>
    </row>
    <row r="1362" spans="1:36" s="369" customFormat="1" ht="15" hidden="1">
      <c r="A1362" s="364"/>
      <c r="B1362" s="355"/>
      <c r="C1362" s="32"/>
      <c r="D1362" s="33"/>
      <c r="E1362" s="34"/>
      <c r="F1362" s="35"/>
      <c r="G1362" s="33"/>
      <c r="H1362" s="34"/>
      <c r="I1362" s="35"/>
      <c r="J1362" s="43"/>
      <c r="K1362" s="42"/>
      <c r="L1362" s="39"/>
      <c r="M1362" s="41"/>
      <c r="N1362" s="40"/>
      <c r="O1362" s="40"/>
      <c r="P1362" s="39"/>
      <c r="Q1362" s="38"/>
      <c r="R1362" s="365"/>
      <c r="S1362" s="366"/>
      <c r="T1362" s="46"/>
      <c r="U1362" s="44"/>
      <c r="V1362" s="1418">
        <f t="shared" si="141"/>
        <v>0</v>
      </c>
      <c r="W1362" s="367"/>
      <c r="X1362" s="367"/>
      <c r="Y1362" s="367"/>
      <c r="Z1362" s="368"/>
    </row>
    <row r="1363" spans="1:36" s="77" customFormat="1" ht="15" hidden="1">
      <c r="A1363" s="370"/>
      <c r="B1363" s="29"/>
      <c r="C1363" s="30"/>
      <c r="D1363" s="18"/>
      <c r="E1363" s="19"/>
      <c r="F1363" s="20"/>
      <c r="G1363" s="18"/>
      <c r="H1363" s="19"/>
      <c r="I1363" s="20"/>
      <c r="J1363" s="21"/>
      <c r="K1363" s="22"/>
      <c r="L1363" s="23"/>
      <c r="M1363" s="24"/>
      <c r="N1363" s="25"/>
      <c r="O1363" s="25"/>
      <c r="P1363" s="23"/>
      <c r="Q1363" s="26"/>
      <c r="R1363" s="371"/>
      <c r="S1363" s="27"/>
      <c r="T1363" s="372"/>
      <c r="U1363" s="31"/>
      <c r="V1363" s="1418">
        <f t="shared" si="141"/>
        <v>0</v>
      </c>
      <c r="AB1363" s="15"/>
    </row>
    <row r="1364" spans="1:36" s="77" customFormat="1" ht="15.6" hidden="1">
      <c r="A1364" s="370"/>
      <c r="B1364" s="499"/>
      <c r="C1364" s="37"/>
      <c r="D1364" s="1929" t="s">
        <v>1520</v>
      </c>
      <c r="E1364" s="1930"/>
      <c r="F1364" s="1930"/>
      <c r="G1364" s="1930"/>
      <c r="H1364" s="1930"/>
      <c r="I1364" s="1931"/>
      <c r="J1364" s="1932">
        <f>VLOOKUP(A1366,'11 - FINANCEIRA'!_xlnm.Print_Area,6,FALSE)</f>
        <v>1</v>
      </c>
      <c r="K1364" s="1933"/>
      <c r="L1364" s="1343" t="str">
        <f>VLOOKUP(A1366,'11 - FINANCEIRA'!_xlnm.Print_Area,4,FALSE)</f>
        <v>und</v>
      </c>
      <c r="M1364" s="1934" t="s">
        <v>1521</v>
      </c>
      <c r="N1364" s="1935"/>
      <c r="O1364" s="1935"/>
      <c r="P1364" s="1935"/>
      <c r="Q1364" s="1936"/>
      <c r="R1364" s="726">
        <f>SUM(R1360:R1363)</f>
        <v>1</v>
      </c>
      <c r="S1364" s="1344" t="str">
        <f>L1364</f>
        <v>und</v>
      </c>
      <c r="T1364" s="373"/>
      <c r="U1364" s="486"/>
      <c r="V1364" s="1418">
        <f t="shared" si="141"/>
        <v>0</v>
      </c>
      <c r="AB1364" s="15"/>
    </row>
    <row r="1365" spans="1:36" s="77" customFormat="1" ht="15.6" hidden="1">
      <c r="A1365" s="370"/>
      <c r="B1365" s="499"/>
      <c r="C1365" s="725"/>
      <c r="D1365" s="1937" t="s">
        <v>1522</v>
      </c>
      <c r="E1365" s="1938"/>
      <c r="F1365" s="1938"/>
      <c r="G1365" s="1938"/>
      <c r="H1365" s="1938"/>
      <c r="I1365" s="1939"/>
      <c r="J1365" s="1943">
        <f>R1364/J1364</f>
        <v>1</v>
      </c>
      <c r="K1365" s="1944"/>
      <c r="L1365" s="1947"/>
      <c r="M1365" s="1934" t="s">
        <v>1523</v>
      </c>
      <c r="N1365" s="1935"/>
      <c r="O1365" s="1935"/>
      <c r="P1365" s="1935"/>
      <c r="Q1365" s="1936"/>
      <c r="R1365" s="726">
        <f>VLOOKUP(A1366,'11 - FINANCEIRA'!_xlnm.Print_Area,8,FALSE)</f>
        <v>1</v>
      </c>
      <c r="S1365" s="727" t="str">
        <f>L1364</f>
        <v>und</v>
      </c>
      <c r="T1365" s="373"/>
      <c r="U1365" s="486"/>
      <c r="V1365" s="1418">
        <f t="shared" si="141"/>
        <v>0</v>
      </c>
      <c r="AB1365" s="15"/>
    </row>
    <row r="1366" spans="1:36" s="77" customFormat="1" ht="15.6" hidden="1">
      <c r="A1366" s="364" t="s">
        <v>431</v>
      </c>
      <c r="B1366" s="499"/>
      <c r="C1366" s="37"/>
      <c r="D1366" s="2013"/>
      <c r="E1366" s="2014"/>
      <c r="F1366" s="2014"/>
      <c r="G1366" s="2014"/>
      <c r="H1366" s="2014"/>
      <c r="I1366" s="2015"/>
      <c r="J1366" s="2016"/>
      <c r="K1366" s="2017"/>
      <c r="L1366" s="1962"/>
      <c r="M1366" s="2007" t="s">
        <v>1524</v>
      </c>
      <c r="N1366" s="2008"/>
      <c r="O1366" s="2008"/>
      <c r="P1366" s="2008"/>
      <c r="Q1366" s="2009"/>
      <c r="R1366" s="1345">
        <f>R1364-R1365</f>
        <v>0</v>
      </c>
      <c r="S1366" s="1346" t="str">
        <f>L1364</f>
        <v>und</v>
      </c>
      <c r="T1366" s="373"/>
      <c r="U1366" s="486"/>
      <c r="V1366" s="1418">
        <f>R1366</f>
        <v>0</v>
      </c>
      <c r="AB1366" s="15"/>
    </row>
    <row r="1367" spans="1:36" s="77" customFormat="1" ht="15.6" hidden="1">
      <c r="A1367" s="370"/>
      <c r="B1367" s="1347"/>
      <c r="C1367" s="1348"/>
      <c r="D1367" s="1349"/>
      <c r="E1367" s="1350"/>
      <c r="F1367" s="1349"/>
      <c r="G1367" s="1349"/>
      <c r="H1367" s="1349"/>
      <c r="I1367" s="1349"/>
      <c r="J1367" s="1351"/>
      <c r="K1367" s="1352"/>
      <c r="L1367" s="1353"/>
      <c r="M1367" s="1354"/>
      <c r="N1367" s="1354"/>
      <c r="O1367" s="1354"/>
      <c r="P1367" s="1354"/>
      <c r="Q1367" s="1354"/>
      <c r="R1367" s="1355"/>
      <c r="S1367" s="1356"/>
      <c r="T1367" s="1357"/>
      <c r="U1367" s="1358"/>
      <c r="V1367" s="1420">
        <f>SUM(V1358:V1366)</f>
        <v>0</v>
      </c>
      <c r="AB1367" s="15"/>
    </row>
    <row r="1368" spans="1:36" s="352" customFormat="1" ht="15.6" hidden="1">
      <c r="A1368" s="351"/>
      <c r="B1368" s="1963" t="str">
        <f>VLOOKUP(A1376,'11 - FINANCEIRA'!_xlnm.Print_Area,1,FALSE)</f>
        <v>2.3.4.8</v>
      </c>
      <c r="C1368" s="1965" t="str">
        <f>VLOOKUP(A1376,'11 - FINANCEIRA'!_xlnm.Print_Area,3,FALSE)</f>
        <v>Reboco de argamassa de cimento, cal hidratada ch1 e areia média ou grossa lavada no traço 1:0.5:6, espessura 5mm</v>
      </c>
      <c r="D1368" s="1967" t="s">
        <v>1503</v>
      </c>
      <c r="E1368" s="1968"/>
      <c r="F1368" s="1968"/>
      <c r="G1368" s="1968"/>
      <c r="H1368" s="1968"/>
      <c r="I1368" s="1969"/>
      <c r="J1368" s="1914" t="s">
        <v>1504</v>
      </c>
      <c r="K1368" s="1914" t="s">
        <v>1505</v>
      </c>
      <c r="L1368" s="1914" t="s">
        <v>1506</v>
      </c>
      <c r="M1368" s="1914" t="s">
        <v>1507</v>
      </c>
      <c r="N1368" s="1914" t="s">
        <v>1508</v>
      </c>
      <c r="O1368" s="1914" t="s">
        <v>1509</v>
      </c>
      <c r="P1368" s="1341" t="s">
        <v>1510</v>
      </c>
      <c r="Q1368" s="1914" t="s">
        <v>1493</v>
      </c>
      <c r="R1368" s="1916" t="s">
        <v>804</v>
      </c>
      <c r="S1368" s="1914" t="s">
        <v>1511</v>
      </c>
      <c r="T1368" s="1914" t="s">
        <v>1512</v>
      </c>
      <c r="U1368" s="1918" t="s">
        <v>1513</v>
      </c>
      <c r="V1368" s="1418">
        <f t="shared" ref="V1368:V1375" si="142">V1369</f>
        <v>0</v>
      </c>
      <c r="W1368" s="16"/>
      <c r="X1368" s="16"/>
      <c r="Y1368" s="16"/>
      <c r="Z1368" s="17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</row>
    <row r="1369" spans="1:36" s="352" customFormat="1" ht="15.6" hidden="1">
      <c r="A1369" s="351"/>
      <c r="B1369" s="1964" t="e">
        <f>LEFT(#REF!,5)</f>
        <v>#REF!</v>
      </c>
      <c r="C1369" s="1966" t="e">
        <f>VLOOKUP(LEFT(#REF!,5),'11 - FINANCEIRA'!_xlnm.Print_Area,2,FALSE)</f>
        <v>#REF!</v>
      </c>
      <c r="D1369" s="1920" t="s">
        <v>1514</v>
      </c>
      <c r="E1369" s="1921"/>
      <c r="F1369" s="1922"/>
      <c r="G1369" s="1923" t="s">
        <v>1515</v>
      </c>
      <c r="H1369" s="1924"/>
      <c r="I1369" s="1925"/>
      <c r="J1369" s="1915"/>
      <c r="K1369" s="1915"/>
      <c r="L1369" s="1915"/>
      <c r="M1369" s="1915"/>
      <c r="N1369" s="1915"/>
      <c r="O1369" s="1915"/>
      <c r="P1369" s="353" t="s">
        <v>1516</v>
      </c>
      <c r="Q1369" s="1915"/>
      <c r="R1369" s="1917"/>
      <c r="S1369" s="1915"/>
      <c r="T1369" s="1915"/>
      <c r="U1369" s="1919"/>
      <c r="V1369" s="1418">
        <f t="shared" si="142"/>
        <v>0</v>
      </c>
      <c r="W1369" s="16"/>
      <c r="X1369" s="16"/>
      <c r="Y1369" s="16"/>
      <c r="Z1369" s="17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</row>
    <row r="1370" spans="1:36" s="361" customFormat="1" ht="30" hidden="1">
      <c r="A1370" s="354"/>
      <c r="B1370" s="355"/>
      <c r="C1370" s="32" t="s">
        <v>953</v>
      </c>
      <c r="D1370" s="33"/>
      <c r="E1370" s="34"/>
      <c r="F1370" s="35"/>
      <c r="G1370" s="33"/>
      <c r="H1370" s="34"/>
      <c r="I1370" s="35"/>
      <c r="J1370" s="43"/>
      <c r="K1370" s="42"/>
      <c r="L1370" s="39"/>
      <c r="M1370" s="41"/>
      <c r="N1370" s="356"/>
      <c r="O1370" s="40"/>
      <c r="P1370" s="39"/>
      <c r="Q1370" s="45"/>
      <c r="R1370" s="1359">
        <v>7.92</v>
      </c>
      <c r="S1370" s="1265" t="s">
        <v>821</v>
      </c>
      <c r="T1370" s="46" t="s">
        <v>328</v>
      </c>
      <c r="U1370" s="44"/>
      <c r="V1370" s="1418">
        <f t="shared" si="142"/>
        <v>0</v>
      </c>
      <c r="W1370" s="357"/>
      <c r="X1370" s="357"/>
      <c r="Y1370" s="357"/>
      <c r="Z1370" s="358"/>
      <c r="AA1370" s="359"/>
      <c r="AB1370" s="360"/>
    </row>
    <row r="1371" spans="1:36" s="361" customFormat="1" ht="15" hidden="1" customHeight="1">
      <c r="A1371" s="354"/>
      <c r="B1371" s="355"/>
      <c r="C1371" s="32"/>
      <c r="D1371" s="33"/>
      <c r="E1371" s="34"/>
      <c r="F1371" s="35"/>
      <c r="G1371" s="33"/>
      <c r="H1371" s="34"/>
      <c r="I1371" s="35"/>
      <c r="J1371" s="43"/>
      <c r="K1371" s="42"/>
      <c r="L1371" s="39"/>
      <c r="M1371" s="41"/>
      <c r="N1371" s="356"/>
      <c r="O1371" s="40"/>
      <c r="P1371" s="39"/>
      <c r="Q1371" s="45"/>
      <c r="R1371" s="362"/>
      <c r="S1371" s="363"/>
      <c r="T1371" s="46"/>
      <c r="U1371" s="44"/>
      <c r="V1371" s="1418">
        <f t="shared" si="142"/>
        <v>0</v>
      </c>
      <c r="W1371" s="357"/>
      <c r="X1371" s="357"/>
      <c r="Y1371" s="357"/>
      <c r="Z1371" s="358"/>
      <c r="AA1371" s="359"/>
      <c r="AB1371" s="360"/>
    </row>
    <row r="1372" spans="1:36" s="369" customFormat="1" ht="15" hidden="1">
      <c r="A1372" s="364"/>
      <c r="B1372" s="355"/>
      <c r="C1372" s="32"/>
      <c r="D1372" s="33"/>
      <c r="E1372" s="34"/>
      <c r="F1372" s="35"/>
      <c r="G1372" s="33"/>
      <c r="H1372" s="34"/>
      <c r="I1372" s="35"/>
      <c r="J1372" s="43"/>
      <c r="K1372" s="42"/>
      <c r="L1372" s="39"/>
      <c r="M1372" s="41"/>
      <c r="N1372" s="40"/>
      <c r="O1372" s="40"/>
      <c r="P1372" s="39"/>
      <c r="Q1372" s="38"/>
      <c r="R1372" s="365"/>
      <c r="S1372" s="366"/>
      <c r="T1372" s="46"/>
      <c r="U1372" s="44"/>
      <c r="V1372" s="1418">
        <f t="shared" si="142"/>
        <v>0</v>
      </c>
      <c r="W1372" s="367"/>
      <c r="X1372" s="367"/>
      <c r="Y1372" s="367"/>
      <c r="Z1372" s="368"/>
    </row>
    <row r="1373" spans="1:36" s="77" customFormat="1" ht="15" hidden="1">
      <c r="A1373" s="370"/>
      <c r="B1373" s="29"/>
      <c r="C1373" s="30"/>
      <c r="D1373" s="18"/>
      <c r="E1373" s="19"/>
      <c r="F1373" s="20"/>
      <c r="G1373" s="18"/>
      <c r="H1373" s="19"/>
      <c r="I1373" s="20"/>
      <c r="J1373" s="21"/>
      <c r="K1373" s="22"/>
      <c r="L1373" s="23"/>
      <c r="M1373" s="24"/>
      <c r="N1373" s="25"/>
      <c r="O1373" s="25"/>
      <c r="P1373" s="23"/>
      <c r="Q1373" s="26"/>
      <c r="R1373" s="371"/>
      <c r="S1373" s="27"/>
      <c r="T1373" s="372"/>
      <c r="U1373" s="31"/>
      <c r="V1373" s="1418">
        <f t="shared" si="142"/>
        <v>0</v>
      </c>
      <c r="AB1373" s="15"/>
    </row>
    <row r="1374" spans="1:36" s="77" customFormat="1" ht="15.6" hidden="1">
      <c r="A1374" s="370"/>
      <c r="B1374" s="499"/>
      <c r="C1374" s="37"/>
      <c r="D1374" s="1929" t="s">
        <v>1520</v>
      </c>
      <c r="E1374" s="1930"/>
      <c r="F1374" s="1930"/>
      <c r="G1374" s="1930"/>
      <c r="H1374" s="1930"/>
      <c r="I1374" s="1931"/>
      <c r="J1374" s="1932">
        <f>VLOOKUP(A1376,'11 - FINANCEIRA'!_xlnm.Print_Area,6,FALSE)</f>
        <v>7.92</v>
      </c>
      <c r="K1374" s="1933"/>
      <c r="L1374" s="1343" t="str">
        <f>VLOOKUP(A1376,'11 - FINANCEIRA'!_xlnm.Print_Area,4,FALSE)</f>
        <v>m²</v>
      </c>
      <c r="M1374" s="1934" t="s">
        <v>1521</v>
      </c>
      <c r="N1374" s="1935"/>
      <c r="O1374" s="1935"/>
      <c r="P1374" s="1935"/>
      <c r="Q1374" s="1936"/>
      <c r="R1374" s="726">
        <f>SUM(R1370:R1373)</f>
        <v>7.92</v>
      </c>
      <c r="S1374" s="1344" t="str">
        <f>L1374</f>
        <v>m²</v>
      </c>
      <c r="T1374" s="373"/>
      <c r="U1374" s="486"/>
      <c r="V1374" s="1418">
        <f t="shared" si="142"/>
        <v>0</v>
      </c>
      <c r="AB1374" s="15"/>
    </row>
    <row r="1375" spans="1:36" s="77" customFormat="1" ht="15.6" hidden="1">
      <c r="A1375" s="370"/>
      <c r="B1375" s="499"/>
      <c r="C1375" s="725"/>
      <c r="D1375" s="1937" t="s">
        <v>1522</v>
      </c>
      <c r="E1375" s="1938"/>
      <c r="F1375" s="1938"/>
      <c r="G1375" s="1938"/>
      <c r="H1375" s="1938"/>
      <c r="I1375" s="1939"/>
      <c r="J1375" s="1943">
        <f>R1374/J1374</f>
        <v>1</v>
      </c>
      <c r="K1375" s="1944"/>
      <c r="L1375" s="1947"/>
      <c r="M1375" s="1934" t="s">
        <v>1523</v>
      </c>
      <c r="N1375" s="1935"/>
      <c r="O1375" s="1935"/>
      <c r="P1375" s="1935"/>
      <c r="Q1375" s="1936"/>
      <c r="R1375" s="726">
        <f>VLOOKUP(A1376,'11 - FINANCEIRA'!_xlnm.Print_Area,8,FALSE)</f>
        <v>7.92</v>
      </c>
      <c r="S1375" s="727" t="str">
        <f>L1374</f>
        <v>m²</v>
      </c>
      <c r="T1375" s="373"/>
      <c r="U1375" s="486"/>
      <c r="V1375" s="1418">
        <f t="shared" si="142"/>
        <v>0</v>
      </c>
      <c r="AB1375" s="15"/>
    </row>
    <row r="1376" spans="1:36" s="77" customFormat="1" ht="15.6" hidden="1">
      <c r="A1376" s="364" t="s">
        <v>432</v>
      </c>
      <c r="B1376" s="499"/>
      <c r="C1376" s="37"/>
      <c r="D1376" s="2013"/>
      <c r="E1376" s="2014"/>
      <c r="F1376" s="2014"/>
      <c r="G1376" s="2014"/>
      <c r="H1376" s="2014"/>
      <c r="I1376" s="2015"/>
      <c r="J1376" s="2016"/>
      <c r="K1376" s="2017"/>
      <c r="L1376" s="1962"/>
      <c r="M1376" s="2007" t="s">
        <v>1524</v>
      </c>
      <c r="N1376" s="2008"/>
      <c r="O1376" s="2008"/>
      <c r="P1376" s="2008"/>
      <c r="Q1376" s="2009"/>
      <c r="R1376" s="1345">
        <f>R1374-R1375</f>
        <v>0</v>
      </c>
      <c r="S1376" s="1346" t="str">
        <f>L1374</f>
        <v>m²</v>
      </c>
      <c r="T1376" s="373"/>
      <c r="U1376" s="486"/>
      <c r="V1376" s="1418">
        <f>R1376</f>
        <v>0</v>
      </c>
      <c r="AB1376" s="15"/>
    </row>
    <row r="1377" spans="1:36" s="77" customFormat="1" ht="15.6" hidden="1">
      <c r="A1377" s="370"/>
      <c r="B1377" s="1347"/>
      <c r="C1377" s="1348"/>
      <c r="D1377" s="1349"/>
      <c r="E1377" s="1350"/>
      <c r="F1377" s="1349"/>
      <c r="G1377" s="1349"/>
      <c r="H1377" s="1349"/>
      <c r="I1377" s="1349"/>
      <c r="J1377" s="1351"/>
      <c r="K1377" s="1352"/>
      <c r="L1377" s="1353"/>
      <c r="M1377" s="1354"/>
      <c r="N1377" s="1354"/>
      <c r="O1377" s="1354"/>
      <c r="P1377" s="1354"/>
      <c r="Q1377" s="1354"/>
      <c r="R1377" s="1355"/>
      <c r="S1377" s="1356"/>
      <c r="T1377" s="1357"/>
      <c r="U1377" s="1358"/>
      <c r="V1377" s="1420">
        <f>SUM(V1368:V1376)</f>
        <v>0</v>
      </c>
      <c r="AB1377" s="15"/>
    </row>
    <row r="1378" spans="1:36" s="352" customFormat="1" ht="15.6" hidden="1">
      <c r="A1378" s="351"/>
      <c r="B1378" s="1963" t="str">
        <f>VLOOKUP(A1386,'11 - FINANCEIRA'!_xlnm.Print_Area,1,FALSE)</f>
        <v>2.3.4.9</v>
      </c>
      <c r="C1378" s="1965" t="str">
        <f>VLOOKUP(A1386,'11 -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378" s="1967" t="s">
        <v>1503</v>
      </c>
      <c r="E1378" s="1968"/>
      <c r="F1378" s="1968"/>
      <c r="G1378" s="1968"/>
      <c r="H1378" s="1968"/>
      <c r="I1378" s="1969"/>
      <c r="J1378" s="1914" t="s">
        <v>1504</v>
      </c>
      <c r="K1378" s="1914" t="s">
        <v>1505</v>
      </c>
      <c r="L1378" s="1914" t="s">
        <v>1506</v>
      </c>
      <c r="M1378" s="1914" t="s">
        <v>1507</v>
      </c>
      <c r="N1378" s="1914" t="s">
        <v>1508</v>
      </c>
      <c r="O1378" s="1914" t="s">
        <v>1509</v>
      </c>
      <c r="P1378" s="1341" t="s">
        <v>1510</v>
      </c>
      <c r="Q1378" s="1914" t="s">
        <v>1493</v>
      </c>
      <c r="R1378" s="1916" t="s">
        <v>804</v>
      </c>
      <c r="S1378" s="1914" t="s">
        <v>1511</v>
      </c>
      <c r="T1378" s="1914" t="s">
        <v>1512</v>
      </c>
      <c r="U1378" s="1918" t="s">
        <v>1513</v>
      </c>
      <c r="V1378" s="1418">
        <f t="shared" ref="V1378:V1385" si="143">V1379</f>
        <v>0</v>
      </c>
      <c r="W1378" s="16"/>
      <c r="X1378" s="16"/>
      <c r="Y1378" s="16"/>
      <c r="Z1378" s="17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</row>
    <row r="1379" spans="1:36" s="352" customFormat="1" ht="15.6" hidden="1">
      <c r="A1379" s="351"/>
      <c r="B1379" s="1964" t="e">
        <f>LEFT(#REF!,5)</f>
        <v>#REF!</v>
      </c>
      <c r="C1379" s="1966" t="e">
        <f>VLOOKUP(LEFT(#REF!,5),'11 - FINANCEIRA'!_xlnm.Print_Area,2,FALSE)</f>
        <v>#REF!</v>
      </c>
      <c r="D1379" s="1920" t="s">
        <v>1514</v>
      </c>
      <c r="E1379" s="1921"/>
      <c r="F1379" s="1922"/>
      <c r="G1379" s="1923" t="s">
        <v>1515</v>
      </c>
      <c r="H1379" s="1924"/>
      <c r="I1379" s="1925"/>
      <c r="J1379" s="1915"/>
      <c r="K1379" s="1915"/>
      <c r="L1379" s="1915"/>
      <c r="M1379" s="1915"/>
      <c r="N1379" s="1915"/>
      <c r="O1379" s="1915"/>
      <c r="P1379" s="353" t="s">
        <v>1516</v>
      </c>
      <c r="Q1379" s="1915"/>
      <c r="R1379" s="1917"/>
      <c r="S1379" s="1915"/>
      <c r="T1379" s="1915"/>
      <c r="U1379" s="1919"/>
      <c r="V1379" s="1418">
        <f t="shared" si="143"/>
        <v>0</v>
      </c>
      <c r="W1379" s="16"/>
      <c r="X1379" s="16"/>
      <c r="Y1379" s="16"/>
      <c r="Z1379" s="17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</row>
    <row r="1380" spans="1:36" s="361" customFormat="1" ht="45" hidden="1">
      <c r="A1380" s="354"/>
      <c r="B1380" s="355"/>
      <c r="C1380" s="32" t="s">
        <v>951</v>
      </c>
      <c r="D1380" s="33"/>
      <c r="E1380" s="34"/>
      <c r="F1380" s="35"/>
      <c r="G1380" s="33"/>
      <c r="H1380" s="34"/>
      <c r="I1380" s="35"/>
      <c r="J1380" s="43"/>
      <c r="K1380" s="42"/>
      <c r="L1380" s="39"/>
      <c r="M1380" s="41"/>
      <c r="N1380" s="356"/>
      <c r="O1380" s="40"/>
      <c r="P1380" s="39"/>
      <c r="Q1380" s="45"/>
      <c r="R1380" s="1359">
        <v>6.29</v>
      </c>
      <c r="S1380" s="1265" t="s">
        <v>821</v>
      </c>
      <c r="T1380" s="46" t="s">
        <v>328</v>
      </c>
      <c r="U1380" s="44"/>
      <c r="V1380" s="1418">
        <f t="shared" si="143"/>
        <v>0</v>
      </c>
      <c r="W1380" s="357"/>
      <c r="X1380" s="357"/>
      <c r="Y1380" s="357"/>
      <c r="Z1380" s="358"/>
      <c r="AA1380" s="359"/>
      <c r="AB1380" s="360"/>
    </row>
    <row r="1381" spans="1:36" s="361" customFormat="1" ht="15" hidden="1" customHeight="1">
      <c r="A1381" s="354"/>
      <c r="B1381" s="355"/>
      <c r="C1381" s="32"/>
      <c r="D1381" s="33"/>
      <c r="E1381" s="34"/>
      <c r="F1381" s="35"/>
      <c r="G1381" s="33"/>
      <c r="H1381" s="34"/>
      <c r="I1381" s="35"/>
      <c r="J1381" s="43"/>
      <c r="K1381" s="42"/>
      <c r="L1381" s="39"/>
      <c r="M1381" s="41"/>
      <c r="N1381" s="356"/>
      <c r="O1381" s="40"/>
      <c r="P1381" s="39"/>
      <c r="Q1381" s="45"/>
      <c r="R1381" s="362"/>
      <c r="S1381" s="363"/>
      <c r="T1381" s="46"/>
      <c r="U1381" s="44"/>
      <c r="V1381" s="1418">
        <f t="shared" si="143"/>
        <v>0</v>
      </c>
      <c r="W1381" s="357"/>
      <c r="X1381" s="357"/>
      <c r="Y1381" s="357"/>
      <c r="Z1381" s="358"/>
      <c r="AA1381" s="359"/>
      <c r="AB1381" s="360"/>
    </row>
    <row r="1382" spans="1:36" s="369" customFormat="1" ht="15" hidden="1">
      <c r="A1382" s="364"/>
      <c r="B1382" s="355"/>
      <c r="C1382" s="32"/>
      <c r="D1382" s="33"/>
      <c r="E1382" s="34"/>
      <c r="F1382" s="35"/>
      <c r="G1382" s="33"/>
      <c r="H1382" s="34"/>
      <c r="I1382" s="35"/>
      <c r="J1382" s="43"/>
      <c r="K1382" s="42"/>
      <c r="L1382" s="39"/>
      <c r="M1382" s="41"/>
      <c r="N1382" s="40"/>
      <c r="O1382" s="40"/>
      <c r="P1382" s="39"/>
      <c r="Q1382" s="38"/>
      <c r="R1382" s="365"/>
      <c r="S1382" s="366"/>
      <c r="T1382" s="46"/>
      <c r="U1382" s="44"/>
      <c r="V1382" s="1418">
        <f t="shared" si="143"/>
        <v>0</v>
      </c>
      <c r="W1382" s="367"/>
      <c r="X1382" s="367"/>
      <c r="Y1382" s="367"/>
      <c r="Z1382" s="368"/>
    </row>
    <row r="1383" spans="1:36" s="77" customFormat="1" ht="15" hidden="1">
      <c r="A1383" s="370"/>
      <c r="B1383" s="29"/>
      <c r="C1383" s="30"/>
      <c r="D1383" s="18"/>
      <c r="E1383" s="19"/>
      <c r="F1383" s="20"/>
      <c r="G1383" s="18"/>
      <c r="H1383" s="19"/>
      <c r="I1383" s="20"/>
      <c r="J1383" s="21"/>
      <c r="K1383" s="22"/>
      <c r="L1383" s="23"/>
      <c r="M1383" s="24"/>
      <c r="N1383" s="25"/>
      <c r="O1383" s="25"/>
      <c r="P1383" s="23"/>
      <c r="Q1383" s="26"/>
      <c r="R1383" s="371"/>
      <c r="S1383" s="27"/>
      <c r="T1383" s="372"/>
      <c r="U1383" s="31"/>
      <c r="V1383" s="1418">
        <f t="shared" si="143"/>
        <v>0</v>
      </c>
      <c r="AB1383" s="15"/>
    </row>
    <row r="1384" spans="1:36" s="77" customFormat="1" ht="15.6" hidden="1">
      <c r="A1384" s="370"/>
      <c r="B1384" s="499"/>
      <c r="C1384" s="37"/>
      <c r="D1384" s="1929" t="s">
        <v>1520</v>
      </c>
      <c r="E1384" s="1930"/>
      <c r="F1384" s="1930"/>
      <c r="G1384" s="1930"/>
      <c r="H1384" s="1930"/>
      <c r="I1384" s="1931"/>
      <c r="J1384" s="1932">
        <f>VLOOKUP(A1386,'11 - FINANCEIRA'!_xlnm.Print_Area,6,FALSE)</f>
        <v>6.29</v>
      </c>
      <c r="K1384" s="1933"/>
      <c r="L1384" s="1343" t="str">
        <f>VLOOKUP(A1386,'11 - FINANCEIRA'!_xlnm.Print_Area,4,FALSE)</f>
        <v>m²</v>
      </c>
      <c r="M1384" s="1934" t="s">
        <v>1521</v>
      </c>
      <c r="N1384" s="1935"/>
      <c r="O1384" s="1935"/>
      <c r="P1384" s="1935"/>
      <c r="Q1384" s="1936"/>
      <c r="R1384" s="726">
        <f>SUM(R1380:R1383)</f>
        <v>6.29</v>
      </c>
      <c r="S1384" s="1344" t="str">
        <f>L1384</f>
        <v>m²</v>
      </c>
      <c r="T1384" s="373"/>
      <c r="U1384" s="486"/>
      <c r="V1384" s="1418">
        <f t="shared" si="143"/>
        <v>0</v>
      </c>
      <c r="AB1384" s="15"/>
    </row>
    <row r="1385" spans="1:36" s="77" customFormat="1" ht="15.6" hidden="1">
      <c r="A1385" s="370"/>
      <c r="B1385" s="499"/>
      <c r="C1385" s="725"/>
      <c r="D1385" s="1937" t="s">
        <v>1522</v>
      </c>
      <c r="E1385" s="1938"/>
      <c r="F1385" s="1938"/>
      <c r="G1385" s="1938"/>
      <c r="H1385" s="1938"/>
      <c r="I1385" s="1939"/>
      <c r="J1385" s="1943">
        <f>R1384/J1384</f>
        <v>1</v>
      </c>
      <c r="K1385" s="1944"/>
      <c r="L1385" s="1947"/>
      <c r="M1385" s="1934" t="s">
        <v>1523</v>
      </c>
      <c r="N1385" s="1935"/>
      <c r="O1385" s="1935"/>
      <c r="P1385" s="1935"/>
      <c r="Q1385" s="1936"/>
      <c r="R1385" s="726">
        <f>VLOOKUP(A1386,'11 - FINANCEIRA'!_xlnm.Print_Area,8,FALSE)</f>
        <v>6.29</v>
      </c>
      <c r="S1385" s="727" t="str">
        <f>L1384</f>
        <v>m²</v>
      </c>
      <c r="T1385" s="373"/>
      <c r="U1385" s="486"/>
      <c r="V1385" s="1418">
        <f t="shared" si="143"/>
        <v>0</v>
      </c>
      <c r="AB1385" s="15"/>
    </row>
    <row r="1386" spans="1:36" s="77" customFormat="1" ht="15.6" hidden="1">
      <c r="A1386" s="364" t="s">
        <v>433</v>
      </c>
      <c r="B1386" s="499"/>
      <c r="C1386" s="37"/>
      <c r="D1386" s="2013"/>
      <c r="E1386" s="2014"/>
      <c r="F1386" s="2014"/>
      <c r="G1386" s="2014"/>
      <c r="H1386" s="2014"/>
      <c r="I1386" s="2015"/>
      <c r="J1386" s="2016"/>
      <c r="K1386" s="2017"/>
      <c r="L1386" s="1962"/>
      <c r="M1386" s="2007" t="s">
        <v>1524</v>
      </c>
      <c r="N1386" s="2008"/>
      <c r="O1386" s="2008"/>
      <c r="P1386" s="2008"/>
      <c r="Q1386" s="2009"/>
      <c r="R1386" s="1345">
        <f>R1384-R1385</f>
        <v>0</v>
      </c>
      <c r="S1386" s="1346" t="str">
        <f>L1384</f>
        <v>m²</v>
      </c>
      <c r="T1386" s="373"/>
      <c r="U1386" s="486"/>
      <c r="V1386" s="1418">
        <f>R1386</f>
        <v>0</v>
      </c>
      <c r="AB1386" s="15"/>
    </row>
    <row r="1387" spans="1:36" s="77" customFormat="1" ht="15.6" hidden="1">
      <c r="A1387" s="370"/>
      <c r="B1387" s="1347"/>
      <c r="C1387" s="1348"/>
      <c r="D1387" s="1349"/>
      <c r="E1387" s="1350"/>
      <c r="F1387" s="1349"/>
      <c r="G1387" s="1349"/>
      <c r="H1387" s="1349"/>
      <c r="I1387" s="1349"/>
      <c r="J1387" s="1351"/>
      <c r="K1387" s="1352"/>
      <c r="L1387" s="1353"/>
      <c r="M1387" s="1354"/>
      <c r="N1387" s="1354"/>
      <c r="O1387" s="1354"/>
      <c r="P1387" s="1354"/>
      <c r="Q1387" s="1354"/>
      <c r="R1387" s="1355"/>
      <c r="S1387" s="1356"/>
      <c r="T1387" s="1357"/>
      <c r="U1387" s="1358"/>
      <c r="V1387" s="1420">
        <f>SUM(V1378:V1386)</f>
        <v>0</v>
      </c>
      <c r="AB1387" s="15"/>
    </row>
    <row r="1388" spans="1:36" s="352" customFormat="1" ht="15.6" hidden="1">
      <c r="A1388" s="351"/>
      <c r="B1388" s="1963" t="str">
        <f>VLOOKUP(A1396,'11 - FINANCEIRA'!_xlnm.Print_Area,1,FALSE)</f>
        <v>2.3.4.10</v>
      </c>
      <c r="C1388" s="1965" t="str">
        <f>VLOOKUP(A1396,'11 - FINANCEIRA'!_xlnm.Print_Area,3,FALSE)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388" s="1967" t="s">
        <v>1503</v>
      </c>
      <c r="E1388" s="1968"/>
      <c r="F1388" s="1968"/>
      <c r="G1388" s="1968"/>
      <c r="H1388" s="1968"/>
      <c r="I1388" s="1969"/>
      <c r="J1388" s="1914" t="s">
        <v>1504</v>
      </c>
      <c r="K1388" s="1914" t="s">
        <v>1505</v>
      </c>
      <c r="L1388" s="1914" t="s">
        <v>1506</v>
      </c>
      <c r="M1388" s="1914" t="s">
        <v>1507</v>
      </c>
      <c r="N1388" s="1914" t="s">
        <v>1508</v>
      </c>
      <c r="O1388" s="1914" t="s">
        <v>1509</v>
      </c>
      <c r="P1388" s="1341" t="s">
        <v>1510</v>
      </c>
      <c r="Q1388" s="1914" t="s">
        <v>1493</v>
      </c>
      <c r="R1388" s="1916" t="s">
        <v>804</v>
      </c>
      <c r="S1388" s="1914" t="s">
        <v>1511</v>
      </c>
      <c r="T1388" s="1914" t="s">
        <v>1512</v>
      </c>
      <c r="U1388" s="1918" t="s">
        <v>1513</v>
      </c>
      <c r="V1388" s="1418">
        <f t="shared" ref="V1388:V1395" si="144">V1389</f>
        <v>0</v>
      </c>
      <c r="W1388" s="16"/>
      <c r="X1388" s="16"/>
      <c r="Y1388" s="16"/>
      <c r="Z1388" s="17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</row>
    <row r="1389" spans="1:36" s="352" customFormat="1" ht="15.6" hidden="1">
      <c r="A1389" s="351"/>
      <c r="B1389" s="1964" t="e">
        <f>LEFT(#REF!,5)</f>
        <v>#REF!</v>
      </c>
      <c r="C1389" s="1966" t="e">
        <f>VLOOKUP(LEFT(#REF!,5),'11 - FINANCEIRA'!_xlnm.Print_Area,2,FALSE)</f>
        <v>#REF!</v>
      </c>
      <c r="D1389" s="1920" t="s">
        <v>1514</v>
      </c>
      <c r="E1389" s="1921"/>
      <c r="F1389" s="1922"/>
      <c r="G1389" s="1923" t="s">
        <v>1515</v>
      </c>
      <c r="H1389" s="1924"/>
      <c r="I1389" s="1925"/>
      <c r="J1389" s="1915"/>
      <c r="K1389" s="1915"/>
      <c r="L1389" s="1915"/>
      <c r="M1389" s="1915"/>
      <c r="N1389" s="1915"/>
      <c r="O1389" s="1915"/>
      <c r="P1389" s="353" t="s">
        <v>1516</v>
      </c>
      <c r="Q1389" s="1915"/>
      <c r="R1389" s="1917"/>
      <c r="S1389" s="1915"/>
      <c r="T1389" s="1915"/>
      <c r="U1389" s="1919"/>
      <c r="V1389" s="1418">
        <f t="shared" si="144"/>
        <v>0</v>
      </c>
      <c r="W1389" s="16"/>
      <c r="X1389" s="16"/>
      <c r="Y1389" s="16"/>
      <c r="Z1389" s="17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</row>
    <row r="1390" spans="1:36" s="361" customFormat="1" ht="45" hidden="1">
      <c r="A1390" s="354"/>
      <c r="B1390" s="355"/>
      <c r="C1390" s="32" t="s">
        <v>955</v>
      </c>
      <c r="D1390" s="33"/>
      <c r="E1390" s="34"/>
      <c r="F1390" s="35"/>
      <c r="G1390" s="33"/>
      <c r="H1390" s="34"/>
      <c r="I1390" s="35"/>
      <c r="J1390" s="43"/>
      <c r="K1390" s="42"/>
      <c r="L1390" s="39"/>
      <c r="M1390" s="41"/>
      <c r="N1390" s="356"/>
      <c r="O1390" s="40"/>
      <c r="P1390" s="39"/>
      <c r="Q1390" s="45"/>
      <c r="R1390" s="1359">
        <v>17.510000000000002</v>
      </c>
      <c r="S1390" s="1265" t="s">
        <v>821</v>
      </c>
      <c r="T1390" s="46" t="s">
        <v>328</v>
      </c>
      <c r="U1390" s="44"/>
      <c r="V1390" s="1418">
        <f t="shared" si="144"/>
        <v>0</v>
      </c>
      <c r="W1390" s="357"/>
      <c r="X1390" s="357"/>
      <c r="Y1390" s="357"/>
      <c r="Z1390" s="358"/>
      <c r="AA1390" s="359"/>
      <c r="AB1390" s="360"/>
    </row>
    <row r="1391" spans="1:36" s="361" customFormat="1" ht="15" hidden="1" customHeight="1">
      <c r="A1391" s="354"/>
      <c r="B1391" s="355"/>
      <c r="C1391" s="32"/>
      <c r="D1391" s="33"/>
      <c r="E1391" s="34"/>
      <c r="F1391" s="35"/>
      <c r="G1391" s="33"/>
      <c r="H1391" s="34"/>
      <c r="I1391" s="35"/>
      <c r="J1391" s="43"/>
      <c r="K1391" s="42"/>
      <c r="L1391" s="39"/>
      <c r="M1391" s="41"/>
      <c r="N1391" s="356"/>
      <c r="O1391" s="40"/>
      <c r="P1391" s="39"/>
      <c r="Q1391" s="45"/>
      <c r="R1391" s="362"/>
      <c r="S1391" s="363"/>
      <c r="T1391" s="46"/>
      <c r="U1391" s="44"/>
      <c r="V1391" s="1418">
        <f t="shared" si="144"/>
        <v>0</v>
      </c>
      <c r="W1391" s="357"/>
      <c r="X1391" s="357"/>
      <c r="Y1391" s="357"/>
      <c r="Z1391" s="358"/>
      <c r="AA1391" s="359"/>
      <c r="AB1391" s="360"/>
    </row>
    <row r="1392" spans="1:36" s="369" customFormat="1" ht="15" hidden="1">
      <c r="A1392" s="364"/>
      <c r="B1392" s="355"/>
      <c r="C1392" s="32"/>
      <c r="D1392" s="33"/>
      <c r="E1392" s="34"/>
      <c r="F1392" s="35"/>
      <c r="G1392" s="33"/>
      <c r="H1392" s="34"/>
      <c r="I1392" s="35"/>
      <c r="J1392" s="43"/>
      <c r="K1392" s="42"/>
      <c r="L1392" s="39"/>
      <c r="M1392" s="41"/>
      <c r="N1392" s="40"/>
      <c r="O1392" s="40"/>
      <c r="P1392" s="39"/>
      <c r="Q1392" s="38"/>
      <c r="R1392" s="365"/>
      <c r="S1392" s="366"/>
      <c r="T1392" s="46"/>
      <c r="U1392" s="44"/>
      <c r="V1392" s="1418">
        <f t="shared" si="144"/>
        <v>0</v>
      </c>
      <c r="W1392" s="367"/>
      <c r="X1392" s="367"/>
      <c r="Y1392" s="367"/>
      <c r="Z1392" s="368"/>
    </row>
    <row r="1393" spans="1:36" s="77" customFormat="1" ht="15" hidden="1">
      <c r="A1393" s="370"/>
      <c r="B1393" s="29"/>
      <c r="C1393" s="30"/>
      <c r="D1393" s="18"/>
      <c r="E1393" s="19"/>
      <c r="F1393" s="20"/>
      <c r="G1393" s="18"/>
      <c r="H1393" s="19"/>
      <c r="I1393" s="20"/>
      <c r="J1393" s="21"/>
      <c r="K1393" s="22"/>
      <c r="L1393" s="23"/>
      <c r="M1393" s="24"/>
      <c r="N1393" s="25"/>
      <c r="O1393" s="25"/>
      <c r="P1393" s="23"/>
      <c r="Q1393" s="26"/>
      <c r="R1393" s="371"/>
      <c r="S1393" s="27"/>
      <c r="T1393" s="372"/>
      <c r="U1393" s="31"/>
      <c r="V1393" s="1418">
        <f t="shared" si="144"/>
        <v>0</v>
      </c>
      <c r="AB1393" s="15"/>
    </row>
    <row r="1394" spans="1:36" s="77" customFormat="1" ht="15.6" hidden="1">
      <c r="A1394" s="370"/>
      <c r="B1394" s="499"/>
      <c r="C1394" s="37"/>
      <c r="D1394" s="1929" t="s">
        <v>1520</v>
      </c>
      <c r="E1394" s="1930"/>
      <c r="F1394" s="1930"/>
      <c r="G1394" s="1930"/>
      <c r="H1394" s="1930"/>
      <c r="I1394" s="1931"/>
      <c r="J1394" s="1932">
        <f>VLOOKUP(A1396,'11 - FINANCEIRA'!_xlnm.Print_Area,6,FALSE)</f>
        <v>17.510000000000002</v>
      </c>
      <c r="K1394" s="1933"/>
      <c r="L1394" s="1343" t="str">
        <f>VLOOKUP(A1396,'11 - FINANCEIRA'!_xlnm.Print_Area,4,FALSE)</f>
        <v>m²</v>
      </c>
      <c r="M1394" s="1934" t="s">
        <v>1521</v>
      </c>
      <c r="N1394" s="1935"/>
      <c r="O1394" s="1935"/>
      <c r="P1394" s="1935"/>
      <c r="Q1394" s="1936"/>
      <c r="R1394" s="726">
        <f>SUM(R1390:R1393)</f>
        <v>17.510000000000002</v>
      </c>
      <c r="S1394" s="1344" t="str">
        <f>L1394</f>
        <v>m²</v>
      </c>
      <c r="T1394" s="373"/>
      <c r="U1394" s="486"/>
      <c r="V1394" s="1418">
        <f t="shared" si="144"/>
        <v>0</v>
      </c>
      <c r="AB1394" s="15"/>
    </row>
    <row r="1395" spans="1:36" s="77" customFormat="1" ht="15.6" hidden="1">
      <c r="A1395" s="370"/>
      <c r="B1395" s="499"/>
      <c r="C1395" s="725"/>
      <c r="D1395" s="1937" t="s">
        <v>1522</v>
      </c>
      <c r="E1395" s="1938"/>
      <c r="F1395" s="1938"/>
      <c r="G1395" s="1938"/>
      <c r="H1395" s="1938"/>
      <c r="I1395" s="1939"/>
      <c r="J1395" s="1943">
        <f>R1394/J1394</f>
        <v>1</v>
      </c>
      <c r="K1395" s="1944"/>
      <c r="L1395" s="1947"/>
      <c r="M1395" s="1934" t="s">
        <v>1523</v>
      </c>
      <c r="N1395" s="1935"/>
      <c r="O1395" s="1935"/>
      <c r="P1395" s="1935"/>
      <c r="Q1395" s="1936"/>
      <c r="R1395" s="726">
        <f>VLOOKUP(A1396,'11 - FINANCEIRA'!_xlnm.Print_Area,8,FALSE)</f>
        <v>17.510000000000002</v>
      </c>
      <c r="S1395" s="727" t="str">
        <f>L1394</f>
        <v>m²</v>
      </c>
      <c r="T1395" s="373"/>
      <c r="U1395" s="486"/>
      <c r="V1395" s="1418">
        <f t="shared" si="144"/>
        <v>0</v>
      </c>
      <c r="AB1395" s="15"/>
    </row>
    <row r="1396" spans="1:36" s="77" customFormat="1" ht="15.6" hidden="1">
      <c r="A1396" s="364" t="s">
        <v>434</v>
      </c>
      <c r="B1396" s="499"/>
      <c r="C1396" s="37"/>
      <c r="D1396" s="2013"/>
      <c r="E1396" s="2014"/>
      <c r="F1396" s="2014"/>
      <c r="G1396" s="2014"/>
      <c r="H1396" s="2014"/>
      <c r="I1396" s="2015"/>
      <c r="J1396" s="2016"/>
      <c r="K1396" s="2017"/>
      <c r="L1396" s="1962"/>
      <c r="M1396" s="2007" t="s">
        <v>1524</v>
      </c>
      <c r="N1396" s="2008"/>
      <c r="O1396" s="2008"/>
      <c r="P1396" s="2008"/>
      <c r="Q1396" s="2009"/>
      <c r="R1396" s="1345">
        <f>R1394-R1395</f>
        <v>0</v>
      </c>
      <c r="S1396" s="1346" t="str">
        <f>L1394</f>
        <v>m²</v>
      </c>
      <c r="T1396" s="373"/>
      <c r="U1396" s="486"/>
      <c r="V1396" s="1418">
        <f>R1396</f>
        <v>0</v>
      </c>
      <c r="AB1396" s="15"/>
    </row>
    <row r="1397" spans="1:36" s="77" customFormat="1" ht="15.6" hidden="1">
      <c r="A1397" s="370"/>
      <c r="B1397" s="1347"/>
      <c r="C1397" s="1348"/>
      <c r="D1397" s="1349"/>
      <c r="E1397" s="1350"/>
      <c r="F1397" s="1349"/>
      <c r="G1397" s="1349"/>
      <c r="H1397" s="1349"/>
      <c r="I1397" s="1349"/>
      <c r="J1397" s="1351"/>
      <c r="K1397" s="1352"/>
      <c r="L1397" s="1353"/>
      <c r="M1397" s="1354"/>
      <c r="N1397" s="1354"/>
      <c r="O1397" s="1354"/>
      <c r="P1397" s="1354"/>
      <c r="Q1397" s="1354"/>
      <c r="R1397" s="1355"/>
      <c r="S1397" s="1356"/>
      <c r="T1397" s="1357"/>
      <c r="U1397" s="1358"/>
      <c r="V1397" s="1420">
        <f>SUM(V1388:V1396)</f>
        <v>0</v>
      </c>
      <c r="AB1397" s="15"/>
    </row>
    <row r="1398" spans="1:36" s="632" customFormat="1" ht="15.6" hidden="1">
      <c r="A1398" s="630"/>
      <c r="B1398" s="1333" t="str">
        <f>LEFT(A1407,5)</f>
        <v>2.3.5</v>
      </c>
      <c r="C1398" s="1334" t="str">
        <f>VLOOKUP(LEFT(A1407,5),'11 - FINANCEIRA'!_xlnm.Print_Area,2,FALSE)</f>
        <v>DEPÓSITO - INTERNO</v>
      </c>
      <c r="D1398" s="1334"/>
      <c r="E1398" s="1335"/>
      <c r="F1398" s="1334"/>
      <c r="G1398" s="2071"/>
      <c r="H1398" s="2072"/>
      <c r="I1398" s="2072"/>
      <c r="J1398" s="2072"/>
      <c r="K1398" s="2072"/>
      <c r="L1398" s="2072"/>
      <c r="M1398" s="1338"/>
      <c r="N1398" s="1339"/>
      <c r="O1398" s="1339"/>
      <c r="P1398" s="1339"/>
      <c r="Q1398" s="1339"/>
      <c r="R1398" s="1339"/>
      <c r="S1398" s="1339"/>
      <c r="T1398" s="1339"/>
      <c r="U1398" s="1339"/>
      <c r="V1398" s="631">
        <f>SUM(V1399:V1468)</f>
        <v>0</v>
      </c>
    </row>
    <row r="1399" spans="1:36" s="352" customFormat="1" ht="15.6" hidden="1">
      <c r="A1399" s="351"/>
      <c r="B1399" s="1963" t="str">
        <f>VLOOKUP(A1407,'11 - FINANCEIRA'!_xlnm.Print_Area,1,FALSE)</f>
        <v>2.3.5.1</v>
      </c>
      <c r="C1399" s="1965" t="str">
        <f>VLOOKUP(A1407,'11 - FINANCEIRA'!_xlnm.Print_Area,3,FALSE)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399" s="1967" t="s">
        <v>1503</v>
      </c>
      <c r="E1399" s="1968"/>
      <c r="F1399" s="1968"/>
      <c r="G1399" s="1968"/>
      <c r="H1399" s="1968"/>
      <c r="I1399" s="1969"/>
      <c r="J1399" s="1914" t="s">
        <v>1504</v>
      </c>
      <c r="K1399" s="1914" t="s">
        <v>1505</v>
      </c>
      <c r="L1399" s="1914" t="s">
        <v>1506</v>
      </c>
      <c r="M1399" s="1914" t="s">
        <v>1507</v>
      </c>
      <c r="N1399" s="1914" t="s">
        <v>1508</v>
      </c>
      <c r="O1399" s="1914" t="s">
        <v>1509</v>
      </c>
      <c r="P1399" s="1341" t="s">
        <v>1510</v>
      </c>
      <c r="Q1399" s="1914" t="s">
        <v>1493</v>
      </c>
      <c r="R1399" s="1916" t="s">
        <v>804</v>
      </c>
      <c r="S1399" s="1914" t="s">
        <v>1511</v>
      </c>
      <c r="T1399" s="1914" t="s">
        <v>1512</v>
      </c>
      <c r="U1399" s="1918" t="s">
        <v>1513</v>
      </c>
      <c r="V1399" s="1418">
        <f t="shared" ref="V1399:V1406" si="145">V1400</f>
        <v>0</v>
      </c>
      <c r="W1399" s="16"/>
      <c r="X1399" s="16"/>
      <c r="Y1399" s="16"/>
      <c r="Z1399" s="17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</row>
    <row r="1400" spans="1:36" s="352" customFormat="1" ht="15.6" hidden="1">
      <c r="A1400" s="351"/>
      <c r="B1400" s="1964" t="e">
        <f>LEFT(#REF!,5)</f>
        <v>#REF!</v>
      </c>
      <c r="C1400" s="1966" t="e">
        <f>VLOOKUP(LEFT(#REF!,5),'11 - FINANCEIRA'!_xlnm.Print_Area,2,FALSE)</f>
        <v>#REF!</v>
      </c>
      <c r="D1400" s="1920" t="s">
        <v>1514</v>
      </c>
      <c r="E1400" s="1921"/>
      <c r="F1400" s="1922"/>
      <c r="G1400" s="1923" t="s">
        <v>1515</v>
      </c>
      <c r="H1400" s="1924"/>
      <c r="I1400" s="1925"/>
      <c r="J1400" s="1915"/>
      <c r="K1400" s="1915"/>
      <c r="L1400" s="1915"/>
      <c r="M1400" s="1915"/>
      <c r="N1400" s="1915"/>
      <c r="O1400" s="1915"/>
      <c r="P1400" s="353" t="s">
        <v>1516</v>
      </c>
      <c r="Q1400" s="1915"/>
      <c r="R1400" s="1917"/>
      <c r="S1400" s="1915"/>
      <c r="T1400" s="1915"/>
      <c r="U1400" s="1919"/>
      <c r="V1400" s="1418">
        <f t="shared" si="145"/>
        <v>0</v>
      </c>
      <c r="W1400" s="16"/>
      <c r="X1400" s="16"/>
      <c r="Y1400" s="16"/>
      <c r="Z1400" s="17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</row>
    <row r="1401" spans="1:36" s="361" customFormat="1" ht="45" hidden="1">
      <c r="A1401" s="354"/>
      <c r="B1401" s="355"/>
      <c r="C1401" s="32" t="s">
        <v>927</v>
      </c>
      <c r="D1401" s="33"/>
      <c r="E1401" s="34"/>
      <c r="F1401" s="35"/>
      <c r="G1401" s="33"/>
      <c r="H1401" s="34"/>
      <c r="I1401" s="35"/>
      <c r="J1401" s="43"/>
      <c r="K1401" s="42"/>
      <c r="L1401" s="39"/>
      <c r="M1401" s="41"/>
      <c r="N1401" s="356"/>
      <c r="O1401" s="40"/>
      <c r="P1401" s="39"/>
      <c r="Q1401" s="45"/>
      <c r="R1401" s="1359">
        <v>17.96</v>
      </c>
      <c r="S1401" s="1265" t="s">
        <v>821</v>
      </c>
      <c r="T1401" s="46" t="s">
        <v>54</v>
      </c>
      <c r="U1401" s="44"/>
      <c r="V1401" s="1418">
        <f t="shared" si="145"/>
        <v>0</v>
      </c>
      <c r="W1401" s="357"/>
      <c r="X1401" s="357"/>
      <c r="Y1401" s="357"/>
      <c r="Z1401" s="358"/>
      <c r="AA1401" s="359"/>
      <c r="AB1401" s="360"/>
    </row>
    <row r="1402" spans="1:36" s="361" customFormat="1" ht="15" hidden="1" customHeight="1">
      <c r="A1402" s="354"/>
      <c r="B1402" s="355"/>
      <c r="C1402" s="32"/>
      <c r="D1402" s="33"/>
      <c r="E1402" s="34"/>
      <c r="F1402" s="35"/>
      <c r="G1402" s="33"/>
      <c r="H1402" s="34"/>
      <c r="I1402" s="35"/>
      <c r="J1402" s="43"/>
      <c r="K1402" s="42"/>
      <c r="L1402" s="39"/>
      <c r="M1402" s="41"/>
      <c r="N1402" s="356"/>
      <c r="O1402" s="40"/>
      <c r="P1402" s="39"/>
      <c r="Q1402" s="45"/>
      <c r="R1402" s="362"/>
      <c r="S1402" s="363"/>
      <c r="T1402" s="46"/>
      <c r="U1402" s="44"/>
      <c r="V1402" s="1418">
        <f t="shared" si="145"/>
        <v>0</v>
      </c>
      <c r="W1402" s="357"/>
      <c r="X1402" s="357"/>
      <c r="Y1402" s="357"/>
      <c r="Z1402" s="358"/>
      <c r="AA1402" s="359"/>
      <c r="AB1402" s="360"/>
    </row>
    <row r="1403" spans="1:36" s="369" customFormat="1" ht="15" hidden="1">
      <c r="A1403" s="364"/>
      <c r="B1403" s="355"/>
      <c r="C1403" s="32"/>
      <c r="D1403" s="33"/>
      <c r="E1403" s="34"/>
      <c r="F1403" s="35"/>
      <c r="G1403" s="33"/>
      <c r="H1403" s="34"/>
      <c r="I1403" s="35"/>
      <c r="J1403" s="43"/>
      <c r="K1403" s="42"/>
      <c r="L1403" s="39"/>
      <c r="M1403" s="41"/>
      <c r="N1403" s="40"/>
      <c r="O1403" s="40"/>
      <c r="P1403" s="39"/>
      <c r="Q1403" s="38"/>
      <c r="R1403" s="365"/>
      <c r="S1403" s="366"/>
      <c r="T1403" s="46"/>
      <c r="U1403" s="44"/>
      <c r="V1403" s="1418">
        <f t="shared" si="145"/>
        <v>0</v>
      </c>
      <c r="W1403" s="367"/>
      <c r="X1403" s="367"/>
      <c r="Y1403" s="367"/>
      <c r="Z1403" s="368"/>
    </row>
    <row r="1404" spans="1:36" s="77" customFormat="1" ht="15" hidden="1">
      <c r="A1404" s="370"/>
      <c r="B1404" s="29"/>
      <c r="C1404" s="30"/>
      <c r="D1404" s="18"/>
      <c r="E1404" s="19"/>
      <c r="F1404" s="20"/>
      <c r="G1404" s="18"/>
      <c r="H1404" s="19"/>
      <c r="I1404" s="20"/>
      <c r="J1404" s="21"/>
      <c r="K1404" s="22"/>
      <c r="L1404" s="23"/>
      <c r="M1404" s="24"/>
      <c r="N1404" s="25"/>
      <c r="O1404" s="25"/>
      <c r="P1404" s="23"/>
      <c r="Q1404" s="26"/>
      <c r="R1404" s="371"/>
      <c r="S1404" s="27"/>
      <c r="T1404" s="372"/>
      <c r="U1404" s="31"/>
      <c r="V1404" s="1418">
        <f t="shared" si="145"/>
        <v>0</v>
      </c>
      <c r="AB1404" s="15"/>
    </row>
    <row r="1405" spans="1:36" s="77" customFormat="1" ht="15.6" hidden="1">
      <c r="A1405" s="370"/>
      <c r="B1405" s="499"/>
      <c r="C1405" s="37"/>
      <c r="D1405" s="1929" t="s">
        <v>1520</v>
      </c>
      <c r="E1405" s="1930"/>
      <c r="F1405" s="1930"/>
      <c r="G1405" s="1930"/>
      <c r="H1405" s="1930"/>
      <c r="I1405" s="1931"/>
      <c r="J1405" s="1932">
        <f>VLOOKUP(A1407,'11 - FINANCEIRA'!_xlnm.Print_Area,6,FALSE)</f>
        <v>17.96</v>
      </c>
      <c r="K1405" s="1933"/>
      <c r="L1405" s="1343" t="str">
        <f>VLOOKUP(A1407,'11 - FINANCEIRA'!_xlnm.Print_Area,4,FALSE)</f>
        <v>m²</v>
      </c>
      <c r="M1405" s="1934" t="s">
        <v>1521</v>
      </c>
      <c r="N1405" s="1935"/>
      <c r="O1405" s="1935"/>
      <c r="P1405" s="1935"/>
      <c r="Q1405" s="1936"/>
      <c r="R1405" s="726">
        <f>SUM(R1401:R1404)</f>
        <v>17.96</v>
      </c>
      <c r="S1405" s="1344" t="str">
        <f>L1405</f>
        <v>m²</v>
      </c>
      <c r="T1405" s="373"/>
      <c r="U1405" s="486"/>
      <c r="V1405" s="1418">
        <f t="shared" si="145"/>
        <v>0</v>
      </c>
      <c r="AB1405" s="15"/>
    </row>
    <row r="1406" spans="1:36" s="77" customFormat="1" ht="15.6" hidden="1">
      <c r="A1406" s="370"/>
      <c r="B1406" s="499"/>
      <c r="C1406" s="725"/>
      <c r="D1406" s="1937" t="s">
        <v>1522</v>
      </c>
      <c r="E1406" s="1938"/>
      <c r="F1406" s="1938"/>
      <c r="G1406" s="1938"/>
      <c r="H1406" s="1938"/>
      <c r="I1406" s="1939"/>
      <c r="J1406" s="1943">
        <f>R1405/J1405</f>
        <v>1</v>
      </c>
      <c r="K1406" s="1944"/>
      <c r="L1406" s="1947"/>
      <c r="M1406" s="1934" t="s">
        <v>1523</v>
      </c>
      <c r="N1406" s="1935"/>
      <c r="O1406" s="1935"/>
      <c r="P1406" s="1935"/>
      <c r="Q1406" s="1936"/>
      <c r="R1406" s="726">
        <f>VLOOKUP(A1407,'11 - FINANCEIRA'!_xlnm.Print_Area,8,FALSE)</f>
        <v>17.96</v>
      </c>
      <c r="S1406" s="727" t="str">
        <f>L1405</f>
        <v>m²</v>
      </c>
      <c r="T1406" s="373"/>
      <c r="U1406" s="486"/>
      <c r="V1406" s="1418">
        <f t="shared" si="145"/>
        <v>0</v>
      </c>
      <c r="AB1406" s="15"/>
    </row>
    <row r="1407" spans="1:36" s="77" customFormat="1" ht="15.6" hidden="1">
      <c r="A1407" s="364" t="s">
        <v>436</v>
      </c>
      <c r="B1407" s="499"/>
      <c r="C1407" s="37"/>
      <c r="D1407" s="2013"/>
      <c r="E1407" s="2014"/>
      <c r="F1407" s="2014"/>
      <c r="G1407" s="2014"/>
      <c r="H1407" s="2014"/>
      <c r="I1407" s="2015"/>
      <c r="J1407" s="2016"/>
      <c r="K1407" s="2017"/>
      <c r="L1407" s="1962"/>
      <c r="M1407" s="2007" t="s">
        <v>1524</v>
      </c>
      <c r="N1407" s="2008"/>
      <c r="O1407" s="2008"/>
      <c r="P1407" s="2008"/>
      <c r="Q1407" s="2009"/>
      <c r="R1407" s="1345">
        <f>R1405-R1406</f>
        <v>0</v>
      </c>
      <c r="S1407" s="1346" t="str">
        <f>L1405</f>
        <v>m²</v>
      </c>
      <c r="T1407" s="373"/>
      <c r="U1407" s="486"/>
      <c r="V1407" s="1418">
        <f>R1407</f>
        <v>0</v>
      </c>
      <c r="AB1407" s="15"/>
    </row>
    <row r="1408" spans="1:36" s="77" customFormat="1" ht="15.6" hidden="1">
      <c r="A1408" s="370"/>
      <c r="B1408" s="1347"/>
      <c r="C1408" s="1348"/>
      <c r="D1408" s="1349"/>
      <c r="E1408" s="1350"/>
      <c r="F1408" s="1349"/>
      <c r="G1408" s="1349"/>
      <c r="H1408" s="1349"/>
      <c r="I1408" s="1349"/>
      <c r="J1408" s="1351"/>
      <c r="K1408" s="1352"/>
      <c r="L1408" s="1353"/>
      <c r="M1408" s="1354"/>
      <c r="N1408" s="1354"/>
      <c r="O1408" s="1354"/>
      <c r="P1408" s="1354"/>
      <c r="Q1408" s="1354"/>
      <c r="R1408" s="1355"/>
      <c r="S1408" s="1356"/>
      <c r="T1408" s="1357"/>
      <c r="U1408" s="1358"/>
      <c r="V1408" s="1420">
        <f>SUM(V1399:V1407)</f>
        <v>0</v>
      </c>
      <c r="AB1408" s="15"/>
    </row>
    <row r="1409" spans="1:36" s="352" customFormat="1" ht="15.6" hidden="1">
      <c r="A1409" s="351"/>
      <c r="B1409" s="1963" t="str">
        <f>VLOOKUP(A1417,'11 - FINANCEIRA'!_xlnm.Print_Area,1,FALSE)</f>
        <v>2.3.5.2</v>
      </c>
      <c r="C1409" s="1965" t="str">
        <f>VLOOKUP(A1417,'11 - FINANCEIRA'!_xlnm.Print_Area,3,FALSE)</f>
        <v>Aplicação manual de pintura com tinta látex acrílica em paredes, duas demãos. af_06/2014</v>
      </c>
      <c r="D1409" s="1967" t="s">
        <v>1503</v>
      </c>
      <c r="E1409" s="1968"/>
      <c r="F1409" s="1968"/>
      <c r="G1409" s="1968"/>
      <c r="H1409" s="1968"/>
      <c r="I1409" s="1969"/>
      <c r="J1409" s="1914" t="s">
        <v>1504</v>
      </c>
      <c r="K1409" s="1914" t="s">
        <v>1505</v>
      </c>
      <c r="L1409" s="1914" t="s">
        <v>1506</v>
      </c>
      <c r="M1409" s="1914" t="s">
        <v>1507</v>
      </c>
      <c r="N1409" s="1914" t="s">
        <v>1508</v>
      </c>
      <c r="O1409" s="1914" t="s">
        <v>1509</v>
      </c>
      <c r="P1409" s="1341" t="s">
        <v>1510</v>
      </c>
      <c r="Q1409" s="1914" t="s">
        <v>1493</v>
      </c>
      <c r="R1409" s="1916" t="s">
        <v>804</v>
      </c>
      <c r="S1409" s="1914" t="s">
        <v>1511</v>
      </c>
      <c r="T1409" s="1914" t="s">
        <v>1512</v>
      </c>
      <c r="U1409" s="1918" t="s">
        <v>1513</v>
      </c>
      <c r="V1409" s="1418">
        <f t="shared" ref="V1409:V1416" si="146">V1410</f>
        <v>0</v>
      </c>
      <c r="W1409" s="16"/>
      <c r="X1409" s="16"/>
      <c r="Y1409" s="16"/>
      <c r="Z1409" s="17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</row>
    <row r="1410" spans="1:36" s="352" customFormat="1" ht="15.6" hidden="1">
      <c r="A1410" s="351"/>
      <c r="B1410" s="1964" t="e">
        <f>LEFT(#REF!,5)</f>
        <v>#REF!</v>
      </c>
      <c r="C1410" s="1966" t="e">
        <f>VLOOKUP(LEFT(#REF!,5),'11 - FINANCEIRA'!_xlnm.Print_Area,2,FALSE)</f>
        <v>#REF!</v>
      </c>
      <c r="D1410" s="1920" t="s">
        <v>1514</v>
      </c>
      <c r="E1410" s="1921"/>
      <c r="F1410" s="1922"/>
      <c r="G1410" s="1923" t="s">
        <v>1515</v>
      </c>
      <c r="H1410" s="1924"/>
      <c r="I1410" s="1925"/>
      <c r="J1410" s="1915"/>
      <c r="K1410" s="1915"/>
      <c r="L1410" s="1915"/>
      <c r="M1410" s="1915"/>
      <c r="N1410" s="1915"/>
      <c r="O1410" s="1915"/>
      <c r="P1410" s="353" t="s">
        <v>1516</v>
      </c>
      <c r="Q1410" s="1915"/>
      <c r="R1410" s="1917"/>
      <c r="S1410" s="1915"/>
      <c r="T1410" s="1915"/>
      <c r="U1410" s="1919"/>
      <c r="V1410" s="1418">
        <f t="shared" si="146"/>
        <v>0</v>
      </c>
      <c r="W1410" s="16"/>
      <c r="X1410" s="16"/>
      <c r="Y1410" s="16"/>
      <c r="Z1410" s="17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</row>
    <row r="1411" spans="1:36" s="361" customFormat="1" ht="15" hidden="1" customHeight="1">
      <c r="A1411" s="354"/>
      <c r="B1411" s="355"/>
      <c r="C1411" s="32" t="s">
        <v>920</v>
      </c>
      <c r="D1411" s="33"/>
      <c r="E1411" s="34"/>
      <c r="F1411" s="35"/>
      <c r="G1411" s="33"/>
      <c r="H1411" s="34"/>
      <c r="I1411" s="35"/>
      <c r="J1411" s="43"/>
      <c r="K1411" s="42"/>
      <c r="L1411" s="39"/>
      <c r="M1411" s="41"/>
      <c r="N1411" s="356"/>
      <c r="O1411" s="40"/>
      <c r="P1411" s="39"/>
      <c r="Q1411" s="45"/>
      <c r="R1411" s="1359">
        <v>8.1</v>
      </c>
      <c r="S1411" s="1265" t="s">
        <v>821</v>
      </c>
      <c r="T1411" s="46" t="s">
        <v>54</v>
      </c>
      <c r="U1411" s="44"/>
      <c r="V1411" s="1418">
        <f t="shared" si="146"/>
        <v>0</v>
      </c>
      <c r="W1411" s="357"/>
      <c r="X1411" s="357"/>
      <c r="Y1411" s="357"/>
      <c r="Z1411" s="358"/>
      <c r="AA1411" s="359"/>
      <c r="AB1411" s="360"/>
    </row>
    <row r="1412" spans="1:36" s="361" customFormat="1" ht="15" hidden="1" customHeight="1">
      <c r="A1412" s="354"/>
      <c r="B1412" s="355"/>
      <c r="C1412" s="32"/>
      <c r="D1412" s="33"/>
      <c r="E1412" s="34"/>
      <c r="F1412" s="35"/>
      <c r="G1412" s="33"/>
      <c r="H1412" s="34"/>
      <c r="I1412" s="35"/>
      <c r="J1412" s="43"/>
      <c r="K1412" s="42"/>
      <c r="L1412" s="39"/>
      <c r="M1412" s="41"/>
      <c r="N1412" s="356"/>
      <c r="O1412" s="40"/>
      <c r="P1412" s="39"/>
      <c r="Q1412" s="45"/>
      <c r="R1412" s="362"/>
      <c r="S1412" s="363"/>
      <c r="T1412" s="46"/>
      <c r="U1412" s="44"/>
      <c r="V1412" s="1418">
        <f t="shared" si="146"/>
        <v>0</v>
      </c>
      <c r="W1412" s="357"/>
      <c r="X1412" s="357"/>
      <c r="Y1412" s="357"/>
      <c r="Z1412" s="358"/>
      <c r="AA1412" s="359"/>
      <c r="AB1412" s="360"/>
    </row>
    <row r="1413" spans="1:36" s="369" customFormat="1" ht="15" hidden="1">
      <c r="A1413" s="364"/>
      <c r="B1413" s="355"/>
      <c r="C1413" s="32"/>
      <c r="D1413" s="33"/>
      <c r="E1413" s="34"/>
      <c r="F1413" s="35"/>
      <c r="G1413" s="33"/>
      <c r="H1413" s="34"/>
      <c r="I1413" s="35"/>
      <c r="J1413" s="43"/>
      <c r="K1413" s="42"/>
      <c r="L1413" s="39"/>
      <c r="M1413" s="41"/>
      <c r="N1413" s="40"/>
      <c r="O1413" s="40"/>
      <c r="P1413" s="39"/>
      <c r="Q1413" s="38"/>
      <c r="R1413" s="365"/>
      <c r="S1413" s="366"/>
      <c r="T1413" s="46"/>
      <c r="U1413" s="44"/>
      <c r="V1413" s="1418">
        <f t="shared" si="146"/>
        <v>0</v>
      </c>
      <c r="W1413" s="367"/>
      <c r="X1413" s="367"/>
      <c r="Y1413" s="367"/>
      <c r="Z1413" s="368"/>
    </row>
    <row r="1414" spans="1:36" s="77" customFormat="1" ht="15" hidden="1">
      <c r="A1414" s="370"/>
      <c r="B1414" s="29"/>
      <c r="C1414" s="30"/>
      <c r="D1414" s="18"/>
      <c r="E1414" s="19"/>
      <c r="F1414" s="20"/>
      <c r="G1414" s="18"/>
      <c r="H1414" s="19"/>
      <c r="I1414" s="20"/>
      <c r="J1414" s="21"/>
      <c r="K1414" s="22"/>
      <c r="L1414" s="23"/>
      <c r="M1414" s="24"/>
      <c r="N1414" s="25"/>
      <c r="O1414" s="25"/>
      <c r="P1414" s="23"/>
      <c r="Q1414" s="26"/>
      <c r="R1414" s="371"/>
      <c r="S1414" s="27"/>
      <c r="T1414" s="372"/>
      <c r="U1414" s="31"/>
      <c r="V1414" s="1418">
        <f t="shared" si="146"/>
        <v>0</v>
      </c>
      <c r="AB1414" s="15"/>
    </row>
    <row r="1415" spans="1:36" s="77" customFormat="1" ht="15.6" hidden="1">
      <c r="A1415" s="370"/>
      <c r="B1415" s="499"/>
      <c r="C1415" s="37"/>
      <c r="D1415" s="1929" t="s">
        <v>1520</v>
      </c>
      <c r="E1415" s="1930"/>
      <c r="F1415" s="1930"/>
      <c r="G1415" s="1930"/>
      <c r="H1415" s="1930"/>
      <c r="I1415" s="1931"/>
      <c r="J1415" s="1932">
        <f>VLOOKUP(A1417,'11 - FINANCEIRA'!_xlnm.Print_Area,6,FALSE)</f>
        <v>8.1</v>
      </c>
      <c r="K1415" s="1933"/>
      <c r="L1415" s="1343" t="str">
        <f>VLOOKUP(A1417,'11 - FINANCEIRA'!_xlnm.Print_Area,4,FALSE)</f>
        <v>m²</v>
      </c>
      <c r="M1415" s="1934" t="s">
        <v>1521</v>
      </c>
      <c r="N1415" s="1935"/>
      <c r="O1415" s="1935"/>
      <c r="P1415" s="1935"/>
      <c r="Q1415" s="1936"/>
      <c r="R1415" s="726">
        <f>SUM(R1411:R1414)</f>
        <v>8.1</v>
      </c>
      <c r="S1415" s="1344" t="str">
        <f>L1415</f>
        <v>m²</v>
      </c>
      <c r="T1415" s="373"/>
      <c r="U1415" s="486"/>
      <c r="V1415" s="1418">
        <f t="shared" si="146"/>
        <v>0</v>
      </c>
      <c r="AB1415" s="15"/>
    </row>
    <row r="1416" spans="1:36" s="77" customFormat="1" ht="15.6" hidden="1">
      <c r="A1416" s="370"/>
      <c r="B1416" s="499"/>
      <c r="C1416" s="725"/>
      <c r="D1416" s="1937" t="s">
        <v>1522</v>
      </c>
      <c r="E1416" s="1938"/>
      <c r="F1416" s="1938"/>
      <c r="G1416" s="1938"/>
      <c r="H1416" s="1938"/>
      <c r="I1416" s="1939"/>
      <c r="J1416" s="1943">
        <f>R1415/J1415</f>
        <v>1</v>
      </c>
      <c r="K1416" s="1944"/>
      <c r="L1416" s="1947"/>
      <c r="M1416" s="1934" t="s">
        <v>1523</v>
      </c>
      <c r="N1416" s="1935"/>
      <c r="O1416" s="1935"/>
      <c r="P1416" s="1935"/>
      <c r="Q1416" s="1936"/>
      <c r="R1416" s="726">
        <f>VLOOKUP(A1417,'11 - FINANCEIRA'!_xlnm.Print_Area,8,FALSE)</f>
        <v>8.1</v>
      </c>
      <c r="S1416" s="727" t="str">
        <f>L1415</f>
        <v>m²</v>
      </c>
      <c r="T1416" s="373"/>
      <c r="U1416" s="486"/>
      <c r="V1416" s="1418">
        <f t="shared" si="146"/>
        <v>0</v>
      </c>
      <c r="AB1416" s="15"/>
    </row>
    <row r="1417" spans="1:36" s="77" customFormat="1" ht="15.6" hidden="1">
      <c r="A1417" s="364" t="s">
        <v>437</v>
      </c>
      <c r="B1417" s="499"/>
      <c r="C1417" s="37"/>
      <c r="D1417" s="2013"/>
      <c r="E1417" s="2014"/>
      <c r="F1417" s="2014"/>
      <c r="G1417" s="2014"/>
      <c r="H1417" s="2014"/>
      <c r="I1417" s="2015"/>
      <c r="J1417" s="2016"/>
      <c r="K1417" s="2017"/>
      <c r="L1417" s="1962"/>
      <c r="M1417" s="2007" t="s">
        <v>1524</v>
      </c>
      <c r="N1417" s="2008"/>
      <c r="O1417" s="2008"/>
      <c r="P1417" s="2008"/>
      <c r="Q1417" s="2009"/>
      <c r="R1417" s="1345">
        <f>R1415-R1416</f>
        <v>0</v>
      </c>
      <c r="S1417" s="1346" t="str">
        <f>L1415</f>
        <v>m²</v>
      </c>
      <c r="T1417" s="373"/>
      <c r="U1417" s="486"/>
      <c r="V1417" s="1418">
        <f>R1417</f>
        <v>0</v>
      </c>
      <c r="AB1417" s="15"/>
    </row>
    <row r="1418" spans="1:36" s="77" customFormat="1" ht="15.6" hidden="1">
      <c r="A1418" s="370"/>
      <c r="B1418" s="1347"/>
      <c r="C1418" s="1348"/>
      <c r="D1418" s="1349"/>
      <c r="E1418" s="1350"/>
      <c r="F1418" s="1349"/>
      <c r="G1418" s="1349"/>
      <c r="H1418" s="1349"/>
      <c r="I1418" s="1349"/>
      <c r="J1418" s="1351"/>
      <c r="K1418" s="1352"/>
      <c r="L1418" s="1353"/>
      <c r="M1418" s="1354"/>
      <c r="N1418" s="1354"/>
      <c r="O1418" s="1354"/>
      <c r="P1418" s="1354"/>
      <c r="Q1418" s="1354"/>
      <c r="R1418" s="1355"/>
      <c r="S1418" s="1356"/>
      <c r="T1418" s="1357"/>
      <c r="U1418" s="1358"/>
      <c r="V1418" s="1420">
        <f>SUM(V1409:V1417)</f>
        <v>0</v>
      </c>
      <c r="AB1418" s="15"/>
    </row>
    <row r="1419" spans="1:36" s="352" customFormat="1" ht="15.6" hidden="1">
      <c r="A1419" s="351"/>
      <c r="B1419" s="1963" t="str">
        <f>VLOOKUP(A1427,'11 - FINANCEIRA'!_xlnm.Print_Area,1,FALSE)</f>
        <v>2.3.5.3</v>
      </c>
      <c r="C1419" s="1965" t="str">
        <f>VLOOKUP(A1427,'11 - FINANCEIRA'!_xlnm.Print_Area,3,FALSE)</f>
        <v>Aplicação manual de pintura com tinta látex acrílica em teto, duas demãos. af_06/2014</v>
      </c>
      <c r="D1419" s="1967" t="s">
        <v>1503</v>
      </c>
      <c r="E1419" s="1968"/>
      <c r="F1419" s="1968"/>
      <c r="G1419" s="1968"/>
      <c r="H1419" s="1968"/>
      <c r="I1419" s="1969"/>
      <c r="J1419" s="1914" t="s">
        <v>1504</v>
      </c>
      <c r="K1419" s="1914" t="s">
        <v>1505</v>
      </c>
      <c r="L1419" s="1914" t="s">
        <v>1506</v>
      </c>
      <c r="M1419" s="1914" t="s">
        <v>1507</v>
      </c>
      <c r="N1419" s="1914" t="s">
        <v>1508</v>
      </c>
      <c r="O1419" s="1914" t="s">
        <v>1509</v>
      </c>
      <c r="P1419" s="1341" t="s">
        <v>1510</v>
      </c>
      <c r="Q1419" s="1914" t="s">
        <v>1493</v>
      </c>
      <c r="R1419" s="1916" t="s">
        <v>804</v>
      </c>
      <c r="S1419" s="1914" t="s">
        <v>1511</v>
      </c>
      <c r="T1419" s="1914" t="s">
        <v>1512</v>
      </c>
      <c r="U1419" s="1918" t="s">
        <v>1513</v>
      </c>
      <c r="V1419" s="1418">
        <f t="shared" ref="V1419:V1426" si="147">V1420</f>
        <v>0</v>
      </c>
      <c r="W1419" s="16"/>
      <c r="X1419" s="16"/>
      <c r="Y1419" s="16"/>
      <c r="Z1419" s="17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</row>
    <row r="1420" spans="1:36" s="352" customFormat="1" ht="15.6" hidden="1">
      <c r="A1420" s="351"/>
      <c r="B1420" s="1964" t="e">
        <f>LEFT(#REF!,5)</f>
        <v>#REF!</v>
      </c>
      <c r="C1420" s="1966" t="e">
        <f>VLOOKUP(LEFT(#REF!,5),'11 - FINANCEIRA'!_xlnm.Print_Area,2,FALSE)</f>
        <v>#REF!</v>
      </c>
      <c r="D1420" s="1920" t="s">
        <v>1514</v>
      </c>
      <c r="E1420" s="1921"/>
      <c r="F1420" s="1922"/>
      <c r="G1420" s="1923" t="s">
        <v>1515</v>
      </c>
      <c r="H1420" s="1924"/>
      <c r="I1420" s="1925"/>
      <c r="J1420" s="1915"/>
      <c r="K1420" s="1915"/>
      <c r="L1420" s="1915"/>
      <c r="M1420" s="1915"/>
      <c r="N1420" s="1915"/>
      <c r="O1420" s="1915"/>
      <c r="P1420" s="353" t="s">
        <v>1516</v>
      </c>
      <c r="Q1420" s="1915"/>
      <c r="R1420" s="1917"/>
      <c r="S1420" s="1915"/>
      <c r="T1420" s="1915"/>
      <c r="U1420" s="1919"/>
      <c r="V1420" s="1418">
        <f t="shared" si="147"/>
        <v>0</v>
      </c>
      <c r="W1420" s="16"/>
      <c r="X1420" s="16"/>
      <c r="Y1420" s="16"/>
      <c r="Z1420" s="17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</row>
    <row r="1421" spans="1:36" s="361" customFormat="1" ht="15" hidden="1" customHeight="1">
      <c r="A1421" s="354"/>
      <c r="B1421" s="355"/>
      <c r="C1421" s="32" t="s">
        <v>929</v>
      </c>
      <c r="D1421" s="33"/>
      <c r="E1421" s="34"/>
      <c r="F1421" s="35"/>
      <c r="G1421" s="33"/>
      <c r="H1421" s="34"/>
      <c r="I1421" s="35"/>
      <c r="J1421" s="43"/>
      <c r="K1421" s="42"/>
      <c r="L1421" s="39"/>
      <c r="M1421" s="41"/>
      <c r="N1421" s="356"/>
      <c r="O1421" s="40"/>
      <c r="P1421" s="39"/>
      <c r="Q1421" s="45"/>
      <c r="R1421" s="1359">
        <v>5.0599999999999996</v>
      </c>
      <c r="S1421" s="1265" t="s">
        <v>821</v>
      </c>
      <c r="T1421" s="46" t="s">
        <v>54</v>
      </c>
      <c r="U1421" s="44"/>
      <c r="V1421" s="1418">
        <f t="shared" si="147"/>
        <v>0</v>
      </c>
      <c r="W1421" s="357"/>
      <c r="X1421" s="357"/>
      <c r="Y1421" s="357"/>
      <c r="Z1421" s="358"/>
      <c r="AA1421" s="359"/>
      <c r="AB1421" s="360"/>
    </row>
    <row r="1422" spans="1:36" s="361" customFormat="1" ht="15" hidden="1" customHeight="1">
      <c r="A1422" s="354"/>
      <c r="B1422" s="355"/>
      <c r="C1422" s="32"/>
      <c r="D1422" s="33"/>
      <c r="E1422" s="34"/>
      <c r="F1422" s="35"/>
      <c r="G1422" s="33"/>
      <c r="H1422" s="34"/>
      <c r="I1422" s="35"/>
      <c r="J1422" s="43"/>
      <c r="K1422" s="42"/>
      <c r="L1422" s="39"/>
      <c r="M1422" s="41"/>
      <c r="N1422" s="356"/>
      <c r="O1422" s="40"/>
      <c r="P1422" s="39"/>
      <c r="Q1422" s="45"/>
      <c r="R1422" s="362"/>
      <c r="S1422" s="363"/>
      <c r="T1422" s="46"/>
      <c r="U1422" s="44"/>
      <c r="V1422" s="1418">
        <f t="shared" si="147"/>
        <v>0</v>
      </c>
      <c r="W1422" s="357"/>
      <c r="X1422" s="357"/>
      <c r="Y1422" s="357"/>
      <c r="Z1422" s="358"/>
      <c r="AA1422" s="359"/>
      <c r="AB1422" s="360"/>
    </row>
    <row r="1423" spans="1:36" s="369" customFormat="1" ht="15" hidden="1">
      <c r="A1423" s="364"/>
      <c r="B1423" s="355"/>
      <c r="C1423" s="32"/>
      <c r="D1423" s="33"/>
      <c r="E1423" s="34"/>
      <c r="F1423" s="35"/>
      <c r="G1423" s="33"/>
      <c r="H1423" s="34"/>
      <c r="I1423" s="35"/>
      <c r="J1423" s="43"/>
      <c r="K1423" s="42"/>
      <c r="L1423" s="39"/>
      <c r="M1423" s="41"/>
      <c r="N1423" s="40"/>
      <c r="O1423" s="40"/>
      <c r="P1423" s="39"/>
      <c r="Q1423" s="38"/>
      <c r="R1423" s="365"/>
      <c r="S1423" s="366"/>
      <c r="T1423" s="46"/>
      <c r="U1423" s="44"/>
      <c r="V1423" s="1418">
        <f t="shared" si="147"/>
        <v>0</v>
      </c>
      <c r="W1423" s="367"/>
      <c r="X1423" s="367"/>
      <c r="Y1423" s="367"/>
      <c r="Z1423" s="368"/>
    </row>
    <row r="1424" spans="1:36" s="77" customFormat="1" ht="15" hidden="1">
      <c r="A1424" s="370"/>
      <c r="B1424" s="29"/>
      <c r="C1424" s="30"/>
      <c r="D1424" s="18"/>
      <c r="E1424" s="19"/>
      <c r="F1424" s="20"/>
      <c r="G1424" s="18"/>
      <c r="H1424" s="19"/>
      <c r="I1424" s="20"/>
      <c r="J1424" s="21"/>
      <c r="K1424" s="22"/>
      <c r="L1424" s="23"/>
      <c r="M1424" s="24"/>
      <c r="N1424" s="25"/>
      <c r="O1424" s="25"/>
      <c r="P1424" s="23"/>
      <c r="Q1424" s="26"/>
      <c r="R1424" s="371"/>
      <c r="S1424" s="27"/>
      <c r="T1424" s="372"/>
      <c r="U1424" s="31"/>
      <c r="V1424" s="1418">
        <f t="shared" si="147"/>
        <v>0</v>
      </c>
      <c r="AB1424" s="15"/>
    </row>
    <row r="1425" spans="1:36" s="77" customFormat="1" ht="15.6" hidden="1">
      <c r="A1425" s="370"/>
      <c r="B1425" s="499"/>
      <c r="C1425" s="37"/>
      <c r="D1425" s="1929" t="s">
        <v>1520</v>
      </c>
      <c r="E1425" s="1930"/>
      <c r="F1425" s="1930"/>
      <c r="G1425" s="1930"/>
      <c r="H1425" s="1930"/>
      <c r="I1425" s="1931"/>
      <c r="J1425" s="1932">
        <f>VLOOKUP(A1427,'11 - FINANCEIRA'!_xlnm.Print_Area,6,FALSE)</f>
        <v>5.0599999999999996</v>
      </c>
      <c r="K1425" s="1933"/>
      <c r="L1425" s="1343" t="str">
        <f>VLOOKUP(A1427,'11 - FINANCEIRA'!_xlnm.Print_Area,4,FALSE)</f>
        <v>m²</v>
      </c>
      <c r="M1425" s="1934" t="s">
        <v>1521</v>
      </c>
      <c r="N1425" s="1935"/>
      <c r="O1425" s="1935"/>
      <c r="P1425" s="1935"/>
      <c r="Q1425" s="1936"/>
      <c r="R1425" s="726">
        <f>SUM(R1421:R1424)</f>
        <v>5.0599999999999996</v>
      </c>
      <c r="S1425" s="1344" t="str">
        <f>L1425</f>
        <v>m²</v>
      </c>
      <c r="T1425" s="373"/>
      <c r="U1425" s="486"/>
      <c r="V1425" s="1418">
        <f t="shared" si="147"/>
        <v>0</v>
      </c>
      <c r="AB1425" s="15"/>
    </row>
    <row r="1426" spans="1:36" s="77" customFormat="1" ht="15.6" hidden="1">
      <c r="A1426" s="370"/>
      <c r="B1426" s="499"/>
      <c r="C1426" s="725"/>
      <c r="D1426" s="1937" t="s">
        <v>1522</v>
      </c>
      <c r="E1426" s="1938"/>
      <c r="F1426" s="1938"/>
      <c r="G1426" s="1938"/>
      <c r="H1426" s="1938"/>
      <c r="I1426" s="1939"/>
      <c r="J1426" s="1943">
        <f>R1425/J1425</f>
        <v>1</v>
      </c>
      <c r="K1426" s="1944"/>
      <c r="L1426" s="1947"/>
      <c r="M1426" s="1934" t="s">
        <v>1523</v>
      </c>
      <c r="N1426" s="1935"/>
      <c r="O1426" s="1935"/>
      <c r="P1426" s="1935"/>
      <c r="Q1426" s="1936"/>
      <c r="R1426" s="726">
        <f>VLOOKUP(A1427,'11 - FINANCEIRA'!_xlnm.Print_Area,8,FALSE)</f>
        <v>5.0599999999999996</v>
      </c>
      <c r="S1426" s="727" t="str">
        <f>L1425</f>
        <v>m²</v>
      </c>
      <c r="T1426" s="373"/>
      <c r="U1426" s="486"/>
      <c r="V1426" s="1418">
        <f t="shared" si="147"/>
        <v>0</v>
      </c>
      <c r="AB1426" s="15"/>
    </row>
    <row r="1427" spans="1:36" s="77" customFormat="1" ht="15.6" hidden="1">
      <c r="A1427" s="364" t="s">
        <v>438</v>
      </c>
      <c r="B1427" s="499"/>
      <c r="C1427" s="37"/>
      <c r="D1427" s="2013"/>
      <c r="E1427" s="2014"/>
      <c r="F1427" s="2014"/>
      <c r="G1427" s="2014"/>
      <c r="H1427" s="2014"/>
      <c r="I1427" s="2015"/>
      <c r="J1427" s="2016"/>
      <c r="K1427" s="2017"/>
      <c r="L1427" s="1962"/>
      <c r="M1427" s="2007" t="s">
        <v>1524</v>
      </c>
      <c r="N1427" s="2008"/>
      <c r="O1427" s="2008"/>
      <c r="P1427" s="2008"/>
      <c r="Q1427" s="2009"/>
      <c r="R1427" s="1345">
        <f>R1425-R1426</f>
        <v>0</v>
      </c>
      <c r="S1427" s="1346" t="str">
        <f>L1425</f>
        <v>m²</v>
      </c>
      <c r="T1427" s="373"/>
      <c r="U1427" s="486"/>
      <c r="V1427" s="1418">
        <f>R1427</f>
        <v>0</v>
      </c>
      <c r="AB1427" s="15"/>
    </row>
    <row r="1428" spans="1:36" s="77" customFormat="1" ht="15.6" hidden="1">
      <c r="A1428" s="370"/>
      <c r="B1428" s="1347"/>
      <c r="C1428" s="1348"/>
      <c r="D1428" s="1349"/>
      <c r="E1428" s="1350"/>
      <c r="F1428" s="1349"/>
      <c r="G1428" s="1349"/>
      <c r="H1428" s="1349"/>
      <c r="I1428" s="1349"/>
      <c r="J1428" s="1351"/>
      <c r="K1428" s="1352"/>
      <c r="L1428" s="1353"/>
      <c r="M1428" s="1354"/>
      <c r="N1428" s="1354"/>
      <c r="O1428" s="1354"/>
      <c r="P1428" s="1354"/>
      <c r="Q1428" s="1354"/>
      <c r="R1428" s="1355"/>
      <c r="S1428" s="1356"/>
      <c r="T1428" s="1357"/>
      <c r="U1428" s="1358"/>
      <c r="V1428" s="1420">
        <f>SUM(V1419:V1427)</f>
        <v>0</v>
      </c>
      <c r="AB1428" s="15"/>
    </row>
    <row r="1429" spans="1:36" s="352" customFormat="1" ht="15.6" hidden="1">
      <c r="A1429" s="351"/>
      <c r="B1429" s="1963" t="str">
        <f>VLOOKUP(A1437,'11 - FINANCEIRA'!_xlnm.Print_Area,1,FALSE)</f>
        <v>2.3.5.4</v>
      </c>
      <c r="C1429" s="1965" t="str">
        <f>VLOOKUP(A1437,'11 - FINANCEIRA'!_xlnm.Print_Area,3,FALSE)</f>
        <v>Revestimento cerâmico para piso com placas tipo esmaltada extra de dimensões 45x45 cm aplicada em ambientes de área entre 5 m² e 10 m². af_06/2014</v>
      </c>
      <c r="D1429" s="1967" t="s">
        <v>1503</v>
      </c>
      <c r="E1429" s="1968"/>
      <c r="F1429" s="1968"/>
      <c r="G1429" s="1968"/>
      <c r="H1429" s="1968"/>
      <c r="I1429" s="1969"/>
      <c r="J1429" s="1914" t="s">
        <v>1504</v>
      </c>
      <c r="K1429" s="1914" t="s">
        <v>1505</v>
      </c>
      <c r="L1429" s="1914" t="s">
        <v>1506</v>
      </c>
      <c r="M1429" s="1914" t="s">
        <v>1507</v>
      </c>
      <c r="N1429" s="1914" t="s">
        <v>1508</v>
      </c>
      <c r="O1429" s="1914" t="s">
        <v>1509</v>
      </c>
      <c r="P1429" s="1341" t="s">
        <v>1510</v>
      </c>
      <c r="Q1429" s="1914" t="s">
        <v>1493</v>
      </c>
      <c r="R1429" s="1916" t="s">
        <v>804</v>
      </c>
      <c r="S1429" s="1914" t="s">
        <v>1511</v>
      </c>
      <c r="T1429" s="1914" t="s">
        <v>1512</v>
      </c>
      <c r="U1429" s="1918" t="s">
        <v>1513</v>
      </c>
      <c r="V1429" s="1418">
        <f t="shared" ref="V1429:V1436" si="148">V1430</f>
        <v>0</v>
      </c>
      <c r="W1429" s="16"/>
      <c r="X1429" s="16"/>
      <c r="Y1429" s="16"/>
      <c r="Z1429" s="17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</row>
    <row r="1430" spans="1:36" s="352" customFormat="1" ht="15.6" hidden="1">
      <c r="A1430" s="351"/>
      <c r="B1430" s="1964" t="e">
        <f>LEFT(#REF!,5)</f>
        <v>#REF!</v>
      </c>
      <c r="C1430" s="1966" t="e">
        <f>VLOOKUP(LEFT(#REF!,5),'11 - FINANCEIRA'!_xlnm.Print_Area,2,FALSE)</f>
        <v>#REF!</v>
      </c>
      <c r="D1430" s="1920" t="s">
        <v>1514</v>
      </c>
      <c r="E1430" s="1921"/>
      <c r="F1430" s="1922"/>
      <c r="G1430" s="1923" t="s">
        <v>1515</v>
      </c>
      <c r="H1430" s="1924"/>
      <c r="I1430" s="1925"/>
      <c r="J1430" s="1915"/>
      <c r="K1430" s="1915"/>
      <c r="L1430" s="1915"/>
      <c r="M1430" s="1915"/>
      <c r="N1430" s="1915"/>
      <c r="O1430" s="1915"/>
      <c r="P1430" s="353" t="s">
        <v>1516</v>
      </c>
      <c r="Q1430" s="1915"/>
      <c r="R1430" s="1917"/>
      <c r="S1430" s="1915"/>
      <c r="T1430" s="1915"/>
      <c r="U1430" s="1919"/>
      <c r="V1430" s="1418">
        <f t="shared" si="148"/>
        <v>0</v>
      </c>
      <c r="W1430" s="16"/>
      <c r="X1430" s="16"/>
      <c r="Y1430" s="16"/>
      <c r="Z1430" s="17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</row>
    <row r="1431" spans="1:36" s="361" customFormat="1" ht="30" hidden="1">
      <c r="A1431" s="354"/>
      <c r="B1431" s="355"/>
      <c r="C1431" s="32" t="s">
        <v>931</v>
      </c>
      <c r="D1431" s="33"/>
      <c r="E1431" s="34"/>
      <c r="F1431" s="35"/>
      <c r="G1431" s="33"/>
      <c r="H1431" s="34"/>
      <c r="I1431" s="35"/>
      <c r="J1431" s="43"/>
      <c r="K1431" s="42"/>
      <c r="L1431" s="39"/>
      <c r="M1431" s="41"/>
      <c r="N1431" s="356"/>
      <c r="O1431" s="40"/>
      <c r="P1431" s="39"/>
      <c r="Q1431" s="45"/>
      <c r="R1431" s="1359">
        <v>6.58</v>
      </c>
      <c r="S1431" s="1265" t="s">
        <v>821</v>
      </c>
      <c r="T1431" s="46" t="s">
        <v>328</v>
      </c>
      <c r="U1431" s="44"/>
      <c r="V1431" s="1418">
        <f t="shared" si="148"/>
        <v>0</v>
      </c>
      <c r="W1431" s="357"/>
      <c r="X1431" s="357"/>
      <c r="Y1431" s="357"/>
      <c r="Z1431" s="358"/>
      <c r="AA1431" s="359"/>
      <c r="AB1431" s="360"/>
    </row>
    <row r="1432" spans="1:36" s="361" customFormat="1" ht="15" hidden="1" customHeight="1">
      <c r="A1432" s="354"/>
      <c r="B1432" s="355"/>
      <c r="C1432" s="32"/>
      <c r="D1432" s="33"/>
      <c r="E1432" s="34"/>
      <c r="F1432" s="35"/>
      <c r="G1432" s="33"/>
      <c r="H1432" s="34"/>
      <c r="I1432" s="35"/>
      <c r="J1432" s="43"/>
      <c r="K1432" s="42"/>
      <c r="L1432" s="39"/>
      <c r="M1432" s="41"/>
      <c r="N1432" s="356"/>
      <c r="O1432" s="40"/>
      <c r="P1432" s="39"/>
      <c r="Q1432" s="45"/>
      <c r="R1432" s="362"/>
      <c r="S1432" s="363"/>
      <c r="T1432" s="46"/>
      <c r="U1432" s="44"/>
      <c r="V1432" s="1418">
        <f t="shared" si="148"/>
        <v>0</v>
      </c>
      <c r="W1432" s="357"/>
      <c r="X1432" s="357"/>
      <c r="Y1432" s="357"/>
      <c r="Z1432" s="358"/>
      <c r="AA1432" s="359"/>
      <c r="AB1432" s="360"/>
    </row>
    <row r="1433" spans="1:36" s="369" customFormat="1" ht="15" hidden="1">
      <c r="A1433" s="364"/>
      <c r="B1433" s="355"/>
      <c r="C1433" s="32"/>
      <c r="D1433" s="33"/>
      <c r="E1433" s="34"/>
      <c r="F1433" s="35"/>
      <c r="G1433" s="33"/>
      <c r="H1433" s="34"/>
      <c r="I1433" s="35"/>
      <c r="J1433" s="43"/>
      <c r="K1433" s="42"/>
      <c r="L1433" s="39"/>
      <c r="M1433" s="41"/>
      <c r="N1433" s="40"/>
      <c r="O1433" s="40"/>
      <c r="P1433" s="39"/>
      <c r="Q1433" s="38"/>
      <c r="R1433" s="365"/>
      <c r="S1433" s="366"/>
      <c r="T1433" s="46"/>
      <c r="U1433" s="44"/>
      <c r="V1433" s="1418">
        <f t="shared" si="148"/>
        <v>0</v>
      </c>
      <c r="W1433" s="367"/>
      <c r="X1433" s="367"/>
      <c r="Y1433" s="367"/>
      <c r="Z1433" s="368"/>
    </row>
    <row r="1434" spans="1:36" s="77" customFormat="1" ht="15" hidden="1">
      <c r="A1434" s="370"/>
      <c r="B1434" s="29"/>
      <c r="C1434" s="30"/>
      <c r="D1434" s="18"/>
      <c r="E1434" s="19"/>
      <c r="F1434" s="20"/>
      <c r="G1434" s="18"/>
      <c r="H1434" s="19"/>
      <c r="I1434" s="20"/>
      <c r="J1434" s="21"/>
      <c r="K1434" s="22"/>
      <c r="L1434" s="23"/>
      <c r="M1434" s="24"/>
      <c r="N1434" s="25"/>
      <c r="O1434" s="25"/>
      <c r="P1434" s="23"/>
      <c r="Q1434" s="26"/>
      <c r="R1434" s="371"/>
      <c r="S1434" s="27"/>
      <c r="T1434" s="372"/>
      <c r="U1434" s="31"/>
      <c r="V1434" s="1418">
        <f t="shared" si="148"/>
        <v>0</v>
      </c>
      <c r="AB1434" s="15"/>
    </row>
    <row r="1435" spans="1:36" s="77" customFormat="1" ht="15.6" hidden="1">
      <c r="A1435" s="370"/>
      <c r="B1435" s="499"/>
      <c r="C1435" s="37"/>
      <c r="D1435" s="1929" t="s">
        <v>1520</v>
      </c>
      <c r="E1435" s="1930"/>
      <c r="F1435" s="1930"/>
      <c r="G1435" s="1930"/>
      <c r="H1435" s="1930"/>
      <c r="I1435" s="1931"/>
      <c r="J1435" s="1932">
        <f>VLOOKUP(A1437,'11 - FINANCEIRA'!_xlnm.Print_Area,6,FALSE)</f>
        <v>6.58</v>
      </c>
      <c r="K1435" s="1933"/>
      <c r="L1435" s="1343" t="str">
        <f>VLOOKUP(A1437,'11 - FINANCEIRA'!_xlnm.Print_Area,4,FALSE)</f>
        <v>m²</v>
      </c>
      <c r="M1435" s="1934" t="s">
        <v>1521</v>
      </c>
      <c r="N1435" s="1935"/>
      <c r="O1435" s="1935"/>
      <c r="P1435" s="1935"/>
      <c r="Q1435" s="1936"/>
      <c r="R1435" s="726">
        <f>SUM(R1431:R1434)</f>
        <v>6.58</v>
      </c>
      <c r="S1435" s="1344" t="str">
        <f>L1435</f>
        <v>m²</v>
      </c>
      <c r="T1435" s="373"/>
      <c r="U1435" s="486"/>
      <c r="V1435" s="1418">
        <f t="shared" si="148"/>
        <v>0</v>
      </c>
      <c r="AB1435" s="15"/>
    </row>
    <row r="1436" spans="1:36" s="77" customFormat="1" ht="15.6" hidden="1">
      <c r="A1436" s="370"/>
      <c r="B1436" s="499"/>
      <c r="C1436" s="725"/>
      <c r="D1436" s="1937" t="s">
        <v>1522</v>
      </c>
      <c r="E1436" s="1938"/>
      <c r="F1436" s="1938"/>
      <c r="G1436" s="1938"/>
      <c r="H1436" s="1938"/>
      <c r="I1436" s="1939"/>
      <c r="J1436" s="1943">
        <f>R1435/J1435</f>
        <v>1</v>
      </c>
      <c r="K1436" s="1944"/>
      <c r="L1436" s="1947"/>
      <c r="M1436" s="1934" t="s">
        <v>1523</v>
      </c>
      <c r="N1436" s="1935"/>
      <c r="O1436" s="1935"/>
      <c r="P1436" s="1935"/>
      <c r="Q1436" s="1936"/>
      <c r="R1436" s="726">
        <f>VLOOKUP(A1437,'11 - FINANCEIRA'!_xlnm.Print_Area,8,FALSE)</f>
        <v>6.58</v>
      </c>
      <c r="S1436" s="727" t="str">
        <f>L1435</f>
        <v>m²</v>
      </c>
      <c r="T1436" s="373"/>
      <c r="U1436" s="486"/>
      <c r="V1436" s="1418">
        <f t="shared" si="148"/>
        <v>0</v>
      </c>
      <c r="AB1436" s="15"/>
    </row>
    <row r="1437" spans="1:36" s="77" customFormat="1" ht="15.6" hidden="1">
      <c r="A1437" s="364" t="s">
        <v>439</v>
      </c>
      <c r="B1437" s="499"/>
      <c r="C1437" s="37"/>
      <c r="D1437" s="2013"/>
      <c r="E1437" s="2014"/>
      <c r="F1437" s="2014"/>
      <c r="G1437" s="2014"/>
      <c r="H1437" s="2014"/>
      <c r="I1437" s="2015"/>
      <c r="J1437" s="2016"/>
      <c r="K1437" s="2017"/>
      <c r="L1437" s="1962"/>
      <c r="M1437" s="2007" t="s">
        <v>1524</v>
      </c>
      <c r="N1437" s="2008"/>
      <c r="O1437" s="2008"/>
      <c r="P1437" s="2008"/>
      <c r="Q1437" s="2009"/>
      <c r="R1437" s="1345">
        <f>R1435-R1436</f>
        <v>0</v>
      </c>
      <c r="S1437" s="1346" t="str">
        <f>L1435</f>
        <v>m²</v>
      </c>
      <c r="T1437" s="373"/>
      <c r="U1437" s="486"/>
      <c r="V1437" s="1418">
        <f>R1437</f>
        <v>0</v>
      </c>
      <c r="AB1437" s="15"/>
    </row>
    <row r="1438" spans="1:36" s="77" customFormat="1" ht="15.6" hidden="1">
      <c r="A1438" s="370"/>
      <c r="B1438" s="1347"/>
      <c r="C1438" s="1348"/>
      <c r="D1438" s="1349"/>
      <c r="E1438" s="1350"/>
      <c r="F1438" s="1349"/>
      <c r="G1438" s="1349"/>
      <c r="H1438" s="1349"/>
      <c r="I1438" s="1349"/>
      <c r="J1438" s="1351"/>
      <c r="K1438" s="1352"/>
      <c r="L1438" s="1353"/>
      <c r="M1438" s="1354"/>
      <c r="N1438" s="1354"/>
      <c r="O1438" s="1354"/>
      <c r="P1438" s="1354"/>
      <c r="Q1438" s="1354"/>
      <c r="R1438" s="1355"/>
      <c r="S1438" s="1356"/>
      <c r="T1438" s="1357"/>
      <c r="U1438" s="1358"/>
      <c r="V1438" s="1420">
        <f>SUM(V1429:V1437)</f>
        <v>0</v>
      </c>
      <c r="AB1438" s="15"/>
    </row>
    <row r="1439" spans="1:36" s="352" customFormat="1" ht="15.6" hidden="1">
      <c r="A1439" s="351"/>
      <c r="B1439" s="1963" t="str">
        <f>VLOOKUP(A1447,'11 - FINANCEIRA'!_xlnm.Print_Area,1,FALSE)</f>
        <v>2.3.5.5</v>
      </c>
      <c r="C1439" s="1965" t="str">
        <f>VLOOKUP(A1447,'11 -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439" s="1967" t="s">
        <v>1503</v>
      </c>
      <c r="E1439" s="1968"/>
      <c r="F1439" s="1968"/>
      <c r="G1439" s="1968"/>
      <c r="H1439" s="1968"/>
      <c r="I1439" s="1969"/>
      <c r="J1439" s="1914" t="s">
        <v>1504</v>
      </c>
      <c r="K1439" s="1914" t="s">
        <v>1505</v>
      </c>
      <c r="L1439" s="1914" t="s">
        <v>1506</v>
      </c>
      <c r="M1439" s="1914" t="s">
        <v>1507</v>
      </c>
      <c r="N1439" s="1914" t="s">
        <v>1508</v>
      </c>
      <c r="O1439" s="1914" t="s">
        <v>1509</v>
      </c>
      <c r="P1439" s="1341" t="s">
        <v>1510</v>
      </c>
      <c r="Q1439" s="1914" t="s">
        <v>1493</v>
      </c>
      <c r="R1439" s="1916" t="s">
        <v>804</v>
      </c>
      <c r="S1439" s="1914" t="s">
        <v>1511</v>
      </c>
      <c r="T1439" s="1914" t="s">
        <v>1512</v>
      </c>
      <c r="U1439" s="1918" t="s">
        <v>1513</v>
      </c>
      <c r="V1439" s="1418">
        <f t="shared" ref="V1439:V1446" si="149">V1440</f>
        <v>0</v>
      </c>
      <c r="W1439" s="16"/>
      <c r="X1439" s="16"/>
      <c r="Y1439" s="16"/>
      <c r="Z1439" s="17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</row>
    <row r="1440" spans="1:36" s="352" customFormat="1" ht="15.6" hidden="1">
      <c r="A1440" s="351"/>
      <c r="B1440" s="1964" t="e">
        <f>LEFT(#REF!,5)</f>
        <v>#REF!</v>
      </c>
      <c r="C1440" s="1966" t="e">
        <f>VLOOKUP(LEFT(#REF!,5),'11 - FINANCEIRA'!_xlnm.Print_Area,2,FALSE)</f>
        <v>#REF!</v>
      </c>
      <c r="D1440" s="1920" t="s">
        <v>1514</v>
      </c>
      <c r="E1440" s="1921"/>
      <c r="F1440" s="1922"/>
      <c r="G1440" s="1923" t="s">
        <v>1515</v>
      </c>
      <c r="H1440" s="1924"/>
      <c r="I1440" s="1925"/>
      <c r="J1440" s="1915"/>
      <c r="K1440" s="1915"/>
      <c r="L1440" s="1915"/>
      <c r="M1440" s="1915"/>
      <c r="N1440" s="1915"/>
      <c r="O1440" s="1915"/>
      <c r="P1440" s="353" t="s">
        <v>1516</v>
      </c>
      <c r="Q1440" s="1915"/>
      <c r="R1440" s="1917"/>
      <c r="S1440" s="1915"/>
      <c r="T1440" s="1915"/>
      <c r="U1440" s="1919"/>
      <c r="V1440" s="1418">
        <f t="shared" si="149"/>
        <v>0</v>
      </c>
      <c r="W1440" s="16"/>
      <c r="X1440" s="16"/>
      <c r="Y1440" s="16"/>
      <c r="Z1440" s="17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</row>
    <row r="1441" spans="1:36" s="361" customFormat="1" ht="45" hidden="1">
      <c r="A1441" s="354"/>
      <c r="B1441" s="355"/>
      <c r="C1441" s="32" t="s">
        <v>951</v>
      </c>
      <c r="D1441" s="33"/>
      <c r="E1441" s="34"/>
      <c r="F1441" s="35"/>
      <c r="G1441" s="33"/>
      <c r="H1441" s="34"/>
      <c r="I1441" s="35"/>
      <c r="J1441" s="43"/>
      <c r="K1441" s="42"/>
      <c r="L1441" s="39"/>
      <c r="M1441" s="41"/>
      <c r="N1441" s="356"/>
      <c r="O1441" s="40"/>
      <c r="P1441" s="39"/>
      <c r="Q1441" s="45"/>
      <c r="R1441" s="1359">
        <v>6.58</v>
      </c>
      <c r="S1441" s="1265" t="s">
        <v>821</v>
      </c>
      <c r="T1441" s="46" t="s">
        <v>328</v>
      </c>
      <c r="U1441" s="44"/>
      <c r="V1441" s="1418">
        <f t="shared" si="149"/>
        <v>0</v>
      </c>
      <c r="W1441" s="357"/>
      <c r="X1441" s="357"/>
      <c r="Y1441" s="357"/>
      <c r="Z1441" s="358"/>
      <c r="AA1441" s="359"/>
      <c r="AB1441" s="360"/>
    </row>
    <row r="1442" spans="1:36" s="361" customFormat="1" ht="15" hidden="1" customHeight="1">
      <c r="A1442" s="354"/>
      <c r="B1442" s="355"/>
      <c r="C1442" s="32"/>
      <c r="D1442" s="33"/>
      <c r="E1442" s="34"/>
      <c r="F1442" s="35"/>
      <c r="G1442" s="33"/>
      <c r="H1442" s="34"/>
      <c r="I1442" s="35"/>
      <c r="J1442" s="43"/>
      <c r="K1442" s="42"/>
      <c r="L1442" s="39"/>
      <c r="M1442" s="41"/>
      <c r="N1442" s="356"/>
      <c r="O1442" s="40"/>
      <c r="P1442" s="39"/>
      <c r="Q1442" s="45"/>
      <c r="R1442" s="362"/>
      <c r="S1442" s="363"/>
      <c r="T1442" s="46"/>
      <c r="U1442" s="44"/>
      <c r="V1442" s="1418">
        <f t="shared" si="149"/>
        <v>0</v>
      </c>
      <c r="W1442" s="357"/>
      <c r="X1442" s="357"/>
      <c r="Y1442" s="357"/>
      <c r="Z1442" s="358"/>
      <c r="AA1442" s="359"/>
      <c r="AB1442" s="360"/>
    </row>
    <row r="1443" spans="1:36" s="369" customFormat="1" ht="15" hidden="1">
      <c r="A1443" s="364"/>
      <c r="B1443" s="355"/>
      <c r="C1443" s="32"/>
      <c r="D1443" s="33"/>
      <c r="E1443" s="34"/>
      <c r="F1443" s="35"/>
      <c r="G1443" s="33"/>
      <c r="H1443" s="34"/>
      <c r="I1443" s="35"/>
      <c r="J1443" s="43"/>
      <c r="K1443" s="42"/>
      <c r="L1443" s="39"/>
      <c r="M1443" s="41"/>
      <c r="N1443" s="40"/>
      <c r="O1443" s="40"/>
      <c r="P1443" s="39"/>
      <c r="Q1443" s="38"/>
      <c r="R1443" s="365"/>
      <c r="S1443" s="366"/>
      <c r="T1443" s="46"/>
      <c r="U1443" s="44"/>
      <c r="V1443" s="1418">
        <f t="shared" si="149"/>
        <v>0</v>
      </c>
      <c r="W1443" s="367"/>
      <c r="X1443" s="367"/>
      <c r="Y1443" s="367"/>
      <c r="Z1443" s="368"/>
    </row>
    <row r="1444" spans="1:36" s="77" customFormat="1" ht="15" hidden="1">
      <c r="A1444" s="370"/>
      <c r="B1444" s="29"/>
      <c r="C1444" s="30"/>
      <c r="D1444" s="18"/>
      <c r="E1444" s="19"/>
      <c r="F1444" s="20"/>
      <c r="G1444" s="18"/>
      <c r="H1444" s="19"/>
      <c r="I1444" s="20"/>
      <c r="J1444" s="21"/>
      <c r="K1444" s="22"/>
      <c r="L1444" s="23"/>
      <c r="M1444" s="24"/>
      <c r="N1444" s="25"/>
      <c r="O1444" s="25"/>
      <c r="P1444" s="23"/>
      <c r="Q1444" s="26"/>
      <c r="R1444" s="371"/>
      <c r="S1444" s="27"/>
      <c r="T1444" s="372"/>
      <c r="U1444" s="31"/>
      <c r="V1444" s="1418">
        <f t="shared" si="149"/>
        <v>0</v>
      </c>
      <c r="AB1444" s="15"/>
    </row>
    <row r="1445" spans="1:36" s="77" customFormat="1" ht="15.6" hidden="1">
      <c r="A1445" s="370"/>
      <c r="B1445" s="499"/>
      <c r="C1445" s="37"/>
      <c r="D1445" s="1929" t="s">
        <v>1520</v>
      </c>
      <c r="E1445" s="1930"/>
      <c r="F1445" s="1930"/>
      <c r="G1445" s="1930"/>
      <c r="H1445" s="1930"/>
      <c r="I1445" s="1931"/>
      <c r="J1445" s="1932">
        <f>VLOOKUP(A1447,'11 - FINANCEIRA'!_xlnm.Print_Area,6,FALSE)</f>
        <v>6.58</v>
      </c>
      <c r="K1445" s="1933"/>
      <c r="L1445" s="1343" t="str">
        <f>VLOOKUP(A1447,'11 - FINANCEIRA'!_xlnm.Print_Area,4,FALSE)</f>
        <v>m²</v>
      </c>
      <c r="M1445" s="1934" t="s">
        <v>1521</v>
      </c>
      <c r="N1445" s="1935"/>
      <c r="O1445" s="1935"/>
      <c r="P1445" s="1935"/>
      <c r="Q1445" s="1936"/>
      <c r="R1445" s="726">
        <f>SUM(R1441:R1444)</f>
        <v>6.58</v>
      </c>
      <c r="S1445" s="1344" t="str">
        <f>L1445</f>
        <v>m²</v>
      </c>
      <c r="T1445" s="373"/>
      <c r="U1445" s="486"/>
      <c r="V1445" s="1418">
        <f t="shared" si="149"/>
        <v>0</v>
      </c>
      <c r="AB1445" s="15"/>
    </row>
    <row r="1446" spans="1:36" s="77" customFormat="1" ht="15.6" hidden="1">
      <c r="A1446" s="370"/>
      <c r="B1446" s="499"/>
      <c r="C1446" s="725"/>
      <c r="D1446" s="1937" t="s">
        <v>1522</v>
      </c>
      <c r="E1446" s="1938"/>
      <c r="F1446" s="1938"/>
      <c r="G1446" s="1938"/>
      <c r="H1446" s="1938"/>
      <c r="I1446" s="1939"/>
      <c r="J1446" s="1943">
        <f>R1445/J1445</f>
        <v>1</v>
      </c>
      <c r="K1446" s="1944"/>
      <c r="L1446" s="1947"/>
      <c r="M1446" s="1934" t="s">
        <v>1523</v>
      </c>
      <c r="N1446" s="1935"/>
      <c r="O1446" s="1935"/>
      <c r="P1446" s="1935"/>
      <c r="Q1446" s="1936"/>
      <c r="R1446" s="726">
        <f>VLOOKUP(A1447,'11 - FINANCEIRA'!_xlnm.Print_Area,8,FALSE)</f>
        <v>6.58</v>
      </c>
      <c r="S1446" s="727" t="str">
        <f>L1445</f>
        <v>m²</v>
      </c>
      <c r="T1446" s="373"/>
      <c r="U1446" s="486"/>
      <c r="V1446" s="1418">
        <f t="shared" si="149"/>
        <v>0</v>
      </c>
      <c r="AB1446" s="15"/>
    </row>
    <row r="1447" spans="1:36" s="77" customFormat="1" ht="15.6" hidden="1">
      <c r="A1447" s="364" t="s">
        <v>440</v>
      </c>
      <c r="B1447" s="499"/>
      <c r="C1447" s="37"/>
      <c r="D1447" s="2013"/>
      <c r="E1447" s="2014"/>
      <c r="F1447" s="2014"/>
      <c r="G1447" s="2014"/>
      <c r="H1447" s="2014"/>
      <c r="I1447" s="2015"/>
      <c r="J1447" s="2016"/>
      <c r="K1447" s="2017"/>
      <c r="L1447" s="1962"/>
      <c r="M1447" s="2007" t="s">
        <v>1524</v>
      </c>
      <c r="N1447" s="2008"/>
      <c r="O1447" s="2008"/>
      <c r="P1447" s="2008"/>
      <c r="Q1447" s="2009"/>
      <c r="R1447" s="1345">
        <f>R1445-R1446</f>
        <v>0</v>
      </c>
      <c r="S1447" s="1346" t="str">
        <f>L1445</f>
        <v>m²</v>
      </c>
      <c r="T1447" s="373"/>
      <c r="U1447" s="486"/>
      <c r="V1447" s="1418">
        <f>R1447</f>
        <v>0</v>
      </c>
      <c r="AB1447" s="15"/>
    </row>
    <row r="1448" spans="1:36" s="77" customFormat="1" ht="15.6" hidden="1">
      <c r="A1448" s="370"/>
      <c r="B1448" s="1347"/>
      <c r="C1448" s="1348"/>
      <c r="D1448" s="1349"/>
      <c r="E1448" s="1350"/>
      <c r="F1448" s="1349"/>
      <c r="G1448" s="1349"/>
      <c r="H1448" s="1349"/>
      <c r="I1448" s="1349"/>
      <c r="J1448" s="1351"/>
      <c r="K1448" s="1352"/>
      <c r="L1448" s="1353"/>
      <c r="M1448" s="1354"/>
      <c r="N1448" s="1354"/>
      <c r="O1448" s="1354"/>
      <c r="P1448" s="1354"/>
      <c r="Q1448" s="1354"/>
      <c r="R1448" s="1355"/>
      <c r="S1448" s="1356"/>
      <c r="T1448" s="1357"/>
      <c r="U1448" s="1358"/>
      <c r="V1448" s="1420">
        <f>SUM(V1439:V1447)</f>
        <v>0</v>
      </c>
      <c r="AB1448" s="15"/>
    </row>
    <row r="1449" spans="1:36" s="352" customFormat="1" ht="15.6" hidden="1">
      <c r="A1449" s="351"/>
      <c r="B1449" s="1963" t="str">
        <f>VLOOKUP(A1457,'11 - FINANCEIRA'!_xlnm.Print_Area,1,FALSE)</f>
        <v>2.3.5.6</v>
      </c>
      <c r="C1449" s="1965" t="str">
        <f>VLOOKUP(A1457,'11 - FINANCEIRA'!_xlnm.Print_Area,3,FALSE)</f>
        <v>Reboco de argamassa de cimento, cal hidratada ch1 e areia média ou grossa lavada no traço 1:0.5:6, espessura 5mm</v>
      </c>
      <c r="D1449" s="1967" t="s">
        <v>1503</v>
      </c>
      <c r="E1449" s="1968"/>
      <c r="F1449" s="1968"/>
      <c r="G1449" s="1968"/>
      <c r="H1449" s="1968"/>
      <c r="I1449" s="1969"/>
      <c r="J1449" s="1914" t="s">
        <v>1504</v>
      </c>
      <c r="K1449" s="1914" t="s">
        <v>1505</v>
      </c>
      <c r="L1449" s="1914" t="s">
        <v>1506</v>
      </c>
      <c r="M1449" s="1914" t="s">
        <v>1507</v>
      </c>
      <c r="N1449" s="1914" t="s">
        <v>1508</v>
      </c>
      <c r="O1449" s="1914" t="s">
        <v>1509</v>
      </c>
      <c r="P1449" s="1341" t="s">
        <v>1510</v>
      </c>
      <c r="Q1449" s="1914" t="s">
        <v>1493</v>
      </c>
      <c r="R1449" s="1916" t="s">
        <v>804</v>
      </c>
      <c r="S1449" s="1914" t="s">
        <v>1511</v>
      </c>
      <c r="T1449" s="1914" t="s">
        <v>1512</v>
      </c>
      <c r="U1449" s="1918" t="s">
        <v>1513</v>
      </c>
      <c r="V1449" s="1418">
        <f t="shared" ref="V1449:V1456" si="150">V1450</f>
        <v>0</v>
      </c>
      <c r="W1449" s="16"/>
      <c r="X1449" s="16"/>
      <c r="Y1449" s="16"/>
      <c r="Z1449" s="17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</row>
    <row r="1450" spans="1:36" s="352" customFormat="1" ht="15.6" hidden="1">
      <c r="A1450" s="351"/>
      <c r="B1450" s="1964" t="e">
        <f>LEFT(#REF!,5)</f>
        <v>#REF!</v>
      </c>
      <c r="C1450" s="1966" t="e">
        <f>VLOOKUP(LEFT(#REF!,5),'11 - FINANCEIRA'!_xlnm.Print_Area,2,FALSE)</f>
        <v>#REF!</v>
      </c>
      <c r="D1450" s="1920" t="s">
        <v>1514</v>
      </c>
      <c r="E1450" s="1921"/>
      <c r="F1450" s="1922"/>
      <c r="G1450" s="1923" t="s">
        <v>1515</v>
      </c>
      <c r="H1450" s="1924"/>
      <c r="I1450" s="1925"/>
      <c r="J1450" s="1915"/>
      <c r="K1450" s="1915"/>
      <c r="L1450" s="1915"/>
      <c r="M1450" s="1915"/>
      <c r="N1450" s="1915"/>
      <c r="O1450" s="1915"/>
      <c r="P1450" s="353" t="s">
        <v>1516</v>
      </c>
      <c r="Q1450" s="1915"/>
      <c r="R1450" s="1917"/>
      <c r="S1450" s="1915"/>
      <c r="T1450" s="1915"/>
      <c r="U1450" s="1919"/>
      <c r="V1450" s="1418">
        <f t="shared" si="150"/>
        <v>0</v>
      </c>
      <c r="W1450" s="16"/>
      <c r="X1450" s="16"/>
      <c r="Y1450" s="16"/>
      <c r="Z1450" s="17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</row>
    <row r="1451" spans="1:36" s="361" customFormat="1" ht="30" hidden="1">
      <c r="A1451" s="354"/>
      <c r="B1451" s="355"/>
      <c r="C1451" s="32" t="s">
        <v>953</v>
      </c>
      <c r="D1451" s="33"/>
      <c r="E1451" s="34"/>
      <c r="F1451" s="35"/>
      <c r="G1451" s="33"/>
      <c r="H1451" s="34"/>
      <c r="I1451" s="35"/>
      <c r="J1451" s="43"/>
      <c r="K1451" s="42"/>
      <c r="L1451" s="39"/>
      <c r="M1451" s="41"/>
      <c r="N1451" s="356"/>
      <c r="O1451" s="40"/>
      <c r="P1451" s="39"/>
      <c r="Q1451" s="45"/>
      <c r="R1451" s="1359">
        <v>8.1</v>
      </c>
      <c r="S1451" s="1265" t="s">
        <v>821</v>
      </c>
      <c r="T1451" s="46" t="s">
        <v>328</v>
      </c>
      <c r="U1451" s="44"/>
      <c r="V1451" s="1418">
        <f t="shared" si="150"/>
        <v>0</v>
      </c>
      <c r="W1451" s="357"/>
      <c r="X1451" s="357"/>
      <c r="Y1451" s="357"/>
      <c r="Z1451" s="358"/>
      <c r="AA1451" s="359"/>
      <c r="AB1451" s="360"/>
    </row>
    <row r="1452" spans="1:36" s="361" customFormat="1" ht="15" hidden="1" customHeight="1">
      <c r="A1452" s="354"/>
      <c r="B1452" s="355"/>
      <c r="C1452" s="32"/>
      <c r="D1452" s="33"/>
      <c r="E1452" s="34"/>
      <c r="F1452" s="35"/>
      <c r="G1452" s="33"/>
      <c r="H1452" s="34"/>
      <c r="I1452" s="35"/>
      <c r="J1452" s="43"/>
      <c r="K1452" s="42"/>
      <c r="L1452" s="39"/>
      <c r="M1452" s="41"/>
      <c r="N1452" s="356"/>
      <c r="O1452" s="40"/>
      <c r="P1452" s="39"/>
      <c r="Q1452" s="45"/>
      <c r="R1452" s="362"/>
      <c r="S1452" s="363"/>
      <c r="T1452" s="46"/>
      <c r="U1452" s="44"/>
      <c r="V1452" s="1418">
        <f t="shared" si="150"/>
        <v>0</v>
      </c>
      <c r="W1452" s="357"/>
      <c r="X1452" s="357"/>
      <c r="Y1452" s="357"/>
      <c r="Z1452" s="358"/>
      <c r="AA1452" s="359"/>
      <c r="AB1452" s="360"/>
    </row>
    <row r="1453" spans="1:36" s="369" customFormat="1" ht="15" hidden="1">
      <c r="A1453" s="364"/>
      <c r="B1453" s="355"/>
      <c r="C1453" s="32"/>
      <c r="D1453" s="33"/>
      <c r="E1453" s="34"/>
      <c r="F1453" s="35"/>
      <c r="G1453" s="33"/>
      <c r="H1453" s="34"/>
      <c r="I1453" s="35"/>
      <c r="J1453" s="43"/>
      <c r="K1453" s="42"/>
      <c r="L1453" s="39"/>
      <c r="M1453" s="41"/>
      <c r="N1453" s="40"/>
      <c r="O1453" s="40"/>
      <c r="P1453" s="39"/>
      <c r="Q1453" s="38"/>
      <c r="R1453" s="365"/>
      <c r="S1453" s="366"/>
      <c r="T1453" s="46"/>
      <c r="U1453" s="44"/>
      <c r="V1453" s="1418">
        <f t="shared" si="150"/>
        <v>0</v>
      </c>
      <c r="W1453" s="367"/>
      <c r="X1453" s="367"/>
      <c r="Y1453" s="367"/>
      <c r="Z1453" s="368"/>
    </row>
    <row r="1454" spans="1:36" s="77" customFormat="1" ht="15" hidden="1">
      <c r="A1454" s="370"/>
      <c r="B1454" s="29"/>
      <c r="C1454" s="30"/>
      <c r="D1454" s="18"/>
      <c r="E1454" s="19"/>
      <c r="F1454" s="20"/>
      <c r="G1454" s="18"/>
      <c r="H1454" s="19"/>
      <c r="I1454" s="20"/>
      <c r="J1454" s="21"/>
      <c r="K1454" s="22"/>
      <c r="L1454" s="23"/>
      <c r="M1454" s="24"/>
      <c r="N1454" s="25"/>
      <c r="O1454" s="25"/>
      <c r="P1454" s="23"/>
      <c r="Q1454" s="26"/>
      <c r="R1454" s="371"/>
      <c r="S1454" s="27"/>
      <c r="T1454" s="372"/>
      <c r="U1454" s="31"/>
      <c r="V1454" s="1418">
        <f t="shared" si="150"/>
        <v>0</v>
      </c>
      <c r="AB1454" s="15"/>
    </row>
    <row r="1455" spans="1:36" s="77" customFormat="1" ht="15.6" hidden="1">
      <c r="A1455" s="370"/>
      <c r="B1455" s="499"/>
      <c r="C1455" s="37"/>
      <c r="D1455" s="1929" t="s">
        <v>1520</v>
      </c>
      <c r="E1455" s="1930"/>
      <c r="F1455" s="1930"/>
      <c r="G1455" s="1930"/>
      <c r="H1455" s="1930"/>
      <c r="I1455" s="1931"/>
      <c r="J1455" s="1932">
        <f>VLOOKUP(A1457,'11 - FINANCEIRA'!_xlnm.Print_Area,6,FALSE)</f>
        <v>8.1</v>
      </c>
      <c r="K1455" s="1933"/>
      <c r="L1455" s="1343" t="str">
        <f>VLOOKUP(A1457,'11 - FINANCEIRA'!_xlnm.Print_Area,4,FALSE)</f>
        <v>m²</v>
      </c>
      <c r="M1455" s="1934" t="s">
        <v>1521</v>
      </c>
      <c r="N1455" s="1935"/>
      <c r="O1455" s="1935"/>
      <c r="P1455" s="1935"/>
      <c r="Q1455" s="1936"/>
      <c r="R1455" s="726">
        <f>SUM(R1451:R1454)</f>
        <v>8.1</v>
      </c>
      <c r="S1455" s="1344" t="str">
        <f>L1455</f>
        <v>m²</v>
      </c>
      <c r="T1455" s="373"/>
      <c r="U1455" s="486"/>
      <c r="V1455" s="1418">
        <f t="shared" si="150"/>
        <v>0</v>
      </c>
      <c r="AB1455" s="15"/>
    </row>
    <row r="1456" spans="1:36" s="77" customFormat="1" ht="15.6" hidden="1">
      <c r="A1456" s="370"/>
      <c r="B1456" s="499"/>
      <c r="C1456" s="725"/>
      <c r="D1456" s="1937" t="s">
        <v>1522</v>
      </c>
      <c r="E1456" s="1938"/>
      <c r="F1456" s="1938"/>
      <c r="G1456" s="1938"/>
      <c r="H1456" s="1938"/>
      <c r="I1456" s="1939"/>
      <c r="J1456" s="1943">
        <f>R1455/J1455</f>
        <v>1</v>
      </c>
      <c r="K1456" s="1944"/>
      <c r="L1456" s="1947"/>
      <c r="M1456" s="1934" t="s">
        <v>1523</v>
      </c>
      <c r="N1456" s="1935"/>
      <c r="O1456" s="1935"/>
      <c r="P1456" s="1935"/>
      <c r="Q1456" s="1936"/>
      <c r="R1456" s="726">
        <f>VLOOKUP(A1457,'11 - FINANCEIRA'!_xlnm.Print_Area,8,FALSE)</f>
        <v>8.1</v>
      </c>
      <c r="S1456" s="727" t="str">
        <f>L1455</f>
        <v>m²</v>
      </c>
      <c r="T1456" s="373"/>
      <c r="U1456" s="486"/>
      <c r="V1456" s="1418">
        <f t="shared" si="150"/>
        <v>0</v>
      </c>
      <c r="AB1456" s="15"/>
    </row>
    <row r="1457" spans="1:36" s="77" customFormat="1" ht="15.6" hidden="1">
      <c r="A1457" s="364" t="s">
        <v>441</v>
      </c>
      <c r="B1457" s="499"/>
      <c r="C1457" s="37"/>
      <c r="D1457" s="2013"/>
      <c r="E1457" s="2014"/>
      <c r="F1457" s="2014"/>
      <c r="G1457" s="2014"/>
      <c r="H1457" s="2014"/>
      <c r="I1457" s="2015"/>
      <c r="J1457" s="2016"/>
      <c r="K1457" s="2017"/>
      <c r="L1457" s="1962"/>
      <c r="M1457" s="2007" t="s">
        <v>1524</v>
      </c>
      <c r="N1457" s="2008"/>
      <c r="O1457" s="2008"/>
      <c r="P1457" s="2008"/>
      <c r="Q1457" s="2009"/>
      <c r="R1457" s="1345">
        <f>R1455-R1456</f>
        <v>0</v>
      </c>
      <c r="S1457" s="1346" t="str">
        <f>L1455</f>
        <v>m²</v>
      </c>
      <c r="T1457" s="373"/>
      <c r="U1457" s="486"/>
      <c r="V1457" s="1418">
        <f>R1457</f>
        <v>0</v>
      </c>
      <c r="AB1457" s="15"/>
    </row>
    <row r="1458" spans="1:36" s="77" customFormat="1" ht="15.6" hidden="1">
      <c r="A1458" s="370"/>
      <c r="B1458" s="1347"/>
      <c r="C1458" s="1348"/>
      <c r="D1458" s="1349"/>
      <c r="E1458" s="1350"/>
      <c r="F1458" s="1349"/>
      <c r="G1458" s="1349"/>
      <c r="H1458" s="1349"/>
      <c r="I1458" s="1349"/>
      <c r="J1458" s="1351"/>
      <c r="K1458" s="1352"/>
      <c r="L1458" s="1353"/>
      <c r="M1458" s="1354"/>
      <c r="N1458" s="1354"/>
      <c r="O1458" s="1354"/>
      <c r="P1458" s="1354"/>
      <c r="Q1458" s="1354"/>
      <c r="R1458" s="1355"/>
      <c r="S1458" s="1356"/>
      <c r="T1458" s="1357"/>
      <c r="U1458" s="1358"/>
      <c r="V1458" s="1420">
        <f>SUM(V1449:V1457)</f>
        <v>0</v>
      </c>
      <c r="AB1458" s="15"/>
    </row>
    <row r="1459" spans="1:36" s="352" customFormat="1" ht="15.6" hidden="1">
      <c r="A1459" s="351"/>
      <c r="B1459" s="1963" t="str">
        <f>VLOOKUP(A1467,'11 - FINANCEIRA'!_xlnm.Print_Area,1,FALSE)</f>
        <v>2.3.5.7</v>
      </c>
      <c r="C1459" s="1965" t="str">
        <f>VLOOKUP(A1467,'11 - FINANCEIRA'!_xlnm.Print_Area,3,FALSE)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459" s="1967" t="s">
        <v>1503</v>
      </c>
      <c r="E1459" s="1968"/>
      <c r="F1459" s="1968"/>
      <c r="G1459" s="1968"/>
      <c r="H1459" s="1968"/>
      <c r="I1459" s="1969"/>
      <c r="J1459" s="1914" t="s">
        <v>1504</v>
      </c>
      <c r="K1459" s="1914" t="s">
        <v>1505</v>
      </c>
      <c r="L1459" s="1914" t="s">
        <v>1506</v>
      </c>
      <c r="M1459" s="1914" t="s">
        <v>1507</v>
      </c>
      <c r="N1459" s="1914" t="s">
        <v>1508</v>
      </c>
      <c r="O1459" s="1914" t="s">
        <v>1509</v>
      </c>
      <c r="P1459" s="1341" t="s">
        <v>1510</v>
      </c>
      <c r="Q1459" s="1914" t="s">
        <v>1493</v>
      </c>
      <c r="R1459" s="1916" t="s">
        <v>804</v>
      </c>
      <c r="S1459" s="1914" t="s">
        <v>1511</v>
      </c>
      <c r="T1459" s="1914" t="s">
        <v>1512</v>
      </c>
      <c r="U1459" s="1918" t="s">
        <v>1513</v>
      </c>
      <c r="V1459" s="1418">
        <f t="shared" ref="V1459:V1466" si="151">V1460</f>
        <v>0</v>
      </c>
      <c r="W1459" s="16"/>
      <c r="X1459" s="16"/>
      <c r="Y1459" s="16"/>
      <c r="Z1459" s="17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</row>
    <row r="1460" spans="1:36" s="352" customFormat="1" ht="15.6" hidden="1">
      <c r="A1460" s="351"/>
      <c r="B1460" s="1964" t="e">
        <f>LEFT(#REF!,5)</f>
        <v>#REF!</v>
      </c>
      <c r="C1460" s="1966" t="e">
        <f>VLOOKUP(LEFT(#REF!,5),'11 - FINANCEIRA'!_xlnm.Print_Area,2,FALSE)</f>
        <v>#REF!</v>
      </c>
      <c r="D1460" s="1920" t="s">
        <v>1514</v>
      </c>
      <c r="E1460" s="1921"/>
      <c r="F1460" s="1922"/>
      <c r="G1460" s="1923" t="s">
        <v>1515</v>
      </c>
      <c r="H1460" s="1924"/>
      <c r="I1460" s="1925"/>
      <c r="J1460" s="1915"/>
      <c r="K1460" s="1915"/>
      <c r="L1460" s="1915"/>
      <c r="M1460" s="1915"/>
      <c r="N1460" s="1915"/>
      <c r="O1460" s="1915"/>
      <c r="P1460" s="353" t="s">
        <v>1516</v>
      </c>
      <c r="Q1460" s="1915"/>
      <c r="R1460" s="1917"/>
      <c r="S1460" s="1915"/>
      <c r="T1460" s="1915"/>
      <c r="U1460" s="1919"/>
      <c r="V1460" s="1418">
        <f t="shared" si="151"/>
        <v>0</v>
      </c>
      <c r="W1460" s="16"/>
      <c r="X1460" s="16"/>
      <c r="Y1460" s="16"/>
      <c r="Z1460" s="17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</row>
    <row r="1461" spans="1:36" s="361" customFormat="1" ht="45" hidden="1">
      <c r="A1461" s="354"/>
      <c r="B1461" s="355"/>
      <c r="C1461" s="32" t="s">
        <v>955</v>
      </c>
      <c r="D1461" s="33"/>
      <c r="E1461" s="34"/>
      <c r="F1461" s="35"/>
      <c r="G1461" s="33"/>
      <c r="H1461" s="34"/>
      <c r="I1461" s="35"/>
      <c r="J1461" s="43"/>
      <c r="K1461" s="42"/>
      <c r="L1461" s="39"/>
      <c r="M1461" s="41"/>
      <c r="N1461" s="356"/>
      <c r="O1461" s="40"/>
      <c r="P1461" s="39"/>
      <c r="Q1461" s="45"/>
      <c r="R1461" s="1359">
        <v>17.96</v>
      </c>
      <c r="S1461" s="1265" t="s">
        <v>821</v>
      </c>
      <c r="T1461" s="46" t="s">
        <v>328</v>
      </c>
      <c r="U1461" s="44"/>
      <c r="V1461" s="1418">
        <f t="shared" si="151"/>
        <v>0</v>
      </c>
      <c r="W1461" s="357"/>
      <c r="X1461" s="357"/>
      <c r="Y1461" s="357"/>
      <c r="Z1461" s="358"/>
      <c r="AA1461" s="359"/>
      <c r="AB1461" s="360"/>
    </row>
    <row r="1462" spans="1:36" s="361" customFormat="1" ht="15" hidden="1" customHeight="1">
      <c r="A1462" s="354"/>
      <c r="B1462" s="355"/>
      <c r="C1462" s="32"/>
      <c r="D1462" s="33"/>
      <c r="E1462" s="34"/>
      <c r="F1462" s="35"/>
      <c r="G1462" s="33"/>
      <c r="H1462" s="34"/>
      <c r="I1462" s="35"/>
      <c r="J1462" s="43"/>
      <c r="K1462" s="42"/>
      <c r="L1462" s="39"/>
      <c r="M1462" s="41"/>
      <c r="N1462" s="356"/>
      <c r="O1462" s="40"/>
      <c r="P1462" s="39"/>
      <c r="Q1462" s="45"/>
      <c r="R1462" s="362"/>
      <c r="S1462" s="363"/>
      <c r="T1462" s="46"/>
      <c r="U1462" s="44"/>
      <c r="V1462" s="1418">
        <f t="shared" si="151"/>
        <v>0</v>
      </c>
      <c r="W1462" s="357"/>
      <c r="X1462" s="357"/>
      <c r="Y1462" s="357"/>
      <c r="Z1462" s="358"/>
      <c r="AA1462" s="359"/>
      <c r="AB1462" s="360"/>
    </row>
    <row r="1463" spans="1:36" s="369" customFormat="1" ht="15" hidden="1">
      <c r="A1463" s="364"/>
      <c r="B1463" s="355"/>
      <c r="C1463" s="32"/>
      <c r="D1463" s="33"/>
      <c r="E1463" s="34"/>
      <c r="F1463" s="35"/>
      <c r="G1463" s="33"/>
      <c r="H1463" s="34"/>
      <c r="I1463" s="35"/>
      <c r="J1463" s="43"/>
      <c r="K1463" s="42"/>
      <c r="L1463" s="39"/>
      <c r="M1463" s="41"/>
      <c r="N1463" s="40"/>
      <c r="O1463" s="40"/>
      <c r="P1463" s="39"/>
      <c r="Q1463" s="38"/>
      <c r="R1463" s="365"/>
      <c r="S1463" s="366"/>
      <c r="T1463" s="46"/>
      <c r="U1463" s="44"/>
      <c r="V1463" s="1418">
        <f t="shared" si="151"/>
        <v>0</v>
      </c>
      <c r="W1463" s="367"/>
      <c r="X1463" s="367"/>
      <c r="Y1463" s="367"/>
      <c r="Z1463" s="368"/>
    </row>
    <row r="1464" spans="1:36" s="77" customFormat="1" ht="15" hidden="1">
      <c r="A1464" s="370"/>
      <c r="B1464" s="29"/>
      <c r="C1464" s="30"/>
      <c r="D1464" s="18"/>
      <c r="E1464" s="19"/>
      <c r="F1464" s="20"/>
      <c r="G1464" s="18"/>
      <c r="H1464" s="19"/>
      <c r="I1464" s="20"/>
      <c r="J1464" s="21"/>
      <c r="K1464" s="22"/>
      <c r="L1464" s="23"/>
      <c r="M1464" s="24"/>
      <c r="N1464" s="25"/>
      <c r="O1464" s="25"/>
      <c r="P1464" s="23"/>
      <c r="Q1464" s="26"/>
      <c r="R1464" s="371"/>
      <c r="S1464" s="27"/>
      <c r="T1464" s="372"/>
      <c r="U1464" s="31"/>
      <c r="V1464" s="1418">
        <f t="shared" si="151"/>
        <v>0</v>
      </c>
      <c r="AB1464" s="15"/>
    </row>
    <row r="1465" spans="1:36" s="77" customFormat="1" ht="15.6" hidden="1">
      <c r="A1465" s="370"/>
      <c r="B1465" s="499"/>
      <c r="C1465" s="37"/>
      <c r="D1465" s="1929" t="s">
        <v>1520</v>
      </c>
      <c r="E1465" s="1930"/>
      <c r="F1465" s="1930"/>
      <c r="G1465" s="1930"/>
      <c r="H1465" s="1930"/>
      <c r="I1465" s="1931"/>
      <c r="J1465" s="1932">
        <f>VLOOKUP(A1467,'11 - FINANCEIRA'!_xlnm.Print_Area,6,FALSE)</f>
        <v>17.96</v>
      </c>
      <c r="K1465" s="1933"/>
      <c r="L1465" s="1343" t="str">
        <f>VLOOKUP(A1467,'11 - FINANCEIRA'!_xlnm.Print_Area,4,FALSE)</f>
        <v>m²</v>
      </c>
      <c r="M1465" s="1934" t="s">
        <v>1521</v>
      </c>
      <c r="N1465" s="1935"/>
      <c r="O1465" s="1935"/>
      <c r="P1465" s="1935"/>
      <c r="Q1465" s="1936"/>
      <c r="R1465" s="726">
        <f>SUM(R1461:R1464)</f>
        <v>17.96</v>
      </c>
      <c r="S1465" s="1344" t="str">
        <f>L1465</f>
        <v>m²</v>
      </c>
      <c r="T1465" s="373"/>
      <c r="U1465" s="486"/>
      <c r="V1465" s="1418">
        <f t="shared" si="151"/>
        <v>0</v>
      </c>
      <c r="AB1465" s="15"/>
    </row>
    <row r="1466" spans="1:36" s="77" customFormat="1" ht="15.6" hidden="1">
      <c r="A1466" s="370"/>
      <c r="B1466" s="499"/>
      <c r="C1466" s="725"/>
      <c r="D1466" s="1937" t="s">
        <v>1522</v>
      </c>
      <c r="E1466" s="1938"/>
      <c r="F1466" s="1938"/>
      <c r="G1466" s="1938"/>
      <c r="H1466" s="1938"/>
      <c r="I1466" s="1939"/>
      <c r="J1466" s="1943">
        <f>R1465/J1465</f>
        <v>1</v>
      </c>
      <c r="K1466" s="1944"/>
      <c r="L1466" s="1947"/>
      <c r="M1466" s="1934" t="s">
        <v>1523</v>
      </c>
      <c r="N1466" s="1935"/>
      <c r="O1466" s="1935"/>
      <c r="P1466" s="1935"/>
      <c r="Q1466" s="1936"/>
      <c r="R1466" s="726">
        <f>VLOOKUP(A1467,'11 - FINANCEIRA'!_xlnm.Print_Area,8,FALSE)</f>
        <v>17.96</v>
      </c>
      <c r="S1466" s="727" t="str">
        <f>L1465</f>
        <v>m²</v>
      </c>
      <c r="T1466" s="373"/>
      <c r="U1466" s="486"/>
      <c r="V1466" s="1418">
        <f t="shared" si="151"/>
        <v>0</v>
      </c>
      <c r="AB1466" s="15"/>
    </row>
    <row r="1467" spans="1:36" s="77" customFormat="1" ht="15.6" hidden="1">
      <c r="A1467" s="364" t="s">
        <v>442</v>
      </c>
      <c r="B1467" s="499"/>
      <c r="C1467" s="37"/>
      <c r="D1467" s="2013"/>
      <c r="E1467" s="2014"/>
      <c r="F1467" s="2014"/>
      <c r="G1467" s="2014"/>
      <c r="H1467" s="2014"/>
      <c r="I1467" s="2015"/>
      <c r="J1467" s="2016"/>
      <c r="K1467" s="2017"/>
      <c r="L1467" s="1962"/>
      <c r="M1467" s="2007" t="s">
        <v>1524</v>
      </c>
      <c r="N1467" s="2008"/>
      <c r="O1467" s="2008"/>
      <c r="P1467" s="2008"/>
      <c r="Q1467" s="2009"/>
      <c r="R1467" s="1345">
        <f>R1465-R1466</f>
        <v>0</v>
      </c>
      <c r="S1467" s="1346" t="str">
        <f>L1465</f>
        <v>m²</v>
      </c>
      <c r="T1467" s="373"/>
      <c r="U1467" s="486"/>
      <c r="V1467" s="1418">
        <f>R1467</f>
        <v>0</v>
      </c>
      <c r="AB1467" s="15"/>
    </row>
    <row r="1468" spans="1:36" s="77" customFormat="1" ht="15.6" hidden="1">
      <c r="A1468" s="370"/>
      <c r="B1468" s="1347"/>
      <c r="C1468" s="1348"/>
      <c r="D1468" s="1349"/>
      <c r="E1468" s="1350"/>
      <c r="F1468" s="1349"/>
      <c r="G1468" s="1349"/>
      <c r="H1468" s="1349"/>
      <c r="I1468" s="1349"/>
      <c r="J1468" s="1351"/>
      <c r="K1468" s="1352"/>
      <c r="L1468" s="1353"/>
      <c r="M1468" s="1354"/>
      <c r="N1468" s="1354"/>
      <c r="O1468" s="1354"/>
      <c r="P1468" s="1354"/>
      <c r="Q1468" s="1354"/>
      <c r="R1468" s="1355"/>
      <c r="S1468" s="1356"/>
      <c r="T1468" s="1357"/>
      <c r="U1468" s="1358"/>
      <c r="V1468" s="1420">
        <f>SUM(V1459:V1467)</f>
        <v>0</v>
      </c>
      <c r="AB1468" s="15"/>
    </row>
    <row r="1469" spans="1:36" s="632" customFormat="1" ht="15.6" hidden="1">
      <c r="A1469" s="630"/>
      <c r="B1469" s="1333" t="str">
        <f>LEFT(A1478,5)</f>
        <v>2.3.6</v>
      </c>
      <c r="C1469" s="1334" t="str">
        <f>VLOOKUP(LEFT(A1478,5),'11 - FINANCEIRA'!_xlnm.Print_Area,2,FALSE)</f>
        <v>GERADOR</v>
      </c>
      <c r="D1469" s="1334"/>
      <c r="E1469" s="1335"/>
      <c r="F1469" s="1334"/>
      <c r="G1469" s="2071"/>
      <c r="H1469" s="2072"/>
      <c r="I1469" s="2072"/>
      <c r="J1469" s="2072"/>
      <c r="K1469" s="2072"/>
      <c r="L1469" s="2072"/>
      <c r="M1469" s="1338"/>
      <c r="N1469" s="1339"/>
      <c r="O1469" s="1339"/>
      <c r="P1469" s="1339"/>
      <c r="Q1469" s="1339"/>
      <c r="R1469" s="1339"/>
      <c r="S1469" s="1339"/>
      <c r="T1469" s="1339"/>
      <c r="U1469" s="1339"/>
      <c r="V1469" s="631">
        <f>SUM(V1470:V1489)</f>
        <v>0</v>
      </c>
    </row>
    <row r="1470" spans="1:36" s="352" customFormat="1" ht="15.6" hidden="1">
      <c r="A1470" s="351"/>
      <c r="B1470" s="1963" t="str">
        <f>VLOOKUP(A1478,'11 - FINANCEIRA'!_xlnm.Print_Area,1,FALSE)</f>
        <v>2.3.6.1</v>
      </c>
      <c r="C1470" s="1965" t="str">
        <f>VLOOKUP(A1478,'11 - FINANCEIRA'!_xlnm.Print_Area,3,FALSE)</f>
        <v>Alambrado para quadra poliesportiva, estruturado por tubos de aco galvanizado, com costura, din 2440, diametro 2", com tela de arame galvanizado, fio 14 bwg e malha quadrada 5x5cm</v>
      </c>
      <c r="D1470" s="1967" t="s">
        <v>1503</v>
      </c>
      <c r="E1470" s="1968"/>
      <c r="F1470" s="1968"/>
      <c r="G1470" s="1968"/>
      <c r="H1470" s="1968"/>
      <c r="I1470" s="1969"/>
      <c r="J1470" s="1914" t="s">
        <v>1504</v>
      </c>
      <c r="K1470" s="1914" t="s">
        <v>1505</v>
      </c>
      <c r="L1470" s="1914" t="s">
        <v>1506</v>
      </c>
      <c r="M1470" s="1914" t="s">
        <v>1507</v>
      </c>
      <c r="N1470" s="1914" t="s">
        <v>1508</v>
      </c>
      <c r="O1470" s="1914" t="s">
        <v>1509</v>
      </c>
      <c r="P1470" s="1341" t="s">
        <v>1510</v>
      </c>
      <c r="Q1470" s="1914" t="s">
        <v>1493</v>
      </c>
      <c r="R1470" s="1916" t="s">
        <v>804</v>
      </c>
      <c r="S1470" s="1914" t="s">
        <v>1511</v>
      </c>
      <c r="T1470" s="1914" t="s">
        <v>1512</v>
      </c>
      <c r="U1470" s="1918" t="s">
        <v>1513</v>
      </c>
      <c r="V1470" s="1418">
        <f t="shared" ref="V1470:V1477" si="152">V1471</f>
        <v>0</v>
      </c>
      <c r="W1470" s="16"/>
      <c r="X1470" s="16"/>
      <c r="Y1470" s="16"/>
      <c r="Z1470" s="17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</row>
    <row r="1471" spans="1:36" s="352" customFormat="1" ht="15.6" hidden="1">
      <c r="A1471" s="351"/>
      <c r="B1471" s="1964" t="e">
        <f>LEFT(#REF!,5)</f>
        <v>#REF!</v>
      </c>
      <c r="C1471" s="1966" t="e">
        <f>VLOOKUP(LEFT(#REF!,5),'11 - FINANCEIRA'!_xlnm.Print_Area,2,FALSE)</f>
        <v>#REF!</v>
      </c>
      <c r="D1471" s="1920" t="s">
        <v>1514</v>
      </c>
      <c r="E1471" s="1921"/>
      <c r="F1471" s="1922"/>
      <c r="G1471" s="1923" t="s">
        <v>1515</v>
      </c>
      <c r="H1471" s="1924"/>
      <c r="I1471" s="1925"/>
      <c r="J1471" s="1915"/>
      <c r="K1471" s="1915"/>
      <c r="L1471" s="1915"/>
      <c r="M1471" s="1915"/>
      <c r="N1471" s="1915"/>
      <c r="O1471" s="1915"/>
      <c r="P1471" s="353" t="s">
        <v>1516</v>
      </c>
      <c r="Q1471" s="1915"/>
      <c r="R1471" s="1917"/>
      <c r="S1471" s="1915"/>
      <c r="T1471" s="1915"/>
      <c r="U1471" s="1919"/>
      <c r="V1471" s="1418">
        <f t="shared" si="152"/>
        <v>0</v>
      </c>
      <c r="W1471" s="16"/>
      <c r="X1471" s="16"/>
      <c r="Y1471" s="16"/>
      <c r="Z1471" s="17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</row>
    <row r="1472" spans="1:36" s="361" customFormat="1" ht="45" hidden="1">
      <c r="A1472" s="354"/>
      <c r="B1472" s="355"/>
      <c r="C1472" s="28" t="s">
        <v>966</v>
      </c>
      <c r="D1472" s="18"/>
      <c r="E1472" s="19"/>
      <c r="F1472" s="20"/>
      <c r="G1472" s="18"/>
      <c r="H1472" s="19"/>
      <c r="I1472" s="20"/>
      <c r="J1472" s="21"/>
      <c r="K1472" s="22"/>
      <c r="L1472" s="23"/>
      <c r="M1472" s="24"/>
      <c r="N1472" s="728"/>
      <c r="O1472" s="25"/>
      <c r="P1472" s="23"/>
      <c r="Q1472" s="729"/>
      <c r="R1472" s="1109">
        <v>43.74</v>
      </c>
      <c r="S1472" s="730" t="s">
        <v>821</v>
      </c>
      <c r="T1472" s="446" t="s">
        <v>327</v>
      </c>
      <c r="U1472" s="44"/>
      <c r="V1472" s="1418">
        <f t="shared" si="152"/>
        <v>0</v>
      </c>
      <c r="W1472" s="357"/>
      <c r="X1472" s="357"/>
      <c r="Y1472" s="357"/>
      <c r="Z1472" s="358"/>
      <c r="AA1472" s="359"/>
      <c r="AB1472" s="360"/>
    </row>
    <row r="1473" spans="1:36" s="361" customFormat="1" ht="15" hidden="1" customHeight="1">
      <c r="A1473" s="354"/>
      <c r="B1473" s="355"/>
      <c r="C1473" s="32"/>
      <c r="D1473" s="33"/>
      <c r="E1473" s="34"/>
      <c r="F1473" s="35"/>
      <c r="G1473" s="33"/>
      <c r="H1473" s="34"/>
      <c r="I1473" s="35"/>
      <c r="J1473" s="43"/>
      <c r="K1473" s="42"/>
      <c r="L1473" s="39"/>
      <c r="M1473" s="41"/>
      <c r="N1473" s="356"/>
      <c r="O1473" s="40"/>
      <c r="P1473" s="39"/>
      <c r="Q1473" s="45"/>
      <c r="R1473" s="362"/>
      <c r="S1473" s="363"/>
      <c r="T1473" s="46"/>
      <c r="U1473" s="44"/>
      <c r="V1473" s="1418">
        <f t="shared" si="152"/>
        <v>0</v>
      </c>
      <c r="W1473" s="357"/>
      <c r="X1473" s="357"/>
      <c r="Y1473" s="357"/>
      <c r="Z1473" s="358"/>
      <c r="AA1473" s="359"/>
      <c r="AB1473" s="360"/>
    </row>
    <row r="1474" spans="1:36" s="369" customFormat="1" ht="15" hidden="1">
      <c r="A1474" s="364"/>
      <c r="B1474" s="355"/>
      <c r="C1474" s="32"/>
      <c r="D1474" s="33"/>
      <c r="E1474" s="34"/>
      <c r="F1474" s="35"/>
      <c r="G1474" s="33"/>
      <c r="H1474" s="34"/>
      <c r="I1474" s="35"/>
      <c r="J1474" s="43"/>
      <c r="K1474" s="42"/>
      <c r="L1474" s="39"/>
      <c r="M1474" s="41"/>
      <c r="N1474" s="40"/>
      <c r="O1474" s="40"/>
      <c r="P1474" s="39"/>
      <c r="Q1474" s="38"/>
      <c r="R1474" s="365"/>
      <c r="S1474" s="366"/>
      <c r="T1474" s="46"/>
      <c r="U1474" s="44"/>
      <c r="V1474" s="1418">
        <f t="shared" si="152"/>
        <v>0</v>
      </c>
      <c r="W1474" s="367"/>
      <c r="X1474" s="367"/>
      <c r="Y1474" s="367"/>
      <c r="Z1474" s="368"/>
    </row>
    <row r="1475" spans="1:36" s="77" customFormat="1" ht="15" hidden="1">
      <c r="A1475" s="370"/>
      <c r="B1475" s="29"/>
      <c r="C1475" s="30"/>
      <c r="D1475" s="18"/>
      <c r="E1475" s="19"/>
      <c r="F1475" s="20"/>
      <c r="G1475" s="18"/>
      <c r="H1475" s="19"/>
      <c r="I1475" s="20"/>
      <c r="J1475" s="21"/>
      <c r="K1475" s="22"/>
      <c r="L1475" s="23"/>
      <c r="M1475" s="24"/>
      <c r="N1475" s="25"/>
      <c r="O1475" s="25"/>
      <c r="P1475" s="23"/>
      <c r="Q1475" s="26"/>
      <c r="R1475" s="371"/>
      <c r="S1475" s="27"/>
      <c r="T1475" s="372"/>
      <c r="U1475" s="31"/>
      <c r="V1475" s="1418">
        <f t="shared" si="152"/>
        <v>0</v>
      </c>
      <c r="AB1475" s="15"/>
    </row>
    <row r="1476" spans="1:36" s="77" customFormat="1" ht="15.6" hidden="1">
      <c r="A1476" s="370"/>
      <c r="B1476" s="499"/>
      <c r="C1476" s="37"/>
      <c r="D1476" s="1929" t="s">
        <v>1520</v>
      </c>
      <c r="E1476" s="1930"/>
      <c r="F1476" s="1930"/>
      <c r="G1476" s="1930"/>
      <c r="H1476" s="1930"/>
      <c r="I1476" s="1931"/>
      <c r="J1476" s="1932">
        <f>VLOOKUP(A1478,'11 - FINANCEIRA'!_xlnm.Print_Area,6,FALSE)</f>
        <v>43.74</v>
      </c>
      <c r="K1476" s="1933"/>
      <c r="L1476" s="1343" t="str">
        <f>VLOOKUP(A1478,'11 - FINANCEIRA'!_xlnm.Print_Area,4,FALSE)</f>
        <v>m²</v>
      </c>
      <c r="M1476" s="1934" t="s">
        <v>1521</v>
      </c>
      <c r="N1476" s="1935"/>
      <c r="O1476" s="1935"/>
      <c r="P1476" s="1935"/>
      <c r="Q1476" s="1936"/>
      <c r="R1476" s="726">
        <f>SUM(R1472:R1475)</f>
        <v>43.74</v>
      </c>
      <c r="S1476" s="1344" t="str">
        <f>L1476</f>
        <v>m²</v>
      </c>
      <c r="T1476" s="373"/>
      <c r="U1476" s="486"/>
      <c r="V1476" s="1418">
        <f t="shared" si="152"/>
        <v>0</v>
      </c>
      <c r="AB1476" s="15"/>
    </row>
    <row r="1477" spans="1:36" s="77" customFormat="1" ht="15.6" hidden="1">
      <c r="A1477" s="370"/>
      <c r="B1477" s="499"/>
      <c r="C1477" s="725"/>
      <c r="D1477" s="1937" t="s">
        <v>1522</v>
      </c>
      <c r="E1477" s="1938"/>
      <c r="F1477" s="1938"/>
      <c r="G1477" s="1938"/>
      <c r="H1477" s="1938"/>
      <c r="I1477" s="1939"/>
      <c r="J1477" s="1943">
        <f>R1476/J1476</f>
        <v>1</v>
      </c>
      <c r="K1477" s="1944"/>
      <c r="L1477" s="1947"/>
      <c r="M1477" s="1934" t="s">
        <v>1523</v>
      </c>
      <c r="N1477" s="1935"/>
      <c r="O1477" s="1935"/>
      <c r="P1477" s="1935"/>
      <c r="Q1477" s="1936"/>
      <c r="R1477" s="726">
        <f>VLOOKUP(A1478,'11 - FINANCEIRA'!_xlnm.Print_Area,8,FALSE)</f>
        <v>43.74</v>
      </c>
      <c r="S1477" s="727" t="str">
        <f>L1476</f>
        <v>m²</v>
      </c>
      <c r="T1477" s="373"/>
      <c r="U1477" s="486"/>
      <c r="V1477" s="1418">
        <f t="shared" si="152"/>
        <v>0</v>
      </c>
      <c r="AB1477" s="15"/>
    </row>
    <row r="1478" spans="1:36" s="77" customFormat="1" ht="15.6" hidden="1">
      <c r="A1478" s="364" t="s">
        <v>444</v>
      </c>
      <c r="B1478" s="499"/>
      <c r="C1478" s="37"/>
      <c r="D1478" s="2013"/>
      <c r="E1478" s="2014"/>
      <c r="F1478" s="2014"/>
      <c r="G1478" s="2014"/>
      <c r="H1478" s="2014"/>
      <c r="I1478" s="2015"/>
      <c r="J1478" s="2016"/>
      <c r="K1478" s="2017"/>
      <c r="L1478" s="1962"/>
      <c r="M1478" s="2007" t="s">
        <v>1524</v>
      </c>
      <c r="N1478" s="2008"/>
      <c r="O1478" s="2008"/>
      <c r="P1478" s="2008"/>
      <c r="Q1478" s="2009"/>
      <c r="R1478" s="1345">
        <f>R1476-R1477</f>
        <v>0</v>
      </c>
      <c r="S1478" s="1346" t="str">
        <f>L1476</f>
        <v>m²</v>
      </c>
      <c r="T1478" s="373"/>
      <c r="U1478" s="486"/>
      <c r="V1478" s="1418">
        <f>R1478</f>
        <v>0</v>
      </c>
      <c r="AB1478" s="15"/>
    </row>
    <row r="1479" spans="1:36" s="77" customFormat="1" ht="15.6" hidden="1">
      <c r="A1479" s="370"/>
      <c r="B1479" s="1347"/>
      <c r="C1479" s="1348"/>
      <c r="D1479" s="1349"/>
      <c r="E1479" s="1350"/>
      <c r="F1479" s="1349"/>
      <c r="G1479" s="1349"/>
      <c r="H1479" s="1349"/>
      <c r="I1479" s="1349"/>
      <c r="J1479" s="1351"/>
      <c r="K1479" s="1352"/>
      <c r="L1479" s="1353"/>
      <c r="M1479" s="1354"/>
      <c r="N1479" s="1354"/>
      <c r="O1479" s="1354"/>
      <c r="P1479" s="1354"/>
      <c r="Q1479" s="1354"/>
      <c r="R1479" s="1355"/>
      <c r="S1479" s="1356"/>
      <c r="T1479" s="1357"/>
      <c r="U1479" s="1358"/>
      <c r="V1479" s="1420">
        <f>SUM(V1470:V1478)</f>
        <v>0</v>
      </c>
      <c r="AB1479" s="15"/>
    </row>
    <row r="1480" spans="1:36" s="352" customFormat="1" ht="15.6" hidden="1">
      <c r="A1480" s="351"/>
      <c r="B1480" s="1963" t="str">
        <f>VLOOKUP(A1488,'11 - FINANCEIRA'!_xlnm.Print_Area,1,FALSE)</f>
        <v>2.3.6.2</v>
      </c>
      <c r="C1480" s="1965" t="str">
        <f>VLOOKUP(A1488,'11 - FINANCEIRA'!_xlnm.Print_Area,3,FALSE)</f>
        <v>Portão de ferro de abrir em barra chata, chapa e tubo, inclusive chumbamento</v>
      </c>
      <c r="D1480" s="1967" t="s">
        <v>1503</v>
      </c>
      <c r="E1480" s="1968"/>
      <c r="F1480" s="1968"/>
      <c r="G1480" s="1968"/>
      <c r="H1480" s="1968"/>
      <c r="I1480" s="1969"/>
      <c r="J1480" s="1914" t="s">
        <v>1504</v>
      </c>
      <c r="K1480" s="1914" t="s">
        <v>1505</v>
      </c>
      <c r="L1480" s="1914" t="s">
        <v>1506</v>
      </c>
      <c r="M1480" s="1914" t="s">
        <v>1507</v>
      </c>
      <c r="N1480" s="1914" t="s">
        <v>1508</v>
      </c>
      <c r="O1480" s="1914" t="s">
        <v>1509</v>
      </c>
      <c r="P1480" s="1341" t="s">
        <v>1510</v>
      </c>
      <c r="Q1480" s="1914" t="s">
        <v>1493</v>
      </c>
      <c r="R1480" s="1916" t="s">
        <v>804</v>
      </c>
      <c r="S1480" s="1914" t="s">
        <v>1511</v>
      </c>
      <c r="T1480" s="1914" t="s">
        <v>1512</v>
      </c>
      <c r="U1480" s="1918" t="s">
        <v>1513</v>
      </c>
      <c r="V1480" s="1418">
        <f t="shared" ref="V1480:V1487" si="153">V1481</f>
        <v>0</v>
      </c>
      <c r="W1480" s="16"/>
      <c r="X1480" s="16"/>
      <c r="Y1480" s="16"/>
      <c r="Z1480" s="17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</row>
    <row r="1481" spans="1:36" s="352" customFormat="1" ht="15.6" hidden="1">
      <c r="A1481" s="351"/>
      <c r="B1481" s="1964" t="e">
        <f>LEFT(#REF!,5)</f>
        <v>#REF!</v>
      </c>
      <c r="C1481" s="1966" t="e">
        <f>VLOOKUP(LEFT(#REF!,5),'11 - FINANCEIRA'!_xlnm.Print_Area,2,FALSE)</f>
        <v>#REF!</v>
      </c>
      <c r="D1481" s="1920" t="s">
        <v>1514</v>
      </c>
      <c r="E1481" s="1921"/>
      <c r="F1481" s="1922"/>
      <c r="G1481" s="1923" t="s">
        <v>1515</v>
      </c>
      <c r="H1481" s="1924"/>
      <c r="I1481" s="1925"/>
      <c r="J1481" s="1915"/>
      <c r="K1481" s="1915"/>
      <c r="L1481" s="1915"/>
      <c r="M1481" s="1915"/>
      <c r="N1481" s="1915"/>
      <c r="O1481" s="1915"/>
      <c r="P1481" s="353" t="s">
        <v>1516</v>
      </c>
      <c r="Q1481" s="1915"/>
      <c r="R1481" s="1917"/>
      <c r="S1481" s="1915"/>
      <c r="T1481" s="1915"/>
      <c r="U1481" s="1919"/>
      <c r="V1481" s="1418">
        <f t="shared" si="153"/>
        <v>0</v>
      </c>
      <c r="W1481" s="16"/>
      <c r="X1481" s="16"/>
      <c r="Y1481" s="16"/>
      <c r="Z1481" s="17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</row>
    <row r="1482" spans="1:36" s="361" customFormat="1" ht="15" hidden="1">
      <c r="A1482" s="354"/>
      <c r="B1482" s="355"/>
      <c r="C1482" s="28" t="s">
        <v>968</v>
      </c>
      <c r="D1482" s="18"/>
      <c r="E1482" s="19"/>
      <c r="F1482" s="20"/>
      <c r="G1482" s="18"/>
      <c r="H1482" s="19"/>
      <c r="I1482" s="20"/>
      <c r="J1482" s="21"/>
      <c r="K1482" s="22"/>
      <c r="L1482" s="23"/>
      <c r="M1482" s="24"/>
      <c r="N1482" s="728"/>
      <c r="O1482" s="25"/>
      <c r="P1482" s="23"/>
      <c r="Q1482" s="729"/>
      <c r="R1482" s="1109">
        <v>10.8</v>
      </c>
      <c r="S1482" s="730" t="s">
        <v>821</v>
      </c>
      <c r="T1482" s="446" t="s">
        <v>327</v>
      </c>
      <c r="U1482" s="44"/>
      <c r="V1482" s="1418">
        <f t="shared" si="153"/>
        <v>0</v>
      </c>
      <c r="W1482" s="357"/>
      <c r="X1482" s="357"/>
      <c r="Y1482" s="357"/>
      <c r="Z1482" s="358"/>
      <c r="AA1482" s="359"/>
      <c r="AB1482" s="360"/>
    </row>
    <row r="1483" spans="1:36" s="361" customFormat="1" ht="15" hidden="1" customHeight="1">
      <c r="A1483" s="354"/>
      <c r="B1483" s="355"/>
      <c r="C1483" s="32"/>
      <c r="D1483" s="33"/>
      <c r="E1483" s="34"/>
      <c r="F1483" s="35"/>
      <c r="G1483" s="33"/>
      <c r="H1483" s="34"/>
      <c r="I1483" s="35"/>
      <c r="J1483" s="43"/>
      <c r="K1483" s="42"/>
      <c r="L1483" s="39"/>
      <c r="M1483" s="41"/>
      <c r="N1483" s="356"/>
      <c r="O1483" s="40"/>
      <c r="P1483" s="39"/>
      <c r="Q1483" s="45"/>
      <c r="R1483" s="362"/>
      <c r="S1483" s="363"/>
      <c r="T1483" s="46"/>
      <c r="U1483" s="44"/>
      <c r="V1483" s="1418">
        <f t="shared" si="153"/>
        <v>0</v>
      </c>
      <c r="W1483" s="357"/>
      <c r="X1483" s="357"/>
      <c r="Y1483" s="357"/>
      <c r="Z1483" s="358"/>
      <c r="AA1483" s="359"/>
      <c r="AB1483" s="360"/>
    </row>
    <row r="1484" spans="1:36" s="369" customFormat="1" ht="15" hidden="1">
      <c r="A1484" s="364"/>
      <c r="B1484" s="355"/>
      <c r="C1484" s="32"/>
      <c r="D1484" s="33"/>
      <c r="E1484" s="34"/>
      <c r="F1484" s="35"/>
      <c r="G1484" s="33"/>
      <c r="H1484" s="34"/>
      <c r="I1484" s="35"/>
      <c r="J1484" s="43"/>
      <c r="K1484" s="42"/>
      <c r="L1484" s="39"/>
      <c r="M1484" s="41"/>
      <c r="N1484" s="40"/>
      <c r="O1484" s="40"/>
      <c r="P1484" s="39"/>
      <c r="Q1484" s="38"/>
      <c r="R1484" s="365"/>
      <c r="S1484" s="366"/>
      <c r="T1484" s="46"/>
      <c r="U1484" s="44"/>
      <c r="V1484" s="1418">
        <f t="shared" si="153"/>
        <v>0</v>
      </c>
      <c r="W1484" s="367"/>
      <c r="X1484" s="367"/>
      <c r="Y1484" s="367"/>
      <c r="Z1484" s="368"/>
    </row>
    <row r="1485" spans="1:36" s="77" customFormat="1" ht="15" hidden="1">
      <c r="A1485" s="370"/>
      <c r="B1485" s="29"/>
      <c r="C1485" s="30"/>
      <c r="D1485" s="18"/>
      <c r="E1485" s="19"/>
      <c r="F1485" s="20"/>
      <c r="G1485" s="18"/>
      <c r="H1485" s="19"/>
      <c r="I1485" s="20"/>
      <c r="J1485" s="21"/>
      <c r="K1485" s="22"/>
      <c r="L1485" s="23"/>
      <c r="M1485" s="24"/>
      <c r="N1485" s="25"/>
      <c r="O1485" s="25"/>
      <c r="P1485" s="23"/>
      <c r="Q1485" s="26"/>
      <c r="R1485" s="371"/>
      <c r="S1485" s="27"/>
      <c r="T1485" s="372"/>
      <c r="U1485" s="31"/>
      <c r="V1485" s="1418">
        <f t="shared" si="153"/>
        <v>0</v>
      </c>
      <c r="AB1485" s="15"/>
    </row>
    <row r="1486" spans="1:36" s="77" customFormat="1" ht="15.6" hidden="1">
      <c r="A1486" s="370"/>
      <c r="B1486" s="499"/>
      <c r="C1486" s="37"/>
      <c r="D1486" s="1929" t="s">
        <v>1520</v>
      </c>
      <c r="E1486" s="1930"/>
      <c r="F1486" s="1930"/>
      <c r="G1486" s="1930"/>
      <c r="H1486" s="1930"/>
      <c r="I1486" s="1931"/>
      <c r="J1486" s="1932">
        <f>VLOOKUP(A1488,'11 - FINANCEIRA'!_xlnm.Print_Area,6,FALSE)</f>
        <v>10.8</v>
      </c>
      <c r="K1486" s="1933"/>
      <c r="L1486" s="1343" t="str">
        <f>VLOOKUP(A1488,'11 - FINANCEIRA'!_xlnm.Print_Area,4,FALSE)</f>
        <v>m²</v>
      </c>
      <c r="M1486" s="1934" t="s">
        <v>1521</v>
      </c>
      <c r="N1486" s="1935"/>
      <c r="O1486" s="1935"/>
      <c r="P1486" s="1935"/>
      <c r="Q1486" s="1936"/>
      <c r="R1486" s="726">
        <f>SUM(R1482:R1485)</f>
        <v>10.8</v>
      </c>
      <c r="S1486" s="1344" t="str">
        <f>L1486</f>
        <v>m²</v>
      </c>
      <c r="T1486" s="373"/>
      <c r="U1486" s="486"/>
      <c r="V1486" s="1418">
        <f t="shared" si="153"/>
        <v>0</v>
      </c>
      <c r="AB1486" s="15"/>
    </row>
    <row r="1487" spans="1:36" s="77" customFormat="1" ht="15.6" hidden="1">
      <c r="A1487" s="370"/>
      <c r="B1487" s="499"/>
      <c r="C1487" s="725"/>
      <c r="D1487" s="1937" t="s">
        <v>1522</v>
      </c>
      <c r="E1487" s="1938"/>
      <c r="F1487" s="1938"/>
      <c r="G1487" s="1938"/>
      <c r="H1487" s="1938"/>
      <c r="I1487" s="1939"/>
      <c r="J1487" s="1943">
        <f>R1486/J1486</f>
        <v>1</v>
      </c>
      <c r="K1487" s="1944"/>
      <c r="L1487" s="1947"/>
      <c r="M1487" s="1934" t="s">
        <v>1523</v>
      </c>
      <c r="N1487" s="1935"/>
      <c r="O1487" s="1935"/>
      <c r="P1487" s="1935"/>
      <c r="Q1487" s="1936"/>
      <c r="R1487" s="726">
        <f>VLOOKUP(A1488,'11 - FINANCEIRA'!_xlnm.Print_Area,8,FALSE)</f>
        <v>10.8</v>
      </c>
      <c r="S1487" s="727" t="str">
        <f>L1486</f>
        <v>m²</v>
      </c>
      <c r="T1487" s="373"/>
      <c r="U1487" s="486"/>
      <c r="V1487" s="1418">
        <f t="shared" si="153"/>
        <v>0</v>
      </c>
      <c r="AB1487" s="15"/>
    </row>
    <row r="1488" spans="1:36" s="77" customFormat="1" ht="15.6" hidden="1">
      <c r="A1488" s="364" t="s">
        <v>445</v>
      </c>
      <c r="B1488" s="499"/>
      <c r="C1488" s="37"/>
      <c r="D1488" s="2013"/>
      <c r="E1488" s="2014"/>
      <c r="F1488" s="2014"/>
      <c r="G1488" s="2014"/>
      <c r="H1488" s="2014"/>
      <c r="I1488" s="2015"/>
      <c r="J1488" s="2016"/>
      <c r="K1488" s="2017"/>
      <c r="L1488" s="1962"/>
      <c r="M1488" s="2007" t="s">
        <v>1524</v>
      </c>
      <c r="N1488" s="2008"/>
      <c r="O1488" s="2008"/>
      <c r="P1488" s="2008"/>
      <c r="Q1488" s="2009"/>
      <c r="R1488" s="1345">
        <f>R1486-R1487</f>
        <v>0</v>
      </c>
      <c r="S1488" s="1346" t="str">
        <f>L1486</f>
        <v>m²</v>
      </c>
      <c r="T1488" s="373"/>
      <c r="U1488" s="486"/>
      <c r="V1488" s="1418">
        <f>R1488</f>
        <v>0</v>
      </c>
      <c r="AB1488" s="15"/>
    </row>
    <row r="1489" spans="1:36" s="77" customFormat="1" ht="15.6" hidden="1">
      <c r="A1489" s="370"/>
      <c r="B1489" s="1347"/>
      <c r="C1489" s="1348"/>
      <c r="D1489" s="1349"/>
      <c r="E1489" s="1350"/>
      <c r="F1489" s="1349"/>
      <c r="G1489" s="1349"/>
      <c r="H1489" s="1349"/>
      <c r="I1489" s="1349"/>
      <c r="J1489" s="1351"/>
      <c r="K1489" s="1352"/>
      <c r="L1489" s="1353"/>
      <c r="M1489" s="1354"/>
      <c r="N1489" s="1354"/>
      <c r="O1489" s="1354"/>
      <c r="P1489" s="1354"/>
      <c r="Q1489" s="1354"/>
      <c r="R1489" s="1355"/>
      <c r="S1489" s="1356"/>
      <c r="T1489" s="1357"/>
      <c r="U1489" s="1358"/>
      <c r="V1489" s="1420">
        <f>SUM(V1480:V1488)</f>
        <v>0</v>
      </c>
      <c r="AB1489" s="15"/>
    </row>
    <row r="1490" spans="1:36" s="632" customFormat="1" ht="15.6" hidden="1">
      <c r="A1490" s="630"/>
      <c r="B1490" s="1333" t="str">
        <f>LEFT(A1499,5)</f>
        <v>2.3.7</v>
      </c>
      <c r="C1490" s="1334" t="str">
        <f>VLOOKUP(LEFT(A1499,5),'11 - FINANCEIRA'!_xlnm.Print_Area,2,FALSE)</f>
        <v>TANQUE</v>
      </c>
      <c r="D1490" s="1334"/>
      <c r="E1490" s="1335"/>
      <c r="F1490" s="1334"/>
      <c r="G1490" s="2071"/>
      <c r="H1490" s="2072"/>
      <c r="I1490" s="2072"/>
      <c r="J1490" s="2072"/>
      <c r="K1490" s="2072"/>
      <c r="L1490" s="2072"/>
      <c r="M1490" s="1338"/>
      <c r="N1490" s="1339"/>
      <c r="O1490" s="1339"/>
      <c r="P1490" s="1339"/>
      <c r="Q1490" s="1339"/>
      <c r="R1490" s="1339"/>
      <c r="S1490" s="1339"/>
      <c r="T1490" s="1339"/>
      <c r="U1490" s="1339"/>
      <c r="V1490" s="631">
        <f>SUM(V1491:V1580)</f>
        <v>0</v>
      </c>
    </row>
    <row r="1491" spans="1:36" s="352" customFormat="1" ht="15.6" hidden="1">
      <c r="A1491" s="351"/>
      <c r="B1491" s="1963" t="str">
        <f>VLOOKUP(A1499,'11 - FINANCEIRA'!_xlnm.Print_Area,1,FALSE)</f>
        <v>2.3.7.1</v>
      </c>
      <c r="C1491" s="1965" t="str">
        <f>VLOOKUP(A1499,'11 - FINANCEIRA'!_xlnm.Print_Area,3,FALSE)</f>
        <v>Alvenaria de vedação de blocos cerâmicos furados na vertical de 14x19x39cm (espessura 14cm) de paredes com área líquida menor que 6m² sem vãos e argamassa de assentamento com preparo em betoneira. af_06/2014</v>
      </c>
      <c r="D1491" s="1967" t="s">
        <v>1503</v>
      </c>
      <c r="E1491" s="1968"/>
      <c r="F1491" s="1968"/>
      <c r="G1491" s="1968"/>
      <c r="H1491" s="1968"/>
      <c r="I1491" s="1969"/>
      <c r="J1491" s="1914" t="s">
        <v>1917</v>
      </c>
      <c r="K1491" s="1914" t="s">
        <v>1505</v>
      </c>
      <c r="L1491" s="1914" t="s">
        <v>1506</v>
      </c>
      <c r="M1491" s="1914" t="s">
        <v>1507</v>
      </c>
      <c r="N1491" s="1914" t="s">
        <v>1508</v>
      </c>
      <c r="O1491" s="1914" t="s">
        <v>1509</v>
      </c>
      <c r="P1491" s="1341" t="s">
        <v>1510</v>
      </c>
      <c r="Q1491" s="1914" t="s">
        <v>1493</v>
      </c>
      <c r="R1491" s="1916" t="s">
        <v>804</v>
      </c>
      <c r="S1491" s="1914" t="s">
        <v>1511</v>
      </c>
      <c r="T1491" s="1914" t="s">
        <v>1512</v>
      </c>
      <c r="U1491" s="1918" t="s">
        <v>1513</v>
      </c>
      <c r="V1491" s="1418">
        <f t="shared" ref="V1491:V1498" si="154">V1492</f>
        <v>0</v>
      </c>
      <c r="W1491" s="16"/>
      <c r="X1491" s="16"/>
      <c r="Y1491" s="16"/>
      <c r="Z1491" s="17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</row>
    <row r="1492" spans="1:36" s="352" customFormat="1" ht="15.6" hidden="1">
      <c r="A1492" s="351"/>
      <c r="B1492" s="1964" t="e">
        <f>LEFT(#REF!,5)</f>
        <v>#REF!</v>
      </c>
      <c r="C1492" s="1966" t="e">
        <f>VLOOKUP(LEFT(#REF!,5),'11 - FINANCEIRA'!_xlnm.Print_Area,2,FALSE)</f>
        <v>#REF!</v>
      </c>
      <c r="D1492" s="1920" t="s">
        <v>1514</v>
      </c>
      <c r="E1492" s="1921"/>
      <c r="F1492" s="1922"/>
      <c r="G1492" s="1923" t="s">
        <v>1515</v>
      </c>
      <c r="H1492" s="1924"/>
      <c r="I1492" s="1925"/>
      <c r="J1492" s="1915"/>
      <c r="K1492" s="1915"/>
      <c r="L1492" s="1915"/>
      <c r="M1492" s="1915"/>
      <c r="N1492" s="1915"/>
      <c r="O1492" s="1915"/>
      <c r="P1492" s="353" t="s">
        <v>1516</v>
      </c>
      <c r="Q1492" s="1915"/>
      <c r="R1492" s="1917"/>
      <c r="S1492" s="1915"/>
      <c r="T1492" s="1915"/>
      <c r="U1492" s="1919"/>
      <c r="V1492" s="1418">
        <f t="shared" si="154"/>
        <v>0</v>
      </c>
      <c r="W1492" s="16"/>
      <c r="X1492" s="16"/>
      <c r="Y1492" s="16"/>
      <c r="Z1492" s="17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</row>
    <row r="1493" spans="1:36" s="361" customFormat="1" ht="45" hidden="1">
      <c r="A1493" s="354"/>
      <c r="B1493" s="355"/>
      <c r="C1493" s="32" t="s">
        <v>971</v>
      </c>
      <c r="D1493" s="33"/>
      <c r="E1493" s="34"/>
      <c r="F1493" s="35"/>
      <c r="G1493" s="33"/>
      <c r="H1493" s="34"/>
      <c r="I1493" s="35"/>
      <c r="J1493" s="43">
        <v>2</v>
      </c>
      <c r="K1493" s="42"/>
      <c r="L1493" s="42">
        <v>3.2</v>
      </c>
      <c r="M1493" s="39">
        <v>0.6</v>
      </c>
      <c r="N1493" s="356">
        <f>L1493*M1493*J1493</f>
        <v>3.84</v>
      </c>
      <c r="O1493" s="40"/>
      <c r="P1493" s="39"/>
      <c r="Q1493" s="45"/>
      <c r="R1493" s="1359">
        <f>N1493</f>
        <v>3.84</v>
      </c>
      <c r="S1493" s="1265" t="s">
        <v>821</v>
      </c>
      <c r="T1493" s="46" t="s">
        <v>326</v>
      </c>
      <c r="U1493" s="44" t="s">
        <v>1918</v>
      </c>
      <c r="V1493" s="1418">
        <f t="shared" si="154"/>
        <v>0</v>
      </c>
      <c r="W1493" s="357"/>
      <c r="X1493" s="357"/>
      <c r="Y1493" s="357"/>
      <c r="Z1493" s="358"/>
      <c r="AA1493" s="359"/>
      <c r="AB1493" s="360"/>
    </row>
    <row r="1494" spans="1:36" s="361" customFormat="1" ht="45" hidden="1">
      <c r="A1494" s="354"/>
      <c r="B1494" s="355"/>
      <c r="C1494" s="32" t="s">
        <v>971</v>
      </c>
      <c r="D1494" s="33"/>
      <c r="E1494" s="34"/>
      <c r="F1494" s="35"/>
      <c r="G1494" s="33"/>
      <c r="H1494" s="34"/>
      <c r="I1494" s="35"/>
      <c r="J1494" s="43">
        <v>2</v>
      </c>
      <c r="K1494" s="42"/>
      <c r="L1494" s="39">
        <v>4.3</v>
      </c>
      <c r="M1494" s="41">
        <v>0.6</v>
      </c>
      <c r="N1494" s="356">
        <f>L1494*M1494*J1494</f>
        <v>5.1599999999999993</v>
      </c>
      <c r="O1494" s="40"/>
      <c r="P1494" s="39"/>
      <c r="Q1494" s="45"/>
      <c r="R1494" s="362">
        <f>N1494</f>
        <v>5.1599999999999993</v>
      </c>
      <c r="S1494" s="363" t="s">
        <v>821</v>
      </c>
      <c r="T1494" s="46" t="s">
        <v>326</v>
      </c>
      <c r="U1494" s="44" t="s">
        <v>1918</v>
      </c>
      <c r="V1494" s="1418">
        <f t="shared" si="154"/>
        <v>0</v>
      </c>
      <c r="W1494" s="357"/>
      <c r="X1494" s="357"/>
      <c r="Y1494" s="357"/>
      <c r="Z1494" s="358"/>
      <c r="AA1494" s="359"/>
      <c r="AB1494" s="360"/>
    </row>
    <row r="1495" spans="1:36" s="369" customFormat="1" ht="15" hidden="1">
      <c r="A1495" s="364"/>
      <c r="B1495" s="355"/>
      <c r="C1495" s="32"/>
      <c r="D1495" s="33"/>
      <c r="E1495" s="34"/>
      <c r="F1495" s="35"/>
      <c r="G1495" s="33"/>
      <c r="H1495" s="34"/>
      <c r="I1495" s="35"/>
      <c r="J1495" s="43"/>
      <c r="K1495" s="42"/>
      <c r="L1495" s="39"/>
      <c r="M1495" s="41"/>
      <c r="N1495" s="40"/>
      <c r="O1495" s="40"/>
      <c r="P1495" s="39"/>
      <c r="Q1495" s="38"/>
      <c r="R1495" s="365"/>
      <c r="S1495" s="366"/>
      <c r="T1495" s="46"/>
      <c r="U1495" s="44"/>
      <c r="V1495" s="1418">
        <f t="shared" si="154"/>
        <v>0</v>
      </c>
      <c r="W1495" s="367"/>
      <c r="X1495" s="367"/>
      <c r="Y1495" s="367"/>
      <c r="Z1495" s="368"/>
    </row>
    <row r="1496" spans="1:36" s="77" customFormat="1" ht="15" hidden="1">
      <c r="A1496" s="370"/>
      <c r="B1496" s="29"/>
      <c r="C1496" s="30"/>
      <c r="D1496" s="18"/>
      <c r="E1496" s="19"/>
      <c r="F1496" s="20"/>
      <c r="G1496" s="18"/>
      <c r="H1496" s="19"/>
      <c r="I1496" s="20"/>
      <c r="J1496" s="21"/>
      <c r="K1496" s="22"/>
      <c r="L1496" s="23"/>
      <c r="M1496" s="24"/>
      <c r="N1496" s="25"/>
      <c r="O1496" s="25"/>
      <c r="P1496" s="23"/>
      <c r="Q1496" s="26"/>
      <c r="R1496" s="371"/>
      <c r="S1496" s="27"/>
      <c r="T1496" s="372"/>
      <c r="U1496" s="31"/>
      <c r="V1496" s="1418">
        <f t="shared" si="154"/>
        <v>0</v>
      </c>
      <c r="AB1496" s="15"/>
    </row>
    <row r="1497" spans="1:36" s="77" customFormat="1" ht="15.6" hidden="1">
      <c r="A1497" s="370"/>
      <c r="B1497" s="499"/>
      <c r="C1497" s="37"/>
      <c r="D1497" s="1929" t="s">
        <v>1520</v>
      </c>
      <c r="E1497" s="1930"/>
      <c r="F1497" s="1930"/>
      <c r="G1497" s="1930"/>
      <c r="H1497" s="1930"/>
      <c r="I1497" s="1931"/>
      <c r="J1497" s="1932">
        <f>VLOOKUP(A1499,'11 - FINANCEIRA'!_xlnm.Print_Area,6,FALSE)</f>
        <v>9</v>
      </c>
      <c r="K1497" s="1933"/>
      <c r="L1497" s="1343" t="str">
        <f>VLOOKUP(A1499,'11 - FINANCEIRA'!_xlnm.Print_Area,4,FALSE)</f>
        <v>m²</v>
      </c>
      <c r="M1497" s="1934" t="s">
        <v>1521</v>
      </c>
      <c r="N1497" s="1935"/>
      <c r="O1497" s="1935"/>
      <c r="P1497" s="1935"/>
      <c r="Q1497" s="1936"/>
      <c r="R1497" s="726">
        <f>SUM(R1493:R1496)</f>
        <v>9</v>
      </c>
      <c r="S1497" s="1344" t="str">
        <f>L1497</f>
        <v>m²</v>
      </c>
      <c r="T1497" s="373"/>
      <c r="U1497" s="486"/>
      <c r="V1497" s="1418">
        <f t="shared" si="154"/>
        <v>0</v>
      </c>
      <c r="AB1497" s="15"/>
    </row>
    <row r="1498" spans="1:36" s="77" customFormat="1" ht="15.6" hidden="1">
      <c r="A1498" s="370"/>
      <c r="B1498" s="499"/>
      <c r="C1498" s="725"/>
      <c r="D1498" s="1937" t="s">
        <v>1522</v>
      </c>
      <c r="E1498" s="1938"/>
      <c r="F1498" s="1938"/>
      <c r="G1498" s="1938"/>
      <c r="H1498" s="1938"/>
      <c r="I1498" s="1939"/>
      <c r="J1498" s="1943">
        <f>R1497/J1497</f>
        <v>1</v>
      </c>
      <c r="K1498" s="1944"/>
      <c r="L1498" s="1947"/>
      <c r="M1498" s="1934" t="s">
        <v>1523</v>
      </c>
      <c r="N1498" s="1935"/>
      <c r="O1498" s="1935"/>
      <c r="P1498" s="1935"/>
      <c r="Q1498" s="1936"/>
      <c r="R1498" s="726">
        <f>VLOOKUP(A1499,'11 - FINANCEIRA'!_xlnm.Print_Area,8,FALSE)</f>
        <v>9</v>
      </c>
      <c r="S1498" s="727" t="str">
        <f>L1497</f>
        <v>m²</v>
      </c>
      <c r="T1498" s="373"/>
      <c r="U1498" s="486"/>
      <c r="V1498" s="1418">
        <f t="shared" si="154"/>
        <v>0</v>
      </c>
      <c r="AB1498" s="15"/>
    </row>
    <row r="1499" spans="1:36" s="77" customFormat="1" ht="15.6" hidden="1">
      <c r="A1499" s="364" t="s">
        <v>447</v>
      </c>
      <c r="B1499" s="499"/>
      <c r="C1499" s="37"/>
      <c r="D1499" s="2013"/>
      <c r="E1499" s="2014"/>
      <c r="F1499" s="2014"/>
      <c r="G1499" s="2014"/>
      <c r="H1499" s="2014"/>
      <c r="I1499" s="2015"/>
      <c r="J1499" s="2016"/>
      <c r="K1499" s="2017"/>
      <c r="L1499" s="1962"/>
      <c r="M1499" s="2007" t="s">
        <v>1524</v>
      </c>
      <c r="N1499" s="2008"/>
      <c r="O1499" s="2008"/>
      <c r="P1499" s="2008"/>
      <c r="Q1499" s="2009"/>
      <c r="R1499" s="1345">
        <f>R1497-R1498</f>
        <v>0</v>
      </c>
      <c r="S1499" s="1346" t="str">
        <f>L1497</f>
        <v>m²</v>
      </c>
      <c r="T1499" s="373"/>
      <c r="U1499" s="486"/>
      <c r="V1499" s="1418">
        <f>R1499</f>
        <v>0</v>
      </c>
      <c r="AB1499" s="15"/>
    </row>
    <row r="1500" spans="1:36" s="77" customFormat="1" ht="15.6" hidden="1">
      <c r="A1500" s="370"/>
      <c r="B1500" s="1347"/>
      <c r="C1500" s="1348"/>
      <c r="D1500" s="1349"/>
      <c r="E1500" s="1350"/>
      <c r="F1500" s="1349"/>
      <c r="G1500" s="1349"/>
      <c r="H1500" s="1349"/>
      <c r="I1500" s="1349"/>
      <c r="J1500" s="1351"/>
      <c r="K1500" s="1352"/>
      <c r="L1500" s="1353"/>
      <c r="M1500" s="1354"/>
      <c r="N1500" s="1354"/>
      <c r="O1500" s="1354"/>
      <c r="P1500" s="1354"/>
      <c r="Q1500" s="1354"/>
      <c r="R1500" s="1355"/>
      <c r="S1500" s="1356"/>
      <c r="T1500" s="1357"/>
      <c r="U1500" s="1358"/>
      <c r="V1500" s="1420">
        <f>SUM(V1491:V1499)</f>
        <v>0</v>
      </c>
      <c r="AB1500" s="15"/>
    </row>
    <row r="1501" spans="1:36" s="352" customFormat="1" ht="15.6" hidden="1">
      <c r="A1501" s="351"/>
      <c r="B1501" s="1963" t="str">
        <f>VLOOKUP(A1509,'11 - FINANCEIRA'!_xlnm.Print_Area,1,FALSE)</f>
        <v>2.3.7.2</v>
      </c>
      <c r="C1501" s="1965" t="str">
        <f>VLOOKUP(A1509,'11 - FINANCEIRA'!_xlnm.Print_Area,3,FALSE)</f>
        <v>(Composição representativa) do serviço de revestimento cerâmico para paredes internas, meia parede, ou parede inteira, placas grês ou semi-grês de 20x20 cm, para edificações habitacionais unifamiliar (casas) e edificações públicas padrão. af_11/2014</v>
      </c>
      <c r="D1501" s="1967" t="s">
        <v>1503</v>
      </c>
      <c r="E1501" s="1968"/>
      <c r="F1501" s="1968"/>
      <c r="G1501" s="1968"/>
      <c r="H1501" s="1968"/>
      <c r="I1501" s="1969"/>
      <c r="J1501" s="1914" t="s">
        <v>1504</v>
      </c>
      <c r="K1501" s="1914" t="s">
        <v>1505</v>
      </c>
      <c r="L1501" s="1914" t="s">
        <v>1506</v>
      </c>
      <c r="M1501" s="1914" t="s">
        <v>1507</v>
      </c>
      <c r="N1501" s="1914" t="s">
        <v>1508</v>
      </c>
      <c r="O1501" s="1914" t="s">
        <v>1509</v>
      </c>
      <c r="P1501" s="1341" t="s">
        <v>1510</v>
      </c>
      <c r="Q1501" s="1914" t="s">
        <v>1493</v>
      </c>
      <c r="R1501" s="1916" t="s">
        <v>804</v>
      </c>
      <c r="S1501" s="1914" t="s">
        <v>1511</v>
      </c>
      <c r="T1501" s="1914" t="s">
        <v>1512</v>
      </c>
      <c r="U1501" s="1918" t="s">
        <v>1513</v>
      </c>
      <c r="V1501" s="1418">
        <f t="shared" ref="V1501:V1508" si="155">V1502</f>
        <v>0</v>
      </c>
      <c r="W1501" s="16"/>
      <c r="X1501" s="16"/>
      <c r="Y1501" s="16"/>
      <c r="Z1501" s="17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</row>
    <row r="1502" spans="1:36" s="352" customFormat="1" ht="15.6" hidden="1">
      <c r="A1502" s="351"/>
      <c r="B1502" s="1964" t="e">
        <f>LEFT(#REF!,5)</f>
        <v>#REF!</v>
      </c>
      <c r="C1502" s="1966" t="e">
        <f>VLOOKUP(LEFT(#REF!,5),'11 - FINANCEIRA'!_xlnm.Print_Area,2,FALSE)</f>
        <v>#REF!</v>
      </c>
      <c r="D1502" s="1920" t="s">
        <v>1514</v>
      </c>
      <c r="E1502" s="1921"/>
      <c r="F1502" s="1922"/>
      <c r="G1502" s="1923" t="s">
        <v>1515</v>
      </c>
      <c r="H1502" s="1924"/>
      <c r="I1502" s="1925"/>
      <c r="J1502" s="1915"/>
      <c r="K1502" s="1915"/>
      <c r="L1502" s="1915"/>
      <c r="M1502" s="1915"/>
      <c r="N1502" s="1915"/>
      <c r="O1502" s="1915"/>
      <c r="P1502" s="353" t="s">
        <v>1516</v>
      </c>
      <c r="Q1502" s="1915"/>
      <c r="R1502" s="1917"/>
      <c r="S1502" s="1915"/>
      <c r="T1502" s="1915"/>
      <c r="U1502" s="1919"/>
      <c r="V1502" s="1418">
        <f t="shared" si="155"/>
        <v>0</v>
      </c>
      <c r="W1502" s="16"/>
      <c r="X1502" s="16"/>
      <c r="Y1502" s="16"/>
      <c r="Z1502" s="17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</row>
    <row r="1503" spans="1:36" s="361" customFormat="1" ht="15" hidden="1" customHeight="1">
      <c r="A1503" s="354"/>
      <c r="B1503" s="355"/>
      <c r="C1503" s="28" t="s">
        <v>927</v>
      </c>
      <c r="D1503" s="18"/>
      <c r="E1503" s="19"/>
      <c r="F1503" s="20"/>
      <c r="G1503" s="18"/>
      <c r="H1503" s="19"/>
      <c r="I1503" s="20"/>
      <c r="J1503" s="21"/>
      <c r="K1503" s="22"/>
      <c r="L1503" s="23"/>
      <c r="M1503" s="24"/>
      <c r="N1503" s="728"/>
      <c r="O1503" s="25"/>
      <c r="P1503" s="23"/>
      <c r="Q1503" s="729"/>
      <c r="R1503" s="1109">
        <v>19.8</v>
      </c>
      <c r="S1503" s="730" t="s">
        <v>821</v>
      </c>
      <c r="T1503" s="446" t="s">
        <v>327</v>
      </c>
      <c r="U1503" s="44"/>
      <c r="V1503" s="1418">
        <f t="shared" si="155"/>
        <v>0</v>
      </c>
      <c r="W1503" s="357"/>
      <c r="X1503" s="357"/>
      <c r="Y1503" s="357"/>
      <c r="Z1503" s="358"/>
      <c r="AA1503" s="359"/>
      <c r="AB1503" s="360"/>
    </row>
    <row r="1504" spans="1:36" s="361" customFormat="1" ht="15" hidden="1" customHeight="1">
      <c r="A1504" s="354"/>
      <c r="B1504" s="355"/>
      <c r="C1504" s="32"/>
      <c r="D1504" s="33"/>
      <c r="E1504" s="34"/>
      <c r="F1504" s="35"/>
      <c r="G1504" s="33"/>
      <c r="H1504" s="34"/>
      <c r="I1504" s="35"/>
      <c r="J1504" s="43"/>
      <c r="K1504" s="42"/>
      <c r="L1504" s="39"/>
      <c r="M1504" s="41"/>
      <c r="N1504" s="356"/>
      <c r="O1504" s="40"/>
      <c r="P1504" s="39"/>
      <c r="Q1504" s="45"/>
      <c r="R1504" s="362"/>
      <c r="S1504" s="363"/>
      <c r="T1504" s="46"/>
      <c r="U1504" s="44"/>
      <c r="V1504" s="1418">
        <f t="shared" si="155"/>
        <v>0</v>
      </c>
      <c r="W1504" s="357"/>
      <c r="X1504" s="357"/>
      <c r="Y1504" s="357"/>
      <c r="Z1504" s="358"/>
      <c r="AA1504" s="359"/>
      <c r="AB1504" s="360"/>
    </row>
    <row r="1505" spans="1:36" s="369" customFormat="1" ht="15" hidden="1">
      <c r="A1505" s="364"/>
      <c r="B1505" s="355"/>
      <c r="C1505" s="32"/>
      <c r="D1505" s="33"/>
      <c r="E1505" s="34"/>
      <c r="F1505" s="35"/>
      <c r="G1505" s="33"/>
      <c r="H1505" s="34"/>
      <c r="I1505" s="35"/>
      <c r="J1505" s="43"/>
      <c r="K1505" s="42"/>
      <c r="L1505" s="39"/>
      <c r="M1505" s="41"/>
      <c r="N1505" s="40"/>
      <c r="O1505" s="40"/>
      <c r="P1505" s="39"/>
      <c r="Q1505" s="38"/>
      <c r="R1505" s="365"/>
      <c r="S1505" s="366"/>
      <c r="T1505" s="46"/>
      <c r="U1505" s="44"/>
      <c r="V1505" s="1418">
        <f t="shared" si="155"/>
        <v>0</v>
      </c>
      <c r="W1505" s="367"/>
      <c r="X1505" s="367"/>
      <c r="Y1505" s="367"/>
      <c r="Z1505" s="368"/>
    </row>
    <row r="1506" spans="1:36" s="77" customFormat="1" ht="15" hidden="1">
      <c r="A1506" s="370"/>
      <c r="B1506" s="29"/>
      <c r="C1506" s="30"/>
      <c r="D1506" s="18"/>
      <c r="E1506" s="19"/>
      <c r="F1506" s="20"/>
      <c r="G1506" s="18"/>
      <c r="H1506" s="19"/>
      <c r="I1506" s="20"/>
      <c r="J1506" s="21"/>
      <c r="K1506" s="22"/>
      <c r="L1506" s="23"/>
      <c r="M1506" s="24"/>
      <c r="N1506" s="25"/>
      <c r="O1506" s="25"/>
      <c r="P1506" s="23"/>
      <c r="Q1506" s="26"/>
      <c r="R1506" s="371"/>
      <c r="S1506" s="27"/>
      <c r="T1506" s="372"/>
      <c r="U1506" s="31"/>
      <c r="V1506" s="1418">
        <f t="shared" si="155"/>
        <v>0</v>
      </c>
      <c r="AB1506" s="15"/>
    </row>
    <row r="1507" spans="1:36" s="77" customFormat="1" ht="15.6" hidden="1">
      <c r="A1507" s="370"/>
      <c r="B1507" s="499"/>
      <c r="C1507" s="37"/>
      <c r="D1507" s="1929" t="s">
        <v>1520</v>
      </c>
      <c r="E1507" s="1930"/>
      <c r="F1507" s="1930"/>
      <c r="G1507" s="1930"/>
      <c r="H1507" s="1930"/>
      <c r="I1507" s="1931"/>
      <c r="J1507" s="1932">
        <f>VLOOKUP(A1509,'11 - FINANCEIRA'!_xlnm.Print_Area,6,FALSE)</f>
        <v>19.8</v>
      </c>
      <c r="K1507" s="1933"/>
      <c r="L1507" s="1343" t="str">
        <f>VLOOKUP(A1509,'11 - FINANCEIRA'!_xlnm.Print_Area,4,FALSE)</f>
        <v>m²</v>
      </c>
      <c r="M1507" s="1934" t="s">
        <v>1521</v>
      </c>
      <c r="N1507" s="1935"/>
      <c r="O1507" s="1935"/>
      <c r="P1507" s="1935"/>
      <c r="Q1507" s="1936"/>
      <c r="R1507" s="726">
        <f>SUM(R1503:R1506)</f>
        <v>19.8</v>
      </c>
      <c r="S1507" s="1344" t="str">
        <f>L1507</f>
        <v>m²</v>
      </c>
      <c r="T1507" s="373"/>
      <c r="U1507" s="486"/>
      <c r="V1507" s="1418">
        <f t="shared" si="155"/>
        <v>0</v>
      </c>
      <c r="AB1507" s="15"/>
    </row>
    <row r="1508" spans="1:36" s="77" customFormat="1" ht="15.6" hidden="1">
      <c r="A1508" s="370"/>
      <c r="B1508" s="499"/>
      <c r="C1508" s="725"/>
      <c r="D1508" s="1937" t="s">
        <v>1522</v>
      </c>
      <c r="E1508" s="1938"/>
      <c r="F1508" s="1938"/>
      <c r="G1508" s="1938"/>
      <c r="H1508" s="1938"/>
      <c r="I1508" s="1939"/>
      <c r="J1508" s="1943">
        <f>R1507/J1507</f>
        <v>1</v>
      </c>
      <c r="K1508" s="1944"/>
      <c r="L1508" s="1947"/>
      <c r="M1508" s="1934" t="s">
        <v>1523</v>
      </c>
      <c r="N1508" s="1935"/>
      <c r="O1508" s="1935"/>
      <c r="P1508" s="1935"/>
      <c r="Q1508" s="1936"/>
      <c r="R1508" s="726">
        <f>VLOOKUP(A1509,'11 - FINANCEIRA'!_xlnm.Print_Area,8,FALSE)</f>
        <v>19.8</v>
      </c>
      <c r="S1508" s="727" t="str">
        <f>L1507</f>
        <v>m²</v>
      </c>
      <c r="T1508" s="373"/>
      <c r="U1508" s="486"/>
      <c r="V1508" s="1418">
        <f t="shared" si="155"/>
        <v>0</v>
      </c>
      <c r="AB1508" s="15"/>
    </row>
    <row r="1509" spans="1:36" s="77" customFormat="1" ht="15.6" hidden="1">
      <c r="A1509" s="364" t="s">
        <v>448</v>
      </c>
      <c r="B1509" s="499"/>
      <c r="C1509" s="37"/>
      <c r="D1509" s="2013"/>
      <c r="E1509" s="2014"/>
      <c r="F1509" s="2014"/>
      <c r="G1509" s="2014"/>
      <c r="H1509" s="2014"/>
      <c r="I1509" s="2015"/>
      <c r="J1509" s="2016"/>
      <c r="K1509" s="2017"/>
      <c r="L1509" s="1962"/>
      <c r="M1509" s="2007" t="s">
        <v>1524</v>
      </c>
      <c r="N1509" s="2008"/>
      <c r="O1509" s="2008"/>
      <c r="P1509" s="2008"/>
      <c r="Q1509" s="2009"/>
      <c r="R1509" s="1345">
        <f>R1507-R1508</f>
        <v>0</v>
      </c>
      <c r="S1509" s="1346" t="str">
        <f>L1507</f>
        <v>m²</v>
      </c>
      <c r="T1509" s="373"/>
      <c r="U1509" s="486"/>
      <c r="V1509" s="1418">
        <f>R1509</f>
        <v>0</v>
      </c>
      <c r="AB1509" s="15"/>
    </row>
    <row r="1510" spans="1:36" s="77" customFormat="1" ht="15.6" hidden="1">
      <c r="A1510" s="370"/>
      <c r="B1510" s="1347"/>
      <c r="C1510" s="1348"/>
      <c r="D1510" s="1349"/>
      <c r="E1510" s="1350"/>
      <c r="F1510" s="1349"/>
      <c r="G1510" s="1349"/>
      <c r="H1510" s="1349"/>
      <c r="I1510" s="1349"/>
      <c r="J1510" s="1351"/>
      <c r="K1510" s="1352"/>
      <c r="L1510" s="1353"/>
      <c r="M1510" s="1354"/>
      <c r="N1510" s="1354"/>
      <c r="O1510" s="1354"/>
      <c r="P1510" s="1354"/>
      <c r="Q1510" s="1354"/>
      <c r="R1510" s="1355"/>
      <c r="S1510" s="1356"/>
      <c r="T1510" s="1357"/>
      <c r="U1510" s="1358"/>
      <c r="V1510" s="1420">
        <f>SUM(V1501:V1509)</f>
        <v>0</v>
      </c>
      <c r="AB1510" s="15"/>
    </row>
    <row r="1511" spans="1:36" s="352" customFormat="1" ht="15.6" hidden="1">
      <c r="A1511" s="351"/>
      <c r="B1511" s="1963" t="str">
        <f>VLOOKUP(A1519,'11 - FINANCEIRA'!_xlnm.Print_Area,1,FALSE)</f>
        <v>2.3.7.3</v>
      </c>
      <c r="C1511" s="1965" t="str">
        <f>VLOOKUP(A1519,'11 - FINANCEIRA'!_xlnm.Print_Area,3,FALSE)</f>
        <v>Revestimento cerâmico para piso com placas tipo esmaltada extra de dimensões 45x45 cm aplicada em ambientes de área entre 5 m² e 10 m². af_06/2014</v>
      </c>
      <c r="D1511" s="1967" t="s">
        <v>1503</v>
      </c>
      <c r="E1511" s="1968"/>
      <c r="F1511" s="1968"/>
      <c r="G1511" s="1968"/>
      <c r="H1511" s="1968"/>
      <c r="I1511" s="1969"/>
      <c r="J1511" s="1914" t="s">
        <v>1504</v>
      </c>
      <c r="K1511" s="1914" t="s">
        <v>1505</v>
      </c>
      <c r="L1511" s="1914" t="s">
        <v>1506</v>
      </c>
      <c r="M1511" s="1914" t="s">
        <v>1507</v>
      </c>
      <c r="N1511" s="1914" t="s">
        <v>1508</v>
      </c>
      <c r="O1511" s="1914" t="s">
        <v>1509</v>
      </c>
      <c r="P1511" s="1341" t="s">
        <v>1510</v>
      </c>
      <c r="Q1511" s="1914" t="s">
        <v>1493</v>
      </c>
      <c r="R1511" s="1916" t="s">
        <v>804</v>
      </c>
      <c r="S1511" s="1914" t="s">
        <v>1511</v>
      </c>
      <c r="T1511" s="1914" t="s">
        <v>1512</v>
      </c>
      <c r="U1511" s="1918" t="s">
        <v>1513</v>
      </c>
      <c r="V1511" s="1418">
        <f t="shared" ref="V1511:V1518" si="156">V1512</f>
        <v>0</v>
      </c>
      <c r="W1511" s="16"/>
      <c r="X1511" s="16"/>
      <c r="Y1511" s="16"/>
      <c r="Z1511" s="17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</row>
    <row r="1512" spans="1:36" s="352" customFormat="1" ht="15.6" hidden="1">
      <c r="A1512" s="351"/>
      <c r="B1512" s="1964" t="e">
        <f>LEFT(#REF!,5)</f>
        <v>#REF!</v>
      </c>
      <c r="C1512" s="1966" t="e">
        <f>VLOOKUP(LEFT(#REF!,5),'11 - FINANCEIRA'!_xlnm.Print_Area,2,FALSE)</f>
        <v>#REF!</v>
      </c>
      <c r="D1512" s="1920" t="s">
        <v>1514</v>
      </c>
      <c r="E1512" s="1921"/>
      <c r="F1512" s="1922"/>
      <c r="G1512" s="1923" t="s">
        <v>1515</v>
      </c>
      <c r="H1512" s="1924"/>
      <c r="I1512" s="1925"/>
      <c r="J1512" s="1915"/>
      <c r="K1512" s="1915"/>
      <c r="L1512" s="1915"/>
      <c r="M1512" s="1915"/>
      <c r="N1512" s="1915"/>
      <c r="O1512" s="1915"/>
      <c r="P1512" s="353" t="s">
        <v>1516</v>
      </c>
      <c r="Q1512" s="1915"/>
      <c r="R1512" s="1917"/>
      <c r="S1512" s="1915"/>
      <c r="T1512" s="1915"/>
      <c r="U1512" s="1919"/>
      <c r="V1512" s="1418">
        <f t="shared" si="156"/>
        <v>0</v>
      </c>
      <c r="W1512" s="16"/>
      <c r="X1512" s="16"/>
      <c r="Y1512" s="16"/>
      <c r="Z1512" s="17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</row>
    <row r="1513" spans="1:36" s="361" customFormat="1" ht="30" hidden="1">
      <c r="A1513" s="354"/>
      <c r="B1513" s="355"/>
      <c r="C1513" s="28" t="s">
        <v>931</v>
      </c>
      <c r="D1513" s="18"/>
      <c r="E1513" s="19"/>
      <c r="F1513" s="20"/>
      <c r="G1513" s="18"/>
      <c r="H1513" s="19"/>
      <c r="I1513" s="20"/>
      <c r="J1513" s="21"/>
      <c r="K1513" s="22"/>
      <c r="L1513" s="23"/>
      <c r="M1513" s="24"/>
      <c r="N1513" s="728"/>
      <c r="O1513" s="25"/>
      <c r="P1513" s="23"/>
      <c r="Q1513" s="729"/>
      <c r="R1513" s="1109">
        <v>15.14</v>
      </c>
      <c r="S1513" s="730" t="s">
        <v>821</v>
      </c>
      <c r="T1513" s="446" t="s">
        <v>327</v>
      </c>
      <c r="U1513" s="44"/>
      <c r="V1513" s="1418">
        <f t="shared" si="156"/>
        <v>0</v>
      </c>
      <c r="W1513" s="357"/>
      <c r="X1513" s="357"/>
      <c r="Y1513" s="357"/>
      <c r="Z1513" s="358"/>
      <c r="AA1513" s="359"/>
      <c r="AB1513" s="360"/>
    </row>
    <row r="1514" spans="1:36" s="361" customFormat="1" ht="15" hidden="1" customHeight="1">
      <c r="A1514" s="354"/>
      <c r="B1514" s="355"/>
      <c r="C1514" s="32"/>
      <c r="D1514" s="33"/>
      <c r="E1514" s="34"/>
      <c r="F1514" s="35"/>
      <c r="G1514" s="33"/>
      <c r="H1514" s="34"/>
      <c r="I1514" s="35"/>
      <c r="J1514" s="43"/>
      <c r="K1514" s="42"/>
      <c r="L1514" s="39"/>
      <c r="M1514" s="41"/>
      <c r="N1514" s="356"/>
      <c r="O1514" s="40"/>
      <c r="P1514" s="39"/>
      <c r="Q1514" s="45"/>
      <c r="R1514" s="362"/>
      <c r="S1514" s="363"/>
      <c r="T1514" s="46"/>
      <c r="U1514" s="44"/>
      <c r="V1514" s="1418">
        <f t="shared" si="156"/>
        <v>0</v>
      </c>
      <c r="W1514" s="357"/>
      <c r="X1514" s="357"/>
      <c r="Y1514" s="357"/>
      <c r="Z1514" s="358"/>
      <c r="AA1514" s="359"/>
      <c r="AB1514" s="360"/>
    </row>
    <row r="1515" spans="1:36" s="369" customFormat="1" ht="15" hidden="1">
      <c r="A1515" s="364"/>
      <c r="B1515" s="355"/>
      <c r="C1515" s="32"/>
      <c r="D1515" s="33"/>
      <c r="E1515" s="34"/>
      <c r="F1515" s="35"/>
      <c r="G1515" s="33"/>
      <c r="H1515" s="34"/>
      <c r="I1515" s="35"/>
      <c r="J1515" s="43"/>
      <c r="K1515" s="42"/>
      <c r="L1515" s="39"/>
      <c r="M1515" s="41"/>
      <c r="N1515" s="40"/>
      <c r="O1515" s="40"/>
      <c r="P1515" s="39"/>
      <c r="Q1515" s="38"/>
      <c r="R1515" s="365"/>
      <c r="S1515" s="366"/>
      <c r="T1515" s="46"/>
      <c r="U1515" s="44"/>
      <c r="V1515" s="1418">
        <f t="shared" si="156"/>
        <v>0</v>
      </c>
      <c r="W1515" s="367"/>
      <c r="X1515" s="367"/>
      <c r="Y1515" s="367"/>
      <c r="Z1515" s="368"/>
    </row>
    <row r="1516" spans="1:36" s="77" customFormat="1" ht="15" hidden="1">
      <c r="A1516" s="370"/>
      <c r="B1516" s="29"/>
      <c r="C1516" s="30"/>
      <c r="D1516" s="18"/>
      <c r="E1516" s="19"/>
      <c r="F1516" s="20"/>
      <c r="G1516" s="18"/>
      <c r="H1516" s="19"/>
      <c r="I1516" s="20"/>
      <c r="J1516" s="21"/>
      <c r="K1516" s="22"/>
      <c r="L1516" s="23"/>
      <c r="M1516" s="24"/>
      <c r="N1516" s="25"/>
      <c r="O1516" s="25"/>
      <c r="P1516" s="23"/>
      <c r="Q1516" s="26"/>
      <c r="R1516" s="371"/>
      <c r="S1516" s="27"/>
      <c r="T1516" s="372"/>
      <c r="U1516" s="31"/>
      <c r="V1516" s="1418">
        <f t="shared" si="156"/>
        <v>0</v>
      </c>
      <c r="AB1516" s="15"/>
    </row>
    <row r="1517" spans="1:36" s="77" customFormat="1" ht="15.6" hidden="1">
      <c r="A1517" s="370"/>
      <c r="B1517" s="499"/>
      <c r="C1517" s="37"/>
      <c r="D1517" s="1929" t="s">
        <v>1520</v>
      </c>
      <c r="E1517" s="1930"/>
      <c r="F1517" s="1930"/>
      <c r="G1517" s="1930"/>
      <c r="H1517" s="1930"/>
      <c r="I1517" s="1931"/>
      <c r="J1517" s="1932">
        <f>VLOOKUP(A1519,'11 - FINANCEIRA'!_xlnm.Print_Area,6,FALSE)</f>
        <v>15.14</v>
      </c>
      <c r="K1517" s="1933"/>
      <c r="L1517" s="1343" t="str">
        <f>VLOOKUP(A1519,'11 - FINANCEIRA'!_xlnm.Print_Area,4,FALSE)</f>
        <v>m²</v>
      </c>
      <c r="M1517" s="1934" t="s">
        <v>1521</v>
      </c>
      <c r="N1517" s="1935"/>
      <c r="O1517" s="1935"/>
      <c r="P1517" s="1935"/>
      <c r="Q1517" s="1936"/>
      <c r="R1517" s="726">
        <f>SUM(R1513:R1516)</f>
        <v>15.14</v>
      </c>
      <c r="S1517" s="1344" t="str">
        <f>L1517</f>
        <v>m²</v>
      </c>
      <c r="T1517" s="373"/>
      <c r="U1517" s="486"/>
      <c r="V1517" s="1418">
        <f t="shared" si="156"/>
        <v>0</v>
      </c>
      <c r="AB1517" s="15"/>
    </row>
    <row r="1518" spans="1:36" s="77" customFormat="1" ht="15.6" hidden="1">
      <c r="A1518" s="370"/>
      <c r="B1518" s="499"/>
      <c r="C1518" s="725"/>
      <c r="D1518" s="1937" t="s">
        <v>1522</v>
      </c>
      <c r="E1518" s="1938"/>
      <c r="F1518" s="1938"/>
      <c r="G1518" s="1938"/>
      <c r="H1518" s="1938"/>
      <c r="I1518" s="1939"/>
      <c r="J1518" s="1943">
        <f>R1517/J1517</f>
        <v>1</v>
      </c>
      <c r="K1518" s="1944"/>
      <c r="L1518" s="1947"/>
      <c r="M1518" s="1934" t="s">
        <v>1523</v>
      </c>
      <c r="N1518" s="1935"/>
      <c r="O1518" s="1935"/>
      <c r="P1518" s="1935"/>
      <c r="Q1518" s="1936"/>
      <c r="R1518" s="726">
        <f>VLOOKUP(A1519,'11 - FINANCEIRA'!_xlnm.Print_Area,8,FALSE)</f>
        <v>15.14</v>
      </c>
      <c r="S1518" s="727" t="str">
        <f>L1517</f>
        <v>m²</v>
      </c>
      <c r="T1518" s="373"/>
      <c r="U1518" s="486"/>
      <c r="V1518" s="1418">
        <f t="shared" si="156"/>
        <v>0</v>
      </c>
      <c r="AB1518" s="15"/>
    </row>
    <row r="1519" spans="1:36" s="77" customFormat="1" ht="15.6" hidden="1">
      <c r="A1519" s="364" t="s">
        <v>449</v>
      </c>
      <c r="B1519" s="499"/>
      <c r="C1519" s="37"/>
      <c r="D1519" s="2013"/>
      <c r="E1519" s="2014"/>
      <c r="F1519" s="2014"/>
      <c r="G1519" s="2014"/>
      <c r="H1519" s="2014"/>
      <c r="I1519" s="2015"/>
      <c r="J1519" s="2016"/>
      <c r="K1519" s="2017"/>
      <c r="L1519" s="1962"/>
      <c r="M1519" s="2007" t="s">
        <v>1524</v>
      </c>
      <c r="N1519" s="2008"/>
      <c r="O1519" s="2008"/>
      <c r="P1519" s="2008"/>
      <c r="Q1519" s="2009"/>
      <c r="R1519" s="1345">
        <f>R1517-R1518</f>
        <v>0</v>
      </c>
      <c r="S1519" s="1346" t="str">
        <f>L1517</f>
        <v>m²</v>
      </c>
      <c r="T1519" s="373"/>
      <c r="U1519" s="486"/>
      <c r="V1519" s="1418">
        <f>R1519</f>
        <v>0</v>
      </c>
      <c r="AB1519" s="15"/>
    </row>
    <row r="1520" spans="1:36" s="77" customFormat="1" ht="15.6" hidden="1">
      <c r="A1520" s="370"/>
      <c r="B1520" s="1347"/>
      <c r="C1520" s="1348"/>
      <c r="D1520" s="1349"/>
      <c r="E1520" s="1350"/>
      <c r="F1520" s="1349"/>
      <c r="G1520" s="1349"/>
      <c r="H1520" s="1349"/>
      <c r="I1520" s="1349"/>
      <c r="J1520" s="1351"/>
      <c r="K1520" s="1352"/>
      <c r="L1520" s="1353"/>
      <c r="M1520" s="1354"/>
      <c r="N1520" s="1354"/>
      <c r="O1520" s="1354"/>
      <c r="P1520" s="1354"/>
      <c r="Q1520" s="1354"/>
      <c r="R1520" s="1355"/>
      <c r="S1520" s="1356"/>
      <c r="T1520" s="1357"/>
      <c r="U1520" s="1358"/>
      <c r="V1520" s="1420">
        <f>SUM(V1511:V1519)</f>
        <v>0</v>
      </c>
      <c r="AB1520" s="15"/>
    </row>
    <row r="1521" spans="1:36" s="352" customFormat="1" ht="15.6" hidden="1">
      <c r="A1521" s="351"/>
      <c r="B1521" s="1963" t="str">
        <f>VLOOKUP(A1529,'11 - FINANCEIRA'!_xlnm.Print_Area,1,FALSE)</f>
        <v>2.3.7.4</v>
      </c>
      <c r="C1521" s="1965" t="str">
        <f>VLOOKUP(A1529,'11 - FINANCEIRA'!_xlnm.Print_Area,3,FALSE)</f>
        <v>Ompermeabilização de superfície com manta asfáltica, uma camada, inclusive aplicação de primer asfáltico, e=3mm. af_06/2018</v>
      </c>
      <c r="D1521" s="1967" t="s">
        <v>1503</v>
      </c>
      <c r="E1521" s="1968"/>
      <c r="F1521" s="1968"/>
      <c r="G1521" s="1968"/>
      <c r="H1521" s="1968"/>
      <c r="I1521" s="1969"/>
      <c r="J1521" s="1914" t="s">
        <v>1504</v>
      </c>
      <c r="K1521" s="1914" t="s">
        <v>1505</v>
      </c>
      <c r="L1521" s="1914" t="s">
        <v>1506</v>
      </c>
      <c r="M1521" s="1914" t="s">
        <v>1507</v>
      </c>
      <c r="N1521" s="1914" t="s">
        <v>1508</v>
      </c>
      <c r="O1521" s="1914" t="s">
        <v>1509</v>
      </c>
      <c r="P1521" s="1341" t="s">
        <v>1510</v>
      </c>
      <c r="Q1521" s="1914" t="s">
        <v>1493</v>
      </c>
      <c r="R1521" s="1916" t="s">
        <v>804</v>
      </c>
      <c r="S1521" s="1914" t="s">
        <v>1511</v>
      </c>
      <c r="T1521" s="1914" t="s">
        <v>1512</v>
      </c>
      <c r="U1521" s="1918" t="s">
        <v>1513</v>
      </c>
      <c r="V1521" s="1418">
        <f t="shared" ref="V1521:V1528" si="157">V1522</f>
        <v>0</v>
      </c>
      <c r="W1521" s="16"/>
      <c r="X1521" s="16"/>
      <c r="Y1521" s="16"/>
      <c r="Z1521" s="17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</row>
    <row r="1522" spans="1:36" s="352" customFormat="1" ht="15.6" hidden="1">
      <c r="A1522" s="351"/>
      <c r="B1522" s="1964" t="e">
        <f>LEFT(#REF!,5)</f>
        <v>#REF!</v>
      </c>
      <c r="C1522" s="1966" t="e">
        <f>VLOOKUP(LEFT(#REF!,5),'11 - FINANCEIRA'!_xlnm.Print_Area,2,FALSE)</f>
        <v>#REF!</v>
      </c>
      <c r="D1522" s="1920" t="s">
        <v>1514</v>
      </c>
      <c r="E1522" s="1921"/>
      <c r="F1522" s="1922"/>
      <c r="G1522" s="1923" t="s">
        <v>1515</v>
      </c>
      <c r="H1522" s="1924"/>
      <c r="I1522" s="1925"/>
      <c r="J1522" s="1915"/>
      <c r="K1522" s="1915"/>
      <c r="L1522" s="1915"/>
      <c r="M1522" s="1915"/>
      <c r="N1522" s="1915"/>
      <c r="O1522" s="1915"/>
      <c r="P1522" s="353" t="s">
        <v>1516</v>
      </c>
      <c r="Q1522" s="1915"/>
      <c r="R1522" s="1917"/>
      <c r="S1522" s="1915"/>
      <c r="T1522" s="1915"/>
      <c r="U1522" s="1919"/>
      <c r="V1522" s="1418">
        <f t="shared" si="157"/>
        <v>0</v>
      </c>
      <c r="W1522" s="16"/>
      <c r="X1522" s="16"/>
      <c r="Y1522" s="16"/>
      <c r="Z1522" s="17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</row>
    <row r="1523" spans="1:36" s="361" customFormat="1" ht="30" hidden="1">
      <c r="A1523" s="354"/>
      <c r="B1523" s="355"/>
      <c r="C1523" s="28" t="s">
        <v>973</v>
      </c>
      <c r="D1523" s="18"/>
      <c r="E1523" s="19"/>
      <c r="F1523" s="20"/>
      <c r="G1523" s="18"/>
      <c r="H1523" s="19"/>
      <c r="I1523" s="20"/>
      <c r="J1523" s="21"/>
      <c r="K1523" s="22"/>
      <c r="L1523" s="23"/>
      <c r="M1523" s="24"/>
      <c r="N1523" s="728"/>
      <c r="O1523" s="25"/>
      <c r="P1523" s="23"/>
      <c r="Q1523" s="729"/>
      <c r="R1523" s="1109">
        <v>22.76</v>
      </c>
      <c r="S1523" s="730" t="s">
        <v>821</v>
      </c>
      <c r="T1523" s="446" t="s">
        <v>327</v>
      </c>
      <c r="U1523" s="44"/>
      <c r="V1523" s="1418">
        <f t="shared" si="157"/>
        <v>0</v>
      </c>
      <c r="W1523" s="357"/>
      <c r="X1523" s="357"/>
      <c r="Y1523" s="357"/>
      <c r="Z1523" s="358"/>
      <c r="AA1523" s="359"/>
      <c r="AB1523" s="360"/>
    </row>
    <row r="1524" spans="1:36" s="361" customFormat="1" ht="15" hidden="1" customHeight="1">
      <c r="A1524" s="354"/>
      <c r="B1524" s="355"/>
      <c r="C1524" s="32"/>
      <c r="D1524" s="33"/>
      <c r="E1524" s="34"/>
      <c r="F1524" s="35"/>
      <c r="G1524" s="33"/>
      <c r="H1524" s="34"/>
      <c r="I1524" s="35"/>
      <c r="J1524" s="43"/>
      <c r="K1524" s="42"/>
      <c r="L1524" s="39"/>
      <c r="M1524" s="41"/>
      <c r="N1524" s="356"/>
      <c r="O1524" s="40"/>
      <c r="P1524" s="39"/>
      <c r="Q1524" s="45"/>
      <c r="R1524" s="362"/>
      <c r="S1524" s="363"/>
      <c r="T1524" s="46"/>
      <c r="U1524" s="44"/>
      <c r="V1524" s="1418">
        <f t="shared" si="157"/>
        <v>0</v>
      </c>
      <c r="W1524" s="357"/>
      <c r="X1524" s="357"/>
      <c r="Y1524" s="357"/>
      <c r="Z1524" s="358"/>
      <c r="AA1524" s="359"/>
      <c r="AB1524" s="360"/>
    </row>
    <row r="1525" spans="1:36" s="369" customFormat="1" ht="15" hidden="1">
      <c r="A1525" s="364"/>
      <c r="B1525" s="355"/>
      <c r="C1525" s="32"/>
      <c r="D1525" s="33"/>
      <c r="E1525" s="34"/>
      <c r="F1525" s="35"/>
      <c r="G1525" s="33"/>
      <c r="H1525" s="34"/>
      <c r="I1525" s="35"/>
      <c r="J1525" s="43"/>
      <c r="K1525" s="42"/>
      <c r="L1525" s="39"/>
      <c r="M1525" s="41"/>
      <c r="N1525" s="40"/>
      <c r="O1525" s="40"/>
      <c r="P1525" s="39"/>
      <c r="Q1525" s="38"/>
      <c r="R1525" s="365"/>
      <c r="S1525" s="366"/>
      <c r="T1525" s="46"/>
      <c r="U1525" s="44"/>
      <c r="V1525" s="1418">
        <f t="shared" si="157"/>
        <v>0</v>
      </c>
      <c r="W1525" s="367"/>
      <c r="X1525" s="367"/>
      <c r="Y1525" s="367"/>
      <c r="Z1525" s="368"/>
    </row>
    <row r="1526" spans="1:36" s="77" customFormat="1" ht="15" hidden="1">
      <c r="A1526" s="370"/>
      <c r="B1526" s="29"/>
      <c r="C1526" s="30"/>
      <c r="D1526" s="18"/>
      <c r="E1526" s="19"/>
      <c r="F1526" s="20"/>
      <c r="G1526" s="18"/>
      <c r="H1526" s="19"/>
      <c r="I1526" s="20"/>
      <c r="J1526" s="21"/>
      <c r="K1526" s="22"/>
      <c r="L1526" s="23"/>
      <c r="M1526" s="24"/>
      <c r="N1526" s="25"/>
      <c r="O1526" s="25"/>
      <c r="P1526" s="23"/>
      <c r="Q1526" s="26"/>
      <c r="R1526" s="371"/>
      <c r="S1526" s="27"/>
      <c r="T1526" s="372"/>
      <c r="U1526" s="31"/>
      <c r="V1526" s="1418">
        <f t="shared" si="157"/>
        <v>0</v>
      </c>
      <c r="AB1526" s="15"/>
    </row>
    <row r="1527" spans="1:36" s="77" customFormat="1" ht="15.6" hidden="1">
      <c r="A1527" s="370"/>
      <c r="B1527" s="499"/>
      <c r="C1527" s="37"/>
      <c r="D1527" s="1929" t="s">
        <v>1520</v>
      </c>
      <c r="E1527" s="1930"/>
      <c r="F1527" s="1930"/>
      <c r="G1527" s="1930"/>
      <c r="H1527" s="1930"/>
      <c r="I1527" s="1931"/>
      <c r="J1527" s="1932">
        <f>VLOOKUP(A1529,'11 - FINANCEIRA'!_xlnm.Print_Area,6,FALSE)</f>
        <v>22.76</v>
      </c>
      <c r="K1527" s="1933"/>
      <c r="L1527" s="1343" t="str">
        <f>VLOOKUP(A1529,'11 - FINANCEIRA'!_xlnm.Print_Area,4,FALSE)</f>
        <v>m²</v>
      </c>
      <c r="M1527" s="1934" t="s">
        <v>1521</v>
      </c>
      <c r="N1527" s="1935"/>
      <c r="O1527" s="1935"/>
      <c r="P1527" s="1935"/>
      <c r="Q1527" s="1936"/>
      <c r="R1527" s="726">
        <f>SUM(R1523:R1526)</f>
        <v>22.76</v>
      </c>
      <c r="S1527" s="1344" t="str">
        <f>L1527</f>
        <v>m²</v>
      </c>
      <c r="T1527" s="373"/>
      <c r="U1527" s="486"/>
      <c r="V1527" s="1418">
        <f t="shared" si="157"/>
        <v>0</v>
      </c>
      <c r="AB1527" s="15"/>
    </row>
    <row r="1528" spans="1:36" s="77" customFormat="1" ht="15.6" hidden="1">
      <c r="A1528" s="370"/>
      <c r="B1528" s="499"/>
      <c r="C1528" s="725"/>
      <c r="D1528" s="1937" t="s">
        <v>1522</v>
      </c>
      <c r="E1528" s="1938"/>
      <c r="F1528" s="1938"/>
      <c r="G1528" s="1938"/>
      <c r="H1528" s="1938"/>
      <c r="I1528" s="1939"/>
      <c r="J1528" s="1943">
        <f>R1527/J1527</f>
        <v>1</v>
      </c>
      <c r="K1528" s="1944"/>
      <c r="L1528" s="1947"/>
      <c r="M1528" s="1934" t="s">
        <v>1523</v>
      </c>
      <c r="N1528" s="1935"/>
      <c r="O1528" s="1935"/>
      <c r="P1528" s="1935"/>
      <c r="Q1528" s="1936"/>
      <c r="R1528" s="726">
        <f>VLOOKUP(A1529,'11 - FINANCEIRA'!_xlnm.Print_Area,8,FALSE)</f>
        <v>22.76</v>
      </c>
      <c r="S1528" s="727" t="str">
        <f>L1527</f>
        <v>m²</v>
      </c>
      <c r="T1528" s="373"/>
      <c r="U1528" s="486"/>
      <c r="V1528" s="1418">
        <f t="shared" si="157"/>
        <v>0</v>
      </c>
      <c r="AB1528" s="15"/>
    </row>
    <row r="1529" spans="1:36" s="77" customFormat="1" ht="15.6" hidden="1">
      <c r="A1529" s="364" t="s">
        <v>450</v>
      </c>
      <c r="B1529" s="499"/>
      <c r="C1529" s="37"/>
      <c r="D1529" s="2013"/>
      <c r="E1529" s="2014"/>
      <c r="F1529" s="2014"/>
      <c r="G1529" s="2014"/>
      <c r="H1529" s="2014"/>
      <c r="I1529" s="2015"/>
      <c r="J1529" s="2016"/>
      <c r="K1529" s="2017"/>
      <c r="L1529" s="1962"/>
      <c r="M1529" s="2007" t="s">
        <v>1524</v>
      </c>
      <c r="N1529" s="2008"/>
      <c r="O1529" s="2008"/>
      <c r="P1529" s="2008"/>
      <c r="Q1529" s="2009"/>
      <c r="R1529" s="1345">
        <f>R1527-R1528</f>
        <v>0</v>
      </c>
      <c r="S1529" s="1346" t="str">
        <f>L1527</f>
        <v>m²</v>
      </c>
      <c r="T1529" s="373"/>
      <c r="U1529" s="486"/>
      <c r="V1529" s="1418">
        <f>R1529</f>
        <v>0</v>
      </c>
      <c r="AB1529" s="15"/>
    </row>
    <row r="1530" spans="1:36" s="77" customFormat="1" ht="15.6" hidden="1">
      <c r="A1530" s="370"/>
      <c r="B1530" s="1347"/>
      <c r="C1530" s="1348"/>
      <c r="D1530" s="1349"/>
      <c r="E1530" s="1350"/>
      <c r="F1530" s="1349"/>
      <c r="G1530" s="1349"/>
      <c r="H1530" s="1349"/>
      <c r="I1530" s="1349"/>
      <c r="J1530" s="1351"/>
      <c r="K1530" s="1352"/>
      <c r="L1530" s="1353"/>
      <c r="M1530" s="1354"/>
      <c r="N1530" s="1354"/>
      <c r="O1530" s="1354"/>
      <c r="P1530" s="1354"/>
      <c r="Q1530" s="1354"/>
      <c r="R1530" s="1355"/>
      <c r="S1530" s="1356"/>
      <c r="T1530" s="1357"/>
      <c r="U1530" s="1358"/>
      <c r="V1530" s="1420">
        <f>SUM(V1521:V1529)</f>
        <v>0</v>
      </c>
      <c r="AB1530" s="15"/>
    </row>
    <row r="1531" spans="1:36" s="352" customFormat="1" ht="15.6" hidden="1">
      <c r="A1531" s="351"/>
      <c r="B1531" s="1963" t="str">
        <f>VLOOKUP(A1539,'11 - FINANCEIRA'!_xlnm.Print_Area,1,FALSE)</f>
        <v>2.3.7.5</v>
      </c>
      <c r="C1531" s="1965" t="str">
        <f>VLOOKUP(A1539,'11 - FINANCEIRA'!_xlnm.Print_Area,3,FALSE)</f>
        <v>Contrapiso em argamassa traço 1:4 (cimento e areia), preparo mecânico com betoneira 400 l, aplicado em áreas molhadas sobre impermeabilização, espessura 3cm. af_06/2014</v>
      </c>
      <c r="D1531" s="1967" t="s">
        <v>1503</v>
      </c>
      <c r="E1531" s="1968"/>
      <c r="F1531" s="1968"/>
      <c r="G1531" s="1968"/>
      <c r="H1531" s="1968"/>
      <c r="I1531" s="1969"/>
      <c r="J1531" s="1914" t="s">
        <v>1504</v>
      </c>
      <c r="K1531" s="1914" t="s">
        <v>1505</v>
      </c>
      <c r="L1531" s="1914" t="s">
        <v>1506</v>
      </c>
      <c r="M1531" s="1914" t="s">
        <v>1507</v>
      </c>
      <c r="N1531" s="1914" t="s">
        <v>1508</v>
      </c>
      <c r="O1531" s="1914" t="s">
        <v>1509</v>
      </c>
      <c r="P1531" s="1341" t="s">
        <v>1510</v>
      </c>
      <c r="Q1531" s="1914" t="s">
        <v>1493</v>
      </c>
      <c r="R1531" s="1916" t="s">
        <v>804</v>
      </c>
      <c r="S1531" s="1914" t="s">
        <v>1511</v>
      </c>
      <c r="T1531" s="1914" t="s">
        <v>1512</v>
      </c>
      <c r="U1531" s="1918" t="s">
        <v>1513</v>
      </c>
      <c r="V1531" s="1418">
        <f t="shared" ref="V1531:V1538" si="158">V1532</f>
        <v>0</v>
      </c>
      <c r="W1531" s="16"/>
      <c r="X1531" s="16"/>
      <c r="Y1531" s="16"/>
      <c r="Z1531" s="17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</row>
    <row r="1532" spans="1:36" s="352" customFormat="1" ht="15.6" hidden="1">
      <c r="A1532" s="351"/>
      <c r="B1532" s="1964" t="e">
        <f>LEFT(#REF!,5)</f>
        <v>#REF!</v>
      </c>
      <c r="C1532" s="1966" t="e">
        <f>VLOOKUP(LEFT(#REF!,5),'11 - FINANCEIRA'!_xlnm.Print_Area,2,FALSE)</f>
        <v>#REF!</v>
      </c>
      <c r="D1532" s="1920" t="s">
        <v>1514</v>
      </c>
      <c r="E1532" s="1921"/>
      <c r="F1532" s="1922"/>
      <c r="G1532" s="1923" t="s">
        <v>1515</v>
      </c>
      <c r="H1532" s="1924"/>
      <c r="I1532" s="1925"/>
      <c r="J1532" s="1915"/>
      <c r="K1532" s="1915"/>
      <c r="L1532" s="1915"/>
      <c r="M1532" s="1915"/>
      <c r="N1532" s="1915"/>
      <c r="O1532" s="1915"/>
      <c r="P1532" s="353" t="s">
        <v>1516</v>
      </c>
      <c r="Q1532" s="1915"/>
      <c r="R1532" s="1917"/>
      <c r="S1532" s="1915"/>
      <c r="T1532" s="1915"/>
      <c r="U1532" s="1919"/>
      <c r="V1532" s="1418">
        <f t="shared" si="158"/>
        <v>0</v>
      </c>
      <c r="W1532" s="16"/>
      <c r="X1532" s="16"/>
      <c r="Y1532" s="16"/>
      <c r="Z1532" s="17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</row>
    <row r="1533" spans="1:36" s="361" customFormat="1" ht="30" hidden="1">
      <c r="A1533" s="354"/>
      <c r="B1533" s="355"/>
      <c r="C1533" s="28" t="s">
        <v>975</v>
      </c>
      <c r="D1533" s="18"/>
      <c r="E1533" s="19"/>
      <c r="F1533" s="20"/>
      <c r="G1533" s="18"/>
      <c r="H1533" s="19"/>
      <c r="I1533" s="20"/>
      <c r="J1533" s="21"/>
      <c r="K1533" s="22"/>
      <c r="L1533" s="23"/>
      <c r="M1533" s="24"/>
      <c r="N1533" s="728"/>
      <c r="O1533" s="25"/>
      <c r="P1533" s="23"/>
      <c r="Q1533" s="729"/>
      <c r="R1533" s="1109">
        <v>22.76</v>
      </c>
      <c r="S1533" s="730" t="s">
        <v>821</v>
      </c>
      <c r="T1533" s="446" t="s">
        <v>327</v>
      </c>
      <c r="U1533" s="44"/>
      <c r="V1533" s="1418">
        <f t="shared" si="158"/>
        <v>0</v>
      </c>
      <c r="W1533" s="357"/>
      <c r="X1533" s="357"/>
      <c r="Y1533" s="357"/>
      <c r="Z1533" s="358"/>
      <c r="AA1533" s="359"/>
      <c r="AB1533" s="360"/>
    </row>
    <row r="1534" spans="1:36" s="361" customFormat="1" ht="15" hidden="1" customHeight="1">
      <c r="A1534" s="354"/>
      <c r="B1534" s="355"/>
      <c r="C1534" s="32"/>
      <c r="D1534" s="33"/>
      <c r="E1534" s="34"/>
      <c r="F1534" s="35"/>
      <c r="G1534" s="33"/>
      <c r="H1534" s="34"/>
      <c r="I1534" s="35"/>
      <c r="J1534" s="43"/>
      <c r="K1534" s="42"/>
      <c r="L1534" s="39"/>
      <c r="M1534" s="41"/>
      <c r="N1534" s="356"/>
      <c r="O1534" s="40"/>
      <c r="P1534" s="39"/>
      <c r="Q1534" s="45"/>
      <c r="R1534" s="362"/>
      <c r="S1534" s="363"/>
      <c r="T1534" s="46"/>
      <c r="U1534" s="44"/>
      <c r="V1534" s="1418">
        <f t="shared" si="158"/>
        <v>0</v>
      </c>
      <c r="W1534" s="357"/>
      <c r="X1534" s="357"/>
      <c r="Y1534" s="357"/>
      <c r="Z1534" s="358"/>
      <c r="AA1534" s="359"/>
      <c r="AB1534" s="360"/>
    </row>
    <row r="1535" spans="1:36" s="369" customFormat="1" ht="15" hidden="1">
      <c r="A1535" s="364"/>
      <c r="B1535" s="355"/>
      <c r="C1535" s="32"/>
      <c r="D1535" s="33"/>
      <c r="E1535" s="34"/>
      <c r="F1535" s="35"/>
      <c r="G1535" s="33"/>
      <c r="H1535" s="34"/>
      <c r="I1535" s="35"/>
      <c r="J1535" s="43"/>
      <c r="K1535" s="42"/>
      <c r="L1535" s="39"/>
      <c r="M1535" s="41"/>
      <c r="N1535" s="40"/>
      <c r="O1535" s="40"/>
      <c r="P1535" s="39"/>
      <c r="Q1535" s="38"/>
      <c r="R1535" s="365"/>
      <c r="S1535" s="366"/>
      <c r="T1535" s="46"/>
      <c r="U1535" s="44"/>
      <c r="V1535" s="1418">
        <f t="shared" si="158"/>
        <v>0</v>
      </c>
      <c r="W1535" s="367"/>
      <c r="X1535" s="367"/>
      <c r="Y1535" s="367"/>
      <c r="Z1535" s="368"/>
    </row>
    <row r="1536" spans="1:36" s="77" customFormat="1" ht="15" hidden="1">
      <c r="A1536" s="370"/>
      <c r="B1536" s="29"/>
      <c r="C1536" s="30"/>
      <c r="D1536" s="18"/>
      <c r="E1536" s="19"/>
      <c r="F1536" s="20"/>
      <c r="G1536" s="18"/>
      <c r="H1536" s="19"/>
      <c r="I1536" s="20"/>
      <c r="J1536" s="21"/>
      <c r="K1536" s="22"/>
      <c r="L1536" s="23"/>
      <c r="M1536" s="24"/>
      <c r="N1536" s="25"/>
      <c r="O1536" s="25"/>
      <c r="P1536" s="23"/>
      <c r="Q1536" s="26"/>
      <c r="R1536" s="371"/>
      <c r="S1536" s="27"/>
      <c r="T1536" s="372"/>
      <c r="U1536" s="31"/>
      <c r="V1536" s="1418">
        <f t="shared" si="158"/>
        <v>0</v>
      </c>
      <c r="AB1536" s="15"/>
    </row>
    <row r="1537" spans="1:36" s="77" customFormat="1" ht="15.6" hidden="1">
      <c r="A1537" s="370"/>
      <c r="B1537" s="499"/>
      <c r="C1537" s="37"/>
      <c r="D1537" s="1929" t="s">
        <v>1520</v>
      </c>
      <c r="E1537" s="1930"/>
      <c r="F1537" s="1930"/>
      <c r="G1537" s="1930"/>
      <c r="H1537" s="1930"/>
      <c r="I1537" s="1931"/>
      <c r="J1537" s="1932">
        <f>VLOOKUP(A1539,'11 - FINANCEIRA'!_xlnm.Print_Area,6,FALSE)</f>
        <v>22.76</v>
      </c>
      <c r="K1537" s="1933"/>
      <c r="L1537" s="1343" t="str">
        <f>VLOOKUP(A1539,'11 - FINANCEIRA'!_xlnm.Print_Area,4,FALSE)</f>
        <v>m²</v>
      </c>
      <c r="M1537" s="1934" t="s">
        <v>1521</v>
      </c>
      <c r="N1537" s="1935"/>
      <c r="O1537" s="1935"/>
      <c r="P1537" s="1935"/>
      <c r="Q1537" s="1936"/>
      <c r="R1537" s="726">
        <f>SUM(R1533:R1536)</f>
        <v>22.76</v>
      </c>
      <c r="S1537" s="1344" t="str">
        <f>L1537</f>
        <v>m²</v>
      </c>
      <c r="T1537" s="373"/>
      <c r="U1537" s="486"/>
      <c r="V1537" s="1418">
        <f t="shared" si="158"/>
        <v>0</v>
      </c>
      <c r="AB1537" s="15"/>
    </row>
    <row r="1538" spans="1:36" s="77" customFormat="1" ht="15.6" hidden="1">
      <c r="A1538" s="370"/>
      <c r="B1538" s="499"/>
      <c r="C1538" s="725"/>
      <c r="D1538" s="1937" t="s">
        <v>1522</v>
      </c>
      <c r="E1538" s="1938"/>
      <c r="F1538" s="1938"/>
      <c r="G1538" s="1938"/>
      <c r="H1538" s="1938"/>
      <c r="I1538" s="1939"/>
      <c r="J1538" s="1943">
        <f>R1537/J1537</f>
        <v>1</v>
      </c>
      <c r="K1538" s="1944"/>
      <c r="L1538" s="1947"/>
      <c r="M1538" s="1934" t="s">
        <v>1523</v>
      </c>
      <c r="N1538" s="1935"/>
      <c r="O1538" s="1935"/>
      <c r="P1538" s="1935"/>
      <c r="Q1538" s="1936"/>
      <c r="R1538" s="726">
        <f>VLOOKUP(A1539,'11 - FINANCEIRA'!_xlnm.Print_Area,8,FALSE)</f>
        <v>22.76</v>
      </c>
      <c r="S1538" s="727" t="str">
        <f>L1537</f>
        <v>m²</v>
      </c>
      <c r="T1538" s="373"/>
      <c r="U1538" s="486"/>
      <c r="V1538" s="1418">
        <f t="shared" si="158"/>
        <v>0</v>
      </c>
      <c r="AB1538" s="15"/>
    </row>
    <row r="1539" spans="1:36" s="77" customFormat="1" ht="15.6" hidden="1">
      <c r="A1539" s="364" t="s">
        <v>451</v>
      </c>
      <c r="B1539" s="499"/>
      <c r="C1539" s="37"/>
      <c r="D1539" s="2013"/>
      <c r="E1539" s="2014"/>
      <c r="F1539" s="2014"/>
      <c r="G1539" s="2014"/>
      <c r="H1539" s="2014"/>
      <c r="I1539" s="2015"/>
      <c r="J1539" s="2016"/>
      <c r="K1539" s="2017"/>
      <c r="L1539" s="1962"/>
      <c r="M1539" s="2007" t="s">
        <v>1524</v>
      </c>
      <c r="N1539" s="2008"/>
      <c r="O1539" s="2008"/>
      <c r="P1539" s="2008"/>
      <c r="Q1539" s="2009"/>
      <c r="R1539" s="1345">
        <f>R1537-R1538</f>
        <v>0</v>
      </c>
      <c r="S1539" s="1346" t="str">
        <f>L1537</f>
        <v>m²</v>
      </c>
      <c r="T1539" s="373"/>
      <c r="U1539" s="486"/>
      <c r="V1539" s="1418">
        <f>R1539</f>
        <v>0</v>
      </c>
      <c r="AB1539" s="15"/>
    </row>
    <row r="1540" spans="1:36" s="77" customFormat="1" ht="15.6" hidden="1">
      <c r="A1540" s="370"/>
      <c r="B1540" s="1347"/>
      <c r="C1540" s="1348"/>
      <c r="D1540" s="1349"/>
      <c r="E1540" s="1350"/>
      <c r="F1540" s="1349"/>
      <c r="G1540" s="1349"/>
      <c r="H1540" s="1349"/>
      <c r="I1540" s="1349"/>
      <c r="J1540" s="1351"/>
      <c r="K1540" s="1352"/>
      <c r="L1540" s="1353"/>
      <c r="M1540" s="1354"/>
      <c r="N1540" s="1354"/>
      <c r="O1540" s="1354"/>
      <c r="P1540" s="1354"/>
      <c r="Q1540" s="1354"/>
      <c r="R1540" s="1355"/>
      <c r="S1540" s="1356"/>
      <c r="T1540" s="1357"/>
      <c r="U1540" s="1358"/>
      <c r="V1540" s="1420">
        <f>SUM(V1531:V1539)</f>
        <v>0</v>
      </c>
      <c r="AB1540" s="15"/>
    </row>
    <row r="1541" spans="1:36" s="352" customFormat="1" ht="15.6" hidden="1">
      <c r="A1541" s="351"/>
      <c r="B1541" s="1963" t="str">
        <f>VLOOKUP(A1549,'11 - FINANCEIRA'!_xlnm.Print_Area,1,FALSE)</f>
        <v>2.3.7.6</v>
      </c>
      <c r="C1541" s="1965" t="str">
        <f>VLOOKUP(A1549,'11 - FINANCEIRA'!_xlnm.Print_Area,3,FALSE)</f>
        <v>Estrutura de madeira de lei tipo paraju, peroba mica, angelim pedra ou equivalente para telhado de telhas cerâmicas tipo capa e canal c/ tesouras, pilares, vigas, terças, caibros e ripas, incl. trat. c/cupinicida, exclusive telhas</v>
      </c>
      <c r="D1541" s="1967" t="s">
        <v>1503</v>
      </c>
      <c r="E1541" s="1968"/>
      <c r="F1541" s="1968"/>
      <c r="G1541" s="1968"/>
      <c r="H1541" s="1968"/>
      <c r="I1541" s="1969"/>
      <c r="J1541" s="1914" t="s">
        <v>1504</v>
      </c>
      <c r="K1541" s="1914" t="s">
        <v>1505</v>
      </c>
      <c r="L1541" s="1914" t="s">
        <v>1506</v>
      </c>
      <c r="M1541" s="1914" t="s">
        <v>1507</v>
      </c>
      <c r="N1541" s="1914" t="s">
        <v>1508</v>
      </c>
      <c r="O1541" s="1914" t="s">
        <v>1509</v>
      </c>
      <c r="P1541" s="1341" t="s">
        <v>1510</v>
      </c>
      <c r="Q1541" s="1914" t="s">
        <v>1493</v>
      </c>
      <c r="R1541" s="1916" t="s">
        <v>804</v>
      </c>
      <c r="S1541" s="1914" t="s">
        <v>1511</v>
      </c>
      <c r="T1541" s="1914" t="s">
        <v>1512</v>
      </c>
      <c r="U1541" s="1918" t="s">
        <v>1513</v>
      </c>
      <c r="V1541" s="1418">
        <f t="shared" ref="V1541:V1548" si="159">V1542</f>
        <v>0</v>
      </c>
      <c r="W1541" s="16"/>
      <c r="X1541" s="16"/>
      <c r="Y1541" s="16"/>
      <c r="Z1541" s="17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</row>
    <row r="1542" spans="1:36" s="352" customFormat="1" ht="15.6" hidden="1">
      <c r="A1542" s="351"/>
      <c r="B1542" s="1964" t="e">
        <f>LEFT(#REF!,5)</f>
        <v>#REF!</v>
      </c>
      <c r="C1542" s="1966" t="e">
        <f>VLOOKUP(LEFT(#REF!,5),'11 - FINANCEIRA'!_xlnm.Print_Area,2,FALSE)</f>
        <v>#REF!</v>
      </c>
      <c r="D1542" s="1920" t="s">
        <v>1514</v>
      </c>
      <c r="E1542" s="1921"/>
      <c r="F1542" s="1922"/>
      <c r="G1542" s="1923" t="s">
        <v>1515</v>
      </c>
      <c r="H1542" s="1924"/>
      <c r="I1542" s="1925"/>
      <c r="J1542" s="1915"/>
      <c r="K1542" s="1915"/>
      <c r="L1542" s="1915"/>
      <c r="M1542" s="1915"/>
      <c r="N1542" s="1915"/>
      <c r="O1542" s="1915"/>
      <c r="P1542" s="353" t="s">
        <v>1516</v>
      </c>
      <c r="Q1542" s="1915"/>
      <c r="R1542" s="1917"/>
      <c r="S1542" s="1915"/>
      <c r="T1542" s="1915"/>
      <c r="U1542" s="1919"/>
      <c r="V1542" s="1418">
        <f t="shared" si="159"/>
        <v>0</v>
      </c>
      <c r="W1542" s="16"/>
      <c r="X1542" s="16"/>
      <c r="Y1542" s="16"/>
      <c r="Z1542" s="17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</row>
    <row r="1543" spans="1:36" s="361" customFormat="1" ht="45" hidden="1">
      <c r="A1543" s="354"/>
      <c r="B1543" s="355"/>
      <c r="C1543" s="32" t="s">
        <v>977</v>
      </c>
      <c r="D1543" s="33"/>
      <c r="E1543" s="34"/>
      <c r="F1543" s="35"/>
      <c r="G1543" s="33"/>
      <c r="H1543" s="34"/>
      <c r="I1543" s="35"/>
      <c r="J1543" s="43"/>
      <c r="K1543" s="42"/>
      <c r="L1543" s="39"/>
      <c r="M1543" s="41"/>
      <c r="N1543" s="356"/>
      <c r="O1543" s="40"/>
      <c r="P1543" s="39"/>
      <c r="Q1543" s="45"/>
      <c r="R1543" s="1359">
        <v>22.26</v>
      </c>
      <c r="S1543" s="1265" t="s">
        <v>821</v>
      </c>
      <c r="T1543" s="46" t="s">
        <v>54</v>
      </c>
      <c r="U1543" s="44"/>
      <c r="V1543" s="1418">
        <f t="shared" si="159"/>
        <v>0</v>
      </c>
      <c r="W1543" s="357"/>
      <c r="X1543" s="357"/>
      <c r="Y1543" s="357"/>
      <c r="Z1543" s="358"/>
      <c r="AA1543" s="359"/>
      <c r="AB1543" s="360"/>
    </row>
    <row r="1544" spans="1:36" s="361" customFormat="1" ht="15" hidden="1" customHeight="1">
      <c r="A1544" s="354"/>
      <c r="B1544" s="355"/>
      <c r="C1544" s="32"/>
      <c r="D1544" s="33"/>
      <c r="E1544" s="34"/>
      <c r="F1544" s="35"/>
      <c r="G1544" s="33"/>
      <c r="H1544" s="34"/>
      <c r="I1544" s="35"/>
      <c r="J1544" s="43"/>
      <c r="K1544" s="42"/>
      <c r="L1544" s="39"/>
      <c r="M1544" s="41"/>
      <c r="N1544" s="356"/>
      <c r="O1544" s="40"/>
      <c r="P1544" s="39"/>
      <c r="Q1544" s="45"/>
      <c r="R1544" s="362"/>
      <c r="S1544" s="363"/>
      <c r="T1544" s="46"/>
      <c r="U1544" s="44"/>
      <c r="V1544" s="1418">
        <f t="shared" si="159"/>
        <v>0</v>
      </c>
      <c r="W1544" s="357"/>
      <c r="X1544" s="357"/>
      <c r="Y1544" s="357"/>
      <c r="Z1544" s="358"/>
      <c r="AA1544" s="359"/>
      <c r="AB1544" s="360"/>
    </row>
    <row r="1545" spans="1:36" s="369" customFormat="1" ht="15" hidden="1">
      <c r="A1545" s="364"/>
      <c r="B1545" s="355"/>
      <c r="C1545" s="32"/>
      <c r="D1545" s="33"/>
      <c r="E1545" s="34"/>
      <c r="F1545" s="35"/>
      <c r="G1545" s="33"/>
      <c r="H1545" s="34"/>
      <c r="I1545" s="35"/>
      <c r="J1545" s="43"/>
      <c r="K1545" s="42"/>
      <c r="L1545" s="39"/>
      <c r="M1545" s="41"/>
      <c r="N1545" s="40"/>
      <c r="O1545" s="40"/>
      <c r="P1545" s="39"/>
      <c r="Q1545" s="38"/>
      <c r="R1545" s="365"/>
      <c r="S1545" s="366"/>
      <c r="T1545" s="46"/>
      <c r="U1545" s="44"/>
      <c r="V1545" s="1418">
        <f t="shared" si="159"/>
        <v>0</v>
      </c>
      <c r="W1545" s="367"/>
      <c r="X1545" s="367"/>
      <c r="Y1545" s="367"/>
      <c r="Z1545" s="368"/>
    </row>
    <row r="1546" spans="1:36" s="77" customFormat="1" ht="15" hidden="1">
      <c r="A1546" s="370"/>
      <c r="B1546" s="29"/>
      <c r="C1546" s="30"/>
      <c r="D1546" s="18"/>
      <c r="E1546" s="19"/>
      <c r="F1546" s="20"/>
      <c r="G1546" s="18"/>
      <c r="H1546" s="19"/>
      <c r="I1546" s="20"/>
      <c r="J1546" s="21"/>
      <c r="K1546" s="22"/>
      <c r="L1546" s="23"/>
      <c r="M1546" s="24"/>
      <c r="N1546" s="25"/>
      <c r="O1546" s="25"/>
      <c r="P1546" s="23"/>
      <c r="Q1546" s="26"/>
      <c r="R1546" s="371"/>
      <c r="S1546" s="27"/>
      <c r="T1546" s="372"/>
      <c r="U1546" s="31"/>
      <c r="V1546" s="1418">
        <f t="shared" si="159"/>
        <v>0</v>
      </c>
      <c r="AB1546" s="15"/>
    </row>
    <row r="1547" spans="1:36" s="77" customFormat="1" ht="15.6" hidden="1">
      <c r="A1547" s="370"/>
      <c r="B1547" s="499"/>
      <c r="C1547" s="37"/>
      <c r="D1547" s="1929" t="s">
        <v>1520</v>
      </c>
      <c r="E1547" s="1930"/>
      <c r="F1547" s="1930"/>
      <c r="G1547" s="1930"/>
      <c r="H1547" s="1930"/>
      <c r="I1547" s="1931"/>
      <c r="J1547" s="1932">
        <f>VLOOKUP(A1549,'11 - FINANCEIRA'!_xlnm.Print_Area,6,FALSE)</f>
        <v>22.26</v>
      </c>
      <c r="K1547" s="1933"/>
      <c r="L1547" s="1343" t="str">
        <f>VLOOKUP(A1549,'11 - FINANCEIRA'!_xlnm.Print_Area,4,FALSE)</f>
        <v>m²</v>
      </c>
      <c r="M1547" s="1934" t="s">
        <v>1521</v>
      </c>
      <c r="N1547" s="1935"/>
      <c r="O1547" s="1935"/>
      <c r="P1547" s="1935"/>
      <c r="Q1547" s="1936"/>
      <c r="R1547" s="726">
        <f>SUM(R1543:R1546)</f>
        <v>22.26</v>
      </c>
      <c r="S1547" s="1344" t="str">
        <f>L1547</f>
        <v>m²</v>
      </c>
      <c r="T1547" s="373"/>
      <c r="U1547" s="486"/>
      <c r="V1547" s="1418">
        <f t="shared" si="159"/>
        <v>0</v>
      </c>
      <c r="AB1547" s="15"/>
    </row>
    <row r="1548" spans="1:36" s="77" customFormat="1" ht="15.6" hidden="1">
      <c r="A1548" s="370"/>
      <c r="B1548" s="499"/>
      <c r="C1548" s="725"/>
      <c r="D1548" s="1937" t="s">
        <v>1522</v>
      </c>
      <c r="E1548" s="1938"/>
      <c r="F1548" s="1938"/>
      <c r="G1548" s="1938"/>
      <c r="H1548" s="1938"/>
      <c r="I1548" s="1939"/>
      <c r="J1548" s="1943">
        <f>R1547/J1547</f>
        <v>1</v>
      </c>
      <c r="K1548" s="1944"/>
      <c r="L1548" s="1947"/>
      <c r="M1548" s="1934" t="s">
        <v>1523</v>
      </c>
      <c r="N1548" s="1935"/>
      <c r="O1548" s="1935"/>
      <c r="P1548" s="1935"/>
      <c r="Q1548" s="1936"/>
      <c r="R1548" s="726">
        <f>VLOOKUP(A1549,'11 - FINANCEIRA'!_xlnm.Print_Area,8,FALSE)</f>
        <v>22.26</v>
      </c>
      <c r="S1548" s="727" t="str">
        <f>L1547</f>
        <v>m²</v>
      </c>
      <c r="T1548" s="373"/>
      <c r="U1548" s="486"/>
      <c r="V1548" s="1418">
        <f t="shared" si="159"/>
        <v>0</v>
      </c>
      <c r="AB1548" s="15"/>
    </row>
    <row r="1549" spans="1:36" s="77" customFormat="1" ht="15.6" hidden="1">
      <c r="A1549" s="364" t="s">
        <v>452</v>
      </c>
      <c r="B1549" s="499"/>
      <c r="C1549" s="37"/>
      <c r="D1549" s="2013"/>
      <c r="E1549" s="2014"/>
      <c r="F1549" s="2014"/>
      <c r="G1549" s="2014"/>
      <c r="H1549" s="2014"/>
      <c r="I1549" s="2015"/>
      <c r="J1549" s="2016"/>
      <c r="K1549" s="2017"/>
      <c r="L1549" s="1962"/>
      <c r="M1549" s="2007" t="s">
        <v>1524</v>
      </c>
      <c r="N1549" s="2008"/>
      <c r="O1549" s="2008"/>
      <c r="P1549" s="2008"/>
      <c r="Q1549" s="2009"/>
      <c r="R1549" s="1345">
        <f>R1547-R1548</f>
        <v>0</v>
      </c>
      <c r="S1549" s="1346" t="str">
        <f>L1547</f>
        <v>m²</v>
      </c>
      <c r="T1549" s="373"/>
      <c r="U1549" s="486"/>
      <c r="V1549" s="1418">
        <f>R1549</f>
        <v>0</v>
      </c>
      <c r="AB1549" s="15"/>
    </row>
    <row r="1550" spans="1:36" s="77" customFormat="1" ht="15.6" hidden="1">
      <c r="A1550" s="370"/>
      <c r="B1550" s="1347"/>
      <c r="C1550" s="1348"/>
      <c r="D1550" s="1349"/>
      <c r="E1550" s="1350"/>
      <c r="F1550" s="1349"/>
      <c r="G1550" s="1349"/>
      <c r="H1550" s="1349"/>
      <c r="I1550" s="1349"/>
      <c r="J1550" s="1351"/>
      <c r="K1550" s="1352"/>
      <c r="L1550" s="1353"/>
      <c r="M1550" s="1354"/>
      <c r="N1550" s="1354"/>
      <c r="O1550" s="1354"/>
      <c r="P1550" s="1354"/>
      <c r="Q1550" s="1354"/>
      <c r="R1550" s="1355"/>
      <c r="S1550" s="1356"/>
      <c r="T1550" s="1357"/>
      <c r="U1550" s="1358"/>
      <c r="V1550" s="1420">
        <f>SUM(V1541:V1549)</f>
        <v>0</v>
      </c>
      <c r="AB1550" s="15"/>
    </row>
    <row r="1551" spans="1:36" s="352" customFormat="1" ht="15.6" hidden="1">
      <c r="A1551" s="351"/>
      <c r="B1551" s="1963" t="str">
        <f>VLOOKUP(A1559,'11 - FINANCEIRA'!_xlnm.Print_Area,1,FALSE)</f>
        <v>2.3.7.7</v>
      </c>
      <c r="C1551" s="1965" t="str">
        <f>VLOOKUP(A1559,'11 - FINANCEIRA'!_xlnm.Print_Area,3,FALSE)</f>
        <v>Cobertura nova de telhas cerâmicas tipo capa e canal inclusive cumeeira (telhas compradas na praça de vitória, posto obra) (área de projeção horizontal; incl. 35%)</v>
      </c>
      <c r="D1551" s="1967" t="s">
        <v>1503</v>
      </c>
      <c r="E1551" s="1968"/>
      <c r="F1551" s="1968"/>
      <c r="G1551" s="1968"/>
      <c r="H1551" s="1968"/>
      <c r="I1551" s="1969"/>
      <c r="J1551" s="1914" t="s">
        <v>1504</v>
      </c>
      <c r="K1551" s="1914" t="s">
        <v>1505</v>
      </c>
      <c r="L1551" s="1914" t="s">
        <v>1506</v>
      </c>
      <c r="M1551" s="1914" t="s">
        <v>1507</v>
      </c>
      <c r="N1551" s="1914" t="s">
        <v>1508</v>
      </c>
      <c r="O1551" s="1914" t="s">
        <v>1509</v>
      </c>
      <c r="P1551" s="1341" t="s">
        <v>1510</v>
      </c>
      <c r="Q1551" s="1914" t="s">
        <v>1493</v>
      </c>
      <c r="R1551" s="1916" t="s">
        <v>804</v>
      </c>
      <c r="S1551" s="1914" t="s">
        <v>1511</v>
      </c>
      <c r="T1551" s="1914" t="s">
        <v>1512</v>
      </c>
      <c r="U1551" s="1918" t="s">
        <v>1513</v>
      </c>
      <c r="V1551" s="1418">
        <f t="shared" ref="V1551:V1558" si="160">V1552</f>
        <v>0</v>
      </c>
      <c r="W1551" s="16"/>
      <c r="X1551" s="16"/>
      <c r="Y1551" s="16"/>
      <c r="Z1551" s="17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</row>
    <row r="1552" spans="1:36" s="352" customFormat="1" ht="15.6" hidden="1">
      <c r="A1552" s="351"/>
      <c r="B1552" s="1964" t="e">
        <f>LEFT(#REF!,5)</f>
        <v>#REF!</v>
      </c>
      <c r="C1552" s="1966" t="e">
        <f>VLOOKUP(LEFT(#REF!,5),'11 - FINANCEIRA'!_xlnm.Print_Area,2,FALSE)</f>
        <v>#REF!</v>
      </c>
      <c r="D1552" s="1920" t="s">
        <v>1514</v>
      </c>
      <c r="E1552" s="1921"/>
      <c r="F1552" s="1922"/>
      <c r="G1552" s="1923" t="s">
        <v>1515</v>
      </c>
      <c r="H1552" s="1924"/>
      <c r="I1552" s="1925"/>
      <c r="J1552" s="1915"/>
      <c r="K1552" s="1915"/>
      <c r="L1552" s="1915"/>
      <c r="M1552" s="1915"/>
      <c r="N1552" s="1915"/>
      <c r="O1552" s="1915"/>
      <c r="P1552" s="353" t="s">
        <v>1516</v>
      </c>
      <c r="Q1552" s="1915"/>
      <c r="R1552" s="1917"/>
      <c r="S1552" s="1915"/>
      <c r="T1552" s="1915"/>
      <c r="U1552" s="1919"/>
      <c r="V1552" s="1418">
        <f t="shared" si="160"/>
        <v>0</v>
      </c>
      <c r="W1552" s="16"/>
      <c r="X1552" s="16"/>
      <c r="Y1552" s="16"/>
      <c r="Z1552" s="17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</row>
    <row r="1553" spans="1:36" s="361" customFormat="1" ht="30" hidden="1">
      <c r="A1553" s="354"/>
      <c r="B1553" s="355"/>
      <c r="C1553" s="32" t="s">
        <v>979</v>
      </c>
      <c r="D1553" s="33"/>
      <c r="E1553" s="34"/>
      <c r="F1553" s="35"/>
      <c r="G1553" s="33"/>
      <c r="H1553" s="34"/>
      <c r="I1553" s="35"/>
      <c r="J1553" s="43"/>
      <c r="K1553" s="42"/>
      <c r="L1553" s="39"/>
      <c r="M1553" s="41"/>
      <c r="N1553" s="356"/>
      <c r="O1553" s="40"/>
      <c r="P1553" s="39"/>
      <c r="Q1553" s="45"/>
      <c r="R1553" s="1359">
        <v>22.26</v>
      </c>
      <c r="S1553" s="1265" t="s">
        <v>821</v>
      </c>
      <c r="T1553" s="46" t="s">
        <v>54</v>
      </c>
      <c r="U1553" s="44"/>
      <c r="V1553" s="1418">
        <f t="shared" si="160"/>
        <v>0</v>
      </c>
      <c r="W1553" s="357"/>
      <c r="X1553" s="357"/>
      <c r="Y1553" s="357"/>
      <c r="Z1553" s="358"/>
      <c r="AA1553" s="359"/>
      <c r="AB1553" s="360"/>
    </row>
    <row r="1554" spans="1:36" s="361" customFormat="1" ht="15" hidden="1" customHeight="1">
      <c r="A1554" s="354"/>
      <c r="B1554" s="355"/>
      <c r="C1554" s="32"/>
      <c r="D1554" s="33"/>
      <c r="E1554" s="34"/>
      <c r="F1554" s="35"/>
      <c r="G1554" s="33"/>
      <c r="H1554" s="34"/>
      <c r="I1554" s="35"/>
      <c r="J1554" s="43"/>
      <c r="K1554" s="42"/>
      <c r="L1554" s="39"/>
      <c r="M1554" s="41"/>
      <c r="N1554" s="356"/>
      <c r="O1554" s="40"/>
      <c r="P1554" s="39"/>
      <c r="Q1554" s="45"/>
      <c r="R1554" s="362"/>
      <c r="S1554" s="363"/>
      <c r="T1554" s="46"/>
      <c r="U1554" s="44"/>
      <c r="V1554" s="1418">
        <f t="shared" si="160"/>
        <v>0</v>
      </c>
      <c r="W1554" s="357"/>
      <c r="X1554" s="357"/>
      <c r="Y1554" s="357"/>
      <c r="Z1554" s="358"/>
      <c r="AA1554" s="359"/>
      <c r="AB1554" s="360"/>
    </row>
    <row r="1555" spans="1:36" s="369" customFormat="1" ht="15" hidden="1" customHeight="1">
      <c r="A1555" s="364"/>
      <c r="B1555" s="355"/>
      <c r="C1555" s="32"/>
      <c r="D1555" s="33"/>
      <c r="E1555" s="34"/>
      <c r="F1555" s="35"/>
      <c r="G1555" s="33"/>
      <c r="H1555" s="34"/>
      <c r="I1555" s="35"/>
      <c r="J1555" s="43"/>
      <c r="K1555" s="42"/>
      <c r="L1555" s="39"/>
      <c r="M1555" s="41"/>
      <c r="N1555" s="40"/>
      <c r="O1555" s="40"/>
      <c r="P1555" s="39"/>
      <c r="Q1555" s="38"/>
      <c r="R1555" s="365"/>
      <c r="S1555" s="366"/>
      <c r="T1555" s="46"/>
      <c r="U1555" s="44"/>
      <c r="V1555" s="1418">
        <f t="shared" si="160"/>
        <v>0</v>
      </c>
      <c r="W1555" s="367"/>
      <c r="X1555" s="367"/>
      <c r="Y1555" s="367"/>
      <c r="Z1555" s="368"/>
    </row>
    <row r="1556" spans="1:36" s="77" customFormat="1" ht="15" hidden="1">
      <c r="A1556" s="370"/>
      <c r="B1556" s="29"/>
      <c r="C1556" s="30"/>
      <c r="D1556" s="18"/>
      <c r="E1556" s="19"/>
      <c r="F1556" s="20"/>
      <c r="G1556" s="18"/>
      <c r="H1556" s="19"/>
      <c r="I1556" s="20"/>
      <c r="J1556" s="21"/>
      <c r="K1556" s="22"/>
      <c r="L1556" s="23"/>
      <c r="M1556" s="24"/>
      <c r="N1556" s="25"/>
      <c r="O1556" s="25"/>
      <c r="P1556" s="23"/>
      <c r="Q1556" s="26"/>
      <c r="R1556" s="371"/>
      <c r="S1556" s="27"/>
      <c r="T1556" s="372"/>
      <c r="U1556" s="31"/>
      <c r="V1556" s="1418">
        <f t="shared" si="160"/>
        <v>0</v>
      </c>
      <c r="AB1556" s="15"/>
    </row>
    <row r="1557" spans="1:36" s="77" customFormat="1" ht="15.6" hidden="1">
      <c r="A1557" s="370"/>
      <c r="B1557" s="499"/>
      <c r="C1557" s="37"/>
      <c r="D1557" s="1929" t="s">
        <v>1520</v>
      </c>
      <c r="E1557" s="1930"/>
      <c r="F1557" s="1930"/>
      <c r="G1557" s="1930"/>
      <c r="H1557" s="1930"/>
      <c r="I1557" s="1931"/>
      <c r="J1557" s="1932">
        <f>VLOOKUP(A1559,'11 - FINANCEIRA'!_xlnm.Print_Area,6,FALSE)</f>
        <v>22.26</v>
      </c>
      <c r="K1557" s="1933"/>
      <c r="L1557" s="1343" t="str">
        <f>VLOOKUP(A1559,'11 - FINANCEIRA'!_xlnm.Print_Area,4,FALSE)</f>
        <v>m²</v>
      </c>
      <c r="M1557" s="1934" t="s">
        <v>1521</v>
      </c>
      <c r="N1557" s="1935"/>
      <c r="O1557" s="1935"/>
      <c r="P1557" s="1935"/>
      <c r="Q1557" s="1936"/>
      <c r="R1557" s="726">
        <f>SUM(R1553:R1556)</f>
        <v>22.26</v>
      </c>
      <c r="S1557" s="1344" t="str">
        <f>L1557</f>
        <v>m²</v>
      </c>
      <c r="T1557" s="373"/>
      <c r="U1557" s="486"/>
      <c r="V1557" s="1418">
        <f t="shared" si="160"/>
        <v>0</v>
      </c>
      <c r="AB1557" s="15"/>
    </row>
    <row r="1558" spans="1:36" s="77" customFormat="1" ht="15.6" hidden="1">
      <c r="A1558" s="370"/>
      <c r="B1558" s="499"/>
      <c r="C1558" s="725"/>
      <c r="D1558" s="1937" t="s">
        <v>1522</v>
      </c>
      <c r="E1558" s="1938"/>
      <c r="F1558" s="1938"/>
      <c r="G1558" s="1938"/>
      <c r="H1558" s="1938"/>
      <c r="I1558" s="1939"/>
      <c r="J1558" s="1943">
        <f>R1557/J1557</f>
        <v>1</v>
      </c>
      <c r="K1558" s="1944"/>
      <c r="L1558" s="1947"/>
      <c r="M1558" s="1934" t="s">
        <v>1523</v>
      </c>
      <c r="N1558" s="1935"/>
      <c r="O1558" s="1935"/>
      <c r="P1558" s="1935"/>
      <c r="Q1558" s="1936"/>
      <c r="R1558" s="726">
        <f>VLOOKUP(A1559,'11 - FINANCEIRA'!_xlnm.Print_Area,8,FALSE)</f>
        <v>22.26</v>
      </c>
      <c r="S1558" s="727" t="str">
        <f>L1557</f>
        <v>m²</v>
      </c>
      <c r="T1558" s="373"/>
      <c r="U1558" s="486"/>
      <c r="V1558" s="1418">
        <f t="shared" si="160"/>
        <v>0</v>
      </c>
      <c r="AB1558" s="15"/>
    </row>
    <row r="1559" spans="1:36" s="77" customFormat="1" ht="15.6" hidden="1">
      <c r="A1559" s="364" t="s">
        <v>453</v>
      </c>
      <c r="B1559" s="499"/>
      <c r="C1559" s="37"/>
      <c r="D1559" s="2013"/>
      <c r="E1559" s="2014"/>
      <c r="F1559" s="2014"/>
      <c r="G1559" s="2014"/>
      <c r="H1559" s="2014"/>
      <c r="I1559" s="2015"/>
      <c r="J1559" s="2016"/>
      <c r="K1559" s="2017"/>
      <c r="L1559" s="1962"/>
      <c r="M1559" s="2007" t="s">
        <v>1524</v>
      </c>
      <c r="N1559" s="2008"/>
      <c r="O1559" s="2008"/>
      <c r="P1559" s="2008"/>
      <c r="Q1559" s="2009"/>
      <c r="R1559" s="1345">
        <f>R1557-R1558</f>
        <v>0</v>
      </c>
      <c r="S1559" s="1346" t="str">
        <f>L1557</f>
        <v>m²</v>
      </c>
      <c r="T1559" s="373"/>
      <c r="U1559" s="486"/>
      <c r="V1559" s="1418">
        <f>R1559</f>
        <v>0</v>
      </c>
      <c r="AB1559" s="15"/>
    </row>
    <row r="1560" spans="1:36" s="77" customFormat="1" ht="15.6" hidden="1">
      <c r="A1560" s="370"/>
      <c r="B1560" s="1347"/>
      <c r="C1560" s="1348"/>
      <c r="D1560" s="1349"/>
      <c r="E1560" s="1350"/>
      <c r="F1560" s="1349"/>
      <c r="G1560" s="1349"/>
      <c r="H1560" s="1349"/>
      <c r="I1560" s="1349"/>
      <c r="J1560" s="1351"/>
      <c r="K1560" s="1352"/>
      <c r="L1560" s="1353"/>
      <c r="M1560" s="1354"/>
      <c r="N1560" s="1354"/>
      <c r="O1560" s="1354"/>
      <c r="P1560" s="1354"/>
      <c r="Q1560" s="1354"/>
      <c r="R1560" s="1355"/>
      <c r="S1560" s="1356"/>
      <c r="T1560" s="1357"/>
      <c r="U1560" s="1358"/>
      <c r="V1560" s="1420">
        <f>SUM(V1551:V1559)</f>
        <v>0</v>
      </c>
      <c r="AB1560" s="15"/>
    </row>
    <row r="1561" spans="1:36" s="352" customFormat="1" ht="15.6" hidden="1">
      <c r="A1561" s="351"/>
      <c r="B1561" s="1963" t="str">
        <f>VLOOKUP(A1569,'11 - FINANCEIRA'!_xlnm.Print_Area,1,FALSE)</f>
        <v>2.3.7.8</v>
      </c>
      <c r="C1561" s="1965" t="str">
        <f>VLOOKUP(A1569,'11 -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561" s="1967" t="s">
        <v>1503</v>
      </c>
      <c r="E1561" s="1968"/>
      <c r="F1561" s="1968"/>
      <c r="G1561" s="1968"/>
      <c r="H1561" s="1968"/>
      <c r="I1561" s="1969"/>
      <c r="J1561" s="1914" t="s">
        <v>1504</v>
      </c>
      <c r="K1561" s="1914" t="s">
        <v>1505</v>
      </c>
      <c r="L1561" s="1914" t="s">
        <v>1506</v>
      </c>
      <c r="M1561" s="1914" t="s">
        <v>1507</v>
      </c>
      <c r="N1561" s="1914" t="s">
        <v>1508</v>
      </c>
      <c r="O1561" s="1914" t="s">
        <v>1509</v>
      </c>
      <c r="P1561" s="1341" t="s">
        <v>1510</v>
      </c>
      <c r="Q1561" s="1914" t="s">
        <v>1493</v>
      </c>
      <c r="R1561" s="1916" t="s">
        <v>804</v>
      </c>
      <c r="S1561" s="1914" t="s">
        <v>1511</v>
      </c>
      <c r="T1561" s="1914" t="s">
        <v>1512</v>
      </c>
      <c r="U1561" s="1918" t="s">
        <v>1513</v>
      </c>
      <c r="V1561" s="1418">
        <f t="shared" ref="V1561:V1568" si="161">V1562</f>
        <v>0</v>
      </c>
      <c r="W1561" s="16"/>
      <c r="X1561" s="16"/>
      <c r="Y1561" s="16"/>
      <c r="Z1561" s="17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</row>
    <row r="1562" spans="1:36" s="352" customFormat="1" ht="15.6" hidden="1">
      <c r="A1562" s="351"/>
      <c r="B1562" s="1964" t="e">
        <f>LEFT(#REF!,5)</f>
        <v>#REF!</v>
      </c>
      <c r="C1562" s="1966" t="e">
        <f>VLOOKUP(LEFT(#REF!,5),'11 - FINANCEIRA'!_xlnm.Print_Area,2,FALSE)</f>
        <v>#REF!</v>
      </c>
      <c r="D1562" s="1920" t="s">
        <v>1514</v>
      </c>
      <c r="E1562" s="1921"/>
      <c r="F1562" s="1922"/>
      <c r="G1562" s="1923" t="s">
        <v>1515</v>
      </c>
      <c r="H1562" s="1924"/>
      <c r="I1562" s="1925"/>
      <c r="J1562" s="1915"/>
      <c r="K1562" s="1915"/>
      <c r="L1562" s="1915"/>
      <c r="M1562" s="1915"/>
      <c r="N1562" s="1915"/>
      <c r="O1562" s="1915"/>
      <c r="P1562" s="353" t="s">
        <v>1516</v>
      </c>
      <c r="Q1562" s="1915"/>
      <c r="R1562" s="1917"/>
      <c r="S1562" s="1915"/>
      <c r="T1562" s="1915"/>
      <c r="U1562" s="1919"/>
      <c r="V1562" s="1418">
        <f t="shared" si="161"/>
        <v>0</v>
      </c>
      <c r="W1562" s="16"/>
      <c r="X1562" s="16"/>
      <c r="Y1562" s="16"/>
      <c r="Z1562" s="17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</row>
    <row r="1563" spans="1:36" s="361" customFormat="1" ht="45" hidden="1">
      <c r="A1563" s="354"/>
      <c r="B1563" s="355"/>
      <c r="C1563" s="28" t="s">
        <v>951</v>
      </c>
      <c r="D1563" s="18"/>
      <c r="E1563" s="19"/>
      <c r="F1563" s="20"/>
      <c r="G1563" s="18"/>
      <c r="H1563" s="19"/>
      <c r="I1563" s="20"/>
      <c r="J1563" s="21"/>
      <c r="K1563" s="22"/>
      <c r="L1563" s="23"/>
      <c r="M1563" s="24"/>
      <c r="N1563" s="728"/>
      <c r="O1563" s="25"/>
      <c r="P1563" s="23"/>
      <c r="Q1563" s="729"/>
      <c r="R1563" s="1109">
        <v>15.41</v>
      </c>
      <c r="S1563" s="730" t="s">
        <v>821</v>
      </c>
      <c r="T1563" s="446" t="s">
        <v>327</v>
      </c>
      <c r="U1563" s="44"/>
      <c r="V1563" s="1418">
        <f t="shared" si="161"/>
        <v>0</v>
      </c>
      <c r="W1563" s="357"/>
      <c r="X1563" s="357"/>
      <c r="Y1563" s="357"/>
      <c r="Z1563" s="358"/>
      <c r="AA1563" s="359"/>
      <c r="AB1563" s="360"/>
    </row>
    <row r="1564" spans="1:36" s="361" customFormat="1" ht="15" hidden="1" customHeight="1">
      <c r="A1564" s="354"/>
      <c r="B1564" s="355"/>
      <c r="C1564" s="32"/>
      <c r="D1564" s="33"/>
      <c r="E1564" s="34"/>
      <c r="F1564" s="35"/>
      <c r="G1564" s="33"/>
      <c r="H1564" s="34"/>
      <c r="I1564" s="35"/>
      <c r="J1564" s="43"/>
      <c r="K1564" s="42"/>
      <c r="L1564" s="39"/>
      <c r="M1564" s="41"/>
      <c r="N1564" s="356"/>
      <c r="O1564" s="40"/>
      <c r="P1564" s="39"/>
      <c r="Q1564" s="45"/>
      <c r="R1564" s="362"/>
      <c r="S1564" s="363"/>
      <c r="T1564" s="46"/>
      <c r="U1564" s="44"/>
      <c r="V1564" s="1418">
        <f t="shared" si="161"/>
        <v>0</v>
      </c>
      <c r="W1564" s="357"/>
      <c r="X1564" s="357"/>
      <c r="Y1564" s="357"/>
      <c r="Z1564" s="358"/>
      <c r="AA1564" s="359"/>
      <c r="AB1564" s="360"/>
    </row>
    <row r="1565" spans="1:36" s="369" customFormat="1" ht="15" hidden="1">
      <c r="A1565" s="364"/>
      <c r="B1565" s="355"/>
      <c r="C1565" s="32"/>
      <c r="D1565" s="33"/>
      <c r="E1565" s="34"/>
      <c r="F1565" s="35"/>
      <c r="G1565" s="33"/>
      <c r="H1565" s="34"/>
      <c r="I1565" s="35"/>
      <c r="J1565" s="43"/>
      <c r="K1565" s="42"/>
      <c r="L1565" s="39"/>
      <c r="M1565" s="41"/>
      <c r="N1565" s="40"/>
      <c r="O1565" s="40"/>
      <c r="P1565" s="39"/>
      <c r="Q1565" s="38"/>
      <c r="R1565" s="365"/>
      <c r="S1565" s="366"/>
      <c r="T1565" s="46"/>
      <c r="U1565" s="44"/>
      <c r="V1565" s="1418">
        <f t="shared" si="161"/>
        <v>0</v>
      </c>
      <c r="W1565" s="367"/>
      <c r="X1565" s="367"/>
      <c r="Y1565" s="367"/>
      <c r="Z1565" s="368"/>
    </row>
    <row r="1566" spans="1:36" s="77" customFormat="1" ht="15" hidden="1">
      <c r="A1566" s="370"/>
      <c r="B1566" s="29"/>
      <c r="C1566" s="30"/>
      <c r="D1566" s="18"/>
      <c r="E1566" s="19"/>
      <c r="F1566" s="20"/>
      <c r="G1566" s="18"/>
      <c r="H1566" s="19"/>
      <c r="I1566" s="20"/>
      <c r="J1566" s="21"/>
      <c r="K1566" s="22"/>
      <c r="L1566" s="23"/>
      <c r="M1566" s="24"/>
      <c r="N1566" s="25"/>
      <c r="O1566" s="25"/>
      <c r="P1566" s="23"/>
      <c r="Q1566" s="26"/>
      <c r="R1566" s="371"/>
      <c r="S1566" s="27"/>
      <c r="T1566" s="372"/>
      <c r="U1566" s="31"/>
      <c r="V1566" s="1418">
        <f t="shared" si="161"/>
        <v>0</v>
      </c>
      <c r="AB1566" s="15"/>
    </row>
    <row r="1567" spans="1:36" s="77" customFormat="1" ht="15.6" hidden="1">
      <c r="A1567" s="370"/>
      <c r="B1567" s="499"/>
      <c r="C1567" s="37"/>
      <c r="D1567" s="1929" t="s">
        <v>1520</v>
      </c>
      <c r="E1567" s="1930"/>
      <c r="F1567" s="1930"/>
      <c r="G1567" s="1930"/>
      <c r="H1567" s="1930"/>
      <c r="I1567" s="1931"/>
      <c r="J1567" s="1932">
        <f>VLOOKUP(A1569,'11 - FINANCEIRA'!_xlnm.Print_Area,6,FALSE)</f>
        <v>15.41</v>
      </c>
      <c r="K1567" s="1933"/>
      <c r="L1567" s="1343" t="str">
        <f>VLOOKUP(A1569,'11 - FINANCEIRA'!_xlnm.Print_Area,4,FALSE)</f>
        <v>m²</v>
      </c>
      <c r="M1567" s="1934" t="s">
        <v>1521</v>
      </c>
      <c r="N1567" s="1935"/>
      <c r="O1567" s="1935"/>
      <c r="P1567" s="1935"/>
      <c r="Q1567" s="1936"/>
      <c r="R1567" s="726">
        <f>SUM(R1563:R1566)</f>
        <v>15.41</v>
      </c>
      <c r="S1567" s="1344" t="str">
        <f>L1567</f>
        <v>m²</v>
      </c>
      <c r="T1567" s="373"/>
      <c r="U1567" s="486"/>
      <c r="V1567" s="1418">
        <f t="shared" si="161"/>
        <v>0</v>
      </c>
      <c r="AB1567" s="15"/>
    </row>
    <row r="1568" spans="1:36" s="77" customFormat="1" ht="15.6" hidden="1">
      <c r="A1568" s="370"/>
      <c r="B1568" s="499"/>
      <c r="C1568" s="725"/>
      <c r="D1568" s="1937" t="s">
        <v>1522</v>
      </c>
      <c r="E1568" s="1938"/>
      <c r="F1568" s="1938"/>
      <c r="G1568" s="1938"/>
      <c r="H1568" s="1938"/>
      <c r="I1568" s="1939"/>
      <c r="J1568" s="1943">
        <f>R1567/J1567</f>
        <v>1</v>
      </c>
      <c r="K1568" s="1944"/>
      <c r="L1568" s="1947"/>
      <c r="M1568" s="1934" t="s">
        <v>1523</v>
      </c>
      <c r="N1568" s="1935"/>
      <c r="O1568" s="1935"/>
      <c r="P1568" s="1935"/>
      <c r="Q1568" s="1936"/>
      <c r="R1568" s="726">
        <f>VLOOKUP(A1569,'11 - FINANCEIRA'!_xlnm.Print_Area,8,FALSE)</f>
        <v>15.41</v>
      </c>
      <c r="S1568" s="727" t="str">
        <f>L1567</f>
        <v>m²</v>
      </c>
      <c r="T1568" s="373"/>
      <c r="U1568" s="486"/>
      <c r="V1568" s="1418">
        <f t="shared" si="161"/>
        <v>0</v>
      </c>
      <c r="AB1568" s="15"/>
    </row>
    <row r="1569" spans="1:36" s="77" customFormat="1" ht="15.6" hidden="1">
      <c r="A1569" s="364" t="s">
        <v>454</v>
      </c>
      <c r="B1569" s="499"/>
      <c r="C1569" s="37"/>
      <c r="D1569" s="2013"/>
      <c r="E1569" s="2014"/>
      <c r="F1569" s="2014"/>
      <c r="G1569" s="2014"/>
      <c r="H1569" s="2014"/>
      <c r="I1569" s="2015"/>
      <c r="J1569" s="2016"/>
      <c r="K1569" s="2017"/>
      <c r="L1569" s="1962"/>
      <c r="M1569" s="2007" t="s">
        <v>1524</v>
      </c>
      <c r="N1569" s="2008"/>
      <c r="O1569" s="2008"/>
      <c r="P1569" s="2008"/>
      <c r="Q1569" s="2009"/>
      <c r="R1569" s="1345">
        <f>R1567-R1568</f>
        <v>0</v>
      </c>
      <c r="S1569" s="1346" t="str">
        <f>L1567</f>
        <v>m²</v>
      </c>
      <c r="T1569" s="373"/>
      <c r="U1569" s="486"/>
      <c r="V1569" s="1418">
        <f>R1569</f>
        <v>0</v>
      </c>
      <c r="AB1569" s="15"/>
    </row>
    <row r="1570" spans="1:36" s="77" customFormat="1" ht="15.6" hidden="1">
      <c r="A1570" s="370"/>
      <c r="B1570" s="1347"/>
      <c r="C1570" s="1348"/>
      <c r="D1570" s="1349"/>
      <c r="E1570" s="1350"/>
      <c r="F1570" s="1349"/>
      <c r="G1570" s="1349"/>
      <c r="H1570" s="1349"/>
      <c r="I1570" s="1349"/>
      <c r="J1570" s="1351"/>
      <c r="K1570" s="1352"/>
      <c r="L1570" s="1353"/>
      <c r="M1570" s="1354"/>
      <c r="N1570" s="1354"/>
      <c r="O1570" s="1354"/>
      <c r="P1570" s="1354"/>
      <c r="Q1570" s="1354"/>
      <c r="R1570" s="1355"/>
      <c r="S1570" s="1356"/>
      <c r="T1570" s="1357"/>
      <c r="U1570" s="1358"/>
      <c r="V1570" s="1420">
        <f>SUM(V1561:V1569)</f>
        <v>0</v>
      </c>
      <c r="AB1570" s="15"/>
    </row>
    <row r="1571" spans="1:36" s="352" customFormat="1" ht="15.6" hidden="1">
      <c r="A1571" s="351"/>
      <c r="B1571" s="1963" t="str">
        <f>VLOOKUP(A1579,'11 - FINANCEIRA'!_xlnm.Print_Area,1,FALSE)</f>
        <v>2.3.7.9</v>
      </c>
      <c r="C1571" s="1965" t="str">
        <f>VLOOKUP(A1579,'11 - FINANCEIRA'!_xlnm.Print_Area,3,FALSE)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571" s="1967" t="s">
        <v>1503</v>
      </c>
      <c r="E1571" s="1968"/>
      <c r="F1571" s="1968"/>
      <c r="G1571" s="1968"/>
      <c r="H1571" s="1968"/>
      <c r="I1571" s="1969"/>
      <c r="J1571" s="1914" t="s">
        <v>1504</v>
      </c>
      <c r="K1571" s="1914" t="s">
        <v>1505</v>
      </c>
      <c r="L1571" s="1914" t="s">
        <v>1506</v>
      </c>
      <c r="M1571" s="1914" t="s">
        <v>1507</v>
      </c>
      <c r="N1571" s="1914" t="s">
        <v>1508</v>
      </c>
      <c r="O1571" s="1914" t="s">
        <v>1509</v>
      </c>
      <c r="P1571" s="1341" t="s">
        <v>1510</v>
      </c>
      <c r="Q1571" s="1914" t="s">
        <v>1493</v>
      </c>
      <c r="R1571" s="1916" t="s">
        <v>804</v>
      </c>
      <c r="S1571" s="1914" t="s">
        <v>1511</v>
      </c>
      <c r="T1571" s="1914" t="s">
        <v>1512</v>
      </c>
      <c r="U1571" s="1918" t="s">
        <v>1513</v>
      </c>
      <c r="V1571" s="1418">
        <f t="shared" ref="V1571:V1578" si="162">V1572</f>
        <v>0</v>
      </c>
      <c r="W1571" s="16"/>
      <c r="X1571" s="16"/>
      <c r="Y1571" s="16"/>
      <c r="Z1571" s="17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</row>
    <row r="1572" spans="1:36" s="352" customFormat="1" ht="15.6" hidden="1">
      <c r="A1572" s="351"/>
      <c r="B1572" s="1964" t="e">
        <f>LEFT(#REF!,5)</f>
        <v>#REF!</v>
      </c>
      <c r="C1572" s="1966" t="e">
        <f>VLOOKUP(LEFT(#REF!,5),'11 - FINANCEIRA'!_xlnm.Print_Area,2,FALSE)</f>
        <v>#REF!</v>
      </c>
      <c r="D1572" s="1920" t="s">
        <v>1514</v>
      </c>
      <c r="E1572" s="1921"/>
      <c r="F1572" s="1922"/>
      <c r="G1572" s="1923" t="s">
        <v>1515</v>
      </c>
      <c r="H1572" s="1924"/>
      <c r="I1572" s="1925"/>
      <c r="J1572" s="1915"/>
      <c r="K1572" s="1915"/>
      <c r="L1572" s="1915"/>
      <c r="M1572" s="1915"/>
      <c r="N1572" s="1915"/>
      <c r="O1572" s="1915"/>
      <c r="P1572" s="353" t="s">
        <v>1516</v>
      </c>
      <c r="Q1572" s="1915"/>
      <c r="R1572" s="1917"/>
      <c r="S1572" s="1915"/>
      <c r="T1572" s="1915"/>
      <c r="U1572" s="1919"/>
      <c r="V1572" s="1418">
        <f t="shared" si="162"/>
        <v>0</v>
      </c>
      <c r="W1572" s="16"/>
      <c r="X1572" s="16"/>
      <c r="Y1572" s="16"/>
      <c r="Z1572" s="17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</row>
    <row r="1573" spans="1:36" s="361" customFormat="1" ht="45" hidden="1">
      <c r="A1573" s="354"/>
      <c r="B1573" s="355"/>
      <c r="C1573" s="28" t="s">
        <v>955</v>
      </c>
      <c r="D1573" s="18"/>
      <c r="E1573" s="19"/>
      <c r="F1573" s="20"/>
      <c r="G1573" s="18"/>
      <c r="H1573" s="19"/>
      <c r="I1573" s="20"/>
      <c r="J1573" s="21"/>
      <c r="K1573" s="22"/>
      <c r="L1573" s="23"/>
      <c r="M1573" s="24"/>
      <c r="N1573" s="728"/>
      <c r="O1573" s="25"/>
      <c r="P1573" s="23"/>
      <c r="Q1573" s="729"/>
      <c r="R1573" s="1109">
        <v>19.8</v>
      </c>
      <c r="S1573" s="730" t="s">
        <v>821</v>
      </c>
      <c r="T1573" s="446" t="s">
        <v>327</v>
      </c>
      <c r="U1573" s="44"/>
      <c r="V1573" s="1418">
        <f t="shared" si="162"/>
        <v>0</v>
      </c>
      <c r="W1573" s="357"/>
      <c r="X1573" s="357"/>
      <c r="Y1573" s="357"/>
      <c r="Z1573" s="358"/>
      <c r="AA1573" s="359"/>
      <c r="AB1573" s="360"/>
    </row>
    <row r="1574" spans="1:36" s="361" customFormat="1" ht="15" hidden="1" customHeight="1">
      <c r="A1574" s="354"/>
      <c r="B1574" s="355"/>
      <c r="C1574" s="32"/>
      <c r="D1574" s="33"/>
      <c r="E1574" s="34"/>
      <c r="F1574" s="35"/>
      <c r="G1574" s="33"/>
      <c r="H1574" s="34"/>
      <c r="I1574" s="35"/>
      <c r="J1574" s="43"/>
      <c r="K1574" s="42"/>
      <c r="L1574" s="39"/>
      <c r="M1574" s="41"/>
      <c r="N1574" s="356"/>
      <c r="O1574" s="40"/>
      <c r="P1574" s="39"/>
      <c r="Q1574" s="45"/>
      <c r="R1574" s="362"/>
      <c r="S1574" s="363"/>
      <c r="T1574" s="46"/>
      <c r="U1574" s="44"/>
      <c r="V1574" s="1418">
        <f t="shared" si="162"/>
        <v>0</v>
      </c>
      <c r="W1574" s="357"/>
      <c r="X1574" s="357"/>
      <c r="Y1574" s="357"/>
      <c r="Z1574" s="358"/>
      <c r="AA1574" s="359"/>
      <c r="AB1574" s="360"/>
    </row>
    <row r="1575" spans="1:36" s="369" customFormat="1" ht="15" hidden="1">
      <c r="A1575" s="364"/>
      <c r="B1575" s="355"/>
      <c r="C1575" s="32"/>
      <c r="D1575" s="33"/>
      <c r="E1575" s="34"/>
      <c r="F1575" s="35"/>
      <c r="G1575" s="33"/>
      <c r="H1575" s="34"/>
      <c r="I1575" s="35"/>
      <c r="J1575" s="43"/>
      <c r="K1575" s="42"/>
      <c r="L1575" s="39"/>
      <c r="M1575" s="41"/>
      <c r="N1575" s="40"/>
      <c r="O1575" s="40"/>
      <c r="P1575" s="39"/>
      <c r="Q1575" s="38"/>
      <c r="R1575" s="365"/>
      <c r="S1575" s="366"/>
      <c r="T1575" s="46"/>
      <c r="U1575" s="44"/>
      <c r="V1575" s="1418">
        <f t="shared" si="162"/>
        <v>0</v>
      </c>
      <c r="W1575" s="367"/>
      <c r="X1575" s="367"/>
      <c r="Y1575" s="367"/>
      <c r="Z1575" s="368"/>
    </row>
    <row r="1576" spans="1:36" s="77" customFormat="1" ht="15" hidden="1">
      <c r="A1576" s="370"/>
      <c r="B1576" s="29"/>
      <c r="C1576" s="30"/>
      <c r="D1576" s="18"/>
      <c r="E1576" s="19"/>
      <c r="F1576" s="20"/>
      <c r="G1576" s="18"/>
      <c r="H1576" s="19"/>
      <c r="I1576" s="20"/>
      <c r="J1576" s="21"/>
      <c r="K1576" s="22"/>
      <c r="L1576" s="23"/>
      <c r="M1576" s="24"/>
      <c r="N1576" s="25"/>
      <c r="O1576" s="25"/>
      <c r="P1576" s="23"/>
      <c r="Q1576" s="26"/>
      <c r="R1576" s="371"/>
      <c r="S1576" s="27"/>
      <c r="T1576" s="372"/>
      <c r="U1576" s="31"/>
      <c r="V1576" s="1418">
        <f t="shared" si="162"/>
        <v>0</v>
      </c>
      <c r="AB1576" s="15"/>
    </row>
    <row r="1577" spans="1:36" s="77" customFormat="1" ht="15.6" hidden="1">
      <c r="A1577" s="370"/>
      <c r="B1577" s="499"/>
      <c r="C1577" s="37"/>
      <c r="D1577" s="1929" t="s">
        <v>1520</v>
      </c>
      <c r="E1577" s="1930"/>
      <c r="F1577" s="1930"/>
      <c r="G1577" s="1930"/>
      <c r="H1577" s="1930"/>
      <c r="I1577" s="1931"/>
      <c r="J1577" s="1932">
        <f>VLOOKUP(A1579,'11 - FINANCEIRA'!_xlnm.Print_Area,6,FALSE)</f>
        <v>19.8</v>
      </c>
      <c r="K1577" s="1933"/>
      <c r="L1577" s="1343" t="str">
        <f>VLOOKUP(A1579,'11 - FINANCEIRA'!_xlnm.Print_Area,4,FALSE)</f>
        <v>m²</v>
      </c>
      <c r="M1577" s="1934" t="s">
        <v>1521</v>
      </c>
      <c r="N1577" s="1935"/>
      <c r="O1577" s="1935"/>
      <c r="P1577" s="1935"/>
      <c r="Q1577" s="1936"/>
      <c r="R1577" s="726">
        <f>SUM(R1573:R1576)</f>
        <v>19.8</v>
      </c>
      <c r="S1577" s="1344" t="str">
        <f>L1577</f>
        <v>m²</v>
      </c>
      <c r="T1577" s="373"/>
      <c r="U1577" s="486"/>
      <c r="V1577" s="1418">
        <f t="shared" si="162"/>
        <v>0</v>
      </c>
      <c r="AB1577" s="15"/>
    </row>
    <row r="1578" spans="1:36" s="77" customFormat="1" ht="15.6" hidden="1">
      <c r="A1578" s="370"/>
      <c r="B1578" s="499"/>
      <c r="C1578" s="725"/>
      <c r="D1578" s="1937" t="s">
        <v>1522</v>
      </c>
      <c r="E1578" s="1938"/>
      <c r="F1578" s="1938"/>
      <c r="G1578" s="1938"/>
      <c r="H1578" s="1938"/>
      <c r="I1578" s="1939"/>
      <c r="J1578" s="1943">
        <f>R1577/J1577</f>
        <v>1</v>
      </c>
      <c r="K1578" s="1944"/>
      <c r="L1578" s="1947"/>
      <c r="M1578" s="1934" t="s">
        <v>1523</v>
      </c>
      <c r="N1578" s="1935"/>
      <c r="O1578" s="1935"/>
      <c r="P1578" s="1935"/>
      <c r="Q1578" s="1936"/>
      <c r="R1578" s="726">
        <f>VLOOKUP(A1579,'11 - FINANCEIRA'!_xlnm.Print_Area,8,FALSE)</f>
        <v>19.8</v>
      </c>
      <c r="S1578" s="727" t="str">
        <f>L1577</f>
        <v>m²</v>
      </c>
      <c r="T1578" s="373"/>
      <c r="U1578" s="486"/>
      <c r="V1578" s="1418">
        <f t="shared" si="162"/>
        <v>0</v>
      </c>
      <c r="AB1578" s="15"/>
    </row>
    <row r="1579" spans="1:36" s="77" customFormat="1" ht="15.6" hidden="1">
      <c r="A1579" s="364" t="s">
        <v>455</v>
      </c>
      <c r="B1579" s="499"/>
      <c r="C1579" s="37"/>
      <c r="D1579" s="2013"/>
      <c r="E1579" s="2014"/>
      <c r="F1579" s="2014"/>
      <c r="G1579" s="2014"/>
      <c r="H1579" s="2014"/>
      <c r="I1579" s="2015"/>
      <c r="J1579" s="2016"/>
      <c r="K1579" s="2017"/>
      <c r="L1579" s="1962"/>
      <c r="M1579" s="2007" t="s">
        <v>1524</v>
      </c>
      <c r="N1579" s="2008"/>
      <c r="O1579" s="2008"/>
      <c r="P1579" s="2008"/>
      <c r="Q1579" s="2009"/>
      <c r="R1579" s="1345">
        <f>R1577-R1578</f>
        <v>0</v>
      </c>
      <c r="S1579" s="1346" t="str">
        <f>L1577</f>
        <v>m²</v>
      </c>
      <c r="T1579" s="373"/>
      <c r="U1579" s="486"/>
      <c r="V1579" s="1418">
        <f>R1579</f>
        <v>0</v>
      </c>
      <c r="AB1579" s="15"/>
    </row>
    <row r="1580" spans="1:36" s="77" customFormat="1" ht="15.6" hidden="1">
      <c r="A1580" s="370"/>
      <c r="B1580" s="1347"/>
      <c r="C1580" s="1348"/>
      <c r="D1580" s="1349"/>
      <c r="E1580" s="1350"/>
      <c r="F1580" s="1349"/>
      <c r="G1580" s="1349"/>
      <c r="H1580" s="1349"/>
      <c r="I1580" s="1349"/>
      <c r="J1580" s="1351"/>
      <c r="K1580" s="1352"/>
      <c r="L1580" s="1353"/>
      <c r="M1580" s="1354"/>
      <c r="N1580" s="1354"/>
      <c r="O1580" s="1354"/>
      <c r="P1580" s="1354"/>
      <c r="Q1580" s="1354"/>
      <c r="R1580" s="1355"/>
      <c r="S1580" s="1356"/>
      <c r="T1580" s="1357"/>
      <c r="U1580" s="1358"/>
      <c r="V1580" s="1420">
        <f>SUM(V1571:V1579)</f>
        <v>0</v>
      </c>
      <c r="AB1580" s="15"/>
    </row>
    <row r="1581" spans="1:36" s="632" customFormat="1" ht="15.6" hidden="1">
      <c r="A1581" s="630"/>
      <c r="B1581" s="1333" t="str">
        <f>LEFT(A1590,5)</f>
        <v>2.3.8</v>
      </c>
      <c r="C1581" s="1334" t="str">
        <f>VLOOKUP(LEFT(A1590,5),'11 - FINANCEIRA'!_xlnm.Print_Area,2,FALSE)</f>
        <v>GUARITA</v>
      </c>
      <c r="D1581" s="1334"/>
      <c r="E1581" s="1335"/>
      <c r="F1581" s="1334"/>
      <c r="G1581" s="2071"/>
      <c r="H1581" s="2072"/>
      <c r="I1581" s="2072"/>
      <c r="J1581" s="2072"/>
      <c r="K1581" s="2072"/>
      <c r="L1581" s="2072"/>
      <c r="M1581" s="1338"/>
      <c r="N1581" s="1339"/>
      <c r="O1581" s="1339"/>
      <c r="P1581" s="1339"/>
      <c r="Q1581" s="1339"/>
      <c r="R1581" s="1339"/>
      <c r="S1581" s="1339"/>
      <c r="T1581" s="1339"/>
      <c r="U1581" s="1339"/>
      <c r="V1581" s="631">
        <f>SUM(V1582:V1691)</f>
        <v>0</v>
      </c>
    </row>
    <row r="1582" spans="1:36" s="352" customFormat="1" ht="15.6" hidden="1">
      <c r="A1582" s="351"/>
      <c r="B1582" s="1963" t="str">
        <f>VLOOKUP(A1590,'11 - FINANCEIRA'!_xlnm.Print_Area,1,FALSE)</f>
        <v>2.3.8.1</v>
      </c>
      <c r="C1582" s="1965" t="str">
        <f>VLOOKUP(A1590,'11 - FINANCEIRA'!_xlnm.Print_Area,3,FALSE)</f>
        <v>Alvenaria de vedação de blocos cerâmicos furados na vertical de 14x19x39cm (espessura 14cm) de paredes com área líquida menor que 6m² sem vãos e argamassa de assentamento com preparo em betoneira. af_06/2014</v>
      </c>
      <c r="D1582" s="1967" t="s">
        <v>1503</v>
      </c>
      <c r="E1582" s="1968"/>
      <c r="F1582" s="1968"/>
      <c r="G1582" s="1968"/>
      <c r="H1582" s="1968"/>
      <c r="I1582" s="1969"/>
      <c r="J1582" s="1914" t="s">
        <v>804</v>
      </c>
      <c r="K1582" s="1914" t="s">
        <v>1505</v>
      </c>
      <c r="L1582" s="1914" t="s">
        <v>1506</v>
      </c>
      <c r="M1582" s="1914" t="s">
        <v>1507</v>
      </c>
      <c r="N1582" s="1914" t="s">
        <v>1508</v>
      </c>
      <c r="O1582" s="1914" t="s">
        <v>1509</v>
      </c>
      <c r="P1582" s="1341" t="s">
        <v>1510</v>
      </c>
      <c r="Q1582" s="1914" t="s">
        <v>1493</v>
      </c>
      <c r="R1582" s="1916" t="s">
        <v>804</v>
      </c>
      <c r="S1582" s="1914" t="s">
        <v>1511</v>
      </c>
      <c r="T1582" s="1914" t="s">
        <v>1512</v>
      </c>
      <c r="U1582" s="1918" t="s">
        <v>1513</v>
      </c>
      <c r="V1582" s="1418">
        <f t="shared" ref="V1582:V1589" si="163">V1583</f>
        <v>0</v>
      </c>
      <c r="W1582" s="16"/>
      <c r="X1582" s="16"/>
      <c r="Y1582" s="16"/>
      <c r="Z1582" s="17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</row>
    <row r="1583" spans="1:36" s="352" customFormat="1" ht="15.6" hidden="1">
      <c r="A1583" s="351"/>
      <c r="B1583" s="1964" t="e">
        <f>LEFT(#REF!,5)</f>
        <v>#REF!</v>
      </c>
      <c r="C1583" s="1966" t="e">
        <f>VLOOKUP(LEFT(#REF!,5),'11 - FINANCEIRA'!_xlnm.Print_Area,2,FALSE)</f>
        <v>#REF!</v>
      </c>
      <c r="D1583" s="1920" t="s">
        <v>1514</v>
      </c>
      <c r="E1583" s="1921"/>
      <c r="F1583" s="1922"/>
      <c r="G1583" s="1923" t="s">
        <v>1515</v>
      </c>
      <c r="H1583" s="1924"/>
      <c r="I1583" s="1925"/>
      <c r="J1583" s="1915"/>
      <c r="K1583" s="1915"/>
      <c r="L1583" s="1915"/>
      <c r="M1583" s="1915"/>
      <c r="N1583" s="1915"/>
      <c r="O1583" s="1915"/>
      <c r="P1583" s="353" t="s">
        <v>1516</v>
      </c>
      <c r="Q1583" s="1915"/>
      <c r="R1583" s="1917"/>
      <c r="S1583" s="1915"/>
      <c r="T1583" s="1915"/>
      <c r="U1583" s="1919"/>
      <c r="V1583" s="1418">
        <f t="shared" si="163"/>
        <v>0</v>
      </c>
      <c r="W1583" s="16"/>
      <c r="X1583" s="16"/>
      <c r="Y1583" s="16"/>
      <c r="Z1583" s="17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</row>
    <row r="1584" spans="1:36" s="361" customFormat="1" ht="45" hidden="1">
      <c r="A1584" s="354"/>
      <c r="B1584" s="355"/>
      <c r="C1584" s="32" t="s">
        <v>971</v>
      </c>
      <c r="D1584" s="33"/>
      <c r="E1584" s="34"/>
      <c r="F1584" s="35"/>
      <c r="G1584" s="33"/>
      <c r="H1584" s="34"/>
      <c r="I1584" s="35"/>
      <c r="J1584" s="43">
        <v>2</v>
      </c>
      <c r="K1584" s="42"/>
      <c r="L1584" s="39">
        <v>4</v>
      </c>
      <c r="M1584" s="41">
        <v>2.9</v>
      </c>
      <c r="N1584" s="356">
        <f>J1584*L1584*M1584</f>
        <v>23.2</v>
      </c>
      <c r="O1584" s="40"/>
      <c r="P1584" s="39"/>
      <c r="Q1584" s="45"/>
      <c r="R1584" s="1359">
        <f>N1584</f>
        <v>23.2</v>
      </c>
      <c r="S1584" s="1265" t="s">
        <v>821</v>
      </c>
      <c r="T1584" s="46" t="s">
        <v>328</v>
      </c>
      <c r="U1584" s="44"/>
      <c r="V1584" s="1418">
        <f t="shared" si="163"/>
        <v>0</v>
      </c>
      <c r="W1584" s="357"/>
      <c r="X1584" s="357"/>
      <c r="Y1584" s="357"/>
      <c r="Z1584" s="358"/>
      <c r="AA1584" s="359"/>
      <c r="AB1584" s="360"/>
    </row>
    <row r="1585" spans="1:36" s="361" customFormat="1" ht="45" hidden="1">
      <c r="A1585" s="354"/>
      <c r="B1585" s="355"/>
      <c r="C1585" s="32" t="s">
        <v>971</v>
      </c>
      <c r="D1585" s="33"/>
      <c r="E1585" s="34"/>
      <c r="F1585" s="35"/>
      <c r="G1585" s="33"/>
      <c r="H1585" s="34"/>
      <c r="I1585" s="35"/>
      <c r="J1585" s="43">
        <v>3</v>
      </c>
      <c r="K1585" s="42"/>
      <c r="L1585" s="39">
        <v>1.5</v>
      </c>
      <c r="M1585" s="41">
        <v>2.9</v>
      </c>
      <c r="N1585" s="356">
        <f>J1585*L1585*M1585</f>
        <v>13.049999999999999</v>
      </c>
      <c r="O1585" s="40"/>
      <c r="P1585" s="39"/>
      <c r="Q1585" s="45"/>
      <c r="R1585" s="362">
        <f>N1585-6.39</f>
        <v>6.6599999999999993</v>
      </c>
      <c r="S1585" s="363" t="s">
        <v>821</v>
      </c>
      <c r="T1585" s="46" t="s">
        <v>328</v>
      </c>
      <c r="U1585" s="1240"/>
      <c r="V1585" s="1418">
        <f t="shared" si="163"/>
        <v>0</v>
      </c>
      <c r="W1585" s="357"/>
      <c r="X1585" s="357" t="s">
        <v>1919</v>
      </c>
      <c r="Y1585" s="357"/>
      <c r="Z1585" s="358"/>
      <c r="AA1585" s="359"/>
      <c r="AB1585" s="360"/>
    </row>
    <row r="1586" spans="1:36" s="369" customFormat="1" ht="15" hidden="1">
      <c r="A1586" s="364"/>
      <c r="B1586" s="355"/>
      <c r="C1586" s="32"/>
      <c r="D1586" s="33"/>
      <c r="E1586" s="34"/>
      <c r="F1586" s="35"/>
      <c r="G1586" s="33"/>
      <c r="H1586" s="34"/>
      <c r="I1586" s="35"/>
      <c r="J1586" s="43"/>
      <c r="K1586" s="42"/>
      <c r="L1586" s="39"/>
      <c r="M1586" s="41"/>
      <c r="N1586" s="40"/>
      <c r="O1586" s="40"/>
      <c r="P1586" s="39"/>
      <c r="Q1586" s="38"/>
      <c r="R1586" s="365"/>
      <c r="S1586" s="366"/>
      <c r="T1586" s="46"/>
      <c r="U1586" s="44"/>
      <c r="V1586" s="1418">
        <f t="shared" si="163"/>
        <v>0</v>
      </c>
      <c r="W1586" s="367"/>
      <c r="X1586" s="367"/>
      <c r="Y1586" s="367"/>
      <c r="Z1586" s="368"/>
    </row>
    <row r="1587" spans="1:36" s="77" customFormat="1" ht="15" hidden="1">
      <c r="A1587" s="370"/>
      <c r="B1587" s="29"/>
      <c r="C1587" s="30"/>
      <c r="D1587" s="18"/>
      <c r="E1587" s="19"/>
      <c r="F1587" s="20"/>
      <c r="G1587" s="18"/>
      <c r="H1587" s="19"/>
      <c r="I1587" s="20"/>
      <c r="J1587" s="21"/>
      <c r="K1587" s="22"/>
      <c r="L1587" s="23"/>
      <c r="M1587" s="24"/>
      <c r="N1587" s="25"/>
      <c r="O1587" s="25"/>
      <c r="P1587" s="23"/>
      <c r="Q1587" s="26"/>
      <c r="R1587" s="371"/>
      <c r="S1587" s="27"/>
      <c r="T1587" s="372"/>
      <c r="U1587" s="31"/>
      <c r="V1587" s="1418">
        <f t="shared" si="163"/>
        <v>0</v>
      </c>
      <c r="AB1587" s="15"/>
    </row>
    <row r="1588" spans="1:36" s="77" customFormat="1" ht="15.6" hidden="1">
      <c r="A1588" s="370"/>
      <c r="B1588" s="499"/>
      <c r="C1588" s="37"/>
      <c r="D1588" s="1929" t="s">
        <v>1520</v>
      </c>
      <c r="E1588" s="1930"/>
      <c r="F1588" s="1930"/>
      <c r="G1588" s="1930"/>
      <c r="H1588" s="1930"/>
      <c r="I1588" s="1931"/>
      <c r="J1588" s="1932">
        <f>VLOOKUP(A1590,'11 - FINANCEIRA'!_xlnm.Print_Area,6,FALSE)</f>
        <v>29.86</v>
      </c>
      <c r="K1588" s="1933"/>
      <c r="L1588" s="1343" t="str">
        <f>VLOOKUP(A1590,'11 - FINANCEIRA'!_xlnm.Print_Area,4,FALSE)</f>
        <v>m²</v>
      </c>
      <c r="M1588" s="1934" t="s">
        <v>1521</v>
      </c>
      <c r="N1588" s="1935"/>
      <c r="O1588" s="1935"/>
      <c r="P1588" s="1935"/>
      <c r="Q1588" s="1936"/>
      <c r="R1588" s="726">
        <f>SUM(R1584:R1587)</f>
        <v>29.86</v>
      </c>
      <c r="S1588" s="1344" t="str">
        <f>L1588</f>
        <v>m²</v>
      </c>
      <c r="T1588" s="373"/>
      <c r="U1588" s="486"/>
      <c r="V1588" s="1418">
        <f t="shared" si="163"/>
        <v>0</v>
      </c>
      <c r="AB1588" s="15"/>
    </row>
    <row r="1589" spans="1:36" s="77" customFormat="1" ht="15.6" hidden="1">
      <c r="A1589" s="370"/>
      <c r="B1589" s="499"/>
      <c r="C1589" s="725"/>
      <c r="D1589" s="1937" t="s">
        <v>1522</v>
      </c>
      <c r="E1589" s="1938"/>
      <c r="F1589" s="1938"/>
      <c r="G1589" s="1938"/>
      <c r="H1589" s="1938"/>
      <c r="I1589" s="1939"/>
      <c r="J1589" s="1943">
        <f>R1588/J1588</f>
        <v>1</v>
      </c>
      <c r="K1589" s="1944"/>
      <c r="L1589" s="1947"/>
      <c r="M1589" s="1934" t="s">
        <v>1523</v>
      </c>
      <c r="N1589" s="1935"/>
      <c r="O1589" s="1935"/>
      <c r="P1589" s="1935"/>
      <c r="Q1589" s="1936"/>
      <c r="R1589" s="726">
        <f>VLOOKUP(A1590,'11 - FINANCEIRA'!_xlnm.Print_Area,8,FALSE)</f>
        <v>29.86</v>
      </c>
      <c r="S1589" s="727" t="str">
        <f>L1588</f>
        <v>m²</v>
      </c>
      <c r="T1589" s="373"/>
      <c r="U1589" s="486"/>
      <c r="V1589" s="1418">
        <f t="shared" si="163"/>
        <v>0</v>
      </c>
      <c r="AB1589" s="15"/>
    </row>
    <row r="1590" spans="1:36" s="77" customFormat="1" ht="15.6" hidden="1">
      <c r="A1590" s="364" t="s">
        <v>457</v>
      </c>
      <c r="B1590" s="499"/>
      <c r="C1590" s="37"/>
      <c r="D1590" s="2013"/>
      <c r="E1590" s="2014"/>
      <c r="F1590" s="2014"/>
      <c r="G1590" s="2014"/>
      <c r="H1590" s="2014"/>
      <c r="I1590" s="2015"/>
      <c r="J1590" s="2016"/>
      <c r="K1590" s="2017"/>
      <c r="L1590" s="1962"/>
      <c r="M1590" s="2007" t="s">
        <v>1524</v>
      </c>
      <c r="N1590" s="2008"/>
      <c r="O1590" s="2008"/>
      <c r="P1590" s="2008"/>
      <c r="Q1590" s="2009"/>
      <c r="R1590" s="1345">
        <f>R1588-R1589</f>
        <v>0</v>
      </c>
      <c r="S1590" s="1346" t="str">
        <f>L1588</f>
        <v>m²</v>
      </c>
      <c r="T1590" s="373"/>
      <c r="U1590" s="486"/>
      <c r="V1590" s="1418">
        <f>R1590</f>
        <v>0</v>
      </c>
      <c r="AB1590" s="15"/>
    </row>
    <row r="1591" spans="1:36" s="77" customFormat="1" ht="15.6" hidden="1">
      <c r="A1591" s="370"/>
      <c r="B1591" s="1347"/>
      <c r="C1591" s="1348"/>
      <c r="D1591" s="1349"/>
      <c r="E1591" s="1350"/>
      <c r="F1591" s="1349"/>
      <c r="G1591" s="1349"/>
      <c r="H1591" s="1349"/>
      <c r="I1591" s="1349"/>
      <c r="J1591" s="1351"/>
      <c r="K1591" s="1352"/>
      <c r="L1591" s="1353"/>
      <c r="M1591" s="1354"/>
      <c r="N1591" s="1354"/>
      <c r="O1591" s="1354"/>
      <c r="P1591" s="1354"/>
      <c r="Q1591" s="1354"/>
      <c r="R1591" s="1355"/>
      <c r="S1591" s="1356"/>
      <c r="T1591" s="1357"/>
      <c r="U1591" s="1358"/>
      <c r="V1591" s="1420">
        <f>SUM(V1582:V1590)</f>
        <v>0</v>
      </c>
      <c r="AB1591" s="15"/>
    </row>
    <row r="1592" spans="1:36" s="352" customFormat="1" ht="15.6" hidden="1">
      <c r="A1592" s="351"/>
      <c r="B1592" s="1963" t="str">
        <f>VLOOKUP(A1600,'11 - FINANCEIRA'!_xlnm.Print_Area,1,FALSE)</f>
        <v>2.3.8.2</v>
      </c>
      <c r="C1592" s="1965" t="str">
        <f>VLOOKUP(A1600,'11 - FINANCEIRA'!_xlnm.Print_Area,3,FALSE)</f>
        <v>Porta em alumínio de abrir tipo veneziana com guarnição, fixação com parafusos - fornecimento e instalação. af_12/2019</v>
      </c>
      <c r="D1592" s="1967" t="s">
        <v>1503</v>
      </c>
      <c r="E1592" s="1968"/>
      <c r="F1592" s="1968"/>
      <c r="G1592" s="1968"/>
      <c r="H1592" s="1968"/>
      <c r="I1592" s="1969"/>
      <c r="J1592" s="1914" t="s">
        <v>1504</v>
      </c>
      <c r="K1592" s="1914" t="s">
        <v>1505</v>
      </c>
      <c r="L1592" s="1914" t="s">
        <v>1506</v>
      </c>
      <c r="M1592" s="1914" t="s">
        <v>1507</v>
      </c>
      <c r="N1592" s="1914" t="s">
        <v>1508</v>
      </c>
      <c r="O1592" s="1914" t="s">
        <v>1509</v>
      </c>
      <c r="P1592" s="1341" t="s">
        <v>1510</v>
      </c>
      <c r="Q1592" s="1914" t="s">
        <v>1493</v>
      </c>
      <c r="R1592" s="1916" t="s">
        <v>804</v>
      </c>
      <c r="S1592" s="1914" t="s">
        <v>1511</v>
      </c>
      <c r="T1592" s="1914" t="s">
        <v>1512</v>
      </c>
      <c r="U1592" s="1918" t="s">
        <v>1513</v>
      </c>
      <c r="V1592" s="1418">
        <f t="shared" ref="V1592:V1599" si="164">V1593</f>
        <v>0</v>
      </c>
      <c r="W1592" s="16"/>
      <c r="X1592" s="16"/>
      <c r="Y1592" s="16"/>
      <c r="Z1592" s="17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</row>
    <row r="1593" spans="1:36" s="352" customFormat="1" ht="15.6" hidden="1">
      <c r="A1593" s="351"/>
      <c r="B1593" s="1964" t="e">
        <f>LEFT(#REF!,5)</f>
        <v>#REF!</v>
      </c>
      <c r="C1593" s="1966" t="e">
        <f>VLOOKUP(LEFT(#REF!,5),'11 - FINANCEIRA'!_xlnm.Print_Area,2,FALSE)</f>
        <v>#REF!</v>
      </c>
      <c r="D1593" s="1920" t="s">
        <v>1514</v>
      </c>
      <c r="E1593" s="1921"/>
      <c r="F1593" s="1922"/>
      <c r="G1593" s="1923" t="s">
        <v>1515</v>
      </c>
      <c r="H1593" s="1924"/>
      <c r="I1593" s="1925"/>
      <c r="J1593" s="1915"/>
      <c r="K1593" s="1915"/>
      <c r="L1593" s="1915"/>
      <c r="M1593" s="1915"/>
      <c r="N1593" s="1915"/>
      <c r="O1593" s="1915"/>
      <c r="P1593" s="353" t="s">
        <v>1516</v>
      </c>
      <c r="Q1593" s="1915"/>
      <c r="R1593" s="1917"/>
      <c r="S1593" s="1915"/>
      <c r="T1593" s="1915"/>
      <c r="U1593" s="1919"/>
      <c r="V1593" s="1418">
        <f t="shared" si="164"/>
        <v>0</v>
      </c>
      <c r="W1593" s="16"/>
      <c r="X1593" s="16"/>
      <c r="Y1593" s="16"/>
      <c r="Z1593" s="17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</row>
    <row r="1594" spans="1:36" s="361" customFormat="1" ht="30" hidden="1">
      <c r="A1594" s="354"/>
      <c r="B1594" s="355"/>
      <c r="C1594" s="32" t="s">
        <v>899</v>
      </c>
      <c r="D1594" s="33"/>
      <c r="E1594" s="34"/>
      <c r="F1594" s="35"/>
      <c r="G1594" s="33"/>
      <c r="H1594" s="34"/>
      <c r="I1594" s="35"/>
      <c r="J1594" s="43"/>
      <c r="K1594" s="42"/>
      <c r="L1594" s="39"/>
      <c r="M1594" s="41"/>
      <c r="N1594" s="356"/>
      <c r="O1594" s="40"/>
      <c r="P1594" s="39"/>
      <c r="Q1594" s="45"/>
      <c r="R1594" s="1359">
        <v>3.15</v>
      </c>
      <c r="S1594" s="1265" t="s">
        <v>821</v>
      </c>
      <c r="T1594" s="46" t="s">
        <v>54</v>
      </c>
      <c r="U1594" s="44"/>
      <c r="V1594" s="1418">
        <f t="shared" si="164"/>
        <v>0</v>
      </c>
      <c r="W1594" s="357"/>
      <c r="X1594" s="357"/>
      <c r="Y1594" s="357"/>
      <c r="Z1594" s="358"/>
      <c r="AA1594" s="359"/>
      <c r="AB1594" s="360"/>
    </row>
    <row r="1595" spans="1:36" s="361" customFormat="1" ht="15" hidden="1" customHeight="1">
      <c r="A1595" s="354"/>
      <c r="B1595" s="355"/>
      <c r="C1595" s="32"/>
      <c r="D1595" s="33"/>
      <c r="E1595" s="34"/>
      <c r="F1595" s="35"/>
      <c r="G1595" s="33"/>
      <c r="H1595" s="34"/>
      <c r="I1595" s="35"/>
      <c r="J1595" s="43"/>
      <c r="K1595" s="42"/>
      <c r="L1595" s="39"/>
      <c r="M1595" s="41"/>
      <c r="N1595" s="356"/>
      <c r="O1595" s="40"/>
      <c r="P1595" s="39"/>
      <c r="Q1595" s="45"/>
      <c r="R1595" s="362"/>
      <c r="S1595" s="363"/>
      <c r="T1595" s="46"/>
      <c r="U1595" s="44"/>
      <c r="V1595" s="1418">
        <f t="shared" si="164"/>
        <v>0</v>
      </c>
      <c r="W1595" s="357"/>
      <c r="X1595" s="357"/>
      <c r="Y1595" s="357"/>
      <c r="Z1595" s="358"/>
      <c r="AA1595" s="359"/>
      <c r="AB1595" s="360"/>
    </row>
    <row r="1596" spans="1:36" s="369" customFormat="1" ht="15" hidden="1">
      <c r="A1596" s="364"/>
      <c r="B1596" s="355"/>
      <c r="C1596" s="32"/>
      <c r="D1596" s="33"/>
      <c r="E1596" s="34"/>
      <c r="F1596" s="35"/>
      <c r="G1596" s="33"/>
      <c r="H1596" s="34"/>
      <c r="I1596" s="35"/>
      <c r="J1596" s="43"/>
      <c r="K1596" s="42"/>
      <c r="L1596" s="39"/>
      <c r="M1596" s="41"/>
      <c r="N1596" s="40"/>
      <c r="O1596" s="40"/>
      <c r="P1596" s="39"/>
      <c r="Q1596" s="38"/>
      <c r="R1596" s="365"/>
      <c r="S1596" s="366"/>
      <c r="T1596" s="46"/>
      <c r="U1596" s="44"/>
      <c r="V1596" s="1418">
        <f t="shared" si="164"/>
        <v>0</v>
      </c>
      <c r="W1596" s="367"/>
      <c r="X1596" s="367"/>
      <c r="Y1596" s="367"/>
      <c r="Z1596" s="368"/>
    </row>
    <row r="1597" spans="1:36" s="77" customFormat="1" ht="15" hidden="1">
      <c r="A1597" s="370"/>
      <c r="B1597" s="29"/>
      <c r="C1597" s="30"/>
      <c r="D1597" s="18"/>
      <c r="E1597" s="19"/>
      <c r="F1597" s="20"/>
      <c r="G1597" s="18"/>
      <c r="H1597" s="19"/>
      <c r="I1597" s="20"/>
      <c r="J1597" s="21"/>
      <c r="K1597" s="22"/>
      <c r="L1597" s="23"/>
      <c r="M1597" s="24"/>
      <c r="N1597" s="25"/>
      <c r="O1597" s="25"/>
      <c r="P1597" s="23"/>
      <c r="Q1597" s="26"/>
      <c r="R1597" s="371"/>
      <c r="S1597" s="27"/>
      <c r="T1597" s="372"/>
      <c r="U1597" s="31"/>
      <c r="V1597" s="1418">
        <f t="shared" si="164"/>
        <v>0</v>
      </c>
      <c r="AB1597" s="15"/>
    </row>
    <row r="1598" spans="1:36" s="77" customFormat="1" ht="15.6" hidden="1">
      <c r="A1598" s="370"/>
      <c r="B1598" s="499"/>
      <c r="C1598" s="37"/>
      <c r="D1598" s="1929" t="s">
        <v>1520</v>
      </c>
      <c r="E1598" s="1930"/>
      <c r="F1598" s="1930"/>
      <c r="G1598" s="1930"/>
      <c r="H1598" s="1930"/>
      <c r="I1598" s="1931"/>
      <c r="J1598" s="1932">
        <f>VLOOKUP(A1600,'11 - FINANCEIRA'!_xlnm.Print_Area,6,FALSE)</f>
        <v>3.15</v>
      </c>
      <c r="K1598" s="1933"/>
      <c r="L1598" s="1343" t="str">
        <f>VLOOKUP(A1600,'11 - FINANCEIRA'!_xlnm.Print_Area,4,FALSE)</f>
        <v>m²</v>
      </c>
      <c r="M1598" s="1934" t="s">
        <v>1521</v>
      </c>
      <c r="N1598" s="1935"/>
      <c r="O1598" s="1935"/>
      <c r="P1598" s="1935"/>
      <c r="Q1598" s="1936"/>
      <c r="R1598" s="726">
        <f>SUM(R1594:R1597)</f>
        <v>3.15</v>
      </c>
      <c r="S1598" s="1344" t="str">
        <f>L1598</f>
        <v>m²</v>
      </c>
      <c r="T1598" s="373"/>
      <c r="U1598" s="486"/>
      <c r="V1598" s="1418">
        <f t="shared" si="164"/>
        <v>0</v>
      </c>
      <c r="AB1598" s="15"/>
    </row>
    <row r="1599" spans="1:36" s="77" customFormat="1" ht="15.6" hidden="1">
      <c r="A1599" s="370"/>
      <c r="B1599" s="499"/>
      <c r="C1599" s="725"/>
      <c r="D1599" s="1937" t="s">
        <v>1522</v>
      </c>
      <c r="E1599" s="1938"/>
      <c r="F1599" s="1938"/>
      <c r="G1599" s="1938"/>
      <c r="H1599" s="1938"/>
      <c r="I1599" s="1939"/>
      <c r="J1599" s="1943">
        <f>R1598/J1598</f>
        <v>1</v>
      </c>
      <c r="K1599" s="1944"/>
      <c r="L1599" s="1947"/>
      <c r="M1599" s="1934" t="s">
        <v>1523</v>
      </c>
      <c r="N1599" s="1935"/>
      <c r="O1599" s="1935"/>
      <c r="P1599" s="1935"/>
      <c r="Q1599" s="1936"/>
      <c r="R1599" s="726">
        <f>VLOOKUP(A1600,'11 - FINANCEIRA'!_xlnm.Print_Area,8,FALSE)</f>
        <v>3.15</v>
      </c>
      <c r="S1599" s="727" t="str">
        <f>L1598</f>
        <v>m²</v>
      </c>
      <c r="T1599" s="373"/>
      <c r="U1599" s="486"/>
      <c r="V1599" s="1418">
        <f t="shared" si="164"/>
        <v>0</v>
      </c>
      <c r="AB1599" s="15"/>
    </row>
    <row r="1600" spans="1:36" s="77" customFormat="1" ht="15.6" hidden="1">
      <c r="A1600" s="364" t="s">
        <v>458</v>
      </c>
      <c r="B1600" s="499"/>
      <c r="C1600" s="37"/>
      <c r="D1600" s="2013"/>
      <c r="E1600" s="2014"/>
      <c r="F1600" s="2014"/>
      <c r="G1600" s="2014"/>
      <c r="H1600" s="2014"/>
      <c r="I1600" s="2015"/>
      <c r="J1600" s="2016"/>
      <c r="K1600" s="2017"/>
      <c r="L1600" s="1962"/>
      <c r="M1600" s="2007" t="s">
        <v>1524</v>
      </c>
      <c r="N1600" s="2008"/>
      <c r="O1600" s="2008"/>
      <c r="P1600" s="2008"/>
      <c r="Q1600" s="2009"/>
      <c r="R1600" s="1345">
        <f>R1598-R1599</f>
        <v>0</v>
      </c>
      <c r="S1600" s="1346" t="str">
        <f>L1598</f>
        <v>m²</v>
      </c>
      <c r="T1600" s="373"/>
      <c r="U1600" s="486"/>
      <c r="V1600" s="1418">
        <f>R1600</f>
        <v>0</v>
      </c>
      <c r="AB1600" s="15"/>
    </row>
    <row r="1601" spans="1:36" s="77" customFormat="1" ht="15.6" hidden="1">
      <c r="A1601" s="370"/>
      <c r="B1601" s="1347"/>
      <c r="C1601" s="1348"/>
      <c r="D1601" s="1349"/>
      <c r="E1601" s="1350"/>
      <c r="F1601" s="1349"/>
      <c r="G1601" s="1349"/>
      <c r="H1601" s="1349"/>
      <c r="I1601" s="1349"/>
      <c r="J1601" s="1351"/>
      <c r="K1601" s="1352"/>
      <c r="L1601" s="1353"/>
      <c r="M1601" s="1354"/>
      <c r="N1601" s="1354"/>
      <c r="O1601" s="1354"/>
      <c r="P1601" s="1354"/>
      <c r="Q1601" s="1354"/>
      <c r="R1601" s="1355"/>
      <c r="S1601" s="1356"/>
      <c r="T1601" s="1357"/>
      <c r="U1601" s="1358"/>
      <c r="V1601" s="1420">
        <f>SUM(V1592:V1600)</f>
        <v>0</v>
      </c>
      <c r="AB1601" s="15"/>
    </row>
    <row r="1602" spans="1:36" s="352" customFormat="1" ht="15.6" hidden="1">
      <c r="A1602" s="351"/>
      <c r="B1602" s="1963" t="str">
        <f>VLOOKUP(A1610,'11 - FINANCEIRA'!_xlnm.Print_Area,1,FALSE)</f>
        <v>2.3.8.3</v>
      </c>
      <c r="C1602" s="1965" t="str">
        <f>VLOOKUP(A1610,'11 - FINANCEIRA'!_xlnm.Print_Area,3,FALSE)</f>
        <v>Soleira em granito, largura 15 cm, espessura 2,0 cm. af_06/2018</v>
      </c>
      <c r="D1602" s="1967" t="s">
        <v>1503</v>
      </c>
      <c r="E1602" s="1968"/>
      <c r="F1602" s="1968"/>
      <c r="G1602" s="1968"/>
      <c r="H1602" s="1968"/>
      <c r="I1602" s="1969"/>
      <c r="J1602" s="1914" t="s">
        <v>1504</v>
      </c>
      <c r="K1602" s="1914" t="s">
        <v>1505</v>
      </c>
      <c r="L1602" s="1914" t="s">
        <v>1506</v>
      </c>
      <c r="M1602" s="1914" t="s">
        <v>1507</v>
      </c>
      <c r="N1602" s="1914" t="s">
        <v>1508</v>
      </c>
      <c r="O1602" s="1914" t="s">
        <v>1509</v>
      </c>
      <c r="P1602" s="1341" t="s">
        <v>1510</v>
      </c>
      <c r="Q1602" s="1914" t="s">
        <v>1493</v>
      </c>
      <c r="R1602" s="1916" t="s">
        <v>804</v>
      </c>
      <c r="S1602" s="1914" t="s">
        <v>1511</v>
      </c>
      <c r="T1602" s="1914" t="s">
        <v>1512</v>
      </c>
      <c r="U1602" s="1918" t="s">
        <v>1513</v>
      </c>
      <c r="V1602" s="1418">
        <f t="shared" ref="V1602:V1609" si="165">V1603</f>
        <v>0</v>
      </c>
      <c r="W1602" s="16"/>
      <c r="X1602" s="16"/>
      <c r="Y1602" s="16"/>
      <c r="Z1602" s="17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</row>
    <row r="1603" spans="1:36" s="352" customFormat="1" ht="15.6" hidden="1">
      <c r="A1603" s="351"/>
      <c r="B1603" s="1964" t="e">
        <f>LEFT(#REF!,5)</f>
        <v>#REF!</v>
      </c>
      <c r="C1603" s="1966" t="e">
        <f>VLOOKUP(LEFT(#REF!,5),'11 - FINANCEIRA'!_xlnm.Print_Area,2,FALSE)</f>
        <v>#REF!</v>
      </c>
      <c r="D1603" s="1920" t="s">
        <v>1514</v>
      </c>
      <c r="E1603" s="1921"/>
      <c r="F1603" s="1922"/>
      <c r="G1603" s="1923" t="s">
        <v>1515</v>
      </c>
      <c r="H1603" s="1924"/>
      <c r="I1603" s="1925"/>
      <c r="J1603" s="1915"/>
      <c r="K1603" s="1915"/>
      <c r="L1603" s="1915"/>
      <c r="M1603" s="1915"/>
      <c r="N1603" s="1915"/>
      <c r="O1603" s="1915"/>
      <c r="P1603" s="353" t="s">
        <v>1516</v>
      </c>
      <c r="Q1603" s="1915"/>
      <c r="R1603" s="1917"/>
      <c r="S1603" s="1915"/>
      <c r="T1603" s="1915"/>
      <c r="U1603" s="1919"/>
      <c r="V1603" s="1418">
        <f t="shared" si="165"/>
        <v>0</v>
      </c>
      <c r="W1603" s="16"/>
      <c r="X1603" s="16"/>
      <c r="Y1603" s="16"/>
      <c r="Z1603" s="17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</row>
    <row r="1604" spans="1:36" s="361" customFormat="1" ht="15" hidden="1" customHeight="1">
      <c r="A1604" s="354"/>
      <c r="B1604" s="355"/>
      <c r="C1604" s="32" t="s">
        <v>901</v>
      </c>
      <c r="D1604" s="33"/>
      <c r="E1604" s="34"/>
      <c r="F1604" s="35"/>
      <c r="G1604" s="33"/>
      <c r="H1604" s="34"/>
      <c r="I1604" s="35"/>
      <c r="J1604" s="43"/>
      <c r="K1604" s="42"/>
      <c r="L1604" s="39"/>
      <c r="M1604" s="41"/>
      <c r="N1604" s="356"/>
      <c r="O1604" s="40"/>
      <c r="P1604" s="39"/>
      <c r="Q1604" s="45"/>
      <c r="R1604" s="1359">
        <v>1.5</v>
      </c>
      <c r="S1604" s="1265" t="s">
        <v>809</v>
      </c>
      <c r="T1604" s="46" t="s">
        <v>329</v>
      </c>
      <c r="U1604" s="44"/>
      <c r="V1604" s="1418">
        <f t="shared" si="165"/>
        <v>0</v>
      </c>
      <c r="W1604" s="357"/>
      <c r="X1604" s="357"/>
      <c r="Y1604" s="357"/>
      <c r="Z1604" s="358"/>
      <c r="AA1604" s="359"/>
      <c r="AB1604" s="360"/>
    </row>
    <row r="1605" spans="1:36" s="361" customFormat="1" ht="15" hidden="1" customHeight="1">
      <c r="A1605" s="354"/>
      <c r="B1605" s="355"/>
      <c r="C1605" s="32"/>
      <c r="D1605" s="33"/>
      <c r="E1605" s="34"/>
      <c r="F1605" s="35"/>
      <c r="G1605" s="33"/>
      <c r="H1605" s="34"/>
      <c r="I1605" s="35"/>
      <c r="J1605" s="43"/>
      <c r="K1605" s="42"/>
      <c r="L1605" s="39"/>
      <c r="M1605" s="41"/>
      <c r="N1605" s="356"/>
      <c r="O1605" s="40"/>
      <c r="P1605" s="39"/>
      <c r="Q1605" s="45"/>
      <c r="R1605" s="362"/>
      <c r="S1605" s="363"/>
      <c r="T1605" s="46"/>
      <c r="U1605" s="44"/>
      <c r="V1605" s="1418">
        <f t="shared" si="165"/>
        <v>0</v>
      </c>
      <c r="W1605" s="357"/>
      <c r="X1605" s="357"/>
      <c r="Y1605" s="357"/>
      <c r="Z1605" s="358"/>
      <c r="AA1605" s="359"/>
      <c r="AB1605" s="360"/>
    </row>
    <row r="1606" spans="1:36" s="369" customFormat="1" ht="15" hidden="1">
      <c r="A1606" s="364"/>
      <c r="B1606" s="355"/>
      <c r="C1606" s="32"/>
      <c r="D1606" s="33"/>
      <c r="E1606" s="34"/>
      <c r="F1606" s="35"/>
      <c r="G1606" s="33"/>
      <c r="H1606" s="34"/>
      <c r="I1606" s="35"/>
      <c r="J1606" s="43"/>
      <c r="K1606" s="42"/>
      <c r="L1606" s="39"/>
      <c r="M1606" s="41"/>
      <c r="N1606" s="40"/>
      <c r="O1606" s="40"/>
      <c r="P1606" s="39"/>
      <c r="Q1606" s="38"/>
      <c r="R1606" s="365"/>
      <c r="S1606" s="366"/>
      <c r="T1606" s="46"/>
      <c r="U1606" s="44"/>
      <c r="V1606" s="1418">
        <f t="shared" si="165"/>
        <v>0</v>
      </c>
      <c r="W1606" s="367"/>
      <c r="X1606" s="367"/>
      <c r="Y1606" s="367"/>
      <c r="Z1606" s="368"/>
    </row>
    <row r="1607" spans="1:36" s="77" customFormat="1" ht="15" hidden="1">
      <c r="A1607" s="370"/>
      <c r="B1607" s="29"/>
      <c r="C1607" s="30"/>
      <c r="D1607" s="18"/>
      <c r="E1607" s="19"/>
      <c r="F1607" s="20"/>
      <c r="G1607" s="18"/>
      <c r="H1607" s="19"/>
      <c r="I1607" s="20"/>
      <c r="J1607" s="21"/>
      <c r="K1607" s="22"/>
      <c r="L1607" s="23"/>
      <c r="M1607" s="24"/>
      <c r="N1607" s="25"/>
      <c r="O1607" s="25"/>
      <c r="P1607" s="23"/>
      <c r="Q1607" s="26"/>
      <c r="R1607" s="371"/>
      <c r="S1607" s="27"/>
      <c r="T1607" s="372"/>
      <c r="U1607" s="31"/>
      <c r="V1607" s="1418">
        <f t="shared" si="165"/>
        <v>0</v>
      </c>
      <c r="AB1607" s="15"/>
    </row>
    <row r="1608" spans="1:36" s="77" customFormat="1" ht="15.6" hidden="1">
      <c r="A1608" s="370"/>
      <c r="B1608" s="499"/>
      <c r="C1608" s="37"/>
      <c r="D1608" s="1929" t="s">
        <v>1520</v>
      </c>
      <c r="E1608" s="1930"/>
      <c r="F1608" s="1930"/>
      <c r="G1608" s="1930"/>
      <c r="H1608" s="1930"/>
      <c r="I1608" s="1931"/>
      <c r="J1608" s="1932">
        <f>VLOOKUP(A1610,'11 - FINANCEIRA'!_xlnm.Print_Area,6,FALSE)</f>
        <v>1.5</v>
      </c>
      <c r="K1608" s="1933"/>
      <c r="L1608" s="1343" t="str">
        <f>VLOOKUP(A1610,'11 - FINANCEIRA'!_xlnm.Print_Area,4,FALSE)</f>
        <v>m</v>
      </c>
      <c r="M1608" s="1934" t="s">
        <v>1521</v>
      </c>
      <c r="N1608" s="1935"/>
      <c r="O1608" s="1935"/>
      <c r="P1608" s="1935"/>
      <c r="Q1608" s="1936"/>
      <c r="R1608" s="726">
        <f>SUM(R1604:R1607)</f>
        <v>1.5</v>
      </c>
      <c r="S1608" s="1344" t="str">
        <f>L1608</f>
        <v>m</v>
      </c>
      <c r="T1608" s="373"/>
      <c r="U1608" s="486"/>
      <c r="V1608" s="1418">
        <f t="shared" si="165"/>
        <v>0</v>
      </c>
      <c r="AB1608" s="15"/>
    </row>
    <row r="1609" spans="1:36" s="77" customFormat="1" ht="15.6" hidden="1">
      <c r="A1609" s="370"/>
      <c r="B1609" s="499"/>
      <c r="C1609" s="725"/>
      <c r="D1609" s="1937" t="s">
        <v>1522</v>
      </c>
      <c r="E1609" s="1938"/>
      <c r="F1609" s="1938"/>
      <c r="G1609" s="1938"/>
      <c r="H1609" s="1938"/>
      <c r="I1609" s="1939"/>
      <c r="J1609" s="1943">
        <f>R1608/J1608</f>
        <v>1</v>
      </c>
      <c r="K1609" s="1944"/>
      <c r="L1609" s="1947"/>
      <c r="M1609" s="1934" t="s">
        <v>1523</v>
      </c>
      <c r="N1609" s="1935"/>
      <c r="O1609" s="1935"/>
      <c r="P1609" s="1935"/>
      <c r="Q1609" s="1936"/>
      <c r="R1609" s="726">
        <f>VLOOKUP(A1610,'11 - FINANCEIRA'!_xlnm.Print_Area,8,FALSE)</f>
        <v>1.5</v>
      </c>
      <c r="S1609" s="727" t="str">
        <f>L1608</f>
        <v>m</v>
      </c>
      <c r="T1609" s="373"/>
      <c r="U1609" s="486"/>
      <c r="V1609" s="1418">
        <f t="shared" si="165"/>
        <v>0</v>
      </c>
      <c r="AB1609" s="15"/>
    </row>
    <row r="1610" spans="1:36" s="77" customFormat="1" ht="15.6" hidden="1">
      <c r="A1610" s="364" t="s">
        <v>459</v>
      </c>
      <c r="B1610" s="499"/>
      <c r="C1610" s="37"/>
      <c r="D1610" s="2013"/>
      <c r="E1610" s="2014"/>
      <c r="F1610" s="2014"/>
      <c r="G1610" s="2014"/>
      <c r="H1610" s="2014"/>
      <c r="I1610" s="2015"/>
      <c r="J1610" s="2016"/>
      <c r="K1610" s="2017"/>
      <c r="L1610" s="1962"/>
      <c r="M1610" s="2007" t="s">
        <v>1524</v>
      </c>
      <c r="N1610" s="2008"/>
      <c r="O1610" s="2008"/>
      <c r="P1610" s="2008"/>
      <c r="Q1610" s="2009"/>
      <c r="R1610" s="1345">
        <f>R1608-R1609</f>
        <v>0</v>
      </c>
      <c r="S1610" s="1346" t="str">
        <f>L1608</f>
        <v>m</v>
      </c>
      <c r="T1610" s="373"/>
      <c r="U1610" s="486"/>
      <c r="V1610" s="1418">
        <f>R1610</f>
        <v>0</v>
      </c>
      <c r="AB1610" s="15"/>
    </row>
    <row r="1611" spans="1:36" s="77" customFormat="1" ht="15.6" hidden="1">
      <c r="A1611" s="370"/>
      <c r="B1611" s="1347"/>
      <c r="C1611" s="1348"/>
      <c r="D1611" s="1349"/>
      <c r="E1611" s="1350"/>
      <c r="F1611" s="1349"/>
      <c r="G1611" s="1349"/>
      <c r="H1611" s="1349"/>
      <c r="I1611" s="1349"/>
      <c r="J1611" s="1351"/>
      <c r="K1611" s="1352"/>
      <c r="L1611" s="1353"/>
      <c r="M1611" s="1354"/>
      <c r="N1611" s="1354"/>
      <c r="O1611" s="1354"/>
      <c r="P1611" s="1354"/>
      <c r="Q1611" s="1354"/>
      <c r="R1611" s="1355"/>
      <c r="S1611" s="1356"/>
      <c r="T1611" s="1357"/>
      <c r="U1611" s="1358"/>
      <c r="V1611" s="1420">
        <f>SUM(V1602:V1610)</f>
        <v>0</v>
      </c>
      <c r="AB1611" s="15"/>
    </row>
    <row r="1612" spans="1:36" s="352" customFormat="1" ht="15.6" hidden="1">
      <c r="A1612" s="351"/>
      <c r="B1612" s="1963" t="str">
        <f>VLOOKUP(A1620,'11 - FINANCEIRA'!_xlnm.Print_Area,1,FALSE)</f>
        <v>2.3.8.4</v>
      </c>
      <c r="C1612" s="1965" t="str">
        <f>VLOOKUP(A1620,'11 - FINANCEIRA'!_xlnm.Print_Area,3,FALSE)</f>
        <v>Janela de alumínio tipo maxim-ar, com vidros - fornecimento e instalação.</v>
      </c>
      <c r="D1612" s="1967" t="s">
        <v>1503</v>
      </c>
      <c r="E1612" s="1968"/>
      <c r="F1612" s="1968"/>
      <c r="G1612" s="1968"/>
      <c r="H1612" s="1968"/>
      <c r="I1612" s="1969"/>
      <c r="J1612" s="1914" t="s">
        <v>1504</v>
      </c>
      <c r="K1612" s="1914" t="s">
        <v>1505</v>
      </c>
      <c r="L1612" s="1914" t="s">
        <v>1506</v>
      </c>
      <c r="M1612" s="1914" t="s">
        <v>1507</v>
      </c>
      <c r="N1612" s="1914" t="s">
        <v>1508</v>
      </c>
      <c r="O1612" s="1914" t="s">
        <v>1509</v>
      </c>
      <c r="P1612" s="1341" t="s">
        <v>1510</v>
      </c>
      <c r="Q1612" s="1914" t="s">
        <v>1493</v>
      </c>
      <c r="R1612" s="1916" t="s">
        <v>804</v>
      </c>
      <c r="S1612" s="1914" t="s">
        <v>1511</v>
      </c>
      <c r="T1612" s="1914" t="s">
        <v>1512</v>
      </c>
      <c r="U1612" s="1918" t="s">
        <v>1513</v>
      </c>
      <c r="V1612" s="1418">
        <f t="shared" ref="V1612:V1619" si="166">V1613</f>
        <v>0</v>
      </c>
      <c r="W1612" s="16"/>
      <c r="X1612" s="16"/>
      <c r="Y1612" s="16"/>
      <c r="Z1612" s="17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</row>
    <row r="1613" spans="1:36" s="352" customFormat="1" ht="15.6" hidden="1">
      <c r="A1613" s="351"/>
      <c r="B1613" s="1964" t="e">
        <f>LEFT(#REF!,5)</f>
        <v>#REF!</v>
      </c>
      <c r="C1613" s="1966" t="e">
        <f>VLOOKUP(LEFT(#REF!,5),'11 - FINANCEIRA'!_xlnm.Print_Area,2,FALSE)</f>
        <v>#REF!</v>
      </c>
      <c r="D1613" s="1920" t="s">
        <v>1514</v>
      </c>
      <c r="E1613" s="1921"/>
      <c r="F1613" s="1922"/>
      <c r="G1613" s="1923" t="s">
        <v>1515</v>
      </c>
      <c r="H1613" s="1924"/>
      <c r="I1613" s="1925"/>
      <c r="J1613" s="1915"/>
      <c r="K1613" s="1915"/>
      <c r="L1613" s="1915"/>
      <c r="M1613" s="1915"/>
      <c r="N1613" s="1915"/>
      <c r="O1613" s="1915"/>
      <c r="P1613" s="353" t="s">
        <v>1516</v>
      </c>
      <c r="Q1613" s="1915"/>
      <c r="R1613" s="1917"/>
      <c r="S1613" s="1915"/>
      <c r="T1613" s="1915"/>
      <c r="U1613" s="1919"/>
      <c r="V1613" s="1418">
        <f t="shared" si="166"/>
        <v>0</v>
      </c>
      <c r="W1613" s="16"/>
      <c r="X1613" s="16"/>
      <c r="Y1613" s="16"/>
      <c r="Z1613" s="17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</row>
    <row r="1614" spans="1:36" s="361" customFormat="1" ht="15" hidden="1" customHeight="1">
      <c r="A1614" s="354"/>
      <c r="B1614" s="355"/>
      <c r="C1614" s="32" t="s">
        <v>904</v>
      </c>
      <c r="D1614" s="33"/>
      <c r="E1614" s="34"/>
      <c r="F1614" s="35"/>
      <c r="G1614" s="33"/>
      <c r="H1614" s="34"/>
      <c r="I1614" s="35"/>
      <c r="J1614" s="43"/>
      <c r="K1614" s="42"/>
      <c r="L1614" s="39"/>
      <c r="M1614" s="41"/>
      <c r="N1614" s="356"/>
      <c r="O1614" s="40"/>
      <c r="P1614" s="39"/>
      <c r="Q1614" s="45"/>
      <c r="R1614" s="1359">
        <v>4.26</v>
      </c>
      <c r="S1614" s="1265" t="s">
        <v>821</v>
      </c>
      <c r="T1614" s="46" t="s">
        <v>54</v>
      </c>
      <c r="U1614" s="44"/>
      <c r="V1614" s="1418">
        <f t="shared" si="166"/>
        <v>0</v>
      </c>
      <c r="W1614" s="357"/>
      <c r="X1614" s="357"/>
      <c r="Y1614" s="357"/>
      <c r="Z1614" s="358"/>
      <c r="AA1614" s="359"/>
      <c r="AB1614" s="360"/>
    </row>
    <row r="1615" spans="1:36" s="361" customFormat="1" ht="15" hidden="1" customHeight="1">
      <c r="A1615" s="354"/>
      <c r="B1615" s="355"/>
      <c r="C1615" s="32"/>
      <c r="D1615" s="33"/>
      <c r="E1615" s="34"/>
      <c r="F1615" s="35"/>
      <c r="G1615" s="33"/>
      <c r="H1615" s="34"/>
      <c r="I1615" s="35"/>
      <c r="J1615" s="43"/>
      <c r="K1615" s="42"/>
      <c r="L1615" s="39"/>
      <c r="M1615" s="41"/>
      <c r="N1615" s="356"/>
      <c r="O1615" s="40"/>
      <c r="P1615" s="39"/>
      <c r="Q1615" s="45"/>
      <c r="R1615" s="362"/>
      <c r="S1615" s="363"/>
      <c r="T1615" s="46"/>
      <c r="U1615" s="44"/>
      <c r="V1615" s="1418">
        <f t="shared" si="166"/>
        <v>0</v>
      </c>
      <c r="W1615" s="357"/>
      <c r="X1615" s="357"/>
      <c r="Y1615" s="357"/>
      <c r="Z1615" s="358"/>
      <c r="AA1615" s="359"/>
      <c r="AB1615" s="360"/>
    </row>
    <row r="1616" spans="1:36" s="369" customFormat="1" ht="15" hidden="1">
      <c r="A1616" s="364"/>
      <c r="B1616" s="355"/>
      <c r="C1616" s="32"/>
      <c r="D1616" s="33"/>
      <c r="E1616" s="34"/>
      <c r="F1616" s="35"/>
      <c r="G1616" s="33"/>
      <c r="H1616" s="34"/>
      <c r="I1616" s="35"/>
      <c r="J1616" s="43"/>
      <c r="K1616" s="42"/>
      <c r="L1616" s="39"/>
      <c r="M1616" s="41"/>
      <c r="N1616" s="40"/>
      <c r="O1616" s="40"/>
      <c r="P1616" s="39"/>
      <c r="Q1616" s="38"/>
      <c r="R1616" s="365"/>
      <c r="S1616" s="366"/>
      <c r="T1616" s="46"/>
      <c r="U1616" s="44"/>
      <c r="V1616" s="1418">
        <f t="shared" si="166"/>
        <v>0</v>
      </c>
      <c r="W1616" s="367"/>
      <c r="X1616" s="367"/>
      <c r="Y1616" s="367"/>
      <c r="Z1616" s="368"/>
    </row>
    <row r="1617" spans="1:36" s="77" customFormat="1" ht="15" hidden="1">
      <c r="A1617" s="370"/>
      <c r="B1617" s="29"/>
      <c r="C1617" s="30"/>
      <c r="D1617" s="18"/>
      <c r="E1617" s="19"/>
      <c r="F1617" s="20"/>
      <c r="G1617" s="18"/>
      <c r="H1617" s="19"/>
      <c r="I1617" s="20"/>
      <c r="J1617" s="21"/>
      <c r="K1617" s="22"/>
      <c r="L1617" s="23"/>
      <c r="M1617" s="24"/>
      <c r="N1617" s="25"/>
      <c r="O1617" s="25"/>
      <c r="P1617" s="23"/>
      <c r="Q1617" s="26"/>
      <c r="R1617" s="371"/>
      <c r="S1617" s="27"/>
      <c r="T1617" s="372"/>
      <c r="U1617" s="31"/>
      <c r="V1617" s="1418">
        <f t="shared" si="166"/>
        <v>0</v>
      </c>
      <c r="AB1617" s="15"/>
    </row>
    <row r="1618" spans="1:36" s="77" customFormat="1" ht="15.6" hidden="1">
      <c r="A1618" s="370"/>
      <c r="B1618" s="499"/>
      <c r="C1618" s="37"/>
      <c r="D1618" s="1929" t="s">
        <v>1520</v>
      </c>
      <c r="E1618" s="1930"/>
      <c r="F1618" s="1930"/>
      <c r="G1618" s="1930"/>
      <c r="H1618" s="1930"/>
      <c r="I1618" s="1931"/>
      <c r="J1618" s="1932">
        <f>VLOOKUP(A1620,'11 - FINANCEIRA'!_xlnm.Print_Area,6,FALSE)</f>
        <v>4.26</v>
      </c>
      <c r="K1618" s="1933"/>
      <c r="L1618" s="1343" t="str">
        <f>VLOOKUP(A1620,'11 - FINANCEIRA'!_xlnm.Print_Area,4,FALSE)</f>
        <v>m²</v>
      </c>
      <c r="M1618" s="1934" t="s">
        <v>1521</v>
      </c>
      <c r="N1618" s="1935"/>
      <c r="O1618" s="1935"/>
      <c r="P1618" s="1935"/>
      <c r="Q1618" s="1936"/>
      <c r="R1618" s="726">
        <f>SUM(R1614:R1617)</f>
        <v>4.26</v>
      </c>
      <c r="S1618" s="1344" t="str">
        <f>L1618</f>
        <v>m²</v>
      </c>
      <c r="T1618" s="373"/>
      <c r="U1618" s="486"/>
      <c r="V1618" s="1418">
        <f t="shared" si="166"/>
        <v>0</v>
      </c>
      <c r="AB1618" s="15"/>
    </row>
    <row r="1619" spans="1:36" s="77" customFormat="1" ht="15.6" hidden="1">
      <c r="A1619" s="370"/>
      <c r="B1619" s="499"/>
      <c r="C1619" s="725"/>
      <c r="D1619" s="1937" t="s">
        <v>1522</v>
      </c>
      <c r="E1619" s="1938"/>
      <c r="F1619" s="1938"/>
      <c r="G1619" s="1938"/>
      <c r="H1619" s="1938"/>
      <c r="I1619" s="1939"/>
      <c r="J1619" s="1943">
        <f>R1618/J1618</f>
        <v>1</v>
      </c>
      <c r="K1619" s="1944"/>
      <c r="L1619" s="1947"/>
      <c r="M1619" s="1934" t="s">
        <v>1523</v>
      </c>
      <c r="N1619" s="1935"/>
      <c r="O1619" s="1935"/>
      <c r="P1619" s="1935"/>
      <c r="Q1619" s="1936"/>
      <c r="R1619" s="726">
        <f>VLOOKUP(A1620,'11 - FINANCEIRA'!_xlnm.Print_Area,8,FALSE)</f>
        <v>4.26</v>
      </c>
      <c r="S1619" s="727" t="str">
        <f>L1618</f>
        <v>m²</v>
      </c>
      <c r="T1619" s="373"/>
      <c r="U1619" s="486"/>
      <c r="V1619" s="1418">
        <f t="shared" si="166"/>
        <v>0</v>
      </c>
      <c r="AB1619" s="15"/>
    </row>
    <row r="1620" spans="1:36" s="77" customFormat="1" ht="15.6" hidden="1">
      <c r="A1620" s="364" t="s">
        <v>460</v>
      </c>
      <c r="B1620" s="499"/>
      <c r="C1620" s="37"/>
      <c r="D1620" s="2013"/>
      <c r="E1620" s="2014"/>
      <c r="F1620" s="2014"/>
      <c r="G1620" s="2014"/>
      <c r="H1620" s="2014"/>
      <c r="I1620" s="2015"/>
      <c r="J1620" s="2016"/>
      <c r="K1620" s="2017"/>
      <c r="L1620" s="1962"/>
      <c r="M1620" s="2007" t="s">
        <v>1524</v>
      </c>
      <c r="N1620" s="2008"/>
      <c r="O1620" s="2008"/>
      <c r="P1620" s="2008"/>
      <c r="Q1620" s="2009"/>
      <c r="R1620" s="1345">
        <f>R1618-R1619</f>
        <v>0</v>
      </c>
      <c r="S1620" s="1346" t="str">
        <f>L1618</f>
        <v>m²</v>
      </c>
      <c r="T1620" s="373"/>
      <c r="U1620" s="486"/>
      <c r="V1620" s="1418">
        <f>R1620</f>
        <v>0</v>
      </c>
      <c r="AB1620" s="15"/>
    </row>
    <row r="1621" spans="1:36" s="77" customFormat="1" ht="15.6" hidden="1">
      <c r="A1621" s="370"/>
      <c r="B1621" s="1347"/>
      <c r="C1621" s="1348"/>
      <c r="D1621" s="1349"/>
      <c r="E1621" s="1350"/>
      <c r="F1621" s="1349"/>
      <c r="G1621" s="1349"/>
      <c r="H1621" s="1349"/>
      <c r="I1621" s="1349"/>
      <c r="J1621" s="1351"/>
      <c r="K1621" s="1352"/>
      <c r="L1621" s="1353"/>
      <c r="M1621" s="1354"/>
      <c r="N1621" s="1354"/>
      <c r="O1621" s="1354"/>
      <c r="P1621" s="1354"/>
      <c r="Q1621" s="1354"/>
      <c r="R1621" s="1355"/>
      <c r="S1621" s="1356"/>
      <c r="T1621" s="1357"/>
      <c r="U1621" s="1358"/>
      <c r="V1621" s="1420">
        <f>SUM(V1612:V1620)</f>
        <v>0</v>
      </c>
      <c r="AB1621" s="15"/>
    </row>
    <row r="1622" spans="1:36" s="352" customFormat="1" ht="15.6" hidden="1">
      <c r="A1622" s="351"/>
      <c r="B1622" s="1963" t="str">
        <f>VLOOKUP(A1630,'11 - FINANCEIRA'!_xlnm.Print_Area,1,FALSE)</f>
        <v>2.3.8.5</v>
      </c>
      <c r="C1622" s="1965" t="str">
        <f>VLOOKUP(A1630,'11 - FINANCEIRA'!_xlnm.Print_Area,3,FALSE)</f>
        <v>Peitoril em marmore branco, largura de 15cm, assentado com argamassa traco 1:4 (cimento e areia media), preparo manual da argamassa</v>
      </c>
      <c r="D1622" s="1967" t="s">
        <v>1503</v>
      </c>
      <c r="E1622" s="1968"/>
      <c r="F1622" s="1968"/>
      <c r="G1622" s="1968"/>
      <c r="H1622" s="1968"/>
      <c r="I1622" s="1969"/>
      <c r="J1622" s="1914" t="s">
        <v>1504</v>
      </c>
      <c r="K1622" s="1914" t="s">
        <v>1505</v>
      </c>
      <c r="L1622" s="1914" t="s">
        <v>1506</v>
      </c>
      <c r="M1622" s="1914" t="s">
        <v>1507</v>
      </c>
      <c r="N1622" s="1914" t="s">
        <v>1508</v>
      </c>
      <c r="O1622" s="1914" t="s">
        <v>1509</v>
      </c>
      <c r="P1622" s="1341" t="s">
        <v>1510</v>
      </c>
      <c r="Q1622" s="1914" t="s">
        <v>1493</v>
      </c>
      <c r="R1622" s="1916" t="s">
        <v>804</v>
      </c>
      <c r="S1622" s="1914" t="s">
        <v>1511</v>
      </c>
      <c r="T1622" s="1914" t="s">
        <v>1512</v>
      </c>
      <c r="U1622" s="1918" t="s">
        <v>1513</v>
      </c>
      <c r="V1622" s="1418">
        <f t="shared" ref="V1622:V1629" si="167">V1623</f>
        <v>0</v>
      </c>
      <c r="W1622" s="16"/>
      <c r="X1622" s="16"/>
      <c r="Y1622" s="16"/>
      <c r="Z1622" s="17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</row>
    <row r="1623" spans="1:36" s="352" customFormat="1" ht="15.6" hidden="1">
      <c r="A1623" s="351"/>
      <c r="B1623" s="1964" t="e">
        <f>LEFT(#REF!,5)</f>
        <v>#REF!</v>
      </c>
      <c r="C1623" s="1966" t="e">
        <f>VLOOKUP(LEFT(#REF!,5),'11 - FINANCEIRA'!_xlnm.Print_Area,2,FALSE)</f>
        <v>#REF!</v>
      </c>
      <c r="D1623" s="1920" t="s">
        <v>1514</v>
      </c>
      <c r="E1623" s="1921"/>
      <c r="F1623" s="1922"/>
      <c r="G1623" s="1923" t="s">
        <v>1515</v>
      </c>
      <c r="H1623" s="1924"/>
      <c r="I1623" s="1925"/>
      <c r="J1623" s="1915"/>
      <c r="K1623" s="1915"/>
      <c r="L1623" s="1915"/>
      <c r="M1623" s="1915"/>
      <c r="N1623" s="1915"/>
      <c r="O1623" s="1915"/>
      <c r="P1623" s="353" t="s">
        <v>1516</v>
      </c>
      <c r="Q1623" s="1915"/>
      <c r="R1623" s="1917"/>
      <c r="S1623" s="1915"/>
      <c r="T1623" s="1915"/>
      <c r="U1623" s="1919"/>
      <c r="V1623" s="1418">
        <f t="shared" si="167"/>
        <v>0</v>
      </c>
      <c r="W1623" s="16"/>
      <c r="X1623" s="16"/>
      <c r="Y1623" s="16"/>
      <c r="Z1623" s="17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</row>
    <row r="1624" spans="1:36" s="361" customFormat="1" ht="30" hidden="1">
      <c r="A1624" s="354"/>
      <c r="B1624" s="355"/>
      <c r="C1624" s="32" t="s">
        <v>906</v>
      </c>
      <c r="D1624" s="33"/>
      <c r="E1624" s="34"/>
      <c r="F1624" s="35"/>
      <c r="G1624" s="33"/>
      <c r="H1624" s="34"/>
      <c r="I1624" s="35"/>
      <c r="J1624" s="43"/>
      <c r="K1624" s="42"/>
      <c r="L1624" s="39"/>
      <c r="M1624" s="41"/>
      <c r="N1624" s="356"/>
      <c r="O1624" s="40"/>
      <c r="P1624" s="39"/>
      <c r="Q1624" s="45"/>
      <c r="R1624" s="1359">
        <v>4.5</v>
      </c>
      <c r="S1624" s="1265" t="s">
        <v>902</v>
      </c>
      <c r="T1624" s="46" t="s">
        <v>329</v>
      </c>
      <c r="U1624" s="44"/>
      <c r="V1624" s="1418">
        <f t="shared" si="167"/>
        <v>0</v>
      </c>
      <c r="W1624" s="357"/>
      <c r="X1624" s="357"/>
      <c r="Y1624" s="357"/>
      <c r="Z1624" s="358"/>
      <c r="AA1624" s="359"/>
      <c r="AB1624" s="360"/>
    </row>
    <row r="1625" spans="1:36" s="361" customFormat="1" ht="15" hidden="1" customHeight="1">
      <c r="A1625" s="354"/>
      <c r="B1625" s="355"/>
      <c r="C1625" s="32"/>
      <c r="D1625" s="33"/>
      <c r="E1625" s="34"/>
      <c r="F1625" s="35"/>
      <c r="G1625" s="33"/>
      <c r="H1625" s="34"/>
      <c r="I1625" s="35"/>
      <c r="J1625" s="43"/>
      <c r="K1625" s="42"/>
      <c r="L1625" s="39"/>
      <c r="M1625" s="41"/>
      <c r="N1625" s="356"/>
      <c r="O1625" s="40"/>
      <c r="P1625" s="39"/>
      <c r="Q1625" s="45"/>
      <c r="R1625" s="362"/>
      <c r="S1625" s="363"/>
      <c r="T1625" s="46"/>
      <c r="U1625" s="44"/>
      <c r="V1625" s="1418">
        <f t="shared" si="167"/>
        <v>0</v>
      </c>
      <c r="W1625" s="357"/>
      <c r="X1625" s="357"/>
      <c r="Y1625" s="357"/>
      <c r="Z1625" s="358"/>
      <c r="AA1625" s="359"/>
      <c r="AB1625" s="360"/>
    </row>
    <row r="1626" spans="1:36" s="369" customFormat="1" ht="15" hidden="1">
      <c r="A1626" s="364"/>
      <c r="B1626" s="355"/>
      <c r="C1626" s="32"/>
      <c r="D1626" s="33"/>
      <c r="E1626" s="34"/>
      <c r="F1626" s="35"/>
      <c r="G1626" s="33"/>
      <c r="H1626" s="34"/>
      <c r="I1626" s="35"/>
      <c r="J1626" s="43"/>
      <c r="K1626" s="42"/>
      <c r="L1626" s="39"/>
      <c r="M1626" s="41"/>
      <c r="N1626" s="40"/>
      <c r="O1626" s="40"/>
      <c r="P1626" s="39"/>
      <c r="Q1626" s="38"/>
      <c r="R1626" s="365"/>
      <c r="S1626" s="366"/>
      <c r="T1626" s="46"/>
      <c r="U1626" s="44"/>
      <c r="V1626" s="1418">
        <f t="shared" si="167"/>
        <v>0</v>
      </c>
      <c r="W1626" s="367"/>
      <c r="X1626" s="367"/>
      <c r="Y1626" s="367"/>
      <c r="Z1626" s="368"/>
    </row>
    <row r="1627" spans="1:36" s="77" customFormat="1" ht="15" hidden="1">
      <c r="A1627" s="370"/>
      <c r="B1627" s="29"/>
      <c r="C1627" s="30"/>
      <c r="D1627" s="18"/>
      <c r="E1627" s="19"/>
      <c r="F1627" s="20"/>
      <c r="G1627" s="18"/>
      <c r="H1627" s="19"/>
      <c r="I1627" s="20"/>
      <c r="J1627" s="21"/>
      <c r="K1627" s="22"/>
      <c r="L1627" s="23"/>
      <c r="M1627" s="24"/>
      <c r="N1627" s="25"/>
      <c r="O1627" s="25"/>
      <c r="P1627" s="23"/>
      <c r="Q1627" s="26"/>
      <c r="R1627" s="371"/>
      <c r="S1627" s="27"/>
      <c r="T1627" s="372"/>
      <c r="U1627" s="31"/>
      <c r="V1627" s="1418">
        <f t="shared" si="167"/>
        <v>0</v>
      </c>
      <c r="AB1627" s="15"/>
    </row>
    <row r="1628" spans="1:36" s="77" customFormat="1" ht="15.6" hidden="1">
      <c r="A1628" s="370"/>
      <c r="B1628" s="499"/>
      <c r="C1628" s="37"/>
      <c r="D1628" s="1929" t="s">
        <v>1520</v>
      </c>
      <c r="E1628" s="1930"/>
      <c r="F1628" s="1930"/>
      <c r="G1628" s="1930"/>
      <c r="H1628" s="1930"/>
      <c r="I1628" s="1931"/>
      <c r="J1628" s="1932">
        <f>VLOOKUP(A1630,'11 - FINANCEIRA'!_xlnm.Print_Area,6,FALSE)</f>
        <v>4.5</v>
      </c>
      <c r="K1628" s="1933"/>
      <c r="L1628" s="1343" t="str">
        <f>VLOOKUP(A1630,'11 - FINANCEIRA'!_xlnm.Print_Area,4,FALSE)</f>
        <v>M</v>
      </c>
      <c r="M1628" s="1934" t="s">
        <v>1521</v>
      </c>
      <c r="N1628" s="1935"/>
      <c r="O1628" s="1935"/>
      <c r="P1628" s="1935"/>
      <c r="Q1628" s="1936"/>
      <c r="R1628" s="726">
        <f>SUM(R1624:R1627)</f>
        <v>4.5</v>
      </c>
      <c r="S1628" s="1344" t="str">
        <f>L1628</f>
        <v>M</v>
      </c>
      <c r="T1628" s="373"/>
      <c r="U1628" s="486"/>
      <c r="V1628" s="1418">
        <f t="shared" si="167"/>
        <v>0</v>
      </c>
      <c r="AB1628" s="15"/>
    </row>
    <row r="1629" spans="1:36" s="77" customFormat="1" ht="15.6" hidden="1">
      <c r="A1629" s="370"/>
      <c r="B1629" s="499"/>
      <c r="C1629" s="725"/>
      <c r="D1629" s="1937" t="s">
        <v>1522</v>
      </c>
      <c r="E1629" s="1938"/>
      <c r="F1629" s="1938"/>
      <c r="G1629" s="1938"/>
      <c r="H1629" s="1938"/>
      <c r="I1629" s="1939"/>
      <c r="J1629" s="1943">
        <f>R1628/J1628</f>
        <v>1</v>
      </c>
      <c r="K1629" s="1944"/>
      <c r="L1629" s="1947"/>
      <c r="M1629" s="1934" t="s">
        <v>1523</v>
      </c>
      <c r="N1629" s="1935"/>
      <c r="O1629" s="1935"/>
      <c r="P1629" s="1935"/>
      <c r="Q1629" s="1936"/>
      <c r="R1629" s="726">
        <f>VLOOKUP(A1630,'11 - FINANCEIRA'!_xlnm.Print_Area,8,FALSE)</f>
        <v>4.5</v>
      </c>
      <c r="S1629" s="727" t="str">
        <f>L1628</f>
        <v>M</v>
      </c>
      <c r="T1629" s="373"/>
      <c r="U1629" s="486"/>
      <c r="V1629" s="1418">
        <f t="shared" si="167"/>
        <v>0</v>
      </c>
      <c r="AB1629" s="15"/>
    </row>
    <row r="1630" spans="1:36" s="77" customFormat="1" ht="15.6" hidden="1">
      <c r="A1630" s="364" t="s">
        <v>461</v>
      </c>
      <c r="B1630" s="499"/>
      <c r="C1630" s="37"/>
      <c r="D1630" s="2013"/>
      <c r="E1630" s="2014"/>
      <c r="F1630" s="2014"/>
      <c r="G1630" s="2014"/>
      <c r="H1630" s="2014"/>
      <c r="I1630" s="2015"/>
      <c r="J1630" s="2016"/>
      <c r="K1630" s="2017"/>
      <c r="L1630" s="1962"/>
      <c r="M1630" s="2007" t="s">
        <v>1524</v>
      </c>
      <c r="N1630" s="2008"/>
      <c r="O1630" s="2008"/>
      <c r="P1630" s="2008"/>
      <c r="Q1630" s="2009"/>
      <c r="R1630" s="1345">
        <f>R1628-R1629</f>
        <v>0</v>
      </c>
      <c r="S1630" s="1346" t="str">
        <f>L1628</f>
        <v>M</v>
      </c>
      <c r="T1630" s="373"/>
      <c r="U1630" s="486"/>
      <c r="V1630" s="1418">
        <f>R1630</f>
        <v>0</v>
      </c>
      <c r="AB1630" s="15"/>
    </row>
    <row r="1631" spans="1:36" s="77" customFormat="1" ht="15.6" hidden="1">
      <c r="A1631" s="370"/>
      <c r="B1631" s="1347"/>
      <c r="C1631" s="1348"/>
      <c r="D1631" s="1349"/>
      <c r="E1631" s="1350"/>
      <c r="F1631" s="1349"/>
      <c r="G1631" s="1349"/>
      <c r="H1631" s="1349"/>
      <c r="I1631" s="1349"/>
      <c r="J1631" s="1351"/>
      <c r="K1631" s="1352"/>
      <c r="L1631" s="1353"/>
      <c r="M1631" s="1354"/>
      <c r="N1631" s="1354"/>
      <c r="O1631" s="1354"/>
      <c r="P1631" s="1354"/>
      <c r="Q1631" s="1354"/>
      <c r="R1631" s="1355"/>
      <c r="S1631" s="1356"/>
      <c r="T1631" s="1357"/>
      <c r="U1631" s="1358"/>
      <c r="V1631" s="1420">
        <f>SUM(V1622:V1630)</f>
        <v>0</v>
      </c>
      <c r="AB1631" s="15"/>
    </row>
    <row r="1632" spans="1:36" s="352" customFormat="1" ht="15.6" hidden="1">
      <c r="A1632" s="351"/>
      <c r="B1632" s="1963" t="str">
        <f>VLOOKUP(A1640,'11 - FINANCEIRA'!_xlnm.Print_Area,1,FALSE)</f>
        <v>2.3.8.6</v>
      </c>
      <c r="C1632" s="1965" t="str">
        <f>VLOOKUP(A1640,'11 - FINANCEIRA'!_xlnm.Print_Area,3,FALSE)</f>
        <v>Fabricação e instalação de estrutura pontaletada de madeira não aparelhada para telhados com até 2 águas e para telha cerâmica ou de concreto, incluso transporte vertical. af_12/2015</v>
      </c>
      <c r="D1632" s="1967" t="s">
        <v>1503</v>
      </c>
      <c r="E1632" s="1968"/>
      <c r="F1632" s="1968"/>
      <c r="G1632" s="1968"/>
      <c r="H1632" s="1968"/>
      <c r="I1632" s="1969"/>
      <c r="J1632" s="1914" t="s">
        <v>1504</v>
      </c>
      <c r="K1632" s="1914" t="s">
        <v>1505</v>
      </c>
      <c r="L1632" s="1914" t="s">
        <v>1506</v>
      </c>
      <c r="M1632" s="1914" t="s">
        <v>1507</v>
      </c>
      <c r="N1632" s="1914" t="s">
        <v>1508</v>
      </c>
      <c r="O1632" s="1914" t="s">
        <v>1509</v>
      </c>
      <c r="P1632" s="1341" t="s">
        <v>1510</v>
      </c>
      <c r="Q1632" s="1914" t="s">
        <v>1493</v>
      </c>
      <c r="R1632" s="1916" t="s">
        <v>804</v>
      </c>
      <c r="S1632" s="1914" t="s">
        <v>1511</v>
      </c>
      <c r="T1632" s="1914" t="s">
        <v>1512</v>
      </c>
      <c r="U1632" s="1918" t="s">
        <v>1513</v>
      </c>
      <c r="V1632" s="1418">
        <f t="shared" ref="V1632:V1639" si="168">V1633</f>
        <v>0</v>
      </c>
      <c r="W1632" s="16"/>
      <c r="X1632" s="16"/>
      <c r="Y1632" s="16"/>
      <c r="Z1632" s="17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</row>
    <row r="1633" spans="1:36" s="352" customFormat="1" ht="15.6" hidden="1">
      <c r="A1633" s="351"/>
      <c r="B1633" s="1964" t="e">
        <f>LEFT(#REF!,5)</f>
        <v>#REF!</v>
      </c>
      <c r="C1633" s="1966" t="e">
        <f>VLOOKUP(LEFT(#REF!,5),'11 - FINANCEIRA'!_xlnm.Print_Area,2,FALSE)</f>
        <v>#REF!</v>
      </c>
      <c r="D1633" s="1920" t="s">
        <v>1514</v>
      </c>
      <c r="E1633" s="1921"/>
      <c r="F1633" s="1922"/>
      <c r="G1633" s="1923" t="s">
        <v>1515</v>
      </c>
      <c r="H1633" s="1924"/>
      <c r="I1633" s="1925"/>
      <c r="J1633" s="1915"/>
      <c r="K1633" s="1915"/>
      <c r="L1633" s="1915"/>
      <c r="M1633" s="1915"/>
      <c r="N1633" s="1915"/>
      <c r="O1633" s="1915"/>
      <c r="P1633" s="353" t="s">
        <v>1516</v>
      </c>
      <c r="Q1633" s="1915"/>
      <c r="R1633" s="1917"/>
      <c r="S1633" s="1915"/>
      <c r="T1633" s="1915"/>
      <c r="U1633" s="1919"/>
      <c r="V1633" s="1418">
        <f t="shared" si="168"/>
        <v>0</v>
      </c>
      <c r="W1633" s="16"/>
      <c r="X1633" s="16"/>
      <c r="Y1633" s="16"/>
      <c r="Z1633" s="17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</row>
    <row r="1634" spans="1:36" s="361" customFormat="1" ht="45" hidden="1">
      <c r="A1634" s="354"/>
      <c r="B1634" s="355"/>
      <c r="C1634" s="32" t="s">
        <v>912</v>
      </c>
      <c r="D1634" s="33"/>
      <c r="E1634" s="34"/>
      <c r="F1634" s="35"/>
      <c r="G1634" s="33"/>
      <c r="H1634" s="34"/>
      <c r="I1634" s="35"/>
      <c r="J1634" s="43"/>
      <c r="K1634" s="42"/>
      <c r="L1634" s="39"/>
      <c r="M1634" s="41"/>
      <c r="N1634" s="356"/>
      <c r="O1634" s="40"/>
      <c r="P1634" s="39"/>
      <c r="Q1634" s="45"/>
      <c r="R1634" s="1359">
        <v>14</v>
      </c>
      <c r="S1634" s="1265" t="s">
        <v>821</v>
      </c>
      <c r="T1634" s="46" t="s">
        <v>54</v>
      </c>
      <c r="U1634" s="44"/>
      <c r="V1634" s="1418">
        <f t="shared" si="168"/>
        <v>0</v>
      </c>
      <c r="W1634" s="357"/>
      <c r="X1634" s="357"/>
      <c r="Y1634" s="357"/>
      <c r="Z1634" s="358"/>
      <c r="AA1634" s="359"/>
      <c r="AB1634" s="360"/>
    </row>
    <row r="1635" spans="1:36" s="361" customFormat="1" ht="15" hidden="1" customHeight="1">
      <c r="A1635" s="354"/>
      <c r="B1635" s="355"/>
      <c r="C1635" s="32"/>
      <c r="D1635" s="33"/>
      <c r="E1635" s="34"/>
      <c r="F1635" s="35"/>
      <c r="G1635" s="33"/>
      <c r="H1635" s="34"/>
      <c r="I1635" s="35"/>
      <c r="J1635" s="43"/>
      <c r="K1635" s="42"/>
      <c r="L1635" s="39"/>
      <c r="M1635" s="41"/>
      <c r="N1635" s="356"/>
      <c r="O1635" s="40"/>
      <c r="P1635" s="39"/>
      <c r="Q1635" s="45"/>
      <c r="R1635" s="362"/>
      <c r="S1635" s="363"/>
      <c r="T1635" s="46"/>
      <c r="U1635" s="44"/>
      <c r="V1635" s="1418">
        <f t="shared" si="168"/>
        <v>0</v>
      </c>
      <c r="W1635" s="357"/>
      <c r="X1635" s="357"/>
      <c r="Y1635" s="357"/>
      <c r="Z1635" s="358"/>
      <c r="AA1635" s="359"/>
      <c r="AB1635" s="360"/>
    </row>
    <row r="1636" spans="1:36" s="369" customFormat="1" ht="15" hidden="1">
      <c r="A1636" s="364"/>
      <c r="B1636" s="355"/>
      <c r="C1636" s="32"/>
      <c r="D1636" s="33"/>
      <c r="E1636" s="34"/>
      <c r="F1636" s="35"/>
      <c r="G1636" s="33"/>
      <c r="H1636" s="34"/>
      <c r="I1636" s="35"/>
      <c r="J1636" s="43"/>
      <c r="K1636" s="42"/>
      <c r="L1636" s="39"/>
      <c r="M1636" s="41"/>
      <c r="N1636" s="40"/>
      <c r="O1636" s="40"/>
      <c r="P1636" s="39"/>
      <c r="Q1636" s="38"/>
      <c r="R1636" s="365"/>
      <c r="S1636" s="366"/>
      <c r="T1636" s="46"/>
      <c r="U1636" s="44"/>
      <c r="V1636" s="1418">
        <f t="shared" si="168"/>
        <v>0</v>
      </c>
      <c r="W1636" s="367"/>
      <c r="X1636" s="367"/>
      <c r="Y1636" s="367"/>
      <c r="Z1636" s="368"/>
    </row>
    <row r="1637" spans="1:36" s="77" customFormat="1" ht="15" hidden="1">
      <c r="A1637" s="370"/>
      <c r="B1637" s="29"/>
      <c r="C1637" s="30"/>
      <c r="D1637" s="18"/>
      <c r="E1637" s="19"/>
      <c r="F1637" s="20"/>
      <c r="G1637" s="18"/>
      <c r="H1637" s="19"/>
      <c r="I1637" s="20"/>
      <c r="J1637" s="21"/>
      <c r="K1637" s="22"/>
      <c r="L1637" s="23"/>
      <c r="M1637" s="24"/>
      <c r="N1637" s="25"/>
      <c r="O1637" s="25"/>
      <c r="P1637" s="23"/>
      <c r="Q1637" s="26"/>
      <c r="R1637" s="371"/>
      <c r="S1637" s="27"/>
      <c r="T1637" s="372"/>
      <c r="U1637" s="31"/>
      <c r="V1637" s="1418">
        <f t="shared" si="168"/>
        <v>0</v>
      </c>
      <c r="AB1637" s="15"/>
    </row>
    <row r="1638" spans="1:36" s="77" customFormat="1" ht="15.6" hidden="1">
      <c r="A1638" s="370"/>
      <c r="B1638" s="499"/>
      <c r="C1638" s="37"/>
      <c r="D1638" s="1929" t="s">
        <v>1520</v>
      </c>
      <c r="E1638" s="1930"/>
      <c r="F1638" s="1930"/>
      <c r="G1638" s="1930"/>
      <c r="H1638" s="1930"/>
      <c r="I1638" s="1931"/>
      <c r="J1638" s="1932">
        <f>VLOOKUP(A1640,'11 - FINANCEIRA'!_xlnm.Print_Area,6,FALSE)</f>
        <v>14</v>
      </c>
      <c r="K1638" s="1933"/>
      <c r="L1638" s="1343" t="str">
        <f>VLOOKUP(A1640,'11 - FINANCEIRA'!_xlnm.Print_Area,4,FALSE)</f>
        <v>m²</v>
      </c>
      <c r="M1638" s="1934" t="s">
        <v>1521</v>
      </c>
      <c r="N1638" s="1935"/>
      <c r="O1638" s="1935"/>
      <c r="P1638" s="1935"/>
      <c r="Q1638" s="1936"/>
      <c r="R1638" s="726">
        <f>SUM(R1634:R1637)</f>
        <v>14</v>
      </c>
      <c r="S1638" s="1344" t="str">
        <f>L1638</f>
        <v>m²</v>
      </c>
      <c r="T1638" s="373"/>
      <c r="U1638" s="486"/>
      <c r="V1638" s="1418">
        <f t="shared" si="168"/>
        <v>0</v>
      </c>
      <c r="AB1638" s="15"/>
    </row>
    <row r="1639" spans="1:36" s="77" customFormat="1" ht="15.6" hidden="1">
      <c r="A1639" s="370"/>
      <c r="B1639" s="499"/>
      <c r="C1639" s="725"/>
      <c r="D1639" s="1937" t="s">
        <v>1522</v>
      </c>
      <c r="E1639" s="1938"/>
      <c r="F1639" s="1938"/>
      <c r="G1639" s="1938"/>
      <c r="H1639" s="1938"/>
      <c r="I1639" s="1939"/>
      <c r="J1639" s="1943">
        <f>R1638/J1638</f>
        <v>1</v>
      </c>
      <c r="K1639" s="1944"/>
      <c r="L1639" s="1947"/>
      <c r="M1639" s="1934" t="s">
        <v>1523</v>
      </c>
      <c r="N1639" s="1935"/>
      <c r="O1639" s="1935"/>
      <c r="P1639" s="1935"/>
      <c r="Q1639" s="1936"/>
      <c r="R1639" s="726">
        <f>VLOOKUP(A1640,'11 - FINANCEIRA'!_xlnm.Print_Area,8,FALSE)</f>
        <v>14</v>
      </c>
      <c r="S1639" s="727" t="str">
        <f>L1638</f>
        <v>m²</v>
      </c>
      <c r="T1639" s="373"/>
      <c r="U1639" s="486"/>
      <c r="V1639" s="1418">
        <f t="shared" si="168"/>
        <v>0</v>
      </c>
      <c r="AB1639" s="15"/>
    </row>
    <row r="1640" spans="1:36" s="77" customFormat="1" ht="15.6" hidden="1">
      <c r="A1640" s="364" t="s">
        <v>462</v>
      </c>
      <c r="B1640" s="499"/>
      <c r="C1640" s="37"/>
      <c r="D1640" s="2013"/>
      <c r="E1640" s="2014"/>
      <c r="F1640" s="2014"/>
      <c r="G1640" s="2014"/>
      <c r="H1640" s="2014"/>
      <c r="I1640" s="2015"/>
      <c r="J1640" s="2016"/>
      <c r="K1640" s="2017"/>
      <c r="L1640" s="1962"/>
      <c r="M1640" s="2007" t="s">
        <v>1524</v>
      </c>
      <c r="N1640" s="2008"/>
      <c r="O1640" s="2008"/>
      <c r="P1640" s="2008"/>
      <c r="Q1640" s="2009"/>
      <c r="R1640" s="1345">
        <f>R1638-R1639</f>
        <v>0</v>
      </c>
      <c r="S1640" s="1346" t="str">
        <f>L1638</f>
        <v>m²</v>
      </c>
      <c r="T1640" s="373"/>
      <c r="U1640" s="486"/>
      <c r="V1640" s="1418">
        <f>R1640</f>
        <v>0</v>
      </c>
      <c r="AB1640" s="15"/>
    </row>
    <row r="1641" spans="1:36" s="77" customFormat="1" ht="15.6" hidden="1">
      <c r="A1641" s="370"/>
      <c r="B1641" s="1347"/>
      <c r="C1641" s="1348"/>
      <c r="D1641" s="1349"/>
      <c r="E1641" s="1350"/>
      <c r="F1641" s="1349"/>
      <c r="G1641" s="1349"/>
      <c r="H1641" s="1349"/>
      <c r="I1641" s="1349"/>
      <c r="J1641" s="1351"/>
      <c r="K1641" s="1352"/>
      <c r="L1641" s="1353"/>
      <c r="M1641" s="1354"/>
      <c r="N1641" s="1354"/>
      <c r="O1641" s="1354"/>
      <c r="P1641" s="1354"/>
      <c r="Q1641" s="1354"/>
      <c r="R1641" s="1355"/>
      <c r="S1641" s="1356"/>
      <c r="T1641" s="1357"/>
      <c r="U1641" s="1358"/>
      <c r="V1641" s="1420">
        <f>SUM(V1632:V1640)</f>
        <v>0</v>
      </c>
      <c r="AB1641" s="15"/>
    </row>
    <row r="1642" spans="1:36" s="352" customFormat="1" ht="15.6" hidden="1">
      <c r="A1642" s="351"/>
      <c r="B1642" s="1963" t="str">
        <f>VLOOKUP(A1650,'11 - FINANCEIRA'!_xlnm.Print_Area,1,FALSE)</f>
        <v>2.3.8.7</v>
      </c>
      <c r="C1642" s="1965" t="str">
        <f>VLOOKUP(A1650,'11 - FINANCEIRA'!_xlnm.Print_Area,3,FALSE)</f>
        <v>Telhamento com telha cerâmica capa-canal, tipo colonial, com até 2 águas, incluso transporte vertical. af_07/2019</v>
      </c>
      <c r="D1642" s="1967" t="s">
        <v>1503</v>
      </c>
      <c r="E1642" s="1968"/>
      <c r="F1642" s="1968"/>
      <c r="G1642" s="1968"/>
      <c r="H1642" s="1968"/>
      <c r="I1642" s="1969"/>
      <c r="J1642" s="1914" t="s">
        <v>1504</v>
      </c>
      <c r="K1642" s="1914" t="s">
        <v>1505</v>
      </c>
      <c r="L1642" s="1914" t="s">
        <v>1506</v>
      </c>
      <c r="M1642" s="1914" t="s">
        <v>1507</v>
      </c>
      <c r="N1642" s="1914" t="s">
        <v>1508</v>
      </c>
      <c r="O1642" s="1914" t="s">
        <v>1509</v>
      </c>
      <c r="P1642" s="1341" t="s">
        <v>1510</v>
      </c>
      <c r="Q1642" s="1914" t="s">
        <v>1493</v>
      </c>
      <c r="R1642" s="1916" t="s">
        <v>804</v>
      </c>
      <c r="S1642" s="1914" t="s">
        <v>1511</v>
      </c>
      <c r="T1642" s="1914" t="s">
        <v>1512</v>
      </c>
      <c r="U1642" s="1918" t="s">
        <v>1513</v>
      </c>
      <c r="V1642" s="1418">
        <f t="shared" ref="V1642:V1649" si="169">V1643</f>
        <v>0</v>
      </c>
      <c r="W1642" s="16"/>
      <c r="X1642" s="16"/>
      <c r="Y1642" s="16"/>
      <c r="Z1642" s="17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</row>
    <row r="1643" spans="1:36" s="352" customFormat="1" ht="15.6" hidden="1">
      <c r="A1643" s="351"/>
      <c r="B1643" s="1964" t="e">
        <f>LEFT(#REF!,5)</f>
        <v>#REF!</v>
      </c>
      <c r="C1643" s="1966" t="e">
        <f>VLOOKUP(LEFT(#REF!,5),'11 - FINANCEIRA'!_xlnm.Print_Area,2,FALSE)</f>
        <v>#REF!</v>
      </c>
      <c r="D1643" s="1920" t="s">
        <v>1514</v>
      </c>
      <c r="E1643" s="1921"/>
      <c r="F1643" s="1922"/>
      <c r="G1643" s="1923" t="s">
        <v>1515</v>
      </c>
      <c r="H1643" s="1924"/>
      <c r="I1643" s="1925"/>
      <c r="J1643" s="1915"/>
      <c r="K1643" s="1915"/>
      <c r="L1643" s="1915"/>
      <c r="M1643" s="1915"/>
      <c r="N1643" s="1915"/>
      <c r="O1643" s="1915"/>
      <c r="P1643" s="353" t="s">
        <v>1516</v>
      </c>
      <c r="Q1643" s="1915"/>
      <c r="R1643" s="1917"/>
      <c r="S1643" s="1915"/>
      <c r="T1643" s="1915"/>
      <c r="U1643" s="1919"/>
      <c r="V1643" s="1418">
        <f t="shared" si="169"/>
        <v>0</v>
      </c>
      <c r="W1643" s="16"/>
      <c r="X1643" s="16"/>
      <c r="Y1643" s="16"/>
      <c r="Z1643" s="17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</row>
    <row r="1644" spans="1:36" s="361" customFormat="1" ht="30" hidden="1">
      <c r="A1644" s="354"/>
      <c r="B1644" s="355"/>
      <c r="C1644" s="32" t="s">
        <v>910</v>
      </c>
      <c r="D1644" s="33"/>
      <c r="E1644" s="34"/>
      <c r="F1644" s="35"/>
      <c r="G1644" s="33"/>
      <c r="H1644" s="34"/>
      <c r="I1644" s="35"/>
      <c r="J1644" s="43"/>
      <c r="K1644" s="42"/>
      <c r="L1644" s="39"/>
      <c r="M1644" s="41"/>
      <c r="N1644" s="356"/>
      <c r="O1644" s="40"/>
      <c r="P1644" s="39"/>
      <c r="Q1644" s="45"/>
      <c r="R1644" s="1359">
        <v>14</v>
      </c>
      <c r="S1644" s="1265" t="s">
        <v>821</v>
      </c>
      <c r="T1644" s="46" t="s">
        <v>54</v>
      </c>
      <c r="U1644" s="44"/>
      <c r="V1644" s="1418">
        <f t="shared" si="169"/>
        <v>0</v>
      </c>
      <c r="W1644" s="357"/>
      <c r="X1644" s="357"/>
      <c r="Y1644" s="357"/>
      <c r="Z1644" s="358"/>
      <c r="AA1644" s="359"/>
      <c r="AB1644" s="360"/>
    </row>
    <row r="1645" spans="1:36" s="361" customFormat="1" ht="15" hidden="1" customHeight="1">
      <c r="A1645" s="354"/>
      <c r="B1645" s="355"/>
      <c r="C1645" s="32"/>
      <c r="D1645" s="33"/>
      <c r="E1645" s="34"/>
      <c r="F1645" s="35"/>
      <c r="G1645" s="33"/>
      <c r="H1645" s="34"/>
      <c r="I1645" s="35"/>
      <c r="J1645" s="43"/>
      <c r="K1645" s="42"/>
      <c r="L1645" s="39"/>
      <c r="M1645" s="41"/>
      <c r="N1645" s="356"/>
      <c r="O1645" s="40"/>
      <c r="P1645" s="39"/>
      <c r="Q1645" s="45"/>
      <c r="R1645" s="362"/>
      <c r="S1645" s="363"/>
      <c r="T1645" s="46"/>
      <c r="U1645" s="44"/>
      <c r="V1645" s="1418">
        <f t="shared" si="169"/>
        <v>0</v>
      </c>
      <c r="W1645" s="357"/>
      <c r="X1645" s="357"/>
      <c r="Y1645" s="357"/>
      <c r="Z1645" s="358"/>
      <c r="AA1645" s="359"/>
      <c r="AB1645" s="360"/>
    </row>
    <row r="1646" spans="1:36" s="369" customFormat="1" ht="15" hidden="1">
      <c r="A1646" s="364"/>
      <c r="B1646" s="355"/>
      <c r="C1646" s="32"/>
      <c r="D1646" s="33"/>
      <c r="E1646" s="34"/>
      <c r="F1646" s="35"/>
      <c r="G1646" s="33"/>
      <c r="H1646" s="34"/>
      <c r="I1646" s="35"/>
      <c r="J1646" s="43"/>
      <c r="K1646" s="42"/>
      <c r="L1646" s="39"/>
      <c r="M1646" s="41"/>
      <c r="N1646" s="40"/>
      <c r="O1646" s="40"/>
      <c r="P1646" s="39"/>
      <c r="Q1646" s="38"/>
      <c r="R1646" s="365"/>
      <c r="S1646" s="366"/>
      <c r="T1646" s="46"/>
      <c r="U1646" s="44"/>
      <c r="V1646" s="1418">
        <f t="shared" si="169"/>
        <v>0</v>
      </c>
      <c r="W1646" s="367"/>
      <c r="X1646" s="367"/>
      <c r="Y1646" s="367"/>
      <c r="Z1646" s="368"/>
    </row>
    <row r="1647" spans="1:36" s="77" customFormat="1" ht="15" hidden="1">
      <c r="A1647" s="370"/>
      <c r="B1647" s="29"/>
      <c r="C1647" s="30"/>
      <c r="D1647" s="18"/>
      <c r="E1647" s="19"/>
      <c r="F1647" s="20"/>
      <c r="G1647" s="18"/>
      <c r="H1647" s="19"/>
      <c r="I1647" s="20"/>
      <c r="J1647" s="21"/>
      <c r="K1647" s="22"/>
      <c r="L1647" s="23"/>
      <c r="M1647" s="24"/>
      <c r="N1647" s="25"/>
      <c r="O1647" s="25"/>
      <c r="P1647" s="23"/>
      <c r="Q1647" s="26"/>
      <c r="R1647" s="371"/>
      <c r="S1647" s="27"/>
      <c r="T1647" s="372"/>
      <c r="U1647" s="31"/>
      <c r="V1647" s="1418">
        <f t="shared" si="169"/>
        <v>0</v>
      </c>
      <c r="AB1647" s="15"/>
    </row>
    <row r="1648" spans="1:36" s="77" customFormat="1" ht="15.6" hidden="1">
      <c r="A1648" s="370"/>
      <c r="B1648" s="499"/>
      <c r="C1648" s="37"/>
      <c r="D1648" s="1929" t="s">
        <v>1520</v>
      </c>
      <c r="E1648" s="1930"/>
      <c r="F1648" s="1930"/>
      <c r="G1648" s="1930"/>
      <c r="H1648" s="1930"/>
      <c r="I1648" s="1931"/>
      <c r="J1648" s="1932">
        <f>VLOOKUP(A1650,'11 - FINANCEIRA'!_xlnm.Print_Area,6,FALSE)</f>
        <v>14</v>
      </c>
      <c r="K1648" s="1933"/>
      <c r="L1648" s="1343" t="str">
        <f>VLOOKUP(A1650,'11 - FINANCEIRA'!_xlnm.Print_Area,4,FALSE)</f>
        <v>m²</v>
      </c>
      <c r="M1648" s="1934" t="s">
        <v>1521</v>
      </c>
      <c r="N1648" s="1935"/>
      <c r="O1648" s="1935"/>
      <c r="P1648" s="1935"/>
      <c r="Q1648" s="1936"/>
      <c r="R1648" s="726">
        <f>SUM(R1644:R1647)</f>
        <v>14</v>
      </c>
      <c r="S1648" s="1344" t="str">
        <f>L1648</f>
        <v>m²</v>
      </c>
      <c r="T1648" s="373"/>
      <c r="U1648" s="486"/>
      <c r="V1648" s="1418">
        <f t="shared" si="169"/>
        <v>0</v>
      </c>
      <c r="AB1648" s="15"/>
    </row>
    <row r="1649" spans="1:36" s="77" customFormat="1" ht="15.6" hidden="1">
      <c r="A1649" s="370"/>
      <c r="B1649" s="499"/>
      <c r="C1649" s="725"/>
      <c r="D1649" s="1937" t="s">
        <v>1522</v>
      </c>
      <c r="E1649" s="1938"/>
      <c r="F1649" s="1938"/>
      <c r="G1649" s="1938"/>
      <c r="H1649" s="1938"/>
      <c r="I1649" s="1939"/>
      <c r="J1649" s="1943">
        <f>R1648/J1648</f>
        <v>1</v>
      </c>
      <c r="K1649" s="1944"/>
      <c r="L1649" s="1947"/>
      <c r="M1649" s="1934" t="s">
        <v>1523</v>
      </c>
      <c r="N1649" s="1935"/>
      <c r="O1649" s="1935"/>
      <c r="P1649" s="1935"/>
      <c r="Q1649" s="1936"/>
      <c r="R1649" s="726">
        <f>VLOOKUP(A1650,'11 - FINANCEIRA'!_xlnm.Print_Area,8,FALSE)</f>
        <v>14</v>
      </c>
      <c r="S1649" s="727" t="str">
        <f>L1648</f>
        <v>m²</v>
      </c>
      <c r="T1649" s="373"/>
      <c r="U1649" s="486"/>
      <c r="V1649" s="1418">
        <f t="shared" si="169"/>
        <v>0</v>
      </c>
      <c r="AB1649" s="15"/>
    </row>
    <row r="1650" spans="1:36" s="77" customFormat="1" ht="15.6" hidden="1">
      <c r="A1650" s="364" t="s">
        <v>463</v>
      </c>
      <c r="B1650" s="499"/>
      <c r="C1650" s="37"/>
      <c r="D1650" s="2013"/>
      <c r="E1650" s="2014"/>
      <c r="F1650" s="2014"/>
      <c r="G1650" s="2014"/>
      <c r="H1650" s="2014"/>
      <c r="I1650" s="2015"/>
      <c r="J1650" s="2016"/>
      <c r="K1650" s="2017"/>
      <c r="L1650" s="1962"/>
      <c r="M1650" s="2007" t="s">
        <v>1524</v>
      </c>
      <c r="N1650" s="2008"/>
      <c r="O1650" s="2008"/>
      <c r="P1650" s="2008"/>
      <c r="Q1650" s="2009"/>
      <c r="R1650" s="1345">
        <f>R1648-R1649</f>
        <v>0</v>
      </c>
      <c r="S1650" s="1346" t="str">
        <f>L1648</f>
        <v>m²</v>
      </c>
      <c r="T1650" s="373"/>
      <c r="U1650" s="486"/>
      <c r="V1650" s="1418">
        <f>R1650</f>
        <v>0</v>
      </c>
      <c r="AB1650" s="15"/>
    </row>
    <row r="1651" spans="1:36" s="77" customFormat="1" ht="15.6" hidden="1">
      <c r="A1651" s="370"/>
      <c r="B1651" s="1347"/>
      <c r="C1651" s="1348"/>
      <c r="D1651" s="1349"/>
      <c r="E1651" s="1350"/>
      <c r="F1651" s="1349"/>
      <c r="G1651" s="1349"/>
      <c r="H1651" s="1349"/>
      <c r="I1651" s="1349"/>
      <c r="J1651" s="1351"/>
      <c r="K1651" s="1352"/>
      <c r="L1651" s="1353"/>
      <c r="M1651" s="1354"/>
      <c r="N1651" s="1354"/>
      <c r="O1651" s="1354"/>
      <c r="P1651" s="1354"/>
      <c r="Q1651" s="1354"/>
      <c r="R1651" s="1355"/>
      <c r="S1651" s="1356"/>
      <c r="T1651" s="1357"/>
      <c r="U1651" s="1358"/>
      <c r="V1651" s="1420">
        <f>SUM(V1642:V1650)</f>
        <v>0</v>
      </c>
      <c r="AB1651" s="15"/>
    </row>
    <row r="1652" spans="1:36" s="352" customFormat="1" ht="15.6" hidden="1">
      <c r="A1652" s="351"/>
      <c r="B1652" s="1963" t="str">
        <f>VLOOKUP(A1660,'11 - FINANCEIRA'!_xlnm.Print_Area,1,FALSE)</f>
        <v>2.3.8.8</v>
      </c>
      <c r="C1652" s="1965" t="str">
        <f>VLOOKUP(A1660,'11 - FINANCEIRA'!_xlnm.Print_Area,3,FALSE)</f>
        <v>Aplicação manual de pintura com tinta látex acrílica em paredes, duas demãos. af_06/2014</v>
      </c>
      <c r="D1652" s="1967" t="s">
        <v>1503</v>
      </c>
      <c r="E1652" s="1968"/>
      <c r="F1652" s="1968"/>
      <c r="G1652" s="1968"/>
      <c r="H1652" s="1968"/>
      <c r="I1652" s="1969"/>
      <c r="J1652" s="1914" t="s">
        <v>1504</v>
      </c>
      <c r="K1652" s="1914" t="s">
        <v>1505</v>
      </c>
      <c r="L1652" s="1914" t="s">
        <v>1506</v>
      </c>
      <c r="M1652" s="1914" t="s">
        <v>1507</v>
      </c>
      <c r="N1652" s="1914" t="s">
        <v>1508</v>
      </c>
      <c r="O1652" s="1914" t="s">
        <v>1509</v>
      </c>
      <c r="P1652" s="1341" t="s">
        <v>1510</v>
      </c>
      <c r="Q1652" s="1914" t="s">
        <v>1493</v>
      </c>
      <c r="R1652" s="1916" t="s">
        <v>804</v>
      </c>
      <c r="S1652" s="1914" t="s">
        <v>1511</v>
      </c>
      <c r="T1652" s="1914" t="s">
        <v>1512</v>
      </c>
      <c r="U1652" s="1918" t="s">
        <v>1513</v>
      </c>
      <c r="V1652" s="1418">
        <f t="shared" ref="V1652:V1659" si="170">V1653</f>
        <v>0</v>
      </c>
      <c r="W1652" s="16"/>
      <c r="X1652" s="16"/>
      <c r="Y1652" s="16"/>
      <c r="Z1652" s="17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</row>
    <row r="1653" spans="1:36" s="352" customFormat="1" ht="15.6" hidden="1">
      <c r="A1653" s="351"/>
      <c r="B1653" s="1964" t="e">
        <f>LEFT(#REF!,5)</f>
        <v>#REF!</v>
      </c>
      <c r="C1653" s="1966" t="e">
        <f>VLOOKUP(LEFT(#REF!,5),'11 - FINANCEIRA'!_xlnm.Print_Area,2,FALSE)</f>
        <v>#REF!</v>
      </c>
      <c r="D1653" s="1920" t="s">
        <v>1514</v>
      </c>
      <c r="E1653" s="1921"/>
      <c r="F1653" s="1922"/>
      <c r="G1653" s="1923" t="s">
        <v>1515</v>
      </c>
      <c r="H1653" s="1924"/>
      <c r="I1653" s="1925"/>
      <c r="J1653" s="1915"/>
      <c r="K1653" s="1915"/>
      <c r="L1653" s="1915"/>
      <c r="M1653" s="1915"/>
      <c r="N1653" s="1915"/>
      <c r="O1653" s="1915"/>
      <c r="P1653" s="353" t="s">
        <v>1516</v>
      </c>
      <c r="Q1653" s="1915"/>
      <c r="R1653" s="1917"/>
      <c r="S1653" s="1915"/>
      <c r="T1653" s="1915"/>
      <c r="U1653" s="1919"/>
      <c r="V1653" s="1418">
        <f t="shared" si="170"/>
        <v>0</v>
      </c>
      <c r="W1653" s="16"/>
      <c r="X1653" s="16"/>
      <c r="Y1653" s="16"/>
      <c r="Z1653" s="17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</row>
    <row r="1654" spans="1:36" s="361" customFormat="1" ht="15" hidden="1" customHeight="1">
      <c r="A1654" s="354"/>
      <c r="B1654" s="355"/>
      <c r="C1654" s="32" t="s">
        <v>920</v>
      </c>
      <c r="D1654" s="33"/>
      <c r="E1654" s="34"/>
      <c r="F1654" s="35"/>
      <c r="G1654" s="33"/>
      <c r="H1654" s="34"/>
      <c r="I1654" s="35"/>
      <c r="J1654" s="43"/>
      <c r="K1654" s="42"/>
      <c r="L1654" s="39"/>
      <c r="M1654" s="41"/>
      <c r="N1654" s="356"/>
      <c r="O1654" s="40"/>
      <c r="P1654" s="39"/>
      <c r="Q1654" s="45"/>
      <c r="R1654" s="1359">
        <v>60.35</v>
      </c>
      <c r="S1654" s="1265" t="s">
        <v>821</v>
      </c>
      <c r="T1654" s="46" t="s">
        <v>54</v>
      </c>
      <c r="U1654" s="44"/>
      <c r="V1654" s="1418">
        <f t="shared" si="170"/>
        <v>0</v>
      </c>
      <c r="W1654" s="357"/>
      <c r="X1654" s="357"/>
      <c r="Y1654" s="357"/>
      <c r="Z1654" s="358"/>
      <c r="AA1654" s="359"/>
      <c r="AB1654" s="360"/>
    </row>
    <row r="1655" spans="1:36" s="361" customFormat="1" ht="15" hidden="1" customHeight="1">
      <c r="A1655" s="354"/>
      <c r="B1655" s="355"/>
      <c r="C1655" s="32"/>
      <c r="D1655" s="33"/>
      <c r="E1655" s="34"/>
      <c r="F1655" s="35"/>
      <c r="G1655" s="33"/>
      <c r="H1655" s="34"/>
      <c r="I1655" s="35"/>
      <c r="J1655" s="43"/>
      <c r="K1655" s="42"/>
      <c r="L1655" s="39"/>
      <c r="M1655" s="41"/>
      <c r="N1655" s="356"/>
      <c r="O1655" s="40"/>
      <c r="P1655" s="39"/>
      <c r="Q1655" s="45"/>
      <c r="R1655" s="362"/>
      <c r="S1655" s="363"/>
      <c r="T1655" s="46"/>
      <c r="U1655" s="44"/>
      <c r="V1655" s="1418">
        <f t="shared" si="170"/>
        <v>0</v>
      </c>
      <c r="W1655" s="357"/>
      <c r="X1655" s="357"/>
      <c r="Y1655" s="357"/>
      <c r="Z1655" s="358"/>
      <c r="AA1655" s="359"/>
      <c r="AB1655" s="360"/>
    </row>
    <row r="1656" spans="1:36" s="369" customFormat="1" ht="15" hidden="1">
      <c r="A1656" s="364"/>
      <c r="B1656" s="355"/>
      <c r="C1656" s="32"/>
      <c r="D1656" s="33"/>
      <c r="E1656" s="34"/>
      <c r="F1656" s="35"/>
      <c r="G1656" s="33"/>
      <c r="H1656" s="34"/>
      <c r="I1656" s="35"/>
      <c r="J1656" s="43"/>
      <c r="K1656" s="42"/>
      <c r="L1656" s="39"/>
      <c r="M1656" s="41"/>
      <c r="N1656" s="40"/>
      <c r="O1656" s="40"/>
      <c r="P1656" s="39"/>
      <c r="Q1656" s="38"/>
      <c r="R1656" s="365"/>
      <c r="S1656" s="366"/>
      <c r="T1656" s="46"/>
      <c r="U1656" s="44"/>
      <c r="V1656" s="1418">
        <f t="shared" si="170"/>
        <v>0</v>
      </c>
      <c r="W1656" s="367"/>
      <c r="X1656" s="367"/>
      <c r="Y1656" s="367"/>
      <c r="Z1656" s="368"/>
    </row>
    <row r="1657" spans="1:36" s="77" customFormat="1" ht="15" hidden="1">
      <c r="A1657" s="370"/>
      <c r="B1657" s="29"/>
      <c r="C1657" s="30"/>
      <c r="D1657" s="18"/>
      <c r="E1657" s="19"/>
      <c r="F1657" s="20"/>
      <c r="G1657" s="18"/>
      <c r="H1657" s="19"/>
      <c r="I1657" s="20"/>
      <c r="J1657" s="21"/>
      <c r="K1657" s="22"/>
      <c r="L1657" s="23"/>
      <c r="M1657" s="24"/>
      <c r="N1657" s="25"/>
      <c r="O1657" s="25"/>
      <c r="P1657" s="23"/>
      <c r="Q1657" s="26"/>
      <c r="R1657" s="371"/>
      <c r="S1657" s="27"/>
      <c r="T1657" s="372"/>
      <c r="U1657" s="31"/>
      <c r="V1657" s="1418">
        <f t="shared" si="170"/>
        <v>0</v>
      </c>
      <c r="AB1657" s="15"/>
    </row>
    <row r="1658" spans="1:36" s="77" customFormat="1" ht="15.6" hidden="1">
      <c r="A1658" s="370"/>
      <c r="B1658" s="499"/>
      <c r="C1658" s="37"/>
      <c r="D1658" s="1929" t="s">
        <v>1520</v>
      </c>
      <c r="E1658" s="1930"/>
      <c r="F1658" s="1930"/>
      <c r="G1658" s="1930"/>
      <c r="H1658" s="1930"/>
      <c r="I1658" s="1931"/>
      <c r="J1658" s="1932">
        <f>VLOOKUP(A1660,'11 - FINANCEIRA'!_xlnm.Print_Area,6,FALSE)</f>
        <v>60.35</v>
      </c>
      <c r="K1658" s="1933"/>
      <c r="L1658" s="1343" t="str">
        <f>VLOOKUP(A1660,'11 - FINANCEIRA'!_xlnm.Print_Area,4,FALSE)</f>
        <v>m²</v>
      </c>
      <c r="M1658" s="1934" t="s">
        <v>1521</v>
      </c>
      <c r="N1658" s="1935"/>
      <c r="O1658" s="1935"/>
      <c r="P1658" s="1935"/>
      <c r="Q1658" s="1936"/>
      <c r="R1658" s="726">
        <f>SUM(R1654:R1657)</f>
        <v>60.35</v>
      </c>
      <c r="S1658" s="1344" t="str">
        <f>L1658</f>
        <v>m²</v>
      </c>
      <c r="T1658" s="373"/>
      <c r="U1658" s="486"/>
      <c r="V1658" s="1418">
        <f t="shared" si="170"/>
        <v>0</v>
      </c>
      <c r="AB1658" s="15"/>
    </row>
    <row r="1659" spans="1:36" s="77" customFormat="1" ht="15.6" hidden="1">
      <c r="A1659" s="370"/>
      <c r="B1659" s="499"/>
      <c r="C1659" s="725"/>
      <c r="D1659" s="1937" t="s">
        <v>1522</v>
      </c>
      <c r="E1659" s="1938"/>
      <c r="F1659" s="1938"/>
      <c r="G1659" s="1938"/>
      <c r="H1659" s="1938"/>
      <c r="I1659" s="1939"/>
      <c r="J1659" s="1943">
        <f>R1658/J1658</f>
        <v>1</v>
      </c>
      <c r="K1659" s="1944"/>
      <c r="L1659" s="1947"/>
      <c r="M1659" s="1934" t="s">
        <v>1523</v>
      </c>
      <c r="N1659" s="1935"/>
      <c r="O1659" s="1935"/>
      <c r="P1659" s="1935"/>
      <c r="Q1659" s="1936"/>
      <c r="R1659" s="726">
        <f>VLOOKUP(A1660,'11 - FINANCEIRA'!_xlnm.Print_Area,8,FALSE)</f>
        <v>60.35</v>
      </c>
      <c r="S1659" s="727" t="str">
        <f>L1658</f>
        <v>m²</v>
      </c>
      <c r="T1659" s="373"/>
      <c r="U1659" s="486"/>
      <c r="V1659" s="1418">
        <f t="shared" si="170"/>
        <v>0</v>
      </c>
      <c r="AB1659" s="15"/>
    </row>
    <row r="1660" spans="1:36" s="77" customFormat="1" ht="15.6" hidden="1">
      <c r="A1660" s="364" t="s">
        <v>464</v>
      </c>
      <c r="B1660" s="499"/>
      <c r="C1660" s="37"/>
      <c r="D1660" s="2013"/>
      <c r="E1660" s="2014"/>
      <c r="F1660" s="2014"/>
      <c r="G1660" s="2014"/>
      <c r="H1660" s="2014"/>
      <c r="I1660" s="2015"/>
      <c r="J1660" s="2016"/>
      <c r="K1660" s="2017"/>
      <c r="L1660" s="1962"/>
      <c r="M1660" s="2007" t="s">
        <v>1524</v>
      </c>
      <c r="N1660" s="2008"/>
      <c r="O1660" s="2008"/>
      <c r="P1660" s="2008"/>
      <c r="Q1660" s="2009"/>
      <c r="R1660" s="1345">
        <f>R1658-R1659</f>
        <v>0</v>
      </c>
      <c r="S1660" s="1346" t="str">
        <f>L1658</f>
        <v>m²</v>
      </c>
      <c r="T1660" s="373"/>
      <c r="U1660" s="486"/>
      <c r="V1660" s="1418">
        <f>R1660</f>
        <v>0</v>
      </c>
      <c r="AB1660" s="15"/>
    </row>
    <row r="1661" spans="1:36" s="77" customFormat="1" ht="15.6" hidden="1">
      <c r="A1661" s="370"/>
      <c r="B1661" s="1347"/>
      <c r="C1661" s="1348"/>
      <c r="D1661" s="1349"/>
      <c r="E1661" s="1350"/>
      <c r="F1661" s="1349"/>
      <c r="G1661" s="1349"/>
      <c r="H1661" s="1349"/>
      <c r="I1661" s="1349"/>
      <c r="J1661" s="1351"/>
      <c r="K1661" s="1352"/>
      <c r="L1661" s="1353"/>
      <c r="M1661" s="1354"/>
      <c r="N1661" s="1354"/>
      <c r="O1661" s="1354"/>
      <c r="P1661" s="1354"/>
      <c r="Q1661" s="1354"/>
      <c r="R1661" s="1355"/>
      <c r="S1661" s="1356"/>
      <c r="T1661" s="1357"/>
      <c r="U1661" s="1358"/>
      <c r="V1661" s="1420">
        <f>SUM(V1652:V1660)</f>
        <v>0</v>
      </c>
      <c r="AB1661" s="15"/>
    </row>
    <row r="1662" spans="1:36" s="352" customFormat="1" ht="15.6" hidden="1">
      <c r="A1662" s="351"/>
      <c r="B1662" s="1963" t="str">
        <f>VLOOKUP(A1670,'11 - FINANCEIRA'!_xlnm.Print_Area,1,FALSE)</f>
        <v>2.3.8.9</v>
      </c>
      <c r="C1662" s="1965" t="str">
        <f>VLOOKUP(A1670,'11 - FINANCEIRA'!_xlnm.Print_Area,3,FALSE)</f>
        <v>Revestimento cerâmico para piso com placas tipo esmaltada extra de dimensões 45x45 cm aplicada em ambientes de área menor que 5 m². af_06/2014</v>
      </c>
      <c r="D1662" s="1967" t="s">
        <v>1503</v>
      </c>
      <c r="E1662" s="1968"/>
      <c r="F1662" s="1968"/>
      <c r="G1662" s="1968"/>
      <c r="H1662" s="1968"/>
      <c r="I1662" s="1969"/>
      <c r="J1662" s="1914" t="s">
        <v>1504</v>
      </c>
      <c r="K1662" s="1914" t="s">
        <v>1505</v>
      </c>
      <c r="L1662" s="1914" t="s">
        <v>1506</v>
      </c>
      <c r="M1662" s="1914" t="s">
        <v>1507</v>
      </c>
      <c r="N1662" s="1914" t="s">
        <v>1508</v>
      </c>
      <c r="O1662" s="1914" t="s">
        <v>1509</v>
      </c>
      <c r="P1662" s="1341" t="s">
        <v>1510</v>
      </c>
      <c r="Q1662" s="1914" t="s">
        <v>1493</v>
      </c>
      <c r="R1662" s="1916" t="s">
        <v>804</v>
      </c>
      <c r="S1662" s="1914" t="s">
        <v>1511</v>
      </c>
      <c r="T1662" s="1914" t="s">
        <v>1512</v>
      </c>
      <c r="U1662" s="1918" t="s">
        <v>1513</v>
      </c>
      <c r="V1662" s="1418">
        <f t="shared" ref="V1662:V1669" si="171">V1663</f>
        <v>0</v>
      </c>
      <c r="W1662" s="16"/>
      <c r="X1662" s="16"/>
      <c r="Y1662" s="16"/>
      <c r="Z1662" s="17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</row>
    <row r="1663" spans="1:36" s="352" customFormat="1" ht="15.6" hidden="1">
      <c r="A1663" s="351"/>
      <c r="B1663" s="1964" t="e">
        <f>LEFT(#REF!,5)</f>
        <v>#REF!</v>
      </c>
      <c r="C1663" s="1966" t="e">
        <f>VLOOKUP(LEFT(#REF!,5),'11 - FINANCEIRA'!_xlnm.Print_Area,2,FALSE)</f>
        <v>#REF!</v>
      </c>
      <c r="D1663" s="1920" t="s">
        <v>1514</v>
      </c>
      <c r="E1663" s="1921"/>
      <c r="F1663" s="1922"/>
      <c r="G1663" s="1923" t="s">
        <v>1515</v>
      </c>
      <c r="H1663" s="1924"/>
      <c r="I1663" s="1925"/>
      <c r="J1663" s="1915"/>
      <c r="K1663" s="1915"/>
      <c r="L1663" s="1915"/>
      <c r="M1663" s="1915"/>
      <c r="N1663" s="1915"/>
      <c r="O1663" s="1915"/>
      <c r="P1663" s="353" t="s">
        <v>1516</v>
      </c>
      <c r="Q1663" s="1915"/>
      <c r="R1663" s="1917"/>
      <c r="S1663" s="1915"/>
      <c r="T1663" s="1915"/>
      <c r="U1663" s="1919"/>
      <c r="V1663" s="1418">
        <f t="shared" si="171"/>
        <v>0</v>
      </c>
      <c r="W1663" s="16"/>
      <c r="X1663" s="16"/>
      <c r="Y1663" s="16"/>
      <c r="Z1663" s="17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</row>
    <row r="1664" spans="1:36" s="361" customFormat="1" ht="30" hidden="1">
      <c r="A1664" s="354"/>
      <c r="B1664" s="355"/>
      <c r="C1664" s="32" t="s">
        <v>982</v>
      </c>
      <c r="D1664" s="33"/>
      <c r="E1664" s="34"/>
      <c r="F1664" s="35"/>
      <c r="G1664" s="33"/>
      <c r="H1664" s="34"/>
      <c r="I1664" s="35"/>
      <c r="J1664" s="43"/>
      <c r="K1664" s="42">
        <v>2.35</v>
      </c>
      <c r="L1664" s="39">
        <v>1.5</v>
      </c>
      <c r="M1664" s="41"/>
      <c r="N1664" s="356">
        <f>K1664*L1664</f>
        <v>3.5250000000000004</v>
      </c>
      <c r="O1664" s="40"/>
      <c r="P1664" s="39"/>
      <c r="Q1664" s="45">
        <v>1.1000000000000001</v>
      </c>
      <c r="R1664" s="1359">
        <f>ROUNDUP(N1664*Q1664,2)</f>
        <v>3.88</v>
      </c>
      <c r="S1664" s="1265" t="s">
        <v>821</v>
      </c>
      <c r="T1664" s="46" t="s">
        <v>328</v>
      </c>
      <c r="U1664" s="44"/>
      <c r="V1664" s="1418">
        <f t="shared" si="171"/>
        <v>0</v>
      </c>
      <c r="W1664" s="357"/>
      <c r="X1664" s="357"/>
      <c r="Y1664" s="357"/>
      <c r="Z1664" s="358"/>
      <c r="AA1664" s="359"/>
      <c r="AB1664" s="360"/>
    </row>
    <row r="1665" spans="1:36" s="361" customFormat="1" ht="15" hidden="1" customHeight="1">
      <c r="A1665" s="354"/>
      <c r="B1665" s="355"/>
      <c r="C1665" s="32"/>
      <c r="D1665" s="33"/>
      <c r="E1665" s="34"/>
      <c r="F1665" s="35"/>
      <c r="G1665" s="33"/>
      <c r="H1665" s="34"/>
      <c r="I1665" s="35"/>
      <c r="J1665" s="43"/>
      <c r="K1665" s="42"/>
      <c r="L1665" s="39"/>
      <c r="M1665" s="41"/>
      <c r="N1665" s="356"/>
      <c r="O1665" s="40"/>
      <c r="P1665" s="39"/>
      <c r="Q1665" s="45"/>
      <c r="R1665" s="1231"/>
      <c r="S1665" s="363"/>
      <c r="T1665" s="46"/>
      <c r="U1665" s="44"/>
      <c r="V1665" s="1418">
        <f t="shared" si="171"/>
        <v>0</v>
      </c>
      <c r="W1665" s="357"/>
      <c r="X1665" s="357"/>
      <c r="Y1665" s="357"/>
      <c r="Z1665" s="358"/>
      <c r="AA1665" s="359"/>
      <c r="AB1665" s="360"/>
    </row>
    <row r="1666" spans="1:36" s="369" customFormat="1" ht="15" hidden="1">
      <c r="A1666" s="364"/>
      <c r="B1666" s="355"/>
      <c r="C1666" s="32"/>
      <c r="D1666" s="33"/>
      <c r="E1666" s="34"/>
      <c r="F1666" s="35"/>
      <c r="G1666" s="33"/>
      <c r="H1666" s="34"/>
      <c r="I1666" s="35"/>
      <c r="J1666" s="43"/>
      <c r="K1666" s="42"/>
      <c r="L1666" s="39"/>
      <c r="M1666" s="41"/>
      <c r="N1666" s="40"/>
      <c r="O1666" s="40"/>
      <c r="P1666" s="39"/>
      <c r="Q1666" s="38"/>
      <c r="R1666" s="365"/>
      <c r="S1666" s="366"/>
      <c r="T1666" s="46"/>
      <c r="U1666" s="44"/>
      <c r="V1666" s="1418">
        <f t="shared" si="171"/>
        <v>0</v>
      </c>
      <c r="W1666" s="367"/>
      <c r="X1666" s="367"/>
      <c r="Y1666" s="367"/>
      <c r="Z1666" s="368"/>
    </row>
    <row r="1667" spans="1:36" s="77" customFormat="1" ht="15" hidden="1">
      <c r="A1667" s="370"/>
      <c r="B1667" s="29"/>
      <c r="C1667" s="30"/>
      <c r="D1667" s="18"/>
      <c r="E1667" s="19"/>
      <c r="F1667" s="20"/>
      <c r="G1667" s="18"/>
      <c r="H1667" s="19"/>
      <c r="I1667" s="20"/>
      <c r="J1667" s="21"/>
      <c r="K1667" s="22"/>
      <c r="L1667" s="23"/>
      <c r="M1667" s="24"/>
      <c r="N1667" s="25"/>
      <c r="O1667" s="25"/>
      <c r="P1667" s="23"/>
      <c r="Q1667" s="26"/>
      <c r="R1667" s="371"/>
      <c r="S1667" s="27"/>
      <c r="T1667" s="372"/>
      <c r="U1667" s="31"/>
      <c r="V1667" s="1418">
        <f t="shared" si="171"/>
        <v>0</v>
      </c>
      <c r="AB1667" s="15"/>
    </row>
    <row r="1668" spans="1:36" s="77" customFormat="1" ht="15.6" hidden="1">
      <c r="A1668" s="370"/>
      <c r="B1668" s="499"/>
      <c r="C1668" s="37"/>
      <c r="D1668" s="1929" t="s">
        <v>1520</v>
      </c>
      <c r="E1668" s="1930"/>
      <c r="F1668" s="1930"/>
      <c r="G1668" s="1930"/>
      <c r="H1668" s="1930"/>
      <c r="I1668" s="1931"/>
      <c r="J1668" s="1932">
        <f>VLOOKUP(A1670,'11 - FINANCEIRA'!_xlnm.Print_Area,6,FALSE)</f>
        <v>3.88</v>
      </c>
      <c r="K1668" s="1933"/>
      <c r="L1668" s="1343" t="str">
        <f>VLOOKUP(A1670,'11 - FINANCEIRA'!_xlnm.Print_Area,4,FALSE)</f>
        <v>m²</v>
      </c>
      <c r="M1668" s="1934" t="s">
        <v>1521</v>
      </c>
      <c r="N1668" s="1935"/>
      <c r="O1668" s="1935"/>
      <c r="P1668" s="1935"/>
      <c r="Q1668" s="1936"/>
      <c r="R1668" s="726">
        <f>SUM(R1664:R1667)</f>
        <v>3.88</v>
      </c>
      <c r="S1668" s="1344" t="str">
        <f>L1668</f>
        <v>m²</v>
      </c>
      <c r="T1668" s="373"/>
      <c r="U1668" s="486"/>
      <c r="V1668" s="1418">
        <f t="shared" si="171"/>
        <v>0</v>
      </c>
      <c r="AB1668" s="15"/>
    </row>
    <row r="1669" spans="1:36" s="77" customFormat="1" ht="15.6" hidden="1">
      <c r="A1669" s="370"/>
      <c r="B1669" s="499"/>
      <c r="C1669" s="725"/>
      <c r="D1669" s="1937" t="s">
        <v>1522</v>
      </c>
      <c r="E1669" s="1938"/>
      <c r="F1669" s="1938"/>
      <c r="G1669" s="1938"/>
      <c r="H1669" s="1938"/>
      <c r="I1669" s="1939"/>
      <c r="J1669" s="1943">
        <f>R1668/J1668</f>
        <v>1</v>
      </c>
      <c r="K1669" s="1944"/>
      <c r="L1669" s="1947"/>
      <c r="M1669" s="1934" t="s">
        <v>1523</v>
      </c>
      <c r="N1669" s="1935"/>
      <c r="O1669" s="1935"/>
      <c r="P1669" s="1935"/>
      <c r="Q1669" s="1936"/>
      <c r="R1669" s="726">
        <f>VLOOKUP(A1670,'11 - FINANCEIRA'!_xlnm.Print_Area,8,FALSE)</f>
        <v>3.88</v>
      </c>
      <c r="S1669" s="727" t="str">
        <f>L1668</f>
        <v>m²</v>
      </c>
      <c r="T1669" s="373"/>
      <c r="U1669" s="486"/>
      <c r="V1669" s="1418">
        <f t="shared" si="171"/>
        <v>0</v>
      </c>
      <c r="AB1669" s="15"/>
    </row>
    <row r="1670" spans="1:36" s="77" customFormat="1" ht="15.6" hidden="1">
      <c r="A1670" s="364" t="s">
        <v>465</v>
      </c>
      <c r="B1670" s="499"/>
      <c r="C1670" s="37"/>
      <c r="D1670" s="2013"/>
      <c r="E1670" s="2014"/>
      <c r="F1670" s="2014"/>
      <c r="G1670" s="2014"/>
      <c r="H1670" s="2014"/>
      <c r="I1670" s="2015"/>
      <c r="J1670" s="2016"/>
      <c r="K1670" s="2017"/>
      <c r="L1670" s="1962"/>
      <c r="M1670" s="2007" t="s">
        <v>1524</v>
      </c>
      <c r="N1670" s="2008"/>
      <c r="O1670" s="2008"/>
      <c r="P1670" s="2008"/>
      <c r="Q1670" s="2009"/>
      <c r="R1670" s="1345">
        <f>R1668-R1669</f>
        <v>0</v>
      </c>
      <c r="S1670" s="1346" t="str">
        <f>L1668</f>
        <v>m²</v>
      </c>
      <c r="T1670" s="373"/>
      <c r="U1670" s="486"/>
      <c r="V1670" s="1418">
        <f>R1670</f>
        <v>0</v>
      </c>
      <c r="AB1670" s="15"/>
    </row>
    <row r="1671" spans="1:36" s="77" customFormat="1" ht="15.6" hidden="1">
      <c r="A1671" s="370"/>
      <c r="B1671" s="1347"/>
      <c r="C1671" s="1348"/>
      <c r="D1671" s="1349"/>
      <c r="E1671" s="1350"/>
      <c r="F1671" s="1349"/>
      <c r="G1671" s="1349"/>
      <c r="H1671" s="1349"/>
      <c r="I1671" s="1349"/>
      <c r="J1671" s="1351"/>
      <c r="K1671" s="1352"/>
      <c r="L1671" s="1353"/>
      <c r="M1671" s="1354"/>
      <c r="N1671" s="1354"/>
      <c r="O1671" s="1354"/>
      <c r="P1671" s="1354"/>
      <c r="Q1671" s="1354"/>
      <c r="R1671" s="1355"/>
      <c r="S1671" s="1356"/>
      <c r="T1671" s="1357"/>
      <c r="U1671" s="1358"/>
      <c r="V1671" s="1420">
        <f>SUM(V1662:V1670)</f>
        <v>0</v>
      </c>
      <c r="AB1671" s="15"/>
    </row>
    <row r="1672" spans="1:36" s="352" customFormat="1" ht="15.6" hidden="1">
      <c r="A1672" s="351"/>
      <c r="B1672" s="1963" t="str">
        <f>VLOOKUP(A1680,'11 - FINANCEIRA'!_xlnm.Print_Area,1,FALSE)</f>
        <v>2.3.8.10</v>
      </c>
      <c r="C1672" s="1965" t="str">
        <f>VLOOKUP(A1680,'11 - FINANCEIRA'!_xlnm.Print_Area,3,FALSE)</f>
        <v>Reboco de argamassa de cimento, cal hidratada ch1 e areia média ou grossa lavada no traço 1:0.5:6, espessura 5mm</v>
      </c>
      <c r="D1672" s="1967" t="s">
        <v>1503</v>
      </c>
      <c r="E1672" s="1968"/>
      <c r="F1672" s="1968"/>
      <c r="G1672" s="1968"/>
      <c r="H1672" s="1968"/>
      <c r="I1672" s="1969"/>
      <c r="J1672" s="1914" t="s">
        <v>1504</v>
      </c>
      <c r="K1672" s="1914" t="s">
        <v>1505</v>
      </c>
      <c r="L1672" s="1914" t="s">
        <v>1506</v>
      </c>
      <c r="M1672" s="1914" t="s">
        <v>1507</v>
      </c>
      <c r="N1672" s="1914" t="s">
        <v>1508</v>
      </c>
      <c r="O1672" s="1914" t="s">
        <v>1509</v>
      </c>
      <c r="P1672" s="1341" t="s">
        <v>1510</v>
      </c>
      <c r="Q1672" s="1914" t="s">
        <v>1493</v>
      </c>
      <c r="R1672" s="1916" t="s">
        <v>804</v>
      </c>
      <c r="S1672" s="1914" t="s">
        <v>1511</v>
      </c>
      <c r="T1672" s="1914" t="s">
        <v>1512</v>
      </c>
      <c r="U1672" s="1918" t="s">
        <v>1513</v>
      </c>
      <c r="V1672" s="1418">
        <f t="shared" ref="V1672:V1679" si="172">V1673</f>
        <v>0</v>
      </c>
      <c r="W1672" s="16"/>
      <c r="X1672" s="16"/>
      <c r="Y1672" s="16"/>
      <c r="Z1672" s="17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</row>
    <row r="1673" spans="1:36" s="352" customFormat="1" ht="15.6" hidden="1">
      <c r="A1673" s="351"/>
      <c r="B1673" s="1964" t="e">
        <f>LEFT(#REF!,5)</f>
        <v>#REF!</v>
      </c>
      <c r="C1673" s="1966" t="e">
        <f>VLOOKUP(LEFT(#REF!,5),'11 - FINANCEIRA'!_xlnm.Print_Area,2,FALSE)</f>
        <v>#REF!</v>
      </c>
      <c r="D1673" s="1920" t="s">
        <v>1514</v>
      </c>
      <c r="E1673" s="1921"/>
      <c r="F1673" s="1922"/>
      <c r="G1673" s="1923" t="s">
        <v>1515</v>
      </c>
      <c r="H1673" s="1924"/>
      <c r="I1673" s="1925"/>
      <c r="J1673" s="1915"/>
      <c r="K1673" s="1915"/>
      <c r="L1673" s="1915"/>
      <c r="M1673" s="1915"/>
      <c r="N1673" s="1915"/>
      <c r="O1673" s="1915"/>
      <c r="P1673" s="353" t="s">
        <v>1516</v>
      </c>
      <c r="Q1673" s="1915"/>
      <c r="R1673" s="1917"/>
      <c r="S1673" s="1915"/>
      <c r="T1673" s="1915"/>
      <c r="U1673" s="1919"/>
      <c r="V1673" s="1418">
        <f t="shared" si="172"/>
        <v>0</v>
      </c>
      <c r="W1673" s="16"/>
      <c r="X1673" s="16"/>
      <c r="Y1673" s="16"/>
      <c r="Z1673" s="17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</row>
    <row r="1674" spans="1:36" s="361" customFormat="1" ht="30" hidden="1">
      <c r="A1674" s="354"/>
      <c r="B1674" s="355"/>
      <c r="C1674" s="32" t="s">
        <v>953</v>
      </c>
      <c r="D1674" s="33"/>
      <c r="E1674" s="34"/>
      <c r="F1674" s="35"/>
      <c r="G1674" s="33"/>
      <c r="H1674" s="34"/>
      <c r="I1674" s="35"/>
      <c r="J1674" s="43"/>
      <c r="K1674" s="42"/>
      <c r="L1674" s="39"/>
      <c r="M1674" s="41"/>
      <c r="N1674" s="356"/>
      <c r="O1674" s="40"/>
      <c r="P1674" s="39"/>
      <c r="Q1674" s="45"/>
      <c r="R1674" s="1359">
        <v>60.35</v>
      </c>
      <c r="S1674" s="1265" t="s">
        <v>821</v>
      </c>
      <c r="T1674" s="46" t="s">
        <v>328</v>
      </c>
      <c r="U1674" s="44"/>
      <c r="V1674" s="1418">
        <f t="shared" si="172"/>
        <v>0</v>
      </c>
      <c r="W1674" s="357"/>
      <c r="X1674" s="357"/>
      <c r="Y1674" s="357"/>
      <c r="Z1674" s="358"/>
      <c r="AA1674" s="359"/>
      <c r="AB1674" s="360"/>
    </row>
    <row r="1675" spans="1:36" s="361" customFormat="1" ht="15" hidden="1" customHeight="1">
      <c r="A1675" s="354"/>
      <c r="B1675" s="355"/>
      <c r="C1675" s="32"/>
      <c r="D1675" s="33"/>
      <c r="E1675" s="34"/>
      <c r="F1675" s="35"/>
      <c r="G1675" s="33"/>
      <c r="H1675" s="34"/>
      <c r="I1675" s="35"/>
      <c r="J1675" s="43"/>
      <c r="K1675" s="42"/>
      <c r="L1675" s="39"/>
      <c r="M1675" s="41"/>
      <c r="N1675" s="356"/>
      <c r="O1675" s="40"/>
      <c r="P1675" s="39"/>
      <c r="Q1675" s="45"/>
      <c r="R1675" s="362"/>
      <c r="S1675" s="363"/>
      <c r="T1675" s="46"/>
      <c r="U1675" s="44"/>
      <c r="V1675" s="1418">
        <f t="shared" si="172"/>
        <v>0</v>
      </c>
      <c r="W1675" s="357"/>
      <c r="X1675" s="357"/>
      <c r="Y1675" s="357"/>
      <c r="Z1675" s="358"/>
      <c r="AA1675" s="359"/>
      <c r="AB1675" s="360"/>
    </row>
    <row r="1676" spans="1:36" s="369" customFormat="1" ht="15" hidden="1">
      <c r="A1676" s="364"/>
      <c r="B1676" s="355"/>
      <c r="C1676" s="32"/>
      <c r="D1676" s="33"/>
      <c r="E1676" s="34"/>
      <c r="F1676" s="35"/>
      <c r="G1676" s="33"/>
      <c r="H1676" s="34"/>
      <c r="I1676" s="35"/>
      <c r="J1676" s="43"/>
      <c r="K1676" s="42"/>
      <c r="L1676" s="39"/>
      <c r="M1676" s="41"/>
      <c r="N1676" s="40"/>
      <c r="O1676" s="40"/>
      <c r="P1676" s="39"/>
      <c r="Q1676" s="38"/>
      <c r="R1676" s="365"/>
      <c r="S1676" s="366"/>
      <c r="T1676" s="46"/>
      <c r="U1676" s="44"/>
      <c r="V1676" s="1418">
        <f t="shared" si="172"/>
        <v>0</v>
      </c>
      <c r="W1676" s="367"/>
      <c r="X1676" s="367"/>
      <c r="Y1676" s="367"/>
      <c r="Z1676" s="368"/>
    </row>
    <row r="1677" spans="1:36" s="77" customFormat="1" ht="15" hidden="1">
      <c r="A1677" s="370"/>
      <c r="B1677" s="29"/>
      <c r="C1677" s="30"/>
      <c r="D1677" s="18"/>
      <c r="E1677" s="19"/>
      <c r="F1677" s="20"/>
      <c r="G1677" s="18"/>
      <c r="H1677" s="19"/>
      <c r="I1677" s="20"/>
      <c r="J1677" s="21"/>
      <c r="K1677" s="22"/>
      <c r="L1677" s="23"/>
      <c r="M1677" s="24"/>
      <c r="N1677" s="25"/>
      <c r="O1677" s="25"/>
      <c r="P1677" s="23"/>
      <c r="Q1677" s="26"/>
      <c r="R1677" s="371"/>
      <c r="S1677" s="27"/>
      <c r="T1677" s="372"/>
      <c r="U1677" s="31"/>
      <c r="V1677" s="1418">
        <f t="shared" si="172"/>
        <v>0</v>
      </c>
      <c r="AB1677" s="15"/>
    </row>
    <row r="1678" spans="1:36" s="77" customFormat="1" ht="15.6" hidden="1">
      <c r="A1678" s="370"/>
      <c r="B1678" s="499"/>
      <c r="C1678" s="37"/>
      <c r="D1678" s="1929" t="s">
        <v>1520</v>
      </c>
      <c r="E1678" s="1930"/>
      <c r="F1678" s="1930"/>
      <c r="G1678" s="1930"/>
      <c r="H1678" s="1930"/>
      <c r="I1678" s="1931"/>
      <c r="J1678" s="1932">
        <f>VLOOKUP(A1680,'11 - FINANCEIRA'!_xlnm.Print_Area,6,FALSE)</f>
        <v>60.35</v>
      </c>
      <c r="K1678" s="1933"/>
      <c r="L1678" s="1343" t="str">
        <f>VLOOKUP(A1680,'11 - FINANCEIRA'!_xlnm.Print_Area,4,FALSE)</f>
        <v>m²</v>
      </c>
      <c r="M1678" s="1934" t="s">
        <v>1521</v>
      </c>
      <c r="N1678" s="1935"/>
      <c r="O1678" s="1935"/>
      <c r="P1678" s="1935"/>
      <c r="Q1678" s="1936"/>
      <c r="R1678" s="726">
        <f>SUM(R1674:R1677)</f>
        <v>60.35</v>
      </c>
      <c r="S1678" s="1344" t="str">
        <f>L1678</f>
        <v>m²</v>
      </c>
      <c r="T1678" s="373"/>
      <c r="U1678" s="486"/>
      <c r="V1678" s="1418">
        <f t="shared" si="172"/>
        <v>0</v>
      </c>
      <c r="AB1678" s="15"/>
    </row>
    <row r="1679" spans="1:36" s="77" customFormat="1" ht="15.6" hidden="1">
      <c r="A1679" s="370"/>
      <c r="B1679" s="499"/>
      <c r="C1679" s="725"/>
      <c r="D1679" s="1937" t="s">
        <v>1522</v>
      </c>
      <c r="E1679" s="1938"/>
      <c r="F1679" s="1938"/>
      <c r="G1679" s="1938"/>
      <c r="H1679" s="1938"/>
      <c r="I1679" s="1939"/>
      <c r="J1679" s="1943">
        <f>R1678/J1678</f>
        <v>1</v>
      </c>
      <c r="K1679" s="1944"/>
      <c r="L1679" s="1947"/>
      <c r="M1679" s="1934" t="s">
        <v>1523</v>
      </c>
      <c r="N1679" s="1935"/>
      <c r="O1679" s="1935"/>
      <c r="P1679" s="1935"/>
      <c r="Q1679" s="1936"/>
      <c r="R1679" s="726">
        <f>VLOOKUP(A1680,'11 - FINANCEIRA'!_xlnm.Print_Area,8,FALSE)</f>
        <v>60.35</v>
      </c>
      <c r="S1679" s="727" t="str">
        <f>L1678</f>
        <v>m²</v>
      </c>
      <c r="T1679" s="373"/>
      <c r="U1679" s="486"/>
      <c r="V1679" s="1418">
        <f t="shared" si="172"/>
        <v>0</v>
      </c>
      <c r="AB1679" s="15"/>
    </row>
    <row r="1680" spans="1:36" s="77" customFormat="1" ht="15.6" hidden="1">
      <c r="A1680" s="364" t="s">
        <v>466</v>
      </c>
      <c r="B1680" s="499"/>
      <c r="C1680" s="37"/>
      <c r="D1680" s="2013"/>
      <c r="E1680" s="2014"/>
      <c r="F1680" s="2014"/>
      <c r="G1680" s="2014"/>
      <c r="H1680" s="2014"/>
      <c r="I1680" s="2015"/>
      <c r="J1680" s="2016"/>
      <c r="K1680" s="2017"/>
      <c r="L1680" s="1962"/>
      <c r="M1680" s="2007" t="s">
        <v>1524</v>
      </c>
      <c r="N1680" s="2008"/>
      <c r="O1680" s="2008"/>
      <c r="P1680" s="2008"/>
      <c r="Q1680" s="2009"/>
      <c r="R1680" s="1345">
        <f>R1678-R1679</f>
        <v>0</v>
      </c>
      <c r="S1680" s="1346" t="str">
        <f>L1678</f>
        <v>m²</v>
      </c>
      <c r="T1680" s="373"/>
      <c r="U1680" s="486"/>
      <c r="V1680" s="1418">
        <f>R1680</f>
        <v>0</v>
      </c>
      <c r="AB1680" s="15"/>
    </row>
    <row r="1681" spans="1:36" s="77" customFormat="1" ht="15.6" hidden="1">
      <c r="A1681" s="370"/>
      <c r="B1681" s="1347"/>
      <c r="C1681" s="1348"/>
      <c r="D1681" s="1349"/>
      <c r="E1681" s="1350"/>
      <c r="F1681" s="1349"/>
      <c r="G1681" s="1349"/>
      <c r="H1681" s="1349"/>
      <c r="I1681" s="1349"/>
      <c r="J1681" s="1351"/>
      <c r="K1681" s="1352"/>
      <c r="L1681" s="1353"/>
      <c r="M1681" s="1354"/>
      <c r="N1681" s="1354"/>
      <c r="O1681" s="1354"/>
      <c r="P1681" s="1354"/>
      <c r="Q1681" s="1354"/>
      <c r="R1681" s="1355"/>
      <c r="S1681" s="1356"/>
      <c r="T1681" s="1357"/>
      <c r="U1681" s="1358"/>
      <c r="V1681" s="1420">
        <f>SUM(V1672:V1680)</f>
        <v>0</v>
      </c>
      <c r="AB1681" s="15"/>
    </row>
    <row r="1682" spans="1:36" s="352" customFormat="1" ht="15.6" hidden="1">
      <c r="A1682" s="351"/>
      <c r="B1682" s="1963" t="str">
        <f>VLOOKUP(A1690,'11 - FINANCEIRA'!_xlnm.Print_Area,1,FALSE)</f>
        <v>2.3.8.11</v>
      </c>
      <c r="C1682" s="1965" t="str">
        <f>VLOOKUP(A1690,'11 -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682" s="1967" t="s">
        <v>1503</v>
      </c>
      <c r="E1682" s="1968"/>
      <c r="F1682" s="1968"/>
      <c r="G1682" s="1968"/>
      <c r="H1682" s="1968"/>
      <c r="I1682" s="1969"/>
      <c r="J1682" s="1914" t="s">
        <v>1504</v>
      </c>
      <c r="K1682" s="1914" t="s">
        <v>1505</v>
      </c>
      <c r="L1682" s="1914" t="s">
        <v>1506</v>
      </c>
      <c r="M1682" s="1914" t="s">
        <v>1507</v>
      </c>
      <c r="N1682" s="1914" t="s">
        <v>1508</v>
      </c>
      <c r="O1682" s="1914" t="s">
        <v>1509</v>
      </c>
      <c r="P1682" s="1341" t="s">
        <v>1510</v>
      </c>
      <c r="Q1682" s="1914" t="s">
        <v>1493</v>
      </c>
      <c r="R1682" s="1916" t="s">
        <v>804</v>
      </c>
      <c r="S1682" s="1914" t="s">
        <v>1511</v>
      </c>
      <c r="T1682" s="1914" t="s">
        <v>1512</v>
      </c>
      <c r="U1682" s="1918" t="s">
        <v>1513</v>
      </c>
      <c r="V1682" s="1418">
        <f t="shared" ref="V1682:V1689" si="173">V1683</f>
        <v>0</v>
      </c>
      <c r="W1682" s="16"/>
      <c r="X1682" s="16"/>
      <c r="Y1682" s="16"/>
      <c r="Z1682" s="17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</row>
    <row r="1683" spans="1:36" s="352" customFormat="1" ht="15.6" hidden="1">
      <c r="A1683" s="351"/>
      <c r="B1683" s="1964" t="e">
        <f>LEFT(#REF!,5)</f>
        <v>#REF!</v>
      </c>
      <c r="C1683" s="1966" t="e">
        <f>VLOOKUP(LEFT(#REF!,5),'11 - FINANCEIRA'!_xlnm.Print_Area,2,FALSE)</f>
        <v>#REF!</v>
      </c>
      <c r="D1683" s="1920" t="s">
        <v>1514</v>
      </c>
      <c r="E1683" s="1921"/>
      <c r="F1683" s="1922"/>
      <c r="G1683" s="1923" t="s">
        <v>1515</v>
      </c>
      <c r="H1683" s="1924"/>
      <c r="I1683" s="1925"/>
      <c r="J1683" s="1915"/>
      <c r="K1683" s="1915"/>
      <c r="L1683" s="1915"/>
      <c r="M1683" s="1915"/>
      <c r="N1683" s="1915"/>
      <c r="O1683" s="1915"/>
      <c r="P1683" s="353" t="s">
        <v>1516</v>
      </c>
      <c r="Q1683" s="1915"/>
      <c r="R1683" s="1917"/>
      <c r="S1683" s="1915"/>
      <c r="T1683" s="1915"/>
      <c r="U1683" s="1919"/>
      <c r="V1683" s="1418">
        <f t="shared" si="173"/>
        <v>0</v>
      </c>
      <c r="W1683" s="16"/>
      <c r="X1683" s="16"/>
      <c r="Y1683" s="16"/>
      <c r="Z1683" s="17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</row>
    <row r="1684" spans="1:36" s="361" customFormat="1" ht="45" hidden="1">
      <c r="A1684" s="354"/>
      <c r="B1684" s="355"/>
      <c r="C1684" s="32" t="s">
        <v>951</v>
      </c>
      <c r="D1684" s="33"/>
      <c r="E1684" s="34"/>
      <c r="F1684" s="35"/>
      <c r="G1684" s="33"/>
      <c r="H1684" s="34"/>
      <c r="I1684" s="35"/>
      <c r="J1684" s="43"/>
      <c r="K1684" s="42"/>
      <c r="L1684" s="39"/>
      <c r="M1684" s="41"/>
      <c r="N1684" s="356"/>
      <c r="O1684" s="40"/>
      <c r="P1684" s="39"/>
      <c r="Q1684" s="45"/>
      <c r="R1684" s="1359">
        <v>3.88</v>
      </c>
      <c r="S1684" s="1265" t="s">
        <v>821</v>
      </c>
      <c r="T1684" s="46" t="s">
        <v>328</v>
      </c>
      <c r="U1684" s="44"/>
      <c r="V1684" s="1418">
        <f t="shared" si="173"/>
        <v>0</v>
      </c>
      <c r="W1684" s="357"/>
      <c r="X1684" s="357"/>
      <c r="Y1684" s="357"/>
      <c r="Z1684" s="358"/>
      <c r="AA1684" s="359"/>
      <c r="AB1684" s="360"/>
    </row>
    <row r="1685" spans="1:36" s="361" customFormat="1" ht="15" hidden="1" customHeight="1">
      <c r="A1685" s="354"/>
      <c r="B1685" s="355"/>
      <c r="C1685" s="32"/>
      <c r="D1685" s="33"/>
      <c r="E1685" s="34"/>
      <c r="F1685" s="35"/>
      <c r="G1685" s="33"/>
      <c r="H1685" s="34"/>
      <c r="I1685" s="35"/>
      <c r="J1685" s="43"/>
      <c r="K1685" s="42"/>
      <c r="L1685" s="39"/>
      <c r="M1685" s="41"/>
      <c r="N1685" s="356"/>
      <c r="O1685" s="40"/>
      <c r="P1685" s="39"/>
      <c r="Q1685" s="45"/>
      <c r="R1685" s="362"/>
      <c r="S1685" s="363"/>
      <c r="T1685" s="46"/>
      <c r="U1685" s="44"/>
      <c r="V1685" s="1418">
        <f t="shared" si="173"/>
        <v>0</v>
      </c>
      <c r="W1685" s="357"/>
      <c r="X1685" s="357"/>
      <c r="Y1685" s="357"/>
      <c r="Z1685" s="358"/>
      <c r="AA1685" s="359"/>
      <c r="AB1685" s="360"/>
    </row>
    <row r="1686" spans="1:36" s="369" customFormat="1" ht="15" hidden="1">
      <c r="A1686" s="364"/>
      <c r="B1686" s="355"/>
      <c r="C1686" s="32"/>
      <c r="D1686" s="33"/>
      <c r="E1686" s="34"/>
      <c r="F1686" s="35"/>
      <c r="G1686" s="33"/>
      <c r="H1686" s="34"/>
      <c r="I1686" s="35"/>
      <c r="J1686" s="43"/>
      <c r="K1686" s="42"/>
      <c r="L1686" s="39"/>
      <c r="M1686" s="41"/>
      <c r="N1686" s="40"/>
      <c r="O1686" s="40"/>
      <c r="P1686" s="39"/>
      <c r="Q1686" s="38"/>
      <c r="R1686" s="365"/>
      <c r="S1686" s="366"/>
      <c r="T1686" s="46"/>
      <c r="U1686" s="44"/>
      <c r="V1686" s="1418">
        <f t="shared" si="173"/>
        <v>0</v>
      </c>
      <c r="W1686" s="367"/>
      <c r="X1686" s="367"/>
      <c r="Y1686" s="367"/>
      <c r="Z1686" s="368"/>
    </row>
    <row r="1687" spans="1:36" s="77" customFormat="1" ht="15" hidden="1">
      <c r="A1687" s="370"/>
      <c r="B1687" s="29"/>
      <c r="C1687" s="30"/>
      <c r="D1687" s="18"/>
      <c r="E1687" s="19"/>
      <c r="F1687" s="20"/>
      <c r="G1687" s="18"/>
      <c r="H1687" s="19"/>
      <c r="I1687" s="20"/>
      <c r="J1687" s="21"/>
      <c r="K1687" s="22"/>
      <c r="L1687" s="23"/>
      <c r="M1687" s="24"/>
      <c r="N1687" s="25"/>
      <c r="O1687" s="25"/>
      <c r="P1687" s="23"/>
      <c r="Q1687" s="26"/>
      <c r="R1687" s="371"/>
      <c r="S1687" s="27"/>
      <c r="T1687" s="372"/>
      <c r="U1687" s="31"/>
      <c r="V1687" s="1418">
        <f t="shared" si="173"/>
        <v>0</v>
      </c>
      <c r="AB1687" s="15"/>
    </row>
    <row r="1688" spans="1:36" s="77" customFormat="1" ht="15.6" hidden="1">
      <c r="A1688" s="370"/>
      <c r="B1688" s="499"/>
      <c r="C1688" s="37"/>
      <c r="D1688" s="1929" t="s">
        <v>1520</v>
      </c>
      <c r="E1688" s="1930"/>
      <c r="F1688" s="1930"/>
      <c r="G1688" s="1930"/>
      <c r="H1688" s="1930"/>
      <c r="I1688" s="1931"/>
      <c r="J1688" s="1932">
        <f>VLOOKUP(A1690,'11 - FINANCEIRA'!_xlnm.Print_Area,6,FALSE)</f>
        <v>3.88</v>
      </c>
      <c r="K1688" s="1933"/>
      <c r="L1688" s="1343" t="str">
        <f>VLOOKUP(A1690,'11 - FINANCEIRA'!_xlnm.Print_Area,4,FALSE)</f>
        <v>m²</v>
      </c>
      <c r="M1688" s="1934" t="s">
        <v>1521</v>
      </c>
      <c r="N1688" s="1935"/>
      <c r="O1688" s="1935"/>
      <c r="P1688" s="1935"/>
      <c r="Q1688" s="1936"/>
      <c r="R1688" s="726">
        <f>SUM(R1684:R1687)</f>
        <v>3.88</v>
      </c>
      <c r="S1688" s="1344" t="str">
        <f>L1688</f>
        <v>m²</v>
      </c>
      <c r="T1688" s="373"/>
      <c r="U1688" s="486"/>
      <c r="V1688" s="1418">
        <f t="shared" si="173"/>
        <v>0</v>
      </c>
      <c r="AB1688" s="15"/>
    </row>
    <row r="1689" spans="1:36" s="77" customFormat="1" ht="15.6" hidden="1">
      <c r="A1689" s="370"/>
      <c r="B1689" s="499"/>
      <c r="C1689" s="725"/>
      <c r="D1689" s="1937" t="s">
        <v>1522</v>
      </c>
      <c r="E1689" s="1938"/>
      <c r="F1689" s="1938"/>
      <c r="G1689" s="1938"/>
      <c r="H1689" s="1938"/>
      <c r="I1689" s="1939"/>
      <c r="J1689" s="1943">
        <f>R1688/J1688</f>
        <v>1</v>
      </c>
      <c r="K1689" s="1944"/>
      <c r="L1689" s="1947"/>
      <c r="M1689" s="1934" t="s">
        <v>1523</v>
      </c>
      <c r="N1689" s="1935"/>
      <c r="O1689" s="1935"/>
      <c r="P1689" s="1935"/>
      <c r="Q1689" s="1936"/>
      <c r="R1689" s="726">
        <f>VLOOKUP(A1690,'11 - FINANCEIRA'!_xlnm.Print_Area,8,FALSE)</f>
        <v>3.88</v>
      </c>
      <c r="S1689" s="727" t="str">
        <f>L1688</f>
        <v>m²</v>
      </c>
      <c r="T1689" s="373"/>
      <c r="U1689" s="486"/>
      <c r="V1689" s="1418">
        <f t="shared" si="173"/>
        <v>0</v>
      </c>
      <c r="AB1689" s="15"/>
    </row>
    <row r="1690" spans="1:36" s="77" customFormat="1" ht="15.6" hidden="1">
      <c r="A1690" s="364" t="s">
        <v>467</v>
      </c>
      <c r="B1690" s="499"/>
      <c r="C1690" s="37"/>
      <c r="D1690" s="2013"/>
      <c r="E1690" s="2014"/>
      <c r="F1690" s="2014"/>
      <c r="G1690" s="2014"/>
      <c r="H1690" s="2014"/>
      <c r="I1690" s="2015"/>
      <c r="J1690" s="2016"/>
      <c r="K1690" s="2017"/>
      <c r="L1690" s="1962"/>
      <c r="M1690" s="2007" t="s">
        <v>1524</v>
      </c>
      <c r="N1690" s="2008"/>
      <c r="O1690" s="2008"/>
      <c r="P1690" s="2008"/>
      <c r="Q1690" s="2009"/>
      <c r="R1690" s="1345">
        <f>R1688-R1689</f>
        <v>0</v>
      </c>
      <c r="S1690" s="1346" t="str">
        <f>L1688</f>
        <v>m²</v>
      </c>
      <c r="T1690" s="373"/>
      <c r="U1690" s="486"/>
      <c r="V1690" s="1418">
        <f>R1690</f>
        <v>0</v>
      </c>
      <c r="AB1690" s="15"/>
    </row>
    <row r="1691" spans="1:36" s="77" customFormat="1" ht="15.6" hidden="1">
      <c r="A1691" s="370"/>
      <c r="B1691" s="1347"/>
      <c r="C1691" s="1348"/>
      <c r="D1691" s="1349"/>
      <c r="E1691" s="1350"/>
      <c r="F1691" s="1349"/>
      <c r="G1691" s="1349"/>
      <c r="H1691" s="1349"/>
      <c r="I1691" s="1349"/>
      <c r="J1691" s="1351"/>
      <c r="K1691" s="1352"/>
      <c r="L1691" s="1353"/>
      <c r="M1691" s="1354"/>
      <c r="N1691" s="1354"/>
      <c r="O1691" s="1354"/>
      <c r="P1691" s="1354"/>
      <c r="Q1691" s="1354"/>
      <c r="R1691" s="1355"/>
      <c r="S1691" s="1356"/>
      <c r="T1691" s="1357"/>
      <c r="U1691" s="1358"/>
      <c r="V1691" s="1420">
        <f>SUM(V1682:V1690)</f>
        <v>0</v>
      </c>
      <c r="AB1691" s="15"/>
    </row>
    <row r="1692" spans="1:36" s="632" customFormat="1" ht="15.6" hidden="1">
      <c r="A1692" s="630"/>
      <c r="B1692" s="1333" t="str">
        <f>LEFT(A1701,5)</f>
        <v>2.3.9</v>
      </c>
      <c r="C1692" s="1334" t="str">
        <f>VLOOKUP(LEFT(A1701,5),'11 - FINANCEIRA'!_xlnm.Print_Area,2,FALSE)</f>
        <v>I.S. GUARITA</v>
      </c>
      <c r="D1692" s="1334"/>
      <c r="E1692" s="1335"/>
      <c r="F1692" s="1334"/>
      <c r="G1692" s="2071"/>
      <c r="H1692" s="2072"/>
      <c r="I1692" s="2072"/>
      <c r="J1692" s="2072"/>
      <c r="K1692" s="2072"/>
      <c r="L1692" s="2072"/>
      <c r="M1692" s="1338"/>
      <c r="N1692" s="1339"/>
      <c r="O1692" s="1339"/>
      <c r="P1692" s="1339"/>
      <c r="Q1692" s="1339"/>
      <c r="R1692" s="1339"/>
      <c r="S1692" s="1339"/>
      <c r="T1692" s="1339"/>
      <c r="U1692" s="1339"/>
      <c r="V1692" s="631">
        <f>SUM(V1693:V1802)</f>
        <v>0</v>
      </c>
    </row>
    <row r="1693" spans="1:36" s="352" customFormat="1" ht="15.6" hidden="1">
      <c r="A1693" s="351"/>
      <c r="B1693" s="1963" t="str">
        <f>VLOOKUP(A1701,'11 - FINANCEIRA'!_xlnm.Print_Area,1,FALSE)</f>
        <v>2.3.9.1</v>
      </c>
      <c r="C1693" s="1965" t="str">
        <f>VLOOKUP(A1701,'11 - FINANCEIRA'!_xlnm.Print_Area,3,FALSE)</f>
        <v>Revestimento cerâmico para paredes internas com placas tipo esmaltada extra de dimensões 33x45 cm aplicadas em ambientes de área maior que 5 m² na altura inteira das paredes. af_06/2014</v>
      </c>
      <c r="D1693" s="1967" t="s">
        <v>1503</v>
      </c>
      <c r="E1693" s="1968"/>
      <c r="F1693" s="1968"/>
      <c r="G1693" s="1968"/>
      <c r="H1693" s="1968"/>
      <c r="I1693" s="1969"/>
      <c r="J1693" s="1914" t="s">
        <v>1504</v>
      </c>
      <c r="K1693" s="1914" t="s">
        <v>1505</v>
      </c>
      <c r="L1693" s="1914" t="s">
        <v>1506</v>
      </c>
      <c r="M1693" s="1914" t="s">
        <v>1507</v>
      </c>
      <c r="N1693" s="1914" t="s">
        <v>1508</v>
      </c>
      <c r="O1693" s="1914" t="s">
        <v>1509</v>
      </c>
      <c r="P1693" s="1341" t="s">
        <v>1510</v>
      </c>
      <c r="Q1693" s="1914" t="s">
        <v>1493</v>
      </c>
      <c r="R1693" s="1916" t="s">
        <v>804</v>
      </c>
      <c r="S1693" s="1914" t="s">
        <v>1511</v>
      </c>
      <c r="T1693" s="1914" t="s">
        <v>1512</v>
      </c>
      <c r="U1693" s="1918" t="s">
        <v>1513</v>
      </c>
      <c r="V1693" s="1418">
        <f t="shared" ref="V1693:V1700" si="174">V1694</f>
        <v>0</v>
      </c>
      <c r="W1693" s="16"/>
      <c r="X1693" s="16"/>
      <c r="Y1693" s="16"/>
      <c r="Z1693" s="17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</row>
    <row r="1694" spans="1:36" s="352" customFormat="1" ht="15.6" hidden="1">
      <c r="A1694" s="351"/>
      <c r="B1694" s="1964" t="e">
        <f>LEFT(#REF!,5)</f>
        <v>#REF!</v>
      </c>
      <c r="C1694" s="1966" t="e">
        <f>VLOOKUP(LEFT(#REF!,5),'11 - FINANCEIRA'!_xlnm.Print_Area,2,FALSE)</f>
        <v>#REF!</v>
      </c>
      <c r="D1694" s="1920" t="s">
        <v>1514</v>
      </c>
      <c r="E1694" s="1921"/>
      <c r="F1694" s="1922"/>
      <c r="G1694" s="1923" t="s">
        <v>1515</v>
      </c>
      <c r="H1694" s="1924"/>
      <c r="I1694" s="1925"/>
      <c r="J1694" s="1915"/>
      <c r="K1694" s="1915"/>
      <c r="L1694" s="1915"/>
      <c r="M1694" s="1915"/>
      <c r="N1694" s="1915"/>
      <c r="O1694" s="1915"/>
      <c r="P1694" s="353" t="s">
        <v>1516</v>
      </c>
      <c r="Q1694" s="1915"/>
      <c r="R1694" s="1917"/>
      <c r="S1694" s="1915"/>
      <c r="T1694" s="1915"/>
      <c r="U1694" s="1919"/>
      <c r="V1694" s="1418">
        <f t="shared" si="174"/>
        <v>0</v>
      </c>
      <c r="W1694" s="16"/>
      <c r="X1694" s="16"/>
      <c r="Y1694" s="16"/>
      <c r="Z1694" s="17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</row>
    <row r="1695" spans="1:36" s="361" customFormat="1" ht="45" hidden="1">
      <c r="A1695" s="354"/>
      <c r="B1695" s="355"/>
      <c r="C1695" s="32" t="s">
        <v>985</v>
      </c>
      <c r="D1695" s="33"/>
      <c r="E1695" s="34"/>
      <c r="F1695" s="35"/>
      <c r="G1695" s="33"/>
      <c r="H1695" s="34"/>
      <c r="I1695" s="35"/>
      <c r="J1695" s="43"/>
      <c r="K1695" s="42"/>
      <c r="L1695" s="39"/>
      <c r="M1695" s="41"/>
      <c r="N1695" s="356"/>
      <c r="O1695" s="40"/>
      <c r="P1695" s="39"/>
      <c r="Q1695" s="45"/>
      <c r="R1695" s="1359">
        <v>10.26</v>
      </c>
      <c r="S1695" s="1265" t="s">
        <v>821</v>
      </c>
      <c r="T1695" s="46" t="s">
        <v>328</v>
      </c>
      <c r="U1695" s="44"/>
      <c r="V1695" s="1418">
        <f t="shared" si="174"/>
        <v>0</v>
      </c>
      <c r="W1695" s="357"/>
      <c r="X1695" s="357"/>
      <c r="Y1695" s="357"/>
      <c r="Z1695" s="358"/>
      <c r="AA1695" s="359"/>
      <c r="AB1695" s="360"/>
    </row>
    <row r="1696" spans="1:36" s="361" customFormat="1" ht="15" hidden="1" customHeight="1">
      <c r="A1696" s="354"/>
      <c r="B1696" s="355"/>
      <c r="C1696" s="32"/>
      <c r="D1696" s="33"/>
      <c r="E1696" s="34"/>
      <c r="F1696" s="35"/>
      <c r="G1696" s="33"/>
      <c r="H1696" s="34"/>
      <c r="I1696" s="35"/>
      <c r="J1696" s="43"/>
      <c r="K1696" s="42"/>
      <c r="L1696" s="39"/>
      <c r="M1696" s="41"/>
      <c r="N1696" s="356"/>
      <c r="O1696" s="40"/>
      <c r="P1696" s="39"/>
      <c r="Q1696" s="45"/>
      <c r="R1696" s="362"/>
      <c r="S1696" s="363"/>
      <c r="T1696" s="46"/>
      <c r="U1696" s="44"/>
      <c r="V1696" s="1418">
        <f t="shared" si="174"/>
        <v>0</v>
      </c>
      <c r="W1696" s="357"/>
      <c r="X1696" s="357"/>
      <c r="Y1696" s="357"/>
      <c r="Z1696" s="358"/>
      <c r="AA1696" s="359"/>
      <c r="AB1696" s="360"/>
    </row>
    <row r="1697" spans="1:36" s="369" customFormat="1" ht="15" hidden="1">
      <c r="A1697" s="364"/>
      <c r="B1697" s="355"/>
      <c r="C1697" s="32"/>
      <c r="D1697" s="33"/>
      <c r="E1697" s="34"/>
      <c r="F1697" s="35"/>
      <c r="G1697" s="33"/>
      <c r="H1697" s="34"/>
      <c r="I1697" s="35"/>
      <c r="J1697" s="43"/>
      <c r="K1697" s="42"/>
      <c r="L1697" s="39"/>
      <c r="M1697" s="41"/>
      <c r="N1697" s="40"/>
      <c r="O1697" s="40"/>
      <c r="P1697" s="39"/>
      <c r="Q1697" s="38"/>
      <c r="R1697" s="365"/>
      <c r="S1697" s="366"/>
      <c r="T1697" s="46"/>
      <c r="U1697" s="44"/>
      <c r="V1697" s="1418">
        <f t="shared" si="174"/>
        <v>0</v>
      </c>
      <c r="W1697" s="367"/>
      <c r="X1697" s="367"/>
      <c r="Y1697" s="367"/>
      <c r="Z1697" s="368"/>
    </row>
    <row r="1698" spans="1:36" s="77" customFormat="1" ht="15" hidden="1">
      <c r="A1698" s="370"/>
      <c r="B1698" s="29"/>
      <c r="C1698" s="30"/>
      <c r="D1698" s="18"/>
      <c r="E1698" s="19"/>
      <c r="F1698" s="20"/>
      <c r="G1698" s="18"/>
      <c r="H1698" s="19"/>
      <c r="I1698" s="20"/>
      <c r="J1698" s="21"/>
      <c r="K1698" s="22"/>
      <c r="L1698" s="23"/>
      <c r="M1698" s="24"/>
      <c r="N1698" s="25"/>
      <c r="O1698" s="25"/>
      <c r="P1698" s="23"/>
      <c r="Q1698" s="26"/>
      <c r="R1698" s="371"/>
      <c r="S1698" s="27"/>
      <c r="T1698" s="372"/>
      <c r="U1698" s="31"/>
      <c r="V1698" s="1418">
        <f t="shared" si="174"/>
        <v>0</v>
      </c>
      <c r="AB1698" s="15"/>
    </row>
    <row r="1699" spans="1:36" s="77" customFormat="1" ht="15.6" hidden="1">
      <c r="A1699" s="370"/>
      <c r="B1699" s="499"/>
      <c r="C1699" s="37"/>
      <c r="D1699" s="1929" t="s">
        <v>1520</v>
      </c>
      <c r="E1699" s="1930"/>
      <c r="F1699" s="1930"/>
      <c r="G1699" s="1930"/>
      <c r="H1699" s="1930"/>
      <c r="I1699" s="1931"/>
      <c r="J1699" s="1932">
        <f>VLOOKUP(A1701,'11 - FINANCEIRA'!_xlnm.Print_Area,6,FALSE)</f>
        <v>10.26</v>
      </c>
      <c r="K1699" s="1933"/>
      <c r="L1699" s="1343" t="str">
        <f>VLOOKUP(A1701,'11 - FINANCEIRA'!_xlnm.Print_Area,4,FALSE)</f>
        <v>m²</v>
      </c>
      <c r="M1699" s="1934" t="s">
        <v>1521</v>
      </c>
      <c r="N1699" s="1935"/>
      <c r="O1699" s="1935"/>
      <c r="P1699" s="1935"/>
      <c r="Q1699" s="1936"/>
      <c r="R1699" s="726">
        <f>SUM(R1695:R1698)</f>
        <v>10.26</v>
      </c>
      <c r="S1699" s="1344" t="str">
        <f>L1699</f>
        <v>m²</v>
      </c>
      <c r="T1699" s="373"/>
      <c r="U1699" s="486"/>
      <c r="V1699" s="1418">
        <f t="shared" si="174"/>
        <v>0</v>
      </c>
      <c r="AB1699" s="15"/>
    </row>
    <row r="1700" spans="1:36" s="77" customFormat="1" ht="15.6" hidden="1">
      <c r="A1700" s="370"/>
      <c r="B1700" s="499"/>
      <c r="C1700" s="725"/>
      <c r="D1700" s="1937" t="s">
        <v>1522</v>
      </c>
      <c r="E1700" s="1938"/>
      <c r="F1700" s="1938"/>
      <c r="G1700" s="1938"/>
      <c r="H1700" s="1938"/>
      <c r="I1700" s="1939"/>
      <c r="J1700" s="1943">
        <f>R1699/J1699</f>
        <v>1</v>
      </c>
      <c r="K1700" s="1944"/>
      <c r="L1700" s="1947"/>
      <c r="M1700" s="1934" t="s">
        <v>1523</v>
      </c>
      <c r="N1700" s="1935"/>
      <c r="O1700" s="1935"/>
      <c r="P1700" s="1935"/>
      <c r="Q1700" s="1936"/>
      <c r="R1700" s="726">
        <f>VLOOKUP(A1701,'11 - FINANCEIRA'!_xlnm.Print_Area,8,FALSE)</f>
        <v>10.26</v>
      </c>
      <c r="S1700" s="727" t="str">
        <f>L1699</f>
        <v>m²</v>
      </c>
      <c r="T1700" s="373"/>
      <c r="U1700" s="486"/>
      <c r="V1700" s="1418">
        <f t="shared" si="174"/>
        <v>0</v>
      </c>
      <c r="AB1700" s="15"/>
    </row>
    <row r="1701" spans="1:36" s="77" customFormat="1" ht="15.6" hidden="1">
      <c r="A1701" s="364" t="s">
        <v>469</v>
      </c>
      <c r="B1701" s="499"/>
      <c r="C1701" s="37"/>
      <c r="D1701" s="2013"/>
      <c r="E1701" s="2014"/>
      <c r="F1701" s="2014"/>
      <c r="G1701" s="2014"/>
      <c r="H1701" s="2014"/>
      <c r="I1701" s="2015"/>
      <c r="J1701" s="2016"/>
      <c r="K1701" s="2017"/>
      <c r="L1701" s="1962"/>
      <c r="M1701" s="2007" t="s">
        <v>1524</v>
      </c>
      <c r="N1701" s="2008"/>
      <c r="O1701" s="2008"/>
      <c r="P1701" s="2008"/>
      <c r="Q1701" s="2009"/>
      <c r="R1701" s="1345">
        <f>R1699-R1700</f>
        <v>0</v>
      </c>
      <c r="S1701" s="1346" t="str">
        <f>L1699</f>
        <v>m²</v>
      </c>
      <c r="T1701" s="373"/>
      <c r="U1701" s="486"/>
      <c r="V1701" s="1418">
        <f>R1701</f>
        <v>0</v>
      </c>
      <c r="AB1701" s="15"/>
    </row>
    <row r="1702" spans="1:36" s="77" customFormat="1" ht="15.6" hidden="1">
      <c r="A1702" s="370"/>
      <c r="B1702" s="1347"/>
      <c r="C1702" s="1348"/>
      <c r="D1702" s="1349"/>
      <c r="E1702" s="1350"/>
      <c r="F1702" s="1349"/>
      <c r="G1702" s="1349"/>
      <c r="H1702" s="1349"/>
      <c r="I1702" s="1349"/>
      <c r="J1702" s="1351"/>
      <c r="K1702" s="1352"/>
      <c r="L1702" s="1353"/>
      <c r="M1702" s="1354"/>
      <c r="N1702" s="1354"/>
      <c r="O1702" s="1354"/>
      <c r="P1702" s="1354"/>
      <c r="Q1702" s="1354"/>
      <c r="R1702" s="1355"/>
      <c r="S1702" s="1356"/>
      <c r="T1702" s="1357"/>
      <c r="U1702" s="1358"/>
      <c r="V1702" s="1420">
        <f>SUM(V1693:V1701)</f>
        <v>0</v>
      </c>
      <c r="AB1702" s="15"/>
    </row>
    <row r="1703" spans="1:36" s="352" customFormat="1" ht="15.6" hidden="1">
      <c r="A1703" s="351"/>
      <c r="B1703" s="1963" t="str">
        <f>VLOOKUP(A1711,'11 - FINANCEIRA'!_xlnm.Print_Area,1,FALSE)</f>
        <v>2.3.9.2</v>
      </c>
      <c r="C1703" s="1965" t="str">
        <f>VLOOKUP(A1711,'11 - FINANCEIRA'!_xlnm.Print_Area,3,FALSE)</f>
        <v>Aplicação manual de pintura com tinta látex acrílica em paredes, duas demãos. af_06/2014</v>
      </c>
      <c r="D1703" s="1967" t="s">
        <v>1503</v>
      </c>
      <c r="E1703" s="1968"/>
      <c r="F1703" s="1968"/>
      <c r="G1703" s="1968"/>
      <c r="H1703" s="1968"/>
      <c r="I1703" s="1969"/>
      <c r="J1703" s="1914" t="s">
        <v>1504</v>
      </c>
      <c r="K1703" s="1914" t="s">
        <v>1505</v>
      </c>
      <c r="L1703" s="1914" t="s">
        <v>1506</v>
      </c>
      <c r="M1703" s="1914" t="s">
        <v>1507</v>
      </c>
      <c r="N1703" s="1914" t="s">
        <v>1508</v>
      </c>
      <c r="O1703" s="1914" t="s">
        <v>1509</v>
      </c>
      <c r="P1703" s="1341" t="s">
        <v>1510</v>
      </c>
      <c r="Q1703" s="1914" t="s">
        <v>1493</v>
      </c>
      <c r="R1703" s="1916" t="s">
        <v>804</v>
      </c>
      <c r="S1703" s="1914" t="s">
        <v>1511</v>
      </c>
      <c r="T1703" s="1914" t="s">
        <v>1512</v>
      </c>
      <c r="U1703" s="1918" t="s">
        <v>1513</v>
      </c>
      <c r="V1703" s="1418">
        <f t="shared" ref="V1703:V1710" si="175">V1704</f>
        <v>0</v>
      </c>
      <c r="W1703" s="16"/>
      <c r="X1703" s="16"/>
      <c r="Y1703" s="16"/>
      <c r="Z1703" s="17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</row>
    <row r="1704" spans="1:36" s="352" customFormat="1" ht="15.6" hidden="1">
      <c r="A1704" s="351"/>
      <c r="B1704" s="1964" t="e">
        <f>LEFT(#REF!,5)</f>
        <v>#REF!</v>
      </c>
      <c r="C1704" s="1966" t="e">
        <f>VLOOKUP(LEFT(#REF!,5),'11 - FINANCEIRA'!_xlnm.Print_Area,2,FALSE)</f>
        <v>#REF!</v>
      </c>
      <c r="D1704" s="1920" t="s">
        <v>1514</v>
      </c>
      <c r="E1704" s="1921"/>
      <c r="F1704" s="1922"/>
      <c r="G1704" s="1923" t="s">
        <v>1515</v>
      </c>
      <c r="H1704" s="1924"/>
      <c r="I1704" s="1925"/>
      <c r="J1704" s="1915"/>
      <c r="K1704" s="1915"/>
      <c r="L1704" s="1915"/>
      <c r="M1704" s="1915"/>
      <c r="N1704" s="1915"/>
      <c r="O1704" s="1915"/>
      <c r="P1704" s="353" t="s">
        <v>1516</v>
      </c>
      <c r="Q1704" s="1915"/>
      <c r="R1704" s="1917"/>
      <c r="S1704" s="1915"/>
      <c r="T1704" s="1915"/>
      <c r="U1704" s="1919"/>
      <c r="V1704" s="1418">
        <f t="shared" si="175"/>
        <v>0</v>
      </c>
      <c r="W1704" s="16"/>
      <c r="X1704" s="16"/>
      <c r="Y1704" s="16"/>
      <c r="Z1704" s="17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</row>
    <row r="1705" spans="1:36" s="361" customFormat="1" ht="15" hidden="1" customHeight="1">
      <c r="A1705" s="354"/>
      <c r="B1705" s="355"/>
      <c r="C1705" s="32" t="s">
        <v>920</v>
      </c>
      <c r="D1705" s="33"/>
      <c r="E1705" s="34"/>
      <c r="F1705" s="35"/>
      <c r="G1705" s="33"/>
      <c r="H1705" s="34"/>
      <c r="I1705" s="35"/>
      <c r="J1705" s="43"/>
      <c r="K1705" s="42"/>
      <c r="L1705" s="39"/>
      <c r="M1705" s="41"/>
      <c r="N1705" s="356"/>
      <c r="O1705" s="40"/>
      <c r="P1705" s="39"/>
      <c r="Q1705" s="45"/>
      <c r="R1705" s="1359">
        <v>4.8600000000000003</v>
      </c>
      <c r="S1705" s="1265" t="s">
        <v>821</v>
      </c>
      <c r="T1705" s="46" t="s">
        <v>54</v>
      </c>
      <c r="U1705" s="44"/>
      <c r="V1705" s="1418">
        <f t="shared" si="175"/>
        <v>0</v>
      </c>
      <c r="W1705" s="357"/>
      <c r="X1705" s="357"/>
      <c r="Y1705" s="357"/>
      <c r="Z1705" s="358"/>
      <c r="AA1705" s="359"/>
      <c r="AB1705" s="360"/>
    </row>
    <row r="1706" spans="1:36" s="361" customFormat="1" ht="15" hidden="1" customHeight="1">
      <c r="A1706" s="354"/>
      <c r="B1706" s="355"/>
      <c r="C1706" s="32"/>
      <c r="D1706" s="33"/>
      <c r="E1706" s="34"/>
      <c r="F1706" s="35"/>
      <c r="G1706" s="33"/>
      <c r="H1706" s="34"/>
      <c r="I1706" s="35"/>
      <c r="J1706" s="43"/>
      <c r="K1706" s="42"/>
      <c r="L1706" s="39"/>
      <c r="M1706" s="41"/>
      <c r="N1706" s="356"/>
      <c r="O1706" s="40"/>
      <c r="P1706" s="39"/>
      <c r="Q1706" s="45"/>
      <c r="R1706" s="362"/>
      <c r="S1706" s="363"/>
      <c r="T1706" s="46"/>
      <c r="U1706" s="44"/>
      <c r="V1706" s="1418">
        <f t="shared" si="175"/>
        <v>0</v>
      </c>
      <c r="W1706" s="357"/>
      <c r="X1706" s="357"/>
      <c r="Y1706" s="357"/>
      <c r="Z1706" s="358"/>
      <c r="AA1706" s="359"/>
      <c r="AB1706" s="360"/>
    </row>
    <row r="1707" spans="1:36" s="369" customFormat="1" ht="15" hidden="1">
      <c r="A1707" s="364"/>
      <c r="B1707" s="355"/>
      <c r="C1707" s="32"/>
      <c r="D1707" s="33"/>
      <c r="E1707" s="34"/>
      <c r="F1707" s="35"/>
      <c r="G1707" s="33"/>
      <c r="H1707" s="34"/>
      <c r="I1707" s="35"/>
      <c r="J1707" s="43"/>
      <c r="K1707" s="42"/>
      <c r="L1707" s="39"/>
      <c r="M1707" s="41"/>
      <c r="N1707" s="40"/>
      <c r="O1707" s="40"/>
      <c r="P1707" s="39"/>
      <c r="Q1707" s="38"/>
      <c r="R1707" s="365"/>
      <c r="S1707" s="366"/>
      <c r="T1707" s="46"/>
      <c r="U1707" s="44"/>
      <c r="V1707" s="1418">
        <f t="shared" si="175"/>
        <v>0</v>
      </c>
      <c r="W1707" s="367"/>
      <c r="X1707" s="367"/>
      <c r="Y1707" s="367"/>
      <c r="Z1707" s="368"/>
    </row>
    <row r="1708" spans="1:36" s="77" customFormat="1" ht="15" hidden="1">
      <c r="A1708" s="370"/>
      <c r="B1708" s="29"/>
      <c r="C1708" s="30"/>
      <c r="D1708" s="18"/>
      <c r="E1708" s="19"/>
      <c r="F1708" s="20"/>
      <c r="G1708" s="18"/>
      <c r="H1708" s="19"/>
      <c r="I1708" s="20"/>
      <c r="J1708" s="21"/>
      <c r="K1708" s="22"/>
      <c r="L1708" s="23"/>
      <c r="M1708" s="24"/>
      <c r="N1708" s="25"/>
      <c r="O1708" s="25"/>
      <c r="P1708" s="23"/>
      <c r="Q1708" s="26"/>
      <c r="R1708" s="371"/>
      <c r="S1708" s="27"/>
      <c r="T1708" s="372"/>
      <c r="U1708" s="31"/>
      <c r="V1708" s="1418">
        <f t="shared" si="175"/>
        <v>0</v>
      </c>
      <c r="AB1708" s="15"/>
    </row>
    <row r="1709" spans="1:36" s="77" customFormat="1" ht="15.6" hidden="1">
      <c r="A1709" s="370"/>
      <c r="B1709" s="499"/>
      <c r="C1709" s="37"/>
      <c r="D1709" s="1929" t="s">
        <v>1520</v>
      </c>
      <c r="E1709" s="1930"/>
      <c r="F1709" s="1930"/>
      <c r="G1709" s="1930"/>
      <c r="H1709" s="1930"/>
      <c r="I1709" s="1931"/>
      <c r="J1709" s="1932">
        <f>VLOOKUP(A1711,'11 - FINANCEIRA'!_xlnm.Print_Area,6,FALSE)</f>
        <v>4.8600000000000003</v>
      </c>
      <c r="K1709" s="1933"/>
      <c r="L1709" s="1343" t="str">
        <f>VLOOKUP(A1711,'11 - FINANCEIRA'!_xlnm.Print_Area,4,FALSE)</f>
        <v>m²</v>
      </c>
      <c r="M1709" s="1934" t="s">
        <v>1521</v>
      </c>
      <c r="N1709" s="1935"/>
      <c r="O1709" s="1935"/>
      <c r="P1709" s="1935"/>
      <c r="Q1709" s="1936"/>
      <c r="R1709" s="726">
        <f>SUM(R1705:R1708)</f>
        <v>4.8600000000000003</v>
      </c>
      <c r="S1709" s="1344" t="str">
        <f>L1709</f>
        <v>m²</v>
      </c>
      <c r="T1709" s="373"/>
      <c r="U1709" s="486"/>
      <c r="V1709" s="1418">
        <f t="shared" si="175"/>
        <v>0</v>
      </c>
      <c r="AB1709" s="15"/>
    </row>
    <row r="1710" spans="1:36" s="77" customFormat="1" ht="15.6" hidden="1">
      <c r="A1710" s="370"/>
      <c r="B1710" s="499"/>
      <c r="C1710" s="725"/>
      <c r="D1710" s="1937" t="s">
        <v>1522</v>
      </c>
      <c r="E1710" s="1938"/>
      <c r="F1710" s="1938"/>
      <c r="G1710" s="1938"/>
      <c r="H1710" s="1938"/>
      <c r="I1710" s="1939"/>
      <c r="J1710" s="1943">
        <f>R1709/J1709</f>
        <v>1</v>
      </c>
      <c r="K1710" s="1944"/>
      <c r="L1710" s="1947"/>
      <c r="M1710" s="1934" t="s">
        <v>1523</v>
      </c>
      <c r="N1710" s="1935"/>
      <c r="O1710" s="1935"/>
      <c r="P1710" s="1935"/>
      <c r="Q1710" s="1936"/>
      <c r="R1710" s="726">
        <f>VLOOKUP(A1711,'11 - FINANCEIRA'!_xlnm.Print_Area,8,FALSE)</f>
        <v>4.8600000000000003</v>
      </c>
      <c r="S1710" s="727" t="str">
        <f>L1709</f>
        <v>m²</v>
      </c>
      <c r="T1710" s="373"/>
      <c r="U1710" s="486"/>
      <c r="V1710" s="1418">
        <f t="shared" si="175"/>
        <v>0</v>
      </c>
      <c r="AB1710" s="15"/>
    </row>
    <row r="1711" spans="1:36" s="77" customFormat="1" ht="15.6" hidden="1">
      <c r="A1711" s="364" t="s">
        <v>470</v>
      </c>
      <c r="B1711" s="499"/>
      <c r="C1711" s="37"/>
      <c r="D1711" s="2013"/>
      <c r="E1711" s="2014"/>
      <c r="F1711" s="2014"/>
      <c r="G1711" s="2014"/>
      <c r="H1711" s="2014"/>
      <c r="I1711" s="2015"/>
      <c r="J1711" s="2016"/>
      <c r="K1711" s="2017"/>
      <c r="L1711" s="1962"/>
      <c r="M1711" s="2007" t="s">
        <v>1524</v>
      </c>
      <c r="N1711" s="2008"/>
      <c r="O1711" s="2008"/>
      <c r="P1711" s="2008"/>
      <c r="Q1711" s="2009"/>
      <c r="R1711" s="1345">
        <f>R1709-R1710</f>
        <v>0</v>
      </c>
      <c r="S1711" s="1346" t="str">
        <f>L1709</f>
        <v>m²</v>
      </c>
      <c r="T1711" s="373"/>
      <c r="U1711" s="486"/>
      <c r="V1711" s="1418">
        <f>R1711</f>
        <v>0</v>
      </c>
      <c r="AB1711" s="15"/>
    </row>
    <row r="1712" spans="1:36" s="77" customFormat="1" ht="15.6" hidden="1">
      <c r="A1712" s="370"/>
      <c r="B1712" s="1347"/>
      <c r="C1712" s="1348"/>
      <c r="D1712" s="1349"/>
      <c r="E1712" s="1350"/>
      <c r="F1712" s="1349"/>
      <c r="G1712" s="1349"/>
      <c r="H1712" s="1349"/>
      <c r="I1712" s="1349"/>
      <c r="J1712" s="1351"/>
      <c r="K1712" s="1352"/>
      <c r="L1712" s="1353"/>
      <c r="M1712" s="1354"/>
      <c r="N1712" s="1354"/>
      <c r="O1712" s="1354"/>
      <c r="P1712" s="1354"/>
      <c r="Q1712" s="1354"/>
      <c r="R1712" s="1355"/>
      <c r="S1712" s="1356"/>
      <c r="T1712" s="1357"/>
      <c r="U1712" s="1358"/>
      <c r="V1712" s="1420">
        <f>SUM(V1703:V1711)</f>
        <v>0</v>
      </c>
      <c r="AB1712" s="15"/>
    </row>
    <row r="1713" spans="1:36" s="352" customFormat="1" ht="15.6" hidden="1">
      <c r="A1713" s="351"/>
      <c r="B1713" s="1963" t="str">
        <f>VLOOKUP(A1721,'11 - FINANCEIRA'!_xlnm.Print_Area,1,FALSE)</f>
        <v>2.3.9.3</v>
      </c>
      <c r="C1713" s="1965" t="str">
        <f>VLOOKUP(A1721,'11 - FINANCEIRA'!_xlnm.Print_Area,3,FALSE)</f>
        <v>Aplicação manual de pintura com tinta látex acrílica em teto, duas demãos. af_06/2014</v>
      </c>
      <c r="D1713" s="1967" t="s">
        <v>1503</v>
      </c>
      <c r="E1713" s="1968"/>
      <c r="F1713" s="1968"/>
      <c r="G1713" s="1968"/>
      <c r="H1713" s="1968"/>
      <c r="I1713" s="1969"/>
      <c r="J1713" s="1914" t="s">
        <v>1504</v>
      </c>
      <c r="K1713" s="1914" t="s">
        <v>1505</v>
      </c>
      <c r="L1713" s="1914" t="s">
        <v>1506</v>
      </c>
      <c r="M1713" s="1914" t="s">
        <v>1507</v>
      </c>
      <c r="N1713" s="1914" t="s">
        <v>1508</v>
      </c>
      <c r="O1713" s="1914" t="s">
        <v>1509</v>
      </c>
      <c r="P1713" s="1341" t="s">
        <v>1510</v>
      </c>
      <c r="Q1713" s="1914" t="s">
        <v>1493</v>
      </c>
      <c r="R1713" s="1916" t="s">
        <v>804</v>
      </c>
      <c r="S1713" s="1914" t="s">
        <v>1511</v>
      </c>
      <c r="T1713" s="1914" t="s">
        <v>1512</v>
      </c>
      <c r="U1713" s="1918" t="s">
        <v>1513</v>
      </c>
      <c r="V1713" s="1418">
        <f t="shared" ref="V1713:V1720" si="176">V1714</f>
        <v>0</v>
      </c>
      <c r="W1713" s="16"/>
      <c r="X1713" s="16"/>
      <c r="Y1713" s="16"/>
      <c r="Z1713" s="17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</row>
    <row r="1714" spans="1:36" s="352" customFormat="1" ht="15.6" hidden="1">
      <c r="A1714" s="351"/>
      <c r="B1714" s="1964" t="e">
        <f>LEFT(#REF!,5)</f>
        <v>#REF!</v>
      </c>
      <c r="C1714" s="1966" t="e">
        <f>VLOOKUP(LEFT(#REF!,5),'11 - FINANCEIRA'!_xlnm.Print_Area,2,FALSE)</f>
        <v>#REF!</v>
      </c>
      <c r="D1714" s="1920" t="s">
        <v>1514</v>
      </c>
      <c r="E1714" s="1921"/>
      <c r="F1714" s="1922"/>
      <c r="G1714" s="1923" t="s">
        <v>1515</v>
      </c>
      <c r="H1714" s="1924"/>
      <c r="I1714" s="1925"/>
      <c r="J1714" s="1915"/>
      <c r="K1714" s="1915"/>
      <c r="L1714" s="1915"/>
      <c r="M1714" s="1915"/>
      <c r="N1714" s="1915"/>
      <c r="O1714" s="1915"/>
      <c r="P1714" s="353" t="s">
        <v>1516</v>
      </c>
      <c r="Q1714" s="1915"/>
      <c r="R1714" s="1917"/>
      <c r="S1714" s="1915"/>
      <c r="T1714" s="1915"/>
      <c r="U1714" s="1919"/>
      <c r="V1714" s="1418">
        <f t="shared" si="176"/>
        <v>0</v>
      </c>
      <c r="W1714" s="16"/>
      <c r="X1714" s="16"/>
      <c r="Y1714" s="16"/>
      <c r="Z1714" s="17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</row>
    <row r="1715" spans="1:36" s="361" customFormat="1" ht="15" hidden="1" customHeight="1">
      <c r="A1715" s="354"/>
      <c r="B1715" s="355"/>
      <c r="C1715" s="32" t="s">
        <v>929</v>
      </c>
      <c r="D1715" s="33"/>
      <c r="E1715" s="34"/>
      <c r="F1715" s="35"/>
      <c r="G1715" s="33"/>
      <c r="H1715" s="34"/>
      <c r="I1715" s="35"/>
      <c r="J1715" s="43"/>
      <c r="K1715" s="42"/>
      <c r="L1715" s="39"/>
      <c r="M1715" s="41"/>
      <c r="N1715" s="356"/>
      <c r="O1715" s="40"/>
      <c r="P1715" s="39"/>
      <c r="Q1715" s="45"/>
      <c r="R1715" s="1359">
        <v>1.8</v>
      </c>
      <c r="S1715" s="1265" t="s">
        <v>821</v>
      </c>
      <c r="T1715" s="46" t="s">
        <v>54</v>
      </c>
      <c r="U1715" s="44"/>
      <c r="V1715" s="1418">
        <f t="shared" si="176"/>
        <v>0</v>
      </c>
      <c r="W1715" s="357"/>
      <c r="X1715" s="357"/>
      <c r="Y1715" s="357"/>
      <c r="Z1715" s="358"/>
      <c r="AA1715" s="359"/>
      <c r="AB1715" s="360"/>
    </row>
    <row r="1716" spans="1:36" s="361" customFormat="1" ht="15" hidden="1" customHeight="1">
      <c r="A1716" s="354"/>
      <c r="B1716" s="355"/>
      <c r="C1716" s="32"/>
      <c r="D1716" s="33"/>
      <c r="E1716" s="34"/>
      <c r="F1716" s="35"/>
      <c r="G1716" s="33"/>
      <c r="H1716" s="34"/>
      <c r="I1716" s="35"/>
      <c r="J1716" s="43"/>
      <c r="K1716" s="42"/>
      <c r="L1716" s="39"/>
      <c r="M1716" s="41"/>
      <c r="N1716" s="356"/>
      <c r="O1716" s="40"/>
      <c r="P1716" s="39"/>
      <c r="Q1716" s="45"/>
      <c r="R1716" s="362"/>
      <c r="S1716" s="363"/>
      <c r="T1716" s="46"/>
      <c r="U1716" s="44"/>
      <c r="V1716" s="1418">
        <f t="shared" si="176"/>
        <v>0</v>
      </c>
      <c r="W1716" s="357"/>
      <c r="X1716" s="357"/>
      <c r="Y1716" s="357"/>
      <c r="Z1716" s="358"/>
      <c r="AA1716" s="359"/>
      <c r="AB1716" s="360"/>
    </row>
    <row r="1717" spans="1:36" s="369" customFormat="1" ht="15" hidden="1">
      <c r="A1717" s="364"/>
      <c r="B1717" s="355"/>
      <c r="C1717" s="32"/>
      <c r="D1717" s="33"/>
      <c r="E1717" s="34"/>
      <c r="F1717" s="35"/>
      <c r="G1717" s="33"/>
      <c r="H1717" s="34"/>
      <c r="I1717" s="35"/>
      <c r="J1717" s="43"/>
      <c r="K1717" s="42"/>
      <c r="L1717" s="39"/>
      <c r="M1717" s="41"/>
      <c r="N1717" s="40"/>
      <c r="O1717" s="40"/>
      <c r="P1717" s="39"/>
      <c r="Q1717" s="38"/>
      <c r="R1717" s="365"/>
      <c r="S1717" s="366"/>
      <c r="T1717" s="46"/>
      <c r="U1717" s="44"/>
      <c r="V1717" s="1418">
        <f t="shared" si="176"/>
        <v>0</v>
      </c>
      <c r="W1717" s="367"/>
      <c r="X1717" s="367"/>
      <c r="Y1717" s="367"/>
      <c r="Z1717" s="368"/>
    </row>
    <row r="1718" spans="1:36" s="77" customFormat="1" ht="15" hidden="1">
      <c r="A1718" s="370"/>
      <c r="B1718" s="29"/>
      <c r="C1718" s="30"/>
      <c r="D1718" s="18"/>
      <c r="E1718" s="19"/>
      <c r="F1718" s="20"/>
      <c r="G1718" s="18"/>
      <c r="H1718" s="19"/>
      <c r="I1718" s="20"/>
      <c r="J1718" s="21"/>
      <c r="K1718" s="22"/>
      <c r="L1718" s="23"/>
      <c r="M1718" s="24"/>
      <c r="N1718" s="25"/>
      <c r="O1718" s="25"/>
      <c r="P1718" s="23"/>
      <c r="Q1718" s="26"/>
      <c r="R1718" s="371"/>
      <c r="S1718" s="27"/>
      <c r="T1718" s="372"/>
      <c r="U1718" s="31"/>
      <c r="V1718" s="1418">
        <f t="shared" si="176"/>
        <v>0</v>
      </c>
      <c r="AB1718" s="15"/>
    </row>
    <row r="1719" spans="1:36" s="77" customFormat="1" ht="15.6" hidden="1">
      <c r="A1719" s="370"/>
      <c r="B1719" s="499"/>
      <c r="C1719" s="37"/>
      <c r="D1719" s="1929" t="s">
        <v>1520</v>
      </c>
      <c r="E1719" s="1930"/>
      <c r="F1719" s="1930"/>
      <c r="G1719" s="1930"/>
      <c r="H1719" s="1930"/>
      <c r="I1719" s="1931"/>
      <c r="J1719" s="1932">
        <f>VLOOKUP(A1721,'11 - FINANCEIRA'!_xlnm.Print_Area,6,FALSE)</f>
        <v>1.8</v>
      </c>
      <c r="K1719" s="1933"/>
      <c r="L1719" s="1343" t="str">
        <f>VLOOKUP(A1721,'11 - FINANCEIRA'!_xlnm.Print_Area,4,FALSE)</f>
        <v>m²</v>
      </c>
      <c r="M1719" s="1934" t="s">
        <v>1521</v>
      </c>
      <c r="N1719" s="1935"/>
      <c r="O1719" s="1935"/>
      <c r="P1719" s="1935"/>
      <c r="Q1719" s="1936"/>
      <c r="R1719" s="726">
        <f>SUM(R1715:R1718)</f>
        <v>1.8</v>
      </c>
      <c r="S1719" s="1344" t="str">
        <f>L1719</f>
        <v>m²</v>
      </c>
      <c r="T1719" s="373"/>
      <c r="U1719" s="486"/>
      <c r="V1719" s="1418">
        <f t="shared" si="176"/>
        <v>0</v>
      </c>
      <c r="AB1719" s="15"/>
    </row>
    <row r="1720" spans="1:36" s="77" customFormat="1" ht="15.6" hidden="1">
      <c r="A1720" s="370"/>
      <c r="B1720" s="499"/>
      <c r="C1720" s="725"/>
      <c r="D1720" s="1937" t="s">
        <v>1522</v>
      </c>
      <c r="E1720" s="1938"/>
      <c r="F1720" s="1938"/>
      <c r="G1720" s="1938"/>
      <c r="H1720" s="1938"/>
      <c r="I1720" s="1939"/>
      <c r="J1720" s="1943">
        <f>R1719/J1719</f>
        <v>1</v>
      </c>
      <c r="K1720" s="1944"/>
      <c r="L1720" s="1947"/>
      <c r="M1720" s="1934" t="s">
        <v>1523</v>
      </c>
      <c r="N1720" s="1935"/>
      <c r="O1720" s="1935"/>
      <c r="P1720" s="1935"/>
      <c r="Q1720" s="1936"/>
      <c r="R1720" s="726">
        <f>VLOOKUP(A1721,'11 - FINANCEIRA'!_xlnm.Print_Area,8,FALSE)</f>
        <v>1.8</v>
      </c>
      <c r="S1720" s="727" t="str">
        <f>L1719</f>
        <v>m²</v>
      </c>
      <c r="T1720" s="373"/>
      <c r="U1720" s="486"/>
      <c r="V1720" s="1418">
        <f t="shared" si="176"/>
        <v>0</v>
      </c>
      <c r="AB1720" s="15"/>
    </row>
    <row r="1721" spans="1:36" s="77" customFormat="1" ht="15.6" hidden="1">
      <c r="A1721" s="364" t="s">
        <v>471</v>
      </c>
      <c r="B1721" s="499"/>
      <c r="C1721" s="37"/>
      <c r="D1721" s="2013"/>
      <c r="E1721" s="2014"/>
      <c r="F1721" s="2014"/>
      <c r="G1721" s="2014"/>
      <c r="H1721" s="2014"/>
      <c r="I1721" s="2015"/>
      <c r="J1721" s="2016"/>
      <c r="K1721" s="2017"/>
      <c r="L1721" s="1962"/>
      <c r="M1721" s="2007" t="s">
        <v>1524</v>
      </c>
      <c r="N1721" s="2008"/>
      <c r="O1721" s="2008"/>
      <c r="P1721" s="2008"/>
      <c r="Q1721" s="2009"/>
      <c r="R1721" s="1345">
        <f>R1719-R1720</f>
        <v>0</v>
      </c>
      <c r="S1721" s="1346" t="str">
        <f>L1719</f>
        <v>m²</v>
      </c>
      <c r="T1721" s="373"/>
      <c r="U1721" s="486"/>
      <c r="V1721" s="1418">
        <f>R1721</f>
        <v>0</v>
      </c>
      <c r="AB1721" s="15"/>
    </row>
    <row r="1722" spans="1:36" s="77" customFormat="1" ht="15.6" hidden="1">
      <c r="A1722" s="370"/>
      <c r="B1722" s="1347"/>
      <c r="C1722" s="1348"/>
      <c r="D1722" s="1349"/>
      <c r="E1722" s="1350"/>
      <c r="F1722" s="1349"/>
      <c r="G1722" s="1349"/>
      <c r="H1722" s="1349"/>
      <c r="I1722" s="1349"/>
      <c r="J1722" s="1351"/>
      <c r="K1722" s="1352"/>
      <c r="L1722" s="1353"/>
      <c r="M1722" s="1354"/>
      <c r="N1722" s="1354"/>
      <c r="O1722" s="1354"/>
      <c r="P1722" s="1354"/>
      <c r="Q1722" s="1354"/>
      <c r="R1722" s="1355"/>
      <c r="S1722" s="1356"/>
      <c r="T1722" s="1357"/>
      <c r="U1722" s="1358"/>
      <c r="V1722" s="1420">
        <f>SUM(V1713:V1721)</f>
        <v>0</v>
      </c>
      <c r="AB1722" s="15"/>
    </row>
    <row r="1723" spans="1:36" s="352" customFormat="1" ht="15.6" hidden="1">
      <c r="A1723" s="351"/>
      <c r="B1723" s="1963" t="str">
        <f>VLOOKUP(A1731,'11 - FINANCEIRA'!_xlnm.Print_Area,1,FALSE)</f>
        <v>2.3.9.4</v>
      </c>
      <c r="C1723" s="1965" t="str">
        <f>VLOOKUP(A1731,'11 - FINANCEIRA'!_xlnm.Print_Area,3,FALSE)</f>
        <v>Revestimento cerâmico para piso com placas tipo esmaltada extra de dimensões 45x45 cm aplicada em ambientes de área menor que 5 m². af_06/2014</v>
      </c>
      <c r="D1723" s="1967" t="s">
        <v>1503</v>
      </c>
      <c r="E1723" s="1968"/>
      <c r="F1723" s="1968"/>
      <c r="G1723" s="1968"/>
      <c r="H1723" s="1968"/>
      <c r="I1723" s="1969"/>
      <c r="J1723" s="1914" t="s">
        <v>1504</v>
      </c>
      <c r="K1723" s="1914" t="s">
        <v>1505</v>
      </c>
      <c r="L1723" s="1914" t="s">
        <v>1506</v>
      </c>
      <c r="M1723" s="1914" t="s">
        <v>1507</v>
      </c>
      <c r="N1723" s="1914" t="s">
        <v>1508</v>
      </c>
      <c r="O1723" s="1914" t="s">
        <v>1509</v>
      </c>
      <c r="P1723" s="1341" t="s">
        <v>1510</v>
      </c>
      <c r="Q1723" s="1914" t="s">
        <v>1493</v>
      </c>
      <c r="R1723" s="1916" t="s">
        <v>804</v>
      </c>
      <c r="S1723" s="1914" t="s">
        <v>1511</v>
      </c>
      <c r="T1723" s="1914" t="s">
        <v>1512</v>
      </c>
      <c r="U1723" s="1918" t="s">
        <v>1513</v>
      </c>
      <c r="V1723" s="1418">
        <f t="shared" ref="V1723:V1730" si="177">V1724</f>
        <v>0</v>
      </c>
      <c r="W1723" s="16"/>
      <c r="X1723" s="16"/>
      <c r="Y1723" s="16"/>
      <c r="Z1723" s="17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</row>
    <row r="1724" spans="1:36" s="352" customFormat="1" ht="15.6" hidden="1">
      <c r="A1724" s="351"/>
      <c r="B1724" s="1964" t="e">
        <f>LEFT(#REF!,5)</f>
        <v>#REF!</v>
      </c>
      <c r="C1724" s="1966" t="e">
        <f>VLOOKUP(LEFT(#REF!,5),'11 - FINANCEIRA'!_xlnm.Print_Area,2,FALSE)</f>
        <v>#REF!</v>
      </c>
      <c r="D1724" s="1920" t="s">
        <v>1514</v>
      </c>
      <c r="E1724" s="1921"/>
      <c r="F1724" s="1922"/>
      <c r="G1724" s="1923" t="s">
        <v>1515</v>
      </c>
      <c r="H1724" s="1924"/>
      <c r="I1724" s="1925"/>
      <c r="J1724" s="1915"/>
      <c r="K1724" s="1915"/>
      <c r="L1724" s="1915"/>
      <c r="M1724" s="1915"/>
      <c r="N1724" s="1915"/>
      <c r="O1724" s="1915"/>
      <c r="P1724" s="353" t="s">
        <v>1516</v>
      </c>
      <c r="Q1724" s="1915"/>
      <c r="R1724" s="1917"/>
      <c r="S1724" s="1915"/>
      <c r="T1724" s="1915"/>
      <c r="U1724" s="1919"/>
      <c r="V1724" s="1418">
        <f t="shared" si="177"/>
        <v>0</v>
      </c>
      <c r="W1724" s="16"/>
      <c r="X1724" s="16"/>
      <c r="Y1724" s="16"/>
      <c r="Z1724" s="17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</row>
    <row r="1725" spans="1:36" s="361" customFormat="1" ht="30" hidden="1">
      <c r="A1725" s="354"/>
      <c r="B1725" s="355"/>
      <c r="C1725" s="32" t="s">
        <v>982</v>
      </c>
      <c r="D1725" s="33"/>
      <c r="E1725" s="34"/>
      <c r="F1725" s="35"/>
      <c r="G1725" s="33"/>
      <c r="H1725" s="34"/>
      <c r="I1725" s="35"/>
      <c r="J1725" s="43"/>
      <c r="K1725" s="42"/>
      <c r="L1725" s="39"/>
      <c r="M1725" s="41"/>
      <c r="N1725" s="356"/>
      <c r="O1725" s="40"/>
      <c r="P1725" s="39"/>
      <c r="Q1725" s="45"/>
      <c r="R1725" s="1359">
        <v>2.34</v>
      </c>
      <c r="S1725" s="1265" t="s">
        <v>821</v>
      </c>
      <c r="T1725" s="46" t="s">
        <v>328</v>
      </c>
      <c r="U1725" s="44"/>
      <c r="V1725" s="1418">
        <f t="shared" si="177"/>
        <v>0</v>
      </c>
      <c r="W1725" s="357"/>
      <c r="X1725" s="357"/>
      <c r="Y1725" s="357"/>
      <c r="Z1725" s="358"/>
      <c r="AA1725" s="359"/>
      <c r="AB1725" s="360"/>
    </row>
    <row r="1726" spans="1:36" s="361" customFormat="1" ht="15" hidden="1" customHeight="1">
      <c r="A1726" s="354"/>
      <c r="B1726" s="355"/>
      <c r="C1726" s="32"/>
      <c r="D1726" s="33"/>
      <c r="E1726" s="34"/>
      <c r="F1726" s="35"/>
      <c r="G1726" s="33"/>
      <c r="H1726" s="34"/>
      <c r="I1726" s="35"/>
      <c r="J1726" s="43"/>
      <c r="K1726" s="42"/>
      <c r="L1726" s="39"/>
      <c r="M1726" s="41"/>
      <c r="N1726" s="356"/>
      <c r="O1726" s="40"/>
      <c r="P1726" s="39"/>
      <c r="Q1726" s="45"/>
      <c r="R1726" s="362"/>
      <c r="S1726" s="363"/>
      <c r="T1726" s="46"/>
      <c r="U1726" s="44"/>
      <c r="V1726" s="1418">
        <f t="shared" si="177"/>
        <v>0</v>
      </c>
      <c r="W1726" s="357"/>
      <c r="X1726" s="357"/>
      <c r="Y1726" s="357"/>
      <c r="Z1726" s="358"/>
      <c r="AA1726" s="359"/>
      <c r="AB1726" s="360"/>
    </row>
    <row r="1727" spans="1:36" s="369" customFormat="1" ht="15" hidden="1">
      <c r="A1727" s="364"/>
      <c r="B1727" s="355"/>
      <c r="C1727" s="32"/>
      <c r="D1727" s="33"/>
      <c r="E1727" s="34"/>
      <c r="F1727" s="35"/>
      <c r="G1727" s="33"/>
      <c r="H1727" s="34"/>
      <c r="I1727" s="35"/>
      <c r="J1727" s="43"/>
      <c r="K1727" s="42"/>
      <c r="L1727" s="39"/>
      <c r="M1727" s="41"/>
      <c r="N1727" s="40"/>
      <c r="O1727" s="40"/>
      <c r="P1727" s="39"/>
      <c r="Q1727" s="38"/>
      <c r="R1727" s="365"/>
      <c r="S1727" s="366"/>
      <c r="T1727" s="46"/>
      <c r="U1727" s="44"/>
      <c r="V1727" s="1418">
        <f t="shared" si="177"/>
        <v>0</v>
      </c>
      <c r="W1727" s="367"/>
      <c r="X1727" s="367"/>
      <c r="Y1727" s="367"/>
      <c r="Z1727" s="368"/>
    </row>
    <row r="1728" spans="1:36" s="77" customFormat="1" ht="15" hidden="1">
      <c r="A1728" s="370"/>
      <c r="B1728" s="29"/>
      <c r="C1728" s="30"/>
      <c r="D1728" s="18"/>
      <c r="E1728" s="19"/>
      <c r="F1728" s="20"/>
      <c r="G1728" s="18"/>
      <c r="H1728" s="19"/>
      <c r="I1728" s="20"/>
      <c r="J1728" s="21"/>
      <c r="K1728" s="22"/>
      <c r="L1728" s="23"/>
      <c r="M1728" s="24"/>
      <c r="N1728" s="25"/>
      <c r="O1728" s="25"/>
      <c r="P1728" s="23"/>
      <c r="Q1728" s="26"/>
      <c r="R1728" s="371"/>
      <c r="S1728" s="27"/>
      <c r="T1728" s="372"/>
      <c r="U1728" s="31"/>
      <c r="V1728" s="1418">
        <f t="shared" si="177"/>
        <v>0</v>
      </c>
      <c r="AB1728" s="15"/>
    </row>
    <row r="1729" spans="1:36" s="77" customFormat="1" ht="15.6" hidden="1">
      <c r="A1729" s="370"/>
      <c r="B1729" s="499"/>
      <c r="C1729" s="37"/>
      <c r="D1729" s="1929" t="s">
        <v>1520</v>
      </c>
      <c r="E1729" s="1930"/>
      <c r="F1729" s="1930"/>
      <c r="G1729" s="1930"/>
      <c r="H1729" s="1930"/>
      <c r="I1729" s="1931"/>
      <c r="J1729" s="1932">
        <f>VLOOKUP(A1731,'11 - FINANCEIRA'!_xlnm.Print_Area,6,FALSE)</f>
        <v>2.34</v>
      </c>
      <c r="K1729" s="1933"/>
      <c r="L1729" s="1343" t="str">
        <f>VLOOKUP(A1731,'11 - FINANCEIRA'!_xlnm.Print_Area,4,FALSE)</f>
        <v>m²</v>
      </c>
      <c r="M1729" s="1934" t="s">
        <v>1521</v>
      </c>
      <c r="N1729" s="1935"/>
      <c r="O1729" s="1935"/>
      <c r="P1729" s="1935"/>
      <c r="Q1729" s="1936"/>
      <c r="R1729" s="726">
        <f>SUM(R1725:R1728)</f>
        <v>2.34</v>
      </c>
      <c r="S1729" s="1344" t="str">
        <f>L1729</f>
        <v>m²</v>
      </c>
      <c r="T1729" s="373"/>
      <c r="U1729" s="486"/>
      <c r="V1729" s="1418">
        <f t="shared" si="177"/>
        <v>0</v>
      </c>
      <c r="AB1729" s="15"/>
    </row>
    <row r="1730" spans="1:36" s="77" customFormat="1" ht="15.6" hidden="1">
      <c r="A1730" s="370"/>
      <c r="B1730" s="499"/>
      <c r="C1730" s="725"/>
      <c r="D1730" s="1937" t="s">
        <v>1522</v>
      </c>
      <c r="E1730" s="1938"/>
      <c r="F1730" s="1938"/>
      <c r="G1730" s="1938"/>
      <c r="H1730" s="1938"/>
      <c r="I1730" s="1939"/>
      <c r="J1730" s="1943">
        <f>R1729/J1729</f>
        <v>1</v>
      </c>
      <c r="K1730" s="1944"/>
      <c r="L1730" s="1947"/>
      <c r="M1730" s="1934" t="s">
        <v>1523</v>
      </c>
      <c r="N1730" s="1935"/>
      <c r="O1730" s="1935"/>
      <c r="P1730" s="1935"/>
      <c r="Q1730" s="1936"/>
      <c r="R1730" s="726">
        <f>VLOOKUP(A1731,'11 - FINANCEIRA'!_xlnm.Print_Area,8,FALSE)</f>
        <v>2.34</v>
      </c>
      <c r="S1730" s="727" t="str">
        <f>L1729</f>
        <v>m²</v>
      </c>
      <c r="T1730" s="373"/>
      <c r="U1730" s="486"/>
      <c r="V1730" s="1418">
        <f t="shared" si="177"/>
        <v>0</v>
      </c>
      <c r="AB1730" s="15"/>
    </row>
    <row r="1731" spans="1:36" s="77" customFormat="1" ht="15.6" hidden="1">
      <c r="A1731" s="364" t="s">
        <v>472</v>
      </c>
      <c r="B1731" s="499"/>
      <c r="C1731" s="37"/>
      <c r="D1731" s="2013"/>
      <c r="E1731" s="2014"/>
      <c r="F1731" s="2014"/>
      <c r="G1731" s="2014"/>
      <c r="H1731" s="2014"/>
      <c r="I1731" s="2015"/>
      <c r="J1731" s="2016"/>
      <c r="K1731" s="2017"/>
      <c r="L1731" s="1962"/>
      <c r="M1731" s="2007" t="s">
        <v>1524</v>
      </c>
      <c r="N1731" s="2008"/>
      <c r="O1731" s="2008"/>
      <c r="P1731" s="2008"/>
      <c r="Q1731" s="2009"/>
      <c r="R1731" s="1345">
        <f>R1729-R1730</f>
        <v>0</v>
      </c>
      <c r="S1731" s="1346" t="str">
        <f>L1729</f>
        <v>m²</v>
      </c>
      <c r="T1731" s="373"/>
      <c r="U1731" s="486"/>
      <c r="V1731" s="1418">
        <f>R1731</f>
        <v>0</v>
      </c>
      <c r="AB1731" s="15"/>
    </row>
    <row r="1732" spans="1:36" s="77" customFormat="1" ht="15.6" hidden="1">
      <c r="A1732" s="370"/>
      <c r="B1732" s="1347"/>
      <c r="C1732" s="1348"/>
      <c r="D1732" s="1349"/>
      <c r="E1732" s="1350"/>
      <c r="F1732" s="1349"/>
      <c r="G1732" s="1349"/>
      <c r="H1732" s="1349"/>
      <c r="I1732" s="1349"/>
      <c r="J1732" s="1351"/>
      <c r="K1732" s="1352"/>
      <c r="L1732" s="1353"/>
      <c r="M1732" s="1354"/>
      <c r="N1732" s="1354"/>
      <c r="O1732" s="1354"/>
      <c r="P1732" s="1354"/>
      <c r="Q1732" s="1354"/>
      <c r="R1732" s="1355"/>
      <c r="S1732" s="1356"/>
      <c r="T1732" s="1357"/>
      <c r="U1732" s="1358"/>
      <c r="V1732" s="1420">
        <f>SUM(V1723:V1731)</f>
        <v>0</v>
      </c>
      <c r="AB1732" s="15"/>
    </row>
    <row r="1733" spans="1:36" s="352" customFormat="1" ht="15.6" hidden="1">
      <c r="A1733" s="351"/>
      <c r="B1733" s="1963" t="str">
        <f>VLOOKUP(A1741,'11 - FINANCEIRA'!_xlnm.Print_Area,1,FALSE)</f>
        <v>2.3.9.5</v>
      </c>
      <c r="C1733" s="1965" t="str">
        <f>VLOOKUP(A1741,'11 - FINANCEIRA'!_xlnm.Print_Area,3,FALSE)</f>
        <v>Lavatório louça branca com coluna, 45 x 55cm ou equivalente, padrão médio - fornecimento e instalação. af_01/2020</v>
      </c>
      <c r="D1733" s="1967" t="s">
        <v>1503</v>
      </c>
      <c r="E1733" s="1968"/>
      <c r="F1733" s="1968"/>
      <c r="G1733" s="1968"/>
      <c r="H1733" s="1968"/>
      <c r="I1733" s="1969"/>
      <c r="J1733" s="1914" t="s">
        <v>1504</v>
      </c>
      <c r="K1733" s="1914" t="s">
        <v>1505</v>
      </c>
      <c r="L1733" s="1914" t="s">
        <v>1506</v>
      </c>
      <c r="M1733" s="1914" t="s">
        <v>1507</v>
      </c>
      <c r="N1733" s="1914" t="s">
        <v>1508</v>
      </c>
      <c r="O1733" s="1914" t="s">
        <v>1509</v>
      </c>
      <c r="P1733" s="1341" t="s">
        <v>1510</v>
      </c>
      <c r="Q1733" s="1914" t="s">
        <v>1493</v>
      </c>
      <c r="R1733" s="1916" t="s">
        <v>804</v>
      </c>
      <c r="S1733" s="1914" t="s">
        <v>1511</v>
      </c>
      <c r="T1733" s="1914" t="s">
        <v>1512</v>
      </c>
      <c r="U1733" s="1918" t="s">
        <v>1513</v>
      </c>
      <c r="V1733" s="1418">
        <f t="shared" ref="V1733:V1740" si="178">V1734</f>
        <v>0</v>
      </c>
      <c r="W1733" s="16"/>
      <c r="X1733" s="16"/>
      <c r="Y1733" s="16"/>
      <c r="Z1733" s="17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</row>
    <row r="1734" spans="1:36" s="352" customFormat="1" ht="15.6" hidden="1">
      <c r="A1734" s="351"/>
      <c r="B1734" s="1964" t="e">
        <f>LEFT(#REF!,5)</f>
        <v>#REF!</v>
      </c>
      <c r="C1734" s="1966" t="e">
        <f>VLOOKUP(LEFT(#REF!,5),'11 - FINANCEIRA'!_xlnm.Print_Area,2,FALSE)</f>
        <v>#REF!</v>
      </c>
      <c r="D1734" s="1920" t="s">
        <v>1514</v>
      </c>
      <c r="E1734" s="1921"/>
      <c r="F1734" s="1922"/>
      <c r="G1734" s="1923" t="s">
        <v>1515</v>
      </c>
      <c r="H1734" s="1924"/>
      <c r="I1734" s="1925"/>
      <c r="J1734" s="1915"/>
      <c r="K1734" s="1915"/>
      <c r="L1734" s="1915"/>
      <c r="M1734" s="1915"/>
      <c r="N1734" s="1915"/>
      <c r="O1734" s="1915"/>
      <c r="P1734" s="353" t="s">
        <v>1516</v>
      </c>
      <c r="Q1734" s="1915"/>
      <c r="R1734" s="1917"/>
      <c r="S1734" s="1915"/>
      <c r="T1734" s="1915"/>
      <c r="U1734" s="1919"/>
      <c r="V1734" s="1418">
        <f t="shared" si="178"/>
        <v>0</v>
      </c>
      <c r="W1734" s="16"/>
      <c r="X1734" s="16"/>
      <c r="Y1734" s="16"/>
      <c r="Z1734" s="17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</row>
    <row r="1735" spans="1:36" s="361" customFormat="1" ht="30" hidden="1">
      <c r="A1735" s="354"/>
      <c r="B1735" s="355"/>
      <c r="C1735" s="32" t="s">
        <v>933</v>
      </c>
      <c r="D1735" s="33"/>
      <c r="E1735" s="34"/>
      <c r="F1735" s="35"/>
      <c r="G1735" s="33"/>
      <c r="H1735" s="34"/>
      <c r="I1735" s="35"/>
      <c r="J1735" s="43"/>
      <c r="K1735" s="42"/>
      <c r="L1735" s="39"/>
      <c r="M1735" s="41"/>
      <c r="N1735" s="356"/>
      <c r="O1735" s="40"/>
      <c r="P1735" s="39"/>
      <c r="Q1735" s="45"/>
      <c r="R1735" s="1359">
        <v>1</v>
      </c>
      <c r="S1735" s="1265" t="s">
        <v>816</v>
      </c>
      <c r="T1735" s="46" t="s">
        <v>54</v>
      </c>
      <c r="U1735" s="44"/>
      <c r="V1735" s="1418">
        <f t="shared" si="178"/>
        <v>0</v>
      </c>
      <c r="W1735" s="357"/>
      <c r="X1735" s="357"/>
      <c r="Y1735" s="357"/>
      <c r="Z1735" s="358"/>
      <c r="AA1735" s="359"/>
      <c r="AB1735" s="360"/>
    </row>
    <row r="1736" spans="1:36" s="361" customFormat="1" ht="15" hidden="1" customHeight="1">
      <c r="A1736" s="354"/>
      <c r="B1736" s="355"/>
      <c r="C1736" s="32"/>
      <c r="D1736" s="33"/>
      <c r="E1736" s="34"/>
      <c r="F1736" s="35"/>
      <c r="G1736" s="33"/>
      <c r="H1736" s="34"/>
      <c r="I1736" s="35"/>
      <c r="J1736" s="43"/>
      <c r="K1736" s="42"/>
      <c r="L1736" s="39"/>
      <c r="M1736" s="41"/>
      <c r="N1736" s="356"/>
      <c r="O1736" s="40"/>
      <c r="P1736" s="39"/>
      <c r="Q1736" s="45"/>
      <c r="R1736" s="362"/>
      <c r="S1736" s="363"/>
      <c r="T1736" s="46"/>
      <c r="U1736" s="44"/>
      <c r="V1736" s="1418">
        <f t="shared" si="178"/>
        <v>0</v>
      </c>
      <c r="W1736" s="357"/>
      <c r="X1736" s="357"/>
      <c r="Y1736" s="357"/>
      <c r="Z1736" s="358"/>
      <c r="AA1736" s="359"/>
      <c r="AB1736" s="360"/>
    </row>
    <row r="1737" spans="1:36" s="369" customFormat="1" ht="15" hidden="1">
      <c r="A1737" s="364"/>
      <c r="B1737" s="355"/>
      <c r="C1737" s="32"/>
      <c r="D1737" s="33"/>
      <c r="E1737" s="34"/>
      <c r="F1737" s="35"/>
      <c r="G1737" s="33"/>
      <c r="H1737" s="34"/>
      <c r="I1737" s="35"/>
      <c r="J1737" s="43"/>
      <c r="K1737" s="42"/>
      <c r="L1737" s="39"/>
      <c r="M1737" s="41"/>
      <c r="N1737" s="40"/>
      <c r="O1737" s="40"/>
      <c r="P1737" s="39"/>
      <c r="Q1737" s="38"/>
      <c r="R1737" s="365"/>
      <c r="S1737" s="366"/>
      <c r="T1737" s="46"/>
      <c r="U1737" s="44"/>
      <c r="V1737" s="1418">
        <f t="shared" si="178"/>
        <v>0</v>
      </c>
      <c r="W1737" s="367"/>
      <c r="X1737" s="367"/>
      <c r="Y1737" s="367"/>
      <c r="Z1737" s="368"/>
    </row>
    <row r="1738" spans="1:36" s="77" customFormat="1" ht="15" hidden="1">
      <c r="A1738" s="370"/>
      <c r="B1738" s="29"/>
      <c r="C1738" s="30"/>
      <c r="D1738" s="18"/>
      <c r="E1738" s="19"/>
      <c r="F1738" s="20"/>
      <c r="G1738" s="18"/>
      <c r="H1738" s="19"/>
      <c r="I1738" s="20"/>
      <c r="J1738" s="21"/>
      <c r="K1738" s="22"/>
      <c r="L1738" s="23"/>
      <c r="M1738" s="24"/>
      <c r="N1738" s="25"/>
      <c r="O1738" s="25"/>
      <c r="P1738" s="23"/>
      <c r="Q1738" s="26"/>
      <c r="R1738" s="371"/>
      <c r="S1738" s="27"/>
      <c r="T1738" s="372"/>
      <c r="U1738" s="31"/>
      <c r="V1738" s="1418">
        <f t="shared" si="178"/>
        <v>0</v>
      </c>
      <c r="AB1738" s="15"/>
    </row>
    <row r="1739" spans="1:36" s="77" customFormat="1" ht="15.6" hidden="1">
      <c r="A1739" s="370"/>
      <c r="B1739" s="499"/>
      <c r="C1739" s="37"/>
      <c r="D1739" s="1929" t="s">
        <v>1520</v>
      </c>
      <c r="E1739" s="1930"/>
      <c r="F1739" s="1930"/>
      <c r="G1739" s="1930"/>
      <c r="H1739" s="1930"/>
      <c r="I1739" s="1931"/>
      <c r="J1739" s="1932">
        <f>VLOOKUP(A1741,'11 - FINANCEIRA'!_xlnm.Print_Area,6,FALSE)</f>
        <v>1</v>
      </c>
      <c r="K1739" s="1933"/>
      <c r="L1739" s="1343" t="str">
        <f>VLOOKUP(A1741,'11 - FINANCEIRA'!_xlnm.Print_Area,4,FALSE)</f>
        <v>und</v>
      </c>
      <c r="M1739" s="1934" t="s">
        <v>1521</v>
      </c>
      <c r="N1739" s="1935"/>
      <c r="O1739" s="1935"/>
      <c r="P1739" s="1935"/>
      <c r="Q1739" s="1936"/>
      <c r="R1739" s="726">
        <f>SUM(R1735:R1738)</f>
        <v>1</v>
      </c>
      <c r="S1739" s="1344" t="str">
        <f>L1739</f>
        <v>und</v>
      </c>
      <c r="T1739" s="373"/>
      <c r="U1739" s="486"/>
      <c r="V1739" s="1418">
        <f t="shared" si="178"/>
        <v>0</v>
      </c>
      <c r="AB1739" s="15"/>
    </row>
    <row r="1740" spans="1:36" s="77" customFormat="1" ht="15.6" hidden="1">
      <c r="A1740" s="370"/>
      <c r="B1740" s="499"/>
      <c r="C1740" s="725"/>
      <c r="D1740" s="1937" t="s">
        <v>1522</v>
      </c>
      <c r="E1740" s="1938"/>
      <c r="F1740" s="1938"/>
      <c r="G1740" s="1938"/>
      <c r="H1740" s="1938"/>
      <c r="I1740" s="1939"/>
      <c r="J1740" s="1943">
        <f>R1739/J1739</f>
        <v>1</v>
      </c>
      <c r="K1740" s="1944"/>
      <c r="L1740" s="1947"/>
      <c r="M1740" s="1934" t="s">
        <v>1523</v>
      </c>
      <c r="N1740" s="1935"/>
      <c r="O1740" s="1935"/>
      <c r="P1740" s="1935"/>
      <c r="Q1740" s="1936"/>
      <c r="R1740" s="726">
        <f>VLOOKUP(A1741,'11 - FINANCEIRA'!_xlnm.Print_Area,8,FALSE)</f>
        <v>1</v>
      </c>
      <c r="S1740" s="727" t="str">
        <f>L1739</f>
        <v>und</v>
      </c>
      <c r="T1740" s="373"/>
      <c r="U1740" s="486"/>
      <c r="V1740" s="1418">
        <f t="shared" si="178"/>
        <v>0</v>
      </c>
      <c r="AB1740" s="15"/>
    </row>
    <row r="1741" spans="1:36" s="77" customFormat="1" ht="15.6" hidden="1">
      <c r="A1741" s="364" t="s">
        <v>473</v>
      </c>
      <c r="B1741" s="499"/>
      <c r="C1741" s="37"/>
      <c r="D1741" s="2013"/>
      <c r="E1741" s="2014"/>
      <c r="F1741" s="2014"/>
      <c r="G1741" s="2014"/>
      <c r="H1741" s="2014"/>
      <c r="I1741" s="2015"/>
      <c r="J1741" s="2016"/>
      <c r="K1741" s="2017"/>
      <c r="L1741" s="1962"/>
      <c r="M1741" s="2007" t="s">
        <v>1524</v>
      </c>
      <c r="N1741" s="2008"/>
      <c r="O1741" s="2008"/>
      <c r="P1741" s="2008"/>
      <c r="Q1741" s="2009"/>
      <c r="R1741" s="1345">
        <f>R1739-R1740</f>
        <v>0</v>
      </c>
      <c r="S1741" s="1346" t="str">
        <f>L1739</f>
        <v>und</v>
      </c>
      <c r="T1741" s="373"/>
      <c r="U1741" s="486"/>
      <c r="V1741" s="1418">
        <f>R1741</f>
        <v>0</v>
      </c>
      <c r="AB1741" s="15"/>
    </row>
    <row r="1742" spans="1:36" s="77" customFormat="1" ht="15.6" hidden="1">
      <c r="A1742" s="370"/>
      <c r="B1742" s="1347"/>
      <c r="C1742" s="1348"/>
      <c r="D1742" s="1349"/>
      <c r="E1742" s="1350"/>
      <c r="F1742" s="1349"/>
      <c r="G1742" s="1349"/>
      <c r="H1742" s="1349"/>
      <c r="I1742" s="1349"/>
      <c r="J1742" s="1351"/>
      <c r="K1742" s="1352"/>
      <c r="L1742" s="1353"/>
      <c r="M1742" s="1354"/>
      <c r="N1742" s="1354"/>
      <c r="O1742" s="1354"/>
      <c r="P1742" s="1354"/>
      <c r="Q1742" s="1354"/>
      <c r="R1742" s="1355"/>
      <c r="S1742" s="1356"/>
      <c r="T1742" s="1357"/>
      <c r="U1742" s="1358"/>
      <c r="V1742" s="1420">
        <f>SUM(V1733:V1741)</f>
        <v>0</v>
      </c>
      <c r="AB1742" s="15"/>
    </row>
    <row r="1743" spans="1:36" s="352" customFormat="1" ht="15.6" hidden="1">
      <c r="A1743" s="351"/>
      <c r="B1743" s="1963" t="str">
        <f>VLOOKUP(A1751,'11 - FINANCEIRA'!_xlnm.Print_Area,1,FALSE)</f>
        <v>2.3.9.6</v>
      </c>
      <c r="C1743" s="1965" t="str">
        <f>VLOOKUP(A1751,'11 - FINANCEIRA'!_xlnm.Print_Area,3,FALSE)</f>
        <v>Torneira cromada de mesa, 1/2? ou 3/4?, para lavatório, padrão médio - fornecimento e instalação. af_01/2020</v>
      </c>
      <c r="D1743" s="1967" t="s">
        <v>1503</v>
      </c>
      <c r="E1743" s="1968"/>
      <c r="F1743" s="1968"/>
      <c r="G1743" s="1968"/>
      <c r="H1743" s="1968"/>
      <c r="I1743" s="1969"/>
      <c r="J1743" s="1914" t="s">
        <v>1504</v>
      </c>
      <c r="K1743" s="1914" t="s">
        <v>1505</v>
      </c>
      <c r="L1743" s="1914" t="s">
        <v>1506</v>
      </c>
      <c r="M1743" s="1914" t="s">
        <v>1507</v>
      </c>
      <c r="N1743" s="1914" t="s">
        <v>1508</v>
      </c>
      <c r="O1743" s="1914" t="s">
        <v>1509</v>
      </c>
      <c r="P1743" s="1341" t="s">
        <v>1510</v>
      </c>
      <c r="Q1743" s="1914" t="s">
        <v>1493</v>
      </c>
      <c r="R1743" s="1916" t="s">
        <v>804</v>
      </c>
      <c r="S1743" s="1914" t="s">
        <v>1511</v>
      </c>
      <c r="T1743" s="1914" t="s">
        <v>1512</v>
      </c>
      <c r="U1743" s="1918" t="s">
        <v>1513</v>
      </c>
      <c r="V1743" s="1418">
        <f t="shared" ref="V1743:V1750" si="179">V1744</f>
        <v>0</v>
      </c>
      <c r="W1743" s="16"/>
      <c r="X1743" s="16"/>
      <c r="Y1743" s="16"/>
      <c r="Z1743" s="17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</row>
    <row r="1744" spans="1:36" s="352" customFormat="1" ht="15.6" hidden="1">
      <c r="A1744" s="351"/>
      <c r="B1744" s="1964" t="e">
        <f>LEFT(#REF!,5)</f>
        <v>#REF!</v>
      </c>
      <c r="C1744" s="1966" t="e">
        <f>VLOOKUP(LEFT(#REF!,5),'11 - FINANCEIRA'!_xlnm.Print_Area,2,FALSE)</f>
        <v>#REF!</v>
      </c>
      <c r="D1744" s="1920" t="s">
        <v>1514</v>
      </c>
      <c r="E1744" s="1921"/>
      <c r="F1744" s="1922"/>
      <c r="G1744" s="1923" t="s">
        <v>1515</v>
      </c>
      <c r="H1744" s="1924"/>
      <c r="I1744" s="1925"/>
      <c r="J1744" s="1915"/>
      <c r="K1744" s="1915"/>
      <c r="L1744" s="1915"/>
      <c r="M1744" s="1915"/>
      <c r="N1744" s="1915"/>
      <c r="O1744" s="1915"/>
      <c r="P1744" s="353" t="s">
        <v>1516</v>
      </c>
      <c r="Q1744" s="1915"/>
      <c r="R1744" s="1917"/>
      <c r="S1744" s="1915"/>
      <c r="T1744" s="1915"/>
      <c r="U1744" s="1919"/>
      <c r="V1744" s="1418">
        <f t="shared" si="179"/>
        <v>0</v>
      </c>
      <c r="W1744" s="16"/>
      <c r="X1744" s="16"/>
      <c r="Y1744" s="16"/>
      <c r="Z1744" s="17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</row>
    <row r="1745" spans="1:36" s="361" customFormat="1" ht="30" hidden="1">
      <c r="A1745" s="354"/>
      <c r="B1745" s="355"/>
      <c r="C1745" s="32" t="s">
        <v>935</v>
      </c>
      <c r="D1745" s="33"/>
      <c r="E1745" s="34"/>
      <c r="F1745" s="35"/>
      <c r="G1745" s="33"/>
      <c r="H1745" s="34"/>
      <c r="I1745" s="35"/>
      <c r="J1745" s="43"/>
      <c r="K1745" s="42"/>
      <c r="L1745" s="39"/>
      <c r="M1745" s="41"/>
      <c r="N1745" s="356"/>
      <c r="O1745" s="40"/>
      <c r="P1745" s="39"/>
      <c r="Q1745" s="45"/>
      <c r="R1745" s="1359">
        <v>1</v>
      </c>
      <c r="S1745" s="1265" t="s">
        <v>816</v>
      </c>
      <c r="T1745" s="46" t="s">
        <v>54</v>
      </c>
      <c r="U1745" s="44"/>
      <c r="V1745" s="1418">
        <f t="shared" si="179"/>
        <v>0</v>
      </c>
      <c r="W1745" s="357"/>
      <c r="X1745" s="357"/>
      <c r="Y1745" s="357"/>
      <c r="Z1745" s="358"/>
      <c r="AA1745" s="359"/>
      <c r="AB1745" s="360"/>
    </row>
    <row r="1746" spans="1:36" s="361" customFormat="1" ht="15" hidden="1" customHeight="1">
      <c r="A1746" s="354"/>
      <c r="B1746" s="355"/>
      <c r="C1746" s="32"/>
      <c r="D1746" s="33"/>
      <c r="E1746" s="34"/>
      <c r="F1746" s="35"/>
      <c r="G1746" s="33"/>
      <c r="H1746" s="34"/>
      <c r="I1746" s="35"/>
      <c r="J1746" s="43"/>
      <c r="K1746" s="42"/>
      <c r="L1746" s="39"/>
      <c r="M1746" s="41"/>
      <c r="N1746" s="356"/>
      <c r="O1746" s="40"/>
      <c r="P1746" s="39"/>
      <c r="Q1746" s="45"/>
      <c r="R1746" s="362"/>
      <c r="S1746" s="363"/>
      <c r="T1746" s="46"/>
      <c r="U1746" s="44"/>
      <c r="V1746" s="1418">
        <f t="shared" si="179"/>
        <v>0</v>
      </c>
      <c r="W1746" s="357"/>
      <c r="X1746" s="357"/>
      <c r="Y1746" s="357"/>
      <c r="Z1746" s="358"/>
      <c r="AA1746" s="359"/>
      <c r="AB1746" s="360"/>
    </row>
    <row r="1747" spans="1:36" s="369" customFormat="1" ht="15" hidden="1">
      <c r="A1747" s="364"/>
      <c r="B1747" s="355"/>
      <c r="C1747" s="32"/>
      <c r="D1747" s="33"/>
      <c r="E1747" s="34"/>
      <c r="F1747" s="35"/>
      <c r="G1747" s="33"/>
      <c r="H1747" s="34"/>
      <c r="I1747" s="35"/>
      <c r="J1747" s="43"/>
      <c r="K1747" s="42"/>
      <c r="L1747" s="39"/>
      <c r="M1747" s="41"/>
      <c r="N1747" s="40"/>
      <c r="O1747" s="40"/>
      <c r="P1747" s="39"/>
      <c r="Q1747" s="38"/>
      <c r="R1747" s="365"/>
      <c r="S1747" s="366"/>
      <c r="T1747" s="46"/>
      <c r="U1747" s="44"/>
      <c r="V1747" s="1418">
        <f t="shared" si="179"/>
        <v>0</v>
      </c>
      <c r="W1747" s="367"/>
      <c r="X1747" s="367"/>
      <c r="Y1747" s="367"/>
      <c r="Z1747" s="368"/>
    </row>
    <row r="1748" spans="1:36" s="77" customFormat="1" ht="15" hidden="1">
      <c r="A1748" s="370"/>
      <c r="B1748" s="29"/>
      <c r="C1748" s="30"/>
      <c r="D1748" s="18"/>
      <c r="E1748" s="19"/>
      <c r="F1748" s="20"/>
      <c r="G1748" s="18"/>
      <c r="H1748" s="19"/>
      <c r="I1748" s="20"/>
      <c r="J1748" s="21"/>
      <c r="K1748" s="22"/>
      <c r="L1748" s="23"/>
      <c r="M1748" s="24"/>
      <c r="N1748" s="25"/>
      <c r="O1748" s="25"/>
      <c r="P1748" s="23"/>
      <c r="Q1748" s="26"/>
      <c r="R1748" s="371"/>
      <c r="S1748" s="27"/>
      <c r="T1748" s="372"/>
      <c r="U1748" s="31"/>
      <c r="V1748" s="1418">
        <f t="shared" si="179"/>
        <v>0</v>
      </c>
      <c r="AB1748" s="15"/>
    </row>
    <row r="1749" spans="1:36" s="77" customFormat="1" ht="15.6" hidden="1">
      <c r="A1749" s="370"/>
      <c r="B1749" s="499"/>
      <c r="C1749" s="37"/>
      <c r="D1749" s="1929" t="s">
        <v>1520</v>
      </c>
      <c r="E1749" s="1930"/>
      <c r="F1749" s="1930"/>
      <c r="G1749" s="1930"/>
      <c r="H1749" s="1930"/>
      <c r="I1749" s="1931"/>
      <c r="J1749" s="1932">
        <f>VLOOKUP(A1751,'11 - FINANCEIRA'!_xlnm.Print_Area,6,FALSE)</f>
        <v>1</v>
      </c>
      <c r="K1749" s="1933"/>
      <c r="L1749" s="1343" t="str">
        <f>VLOOKUP(A1751,'11 - FINANCEIRA'!_xlnm.Print_Area,4,FALSE)</f>
        <v>und</v>
      </c>
      <c r="M1749" s="1934" t="s">
        <v>1521</v>
      </c>
      <c r="N1749" s="1935"/>
      <c r="O1749" s="1935"/>
      <c r="P1749" s="1935"/>
      <c r="Q1749" s="1936"/>
      <c r="R1749" s="726">
        <f>SUM(R1745:R1748)</f>
        <v>1</v>
      </c>
      <c r="S1749" s="1344" t="str">
        <f>L1749</f>
        <v>und</v>
      </c>
      <c r="T1749" s="373"/>
      <c r="U1749" s="486"/>
      <c r="V1749" s="1418">
        <f t="shared" si="179"/>
        <v>0</v>
      </c>
      <c r="AB1749" s="15"/>
    </row>
    <row r="1750" spans="1:36" s="77" customFormat="1" ht="15.6" hidden="1">
      <c r="A1750" s="370"/>
      <c r="B1750" s="499"/>
      <c r="C1750" s="725"/>
      <c r="D1750" s="1937" t="s">
        <v>1522</v>
      </c>
      <c r="E1750" s="1938"/>
      <c r="F1750" s="1938"/>
      <c r="G1750" s="1938"/>
      <c r="H1750" s="1938"/>
      <c r="I1750" s="1939"/>
      <c r="J1750" s="1943">
        <f>R1749/J1749</f>
        <v>1</v>
      </c>
      <c r="K1750" s="1944"/>
      <c r="L1750" s="1947"/>
      <c r="M1750" s="1934" t="s">
        <v>1523</v>
      </c>
      <c r="N1750" s="1935"/>
      <c r="O1750" s="1935"/>
      <c r="P1750" s="1935"/>
      <c r="Q1750" s="1936"/>
      <c r="R1750" s="726">
        <f>VLOOKUP(A1751,'11 - FINANCEIRA'!_xlnm.Print_Area,8,FALSE)</f>
        <v>1</v>
      </c>
      <c r="S1750" s="727" t="str">
        <f>L1749</f>
        <v>und</v>
      </c>
      <c r="T1750" s="373"/>
      <c r="U1750" s="486"/>
      <c r="V1750" s="1418">
        <f t="shared" si="179"/>
        <v>0</v>
      </c>
      <c r="AB1750" s="15"/>
    </row>
    <row r="1751" spans="1:36" s="77" customFormat="1" ht="15.6" hidden="1">
      <c r="A1751" s="364" t="s">
        <v>474</v>
      </c>
      <c r="B1751" s="499"/>
      <c r="C1751" s="37"/>
      <c r="D1751" s="2013"/>
      <c r="E1751" s="2014"/>
      <c r="F1751" s="2014"/>
      <c r="G1751" s="2014"/>
      <c r="H1751" s="2014"/>
      <c r="I1751" s="2015"/>
      <c r="J1751" s="2016"/>
      <c r="K1751" s="2017"/>
      <c r="L1751" s="1962"/>
      <c r="M1751" s="2007" t="s">
        <v>1524</v>
      </c>
      <c r="N1751" s="2008"/>
      <c r="O1751" s="2008"/>
      <c r="P1751" s="2008"/>
      <c r="Q1751" s="2009"/>
      <c r="R1751" s="1345">
        <f>R1749-R1750</f>
        <v>0</v>
      </c>
      <c r="S1751" s="1346" t="str">
        <f>L1749</f>
        <v>und</v>
      </c>
      <c r="T1751" s="373"/>
      <c r="U1751" s="486"/>
      <c r="V1751" s="1418">
        <f>R1751</f>
        <v>0</v>
      </c>
      <c r="AB1751" s="15"/>
    </row>
    <row r="1752" spans="1:36" s="77" customFormat="1" ht="15.6" hidden="1">
      <c r="A1752" s="370"/>
      <c r="B1752" s="1347"/>
      <c r="C1752" s="1348"/>
      <c r="D1752" s="1349"/>
      <c r="E1752" s="1350"/>
      <c r="F1752" s="1349"/>
      <c r="G1752" s="1349"/>
      <c r="H1752" s="1349"/>
      <c r="I1752" s="1349"/>
      <c r="J1752" s="1351"/>
      <c r="K1752" s="1352"/>
      <c r="L1752" s="1353"/>
      <c r="M1752" s="1354"/>
      <c r="N1752" s="1354"/>
      <c r="O1752" s="1354"/>
      <c r="P1752" s="1354"/>
      <c r="Q1752" s="1354"/>
      <c r="R1752" s="1355"/>
      <c r="S1752" s="1356"/>
      <c r="T1752" s="1357"/>
      <c r="U1752" s="1358"/>
      <c r="V1752" s="1420">
        <f>SUM(V1743:V1751)</f>
        <v>0</v>
      </c>
      <c r="AB1752" s="15"/>
    </row>
    <row r="1753" spans="1:36" s="352" customFormat="1" ht="15.6" hidden="1">
      <c r="A1753" s="351"/>
      <c r="B1753" s="1963" t="str">
        <f>VLOOKUP(A1761,'11 - FINANCEIRA'!_xlnm.Print_Area,1,FALSE)</f>
        <v>2.3.9.7</v>
      </c>
      <c r="C1753" s="1965" t="str">
        <f>VLOOKUP(A1761,'11 - FINANCEIRA'!_xlnm.Print_Area,3,FALSE)</f>
        <v>Kit de acessorios para banheiro em metal cromado, 5 pecas, incluso fixação. af_01/2020</v>
      </c>
      <c r="D1753" s="1967" t="s">
        <v>1503</v>
      </c>
      <c r="E1753" s="1968"/>
      <c r="F1753" s="1968"/>
      <c r="G1753" s="1968"/>
      <c r="H1753" s="1968"/>
      <c r="I1753" s="1969"/>
      <c r="J1753" s="1914" t="s">
        <v>1504</v>
      </c>
      <c r="K1753" s="1914" t="s">
        <v>1505</v>
      </c>
      <c r="L1753" s="1914" t="s">
        <v>1506</v>
      </c>
      <c r="M1753" s="1914" t="s">
        <v>1507</v>
      </c>
      <c r="N1753" s="1914" t="s">
        <v>1508</v>
      </c>
      <c r="O1753" s="1914" t="s">
        <v>1509</v>
      </c>
      <c r="P1753" s="1341" t="s">
        <v>1510</v>
      </c>
      <c r="Q1753" s="1914" t="s">
        <v>1493</v>
      </c>
      <c r="R1753" s="1916" t="s">
        <v>804</v>
      </c>
      <c r="S1753" s="1914" t="s">
        <v>1511</v>
      </c>
      <c r="T1753" s="1914" t="s">
        <v>1512</v>
      </c>
      <c r="U1753" s="1918" t="s">
        <v>1513</v>
      </c>
      <c r="V1753" s="1418">
        <f t="shared" ref="V1753:V1760" si="180">V1754</f>
        <v>0</v>
      </c>
      <c r="W1753" s="16"/>
      <c r="X1753" s="16"/>
      <c r="Y1753" s="16"/>
      <c r="Z1753" s="17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</row>
    <row r="1754" spans="1:36" s="352" customFormat="1" ht="15.6" hidden="1">
      <c r="A1754" s="354"/>
      <c r="B1754" s="1964" t="e">
        <f>LEFT(#REF!,5)</f>
        <v>#REF!</v>
      </c>
      <c r="C1754" s="1966" t="e">
        <f>VLOOKUP(LEFT(#REF!,5),'11 - FINANCEIRA'!_xlnm.Print_Area,2,FALSE)</f>
        <v>#REF!</v>
      </c>
      <c r="D1754" s="1920" t="s">
        <v>1514</v>
      </c>
      <c r="E1754" s="1921"/>
      <c r="F1754" s="1922"/>
      <c r="G1754" s="1923" t="s">
        <v>1515</v>
      </c>
      <c r="H1754" s="1924"/>
      <c r="I1754" s="1925"/>
      <c r="J1754" s="1915"/>
      <c r="K1754" s="1915"/>
      <c r="L1754" s="1915"/>
      <c r="M1754" s="1915"/>
      <c r="N1754" s="1915"/>
      <c r="O1754" s="1915"/>
      <c r="P1754" s="353" t="s">
        <v>1516</v>
      </c>
      <c r="Q1754" s="1915"/>
      <c r="R1754" s="1917"/>
      <c r="S1754" s="1915"/>
      <c r="T1754" s="1915"/>
      <c r="U1754" s="1919"/>
      <c r="V1754" s="1418">
        <f t="shared" si="180"/>
        <v>0</v>
      </c>
      <c r="W1754" s="16"/>
      <c r="X1754" s="16"/>
      <c r="Y1754" s="16"/>
      <c r="Z1754" s="17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</row>
    <row r="1755" spans="1:36" s="361" customFormat="1" ht="15" hidden="1" customHeight="1">
      <c r="A1755" s="354"/>
      <c r="B1755" s="355"/>
      <c r="C1755" s="32" t="s">
        <v>937</v>
      </c>
      <c r="D1755" s="33"/>
      <c r="E1755" s="34"/>
      <c r="F1755" s="35"/>
      <c r="G1755" s="33"/>
      <c r="H1755" s="34"/>
      <c r="I1755" s="35"/>
      <c r="J1755" s="43"/>
      <c r="K1755" s="42"/>
      <c r="L1755" s="39"/>
      <c r="M1755" s="41"/>
      <c r="N1755" s="356"/>
      <c r="O1755" s="40"/>
      <c r="P1755" s="39"/>
      <c r="Q1755" s="45"/>
      <c r="R1755" s="1359">
        <v>1</v>
      </c>
      <c r="S1755" s="1265" t="s">
        <v>816</v>
      </c>
      <c r="T1755" s="46" t="s">
        <v>54</v>
      </c>
      <c r="U1755" s="44"/>
      <c r="V1755" s="1418">
        <f t="shared" si="180"/>
        <v>0</v>
      </c>
      <c r="W1755" s="357"/>
      <c r="X1755" s="357"/>
      <c r="Y1755" s="357"/>
      <c r="Z1755" s="358"/>
      <c r="AA1755" s="359"/>
      <c r="AB1755" s="360"/>
    </row>
    <row r="1756" spans="1:36" s="361" customFormat="1" ht="15" hidden="1" customHeight="1">
      <c r="A1756" s="364"/>
      <c r="B1756" s="355"/>
      <c r="C1756" s="32"/>
      <c r="D1756" s="33"/>
      <c r="E1756" s="34"/>
      <c r="F1756" s="35"/>
      <c r="G1756" s="33"/>
      <c r="H1756" s="34"/>
      <c r="I1756" s="35"/>
      <c r="J1756" s="43"/>
      <c r="K1756" s="42"/>
      <c r="L1756" s="39"/>
      <c r="M1756" s="41"/>
      <c r="N1756" s="356"/>
      <c r="O1756" s="40"/>
      <c r="P1756" s="39"/>
      <c r="Q1756" s="45"/>
      <c r="R1756" s="362"/>
      <c r="S1756" s="363"/>
      <c r="T1756" s="46"/>
      <c r="U1756" s="44"/>
      <c r="V1756" s="1418">
        <f t="shared" si="180"/>
        <v>0</v>
      </c>
      <c r="W1756" s="357"/>
      <c r="X1756" s="357"/>
      <c r="Y1756" s="357"/>
      <c r="Z1756" s="358"/>
      <c r="AA1756" s="359"/>
      <c r="AB1756" s="360"/>
    </row>
    <row r="1757" spans="1:36" s="369" customFormat="1" ht="15" hidden="1">
      <c r="A1757" s="370"/>
      <c r="B1757" s="355"/>
      <c r="C1757" s="32"/>
      <c r="D1757" s="33"/>
      <c r="E1757" s="34"/>
      <c r="F1757" s="35"/>
      <c r="G1757" s="33"/>
      <c r="H1757" s="34"/>
      <c r="I1757" s="35"/>
      <c r="J1757" s="43"/>
      <c r="K1757" s="42"/>
      <c r="L1757" s="39"/>
      <c r="M1757" s="41"/>
      <c r="N1757" s="40"/>
      <c r="O1757" s="40"/>
      <c r="P1757" s="39"/>
      <c r="Q1757" s="38"/>
      <c r="R1757" s="365"/>
      <c r="S1757" s="366"/>
      <c r="T1757" s="46"/>
      <c r="U1757" s="44"/>
      <c r="V1757" s="1418">
        <f t="shared" si="180"/>
        <v>0</v>
      </c>
      <c r="W1757" s="367"/>
      <c r="X1757" s="367"/>
      <c r="Y1757" s="367"/>
      <c r="Z1757" s="368"/>
    </row>
    <row r="1758" spans="1:36" s="77" customFormat="1" ht="15" hidden="1">
      <c r="A1758" s="370"/>
      <c r="B1758" s="29"/>
      <c r="C1758" s="30"/>
      <c r="D1758" s="18"/>
      <c r="E1758" s="19"/>
      <c r="F1758" s="20"/>
      <c r="G1758" s="18"/>
      <c r="H1758" s="19"/>
      <c r="I1758" s="20"/>
      <c r="J1758" s="21"/>
      <c r="K1758" s="22"/>
      <c r="L1758" s="23"/>
      <c r="M1758" s="24"/>
      <c r="N1758" s="25"/>
      <c r="O1758" s="25"/>
      <c r="P1758" s="23"/>
      <c r="Q1758" s="26"/>
      <c r="R1758" s="371"/>
      <c r="S1758" s="27"/>
      <c r="T1758" s="372"/>
      <c r="U1758" s="31"/>
      <c r="V1758" s="1418">
        <f t="shared" si="180"/>
        <v>0</v>
      </c>
      <c r="AB1758" s="15"/>
    </row>
    <row r="1759" spans="1:36" s="77" customFormat="1" ht="15.6" hidden="1">
      <c r="A1759" s="370"/>
      <c r="B1759" s="499"/>
      <c r="C1759" s="37"/>
      <c r="D1759" s="1929" t="s">
        <v>1520</v>
      </c>
      <c r="E1759" s="1930"/>
      <c r="F1759" s="1930"/>
      <c r="G1759" s="1930"/>
      <c r="H1759" s="1930"/>
      <c r="I1759" s="1931"/>
      <c r="J1759" s="1932">
        <f>VLOOKUP(A1761,'11 - FINANCEIRA'!_xlnm.Print_Area,6,FALSE)</f>
        <v>1</v>
      </c>
      <c r="K1759" s="1933"/>
      <c r="L1759" s="1343" t="str">
        <f>VLOOKUP(A1761,'11 - FINANCEIRA'!_xlnm.Print_Area,4,FALSE)</f>
        <v>und</v>
      </c>
      <c r="M1759" s="1934" t="s">
        <v>1521</v>
      </c>
      <c r="N1759" s="1935"/>
      <c r="O1759" s="1935"/>
      <c r="P1759" s="1935"/>
      <c r="Q1759" s="1936"/>
      <c r="R1759" s="726">
        <f>SUM(R1755:R1758)</f>
        <v>1</v>
      </c>
      <c r="S1759" s="1344" t="str">
        <f>L1759</f>
        <v>und</v>
      </c>
      <c r="T1759" s="373"/>
      <c r="U1759" s="486"/>
      <c r="V1759" s="1418">
        <f t="shared" si="180"/>
        <v>0</v>
      </c>
      <c r="AB1759" s="15"/>
    </row>
    <row r="1760" spans="1:36" s="77" customFormat="1" ht="15.6" hidden="1">
      <c r="B1760" s="499"/>
      <c r="C1760" s="725"/>
      <c r="D1760" s="1937" t="s">
        <v>1522</v>
      </c>
      <c r="E1760" s="1938"/>
      <c r="F1760" s="1938"/>
      <c r="G1760" s="1938"/>
      <c r="H1760" s="1938"/>
      <c r="I1760" s="1939"/>
      <c r="J1760" s="1943">
        <f>R1759/J1759</f>
        <v>1</v>
      </c>
      <c r="K1760" s="1944"/>
      <c r="L1760" s="1947"/>
      <c r="M1760" s="1934" t="s">
        <v>1523</v>
      </c>
      <c r="N1760" s="1935"/>
      <c r="O1760" s="1935"/>
      <c r="P1760" s="1935"/>
      <c r="Q1760" s="1936"/>
      <c r="R1760" s="726">
        <f>VLOOKUP(A1761,'11 - FINANCEIRA'!_xlnm.Print_Area,8,FALSE)</f>
        <v>1</v>
      </c>
      <c r="S1760" s="727" t="str">
        <f>L1759</f>
        <v>und</v>
      </c>
      <c r="T1760" s="373"/>
      <c r="U1760" s="486"/>
      <c r="V1760" s="1418">
        <f t="shared" si="180"/>
        <v>0</v>
      </c>
      <c r="AB1760" s="15"/>
    </row>
    <row r="1761" spans="1:36" s="77" customFormat="1" ht="15.6" hidden="1">
      <c r="A1761" s="364" t="s">
        <v>475</v>
      </c>
      <c r="B1761" s="499"/>
      <c r="C1761" s="37"/>
      <c r="D1761" s="2013"/>
      <c r="E1761" s="2014"/>
      <c r="F1761" s="2014"/>
      <c r="G1761" s="2014"/>
      <c r="H1761" s="2014"/>
      <c r="I1761" s="2015"/>
      <c r="J1761" s="2016"/>
      <c r="K1761" s="2017"/>
      <c r="L1761" s="1962"/>
      <c r="M1761" s="2007" t="s">
        <v>1524</v>
      </c>
      <c r="N1761" s="2008"/>
      <c r="O1761" s="2008"/>
      <c r="P1761" s="2008"/>
      <c r="Q1761" s="2009"/>
      <c r="R1761" s="1345">
        <f>R1759-R1760</f>
        <v>0</v>
      </c>
      <c r="S1761" s="1346" t="str">
        <f>L1759</f>
        <v>und</v>
      </c>
      <c r="T1761" s="373"/>
      <c r="U1761" s="486"/>
      <c r="V1761" s="1418">
        <f>R1761</f>
        <v>0</v>
      </c>
      <c r="AB1761" s="15"/>
    </row>
    <row r="1762" spans="1:36" s="77" customFormat="1" ht="15.6" hidden="1">
      <c r="A1762" s="370"/>
      <c r="B1762" s="1347"/>
      <c r="C1762" s="1348"/>
      <c r="D1762" s="1349"/>
      <c r="E1762" s="1350"/>
      <c r="F1762" s="1349"/>
      <c r="G1762" s="1349"/>
      <c r="H1762" s="1349"/>
      <c r="I1762" s="1349"/>
      <c r="J1762" s="1351"/>
      <c r="K1762" s="1352"/>
      <c r="L1762" s="1353"/>
      <c r="M1762" s="1354"/>
      <c r="N1762" s="1354"/>
      <c r="O1762" s="1354"/>
      <c r="P1762" s="1354"/>
      <c r="Q1762" s="1354"/>
      <c r="R1762" s="1355"/>
      <c r="S1762" s="1356"/>
      <c r="T1762" s="1357"/>
      <c r="U1762" s="1358"/>
      <c r="V1762" s="1420">
        <f>SUM(V1753:V1761)</f>
        <v>0</v>
      </c>
      <c r="AB1762" s="15"/>
    </row>
    <row r="1763" spans="1:36" s="352" customFormat="1" ht="15.6" hidden="1">
      <c r="A1763" s="351"/>
      <c r="B1763" s="1963" t="str">
        <f>VLOOKUP(A1771,'11 - FINANCEIRA'!_xlnm.Print_Area,1,FALSE)</f>
        <v>2.3.9.8</v>
      </c>
      <c r="C1763" s="1965" t="str">
        <f>VLOOKUP(A1771,'11 - FINANCEIRA'!_xlnm.Print_Area,3,FALSE)</f>
        <v>Vaso sanitário padrão popular completo com acessórios para ligação, marcas de referência deca, celite ou ideal standard, inclusive assento plástico</v>
      </c>
      <c r="D1763" s="1967" t="s">
        <v>1503</v>
      </c>
      <c r="E1763" s="1968"/>
      <c r="F1763" s="1968"/>
      <c r="G1763" s="1968"/>
      <c r="H1763" s="1968"/>
      <c r="I1763" s="1969"/>
      <c r="J1763" s="1914" t="s">
        <v>1504</v>
      </c>
      <c r="K1763" s="1914" t="s">
        <v>1505</v>
      </c>
      <c r="L1763" s="1914" t="s">
        <v>1506</v>
      </c>
      <c r="M1763" s="1914" t="s">
        <v>1507</v>
      </c>
      <c r="N1763" s="1914" t="s">
        <v>1508</v>
      </c>
      <c r="O1763" s="1914" t="s">
        <v>1509</v>
      </c>
      <c r="P1763" s="1341" t="s">
        <v>1510</v>
      </c>
      <c r="Q1763" s="1914" t="s">
        <v>1493</v>
      </c>
      <c r="R1763" s="1916" t="s">
        <v>804</v>
      </c>
      <c r="S1763" s="1914" t="s">
        <v>1511</v>
      </c>
      <c r="T1763" s="1914" t="s">
        <v>1512</v>
      </c>
      <c r="U1763" s="1918" t="s">
        <v>1513</v>
      </c>
      <c r="V1763" s="1418">
        <f t="shared" ref="V1763:V1770" si="181">V1764</f>
        <v>0</v>
      </c>
      <c r="W1763" s="16"/>
      <c r="X1763" s="16"/>
      <c r="Y1763" s="16"/>
      <c r="Z1763" s="17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</row>
    <row r="1764" spans="1:36" s="352" customFormat="1" ht="15.6" hidden="1">
      <c r="A1764" s="351"/>
      <c r="B1764" s="1964" t="e">
        <f>LEFT(#REF!,5)</f>
        <v>#REF!</v>
      </c>
      <c r="C1764" s="1966" t="e">
        <f>VLOOKUP(LEFT(#REF!,5),'11 - FINANCEIRA'!_xlnm.Print_Area,2,FALSE)</f>
        <v>#REF!</v>
      </c>
      <c r="D1764" s="1920" t="s">
        <v>1514</v>
      </c>
      <c r="E1764" s="1921"/>
      <c r="F1764" s="1922"/>
      <c r="G1764" s="1923" t="s">
        <v>1515</v>
      </c>
      <c r="H1764" s="1924"/>
      <c r="I1764" s="1925"/>
      <c r="J1764" s="1915"/>
      <c r="K1764" s="1915"/>
      <c r="L1764" s="1915"/>
      <c r="M1764" s="1915"/>
      <c r="N1764" s="1915"/>
      <c r="O1764" s="1915"/>
      <c r="P1764" s="353" t="s">
        <v>1516</v>
      </c>
      <c r="Q1764" s="1915"/>
      <c r="R1764" s="1917"/>
      <c r="S1764" s="1915"/>
      <c r="T1764" s="1915"/>
      <c r="U1764" s="1919"/>
      <c r="V1764" s="1418">
        <f t="shared" si="181"/>
        <v>0</v>
      </c>
      <c r="W1764" s="16"/>
      <c r="X1764" s="16"/>
      <c r="Y1764" s="16"/>
      <c r="Z1764" s="17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</row>
    <row r="1765" spans="1:36" s="361" customFormat="1" ht="30" hidden="1">
      <c r="A1765" s="354"/>
      <c r="B1765" s="355"/>
      <c r="C1765" s="32" t="s">
        <v>939</v>
      </c>
      <c r="D1765" s="33"/>
      <c r="E1765" s="34"/>
      <c r="F1765" s="35"/>
      <c r="G1765" s="33"/>
      <c r="H1765" s="34"/>
      <c r="I1765" s="35"/>
      <c r="J1765" s="43"/>
      <c r="K1765" s="42"/>
      <c r="L1765" s="39"/>
      <c r="M1765" s="41"/>
      <c r="N1765" s="356"/>
      <c r="O1765" s="40"/>
      <c r="P1765" s="39"/>
      <c r="Q1765" s="45"/>
      <c r="R1765" s="1359">
        <v>1</v>
      </c>
      <c r="S1765" s="1265" t="s">
        <v>816</v>
      </c>
      <c r="T1765" s="46" t="s">
        <v>54</v>
      </c>
      <c r="U1765" s="44"/>
      <c r="V1765" s="1418">
        <f t="shared" si="181"/>
        <v>0</v>
      </c>
      <c r="W1765" s="357"/>
      <c r="X1765" s="357"/>
      <c r="Y1765" s="357"/>
      <c r="Z1765" s="358"/>
      <c r="AA1765" s="359"/>
      <c r="AB1765" s="360"/>
    </row>
    <row r="1766" spans="1:36" s="361" customFormat="1" ht="15" hidden="1" customHeight="1">
      <c r="A1766" s="354"/>
      <c r="B1766" s="355"/>
      <c r="C1766" s="32"/>
      <c r="D1766" s="33"/>
      <c r="E1766" s="34"/>
      <c r="F1766" s="35"/>
      <c r="G1766" s="33"/>
      <c r="H1766" s="34"/>
      <c r="I1766" s="35"/>
      <c r="J1766" s="43"/>
      <c r="K1766" s="42"/>
      <c r="L1766" s="39"/>
      <c r="M1766" s="41"/>
      <c r="N1766" s="356"/>
      <c r="O1766" s="40"/>
      <c r="P1766" s="39"/>
      <c r="Q1766" s="45"/>
      <c r="R1766" s="362"/>
      <c r="S1766" s="363"/>
      <c r="T1766" s="46"/>
      <c r="U1766" s="44"/>
      <c r="V1766" s="1418">
        <f t="shared" si="181"/>
        <v>0</v>
      </c>
      <c r="W1766" s="357"/>
      <c r="X1766" s="357"/>
      <c r="Y1766" s="357"/>
      <c r="Z1766" s="358"/>
      <c r="AA1766" s="359"/>
      <c r="AB1766" s="360"/>
    </row>
    <row r="1767" spans="1:36" s="369" customFormat="1" ht="15" hidden="1">
      <c r="A1767" s="364"/>
      <c r="B1767" s="355"/>
      <c r="C1767" s="32"/>
      <c r="D1767" s="33"/>
      <c r="E1767" s="34"/>
      <c r="F1767" s="35"/>
      <c r="G1767" s="33"/>
      <c r="H1767" s="34"/>
      <c r="I1767" s="35"/>
      <c r="J1767" s="43"/>
      <c r="K1767" s="42"/>
      <c r="L1767" s="39"/>
      <c r="M1767" s="41"/>
      <c r="N1767" s="40"/>
      <c r="O1767" s="40"/>
      <c r="P1767" s="39"/>
      <c r="Q1767" s="38"/>
      <c r="R1767" s="365"/>
      <c r="S1767" s="366"/>
      <c r="T1767" s="46"/>
      <c r="U1767" s="44"/>
      <c r="V1767" s="1418">
        <f t="shared" si="181"/>
        <v>0</v>
      </c>
      <c r="W1767" s="367"/>
      <c r="X1767" s="367"/>
      <c r="Y1767" s="367"/>
      <c r="Z1767" s="368"/>
    </row>
    <row r="1768" spans="1:36" s="77" customFormat="1" ht="15" hidden="1">
      <c r="A1768" s="370"/>
      <c r="B1768" s="29"/>
      <c r="C1768" s="30"/>
      <c r="D1768" s="18"/>
      <c r="E1768" s="19"/>
      <c r="F1768" s="20"/>
      <c r="G1768" s="18"/>
      <c r="H1768" s="19"/>
      <c r="I1768" s="20"/>
      <c r="J1768" s="21"/>
      <c r="K1768" s="22"/>
      <c r="L1768" s="23"/>
      <c r="M1768" s="24"/>
      <c r="N1768" s="25"/>
      <c r="O1768" s="25"/>
      <c r="P1768" s="23"/>
      <c r="Q1768" s="26"/>
      <c r="R1768" s="371"/>
      <c r="S1768" s="27"/>
      <c r="T1768" s="372"/>
      <c r="U1768" s="31"/>
      <c r="V1768" s="1418">
        <f t="shared" si="181"/>
        <v>0</v>
      </c>
      <c r="AB1768" s="15"/>
    </row>
    <row r="1769" spans="1:36" s="77" customFormat="1" ht="15.6" hidden="1">
      <c r="A1769" s="370"/>
      <c r="B1769" s="499"/>
      <c r="C1769" s="37"/>
      <c r="D1769" s="1929" t="s">
        <v>1520</v>
      </c>
      <c r="E1769" s="1930"/>
      <c r="F1769" s="1930"/>
      <c r="G1769" s="1930"/>
      <c r="H1769" s="1930"/>
      <c r="I1769" s="1931"/>
      <c r="J1769" s="1932">
        <f>VLOOKUP(A1771,'11 - FINANCEIRA'!_xlnm.Print_Area,6,FALSE)</f>
        <v>1</v>
      </c>
      <c r="K1769" s="1933"/>
      <c r="L1769" s="1343" t="str">
        <f>VLOOKUP(A1771,'11 - FINANCEIRA'!_xlnm.Print_Area,4,FALSE)</f>
        <v>und</v>
      </c>
      <c r="M1769" s="1934" t="s">
        <v>1521</v>
      </c>
      <c r="N1769" s="1935"/>
      <c r="O1769" s="1935"/>
      <c r="P1769" s="1935"/>
      <c r="Q1769" s="1936"/>
      <c r="R1769" s="726">
        <f>SUM(R1765:R1768)</f>
        <v>1</v>
      </c>
      <c r="S1769" s="1344" t="str">
        <f>L1769</f>
        <v>und</v>
      </c>
      <c r="T1769" s="373"/>
      <c r="U1769" s="486"/>
      <c r="V1769" s="1418">
        <f t="shared" si="181"/>
        <v>0</v>
      </c>
      <c r="AB1769" s="15"/>
    </row>
    <row r="1770" spans="1:36" s="77" customFormat="1" ht="15.6" hidden="1">
      <c r="A1770" s="370"/>
      <c r="B1770" s="499"/>
      <c r="C1770" s="725"/>
      <c r="D1770" s="1937" t="s">
        <v>1522</v>
      </c>
      <c r="E1770" s="1938"/>
      <c r="F1770" s="1938"/>
      <c r="G1770" s="1938"/>
      <c r="H1770" s="1938"/>
      <c r="I1770" s="1939"/>
      <c r="J1770" s="1943">
        <f>R1769/J1769</f>
        <v>1</v>
      </c>
      <c r="K1770" s="1944"/>
      <c r="L1770" s="1947"/>
      <c r="M1770" s="1934" t="s">
        <v>1523</v>
      </c>
      <c r="N1770" s="1935"/>
      <c r="O1770" s="1935"/>
      <c r="P1770" s="1935"/>
      <c r="Q1770" s="1936"/>
      <c r="R1770" s="726">
        <f>VLOOKUP(A1771,'11 - FINANCEIRA'!_xlnm.Print_Area,8,FALSE)</f>
        <v>1</v>
      </c>
      <c r="S1770" s="727" t="str">
        <f>L1769</f>
        <v>und</v>
      </c>
      <c r="T1770" s="373"/>
      <c r="U1770" s="486"/>
      <c r="V1770" s="1418">
        <f t="shared" si="181"/>
        <v>0</v>
      </c>
      <c r="AB1770" s="15"/>
    </row>
    <row r="1771" spans="1:36" s="77" customFormat="1" ht="15.6" hidden="1">
      <c r="A1771" s="364" t="s">
        <v>476</v>
      </c>
      <c r="B1771" s="499"/>
      <c r="C1771" s="37"/>
      <c r="D1771" s="2013"/>
      <c r="E1771" s="2014"/>
      <c r="F1771" s="2014"/>
      <c r="G1771" s="2014"/>
      <c r="H1771" s="2014"/>
      <c r="I1771" s="2015"/>
      <c r="J1771" s="2016"/>
      <c r="K1771" s="2017"/>
      <c r="L1771" s="1962"/>
      <c r="M1771" s="2007" t="s">
        <v>1524</v>
      </c>
      <c r="N1771" s="2008"/>
      <c r="O1771" s="2008"/>
      <c r="P1771" s="2008"/>
      <c r="Q1771" s="2009"/>
      <c r="R1771" s="1345">
        <f>R1769-R1770</f>
        <v>0</v>
      </c>
      <c r="S1771" s="1346" t="str">
        <f>L1769</f>
        <v>und</v>
      </c>
      <c r="T1771" s="373"/>
      <c r="U1771" s="486"/>
      <c r="V1771" s="1418">
        <f>R1771</f>
        <v>0</v>
      </c>
      <c r="AB1771" s="15"/>
    </row>
    <row r="1772" spans="1:36" s="77" customFormat="1" ht="15.6" hidden="1">
      <c r="A1772" s="370"/>
      <c r="B1772" s="1347"/>
      <c r="C1772" s="1348"/>
      <c r="D1772" s="1349"/>
      <c r="E1772" s="1350"/>
      <c r="F1772" s="1349"/>
      <c r="G1772" s="1349"/>
      <c r="H1772" s="1349"/>
      <c r="I1772" s="1349"/>
      <c r="J1772" s="1351"/>
      <c r="K1772" s="1352"/>
      <c r="L1772" s="1353"/>
      <c r="M1772" s="1354"/>
      <c r="N1772" s="1354"/>
      <c r="O1772" s="1354"/>
      <c r="P1772" s="1354"/>
      <c r="Q1772" s="1354"/>
      <c r="R1772" s="1355"/>
      <c r="S1772" s="1356"/>
      <c r="T1772" s="1357"/>
      <c r="U1772" s="1358"/>
      <c r="V1772" s="1420">
        <f>SUM(V1763:V1771)</f>
        <v>0</v>
      </c>
      <c r="AB1772" s="15"/>
    </row>
    <row r="1773" spans="1:36" s="352" customFormat="1" ht="15.6" hidden="1">
      <c r="A1773" s="351"/>
      <c r="B1773" s="1963" t="str">
        <f>VLOOKUP(A1781,'11 - FINANCEIRA'!_xlnm.Print_Area,1,FALSE)</f>
        <v>2.3.9.9</v>
      </c>
      <c r="C1773" s="1965" t="str">
        <f>VLOOKUP(A1781,'11 - FINANCEIRA'!_xlnm.Print_Area,3,FALSE)</f>
        <v>(Composição representativa) do serviço de contrapiso em argamassa traço 1:4 (cim e areia), em betoneira 400 l, espessura 3 cm áreas secas e 3 cm áreas molhadas, para edificação habitacional multifamiliar (prédio). af_11/2014</v>
      </c>
      <c r="D1773" s="1967" t="s">
        <v>1503</v>
      </c>
      <c r="E1773" s="1968"/>
      <c r="F1773" s="1968"/>
      <c r="G1773" s="1968"/>
      <c r="H1773" s="1968"/>
      <c r="I1773" s="1969"/>
      <c r="J1773" s="1914" t="s">
        <v>1504</v>
      </c>
      <c r="K1773" s="1914" t="s">
        <v>1505</v>
      </c>
      <c r="L1773" s="1914" t="s">
        <v>1506</v>
      </c>
      <c r="M1773" s="1914" t="s">
        <v>1507</v>
      </c>
      <c r="N1773" s="1914" t="s">
        <v>1508</v>
      </c>
      <c r="O1773" s="1914" t="s">
        <v>1509</v>
      </c>
      <c r="P1773" s="1341" t="s">
        <v>1510</v>
      </c>
      <c r="Q1773" s="1914" t="s">
        <v>1493</v>
      </c>
      <c r="R1773" s="1916" t="s">
        <v>804</v>
      </c>
      <c r="S1773" s="1914" t="s">
        <v>1511</v>
      </c>
      <c r="T1773" s="1914" t="s">
        <v>1512</v>
      </c>
      <c r="U1773" s="1918" t="s">
        <v>1513</v>
      </c>
      <c r="V1773" s="1418">
        <f t="shared" ref="V1773:V1780" si="182">V1774</f>
        <v>0</v>
      </c>
      <c r="W1773" s="16"/>
      <c r="X1773" s="16"/>
      <c r="Y1773" s="16"/>
      <c r="Z1773" s="17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</row>
    <row r="1774" spans="1:36" s="352" customFormat="1" ht="15.6" hidden="1">
      <c r="A1774" s="351"/>
      <c r="B1774" s="1964" t="e">
        <f>LEFT(#REF!,5)</f>
        <v>#REF!</v>
      </c>
      <c r="C1774" s="1966" t="e">
        <f>VLOOKUP(LEFT(#REF!,5),'11 - FINANCEIRA'!_xlnm.Print_Area,2,FALSE)</f>
        <v>#REF!</v>
      </c>
      <c r="D1774" s="1920" t="s">
        <v>1514</v>
      </c>
      <c r="E1774" s="1921"/>
      <c r="F1774" s="1922"/>
      <c r="G1774" s="1923" t="s">
        <v>1515</v>
      </c>
      <c r="H1774" s="1924"/>
      <c r="I1774" s="1925"/>
      <c r="J1774" s="1915"/>
      <c r="K1774" s="1915"/>
      <c r="L1774" s="1915"/>
      <c r="M1774" s="1915"/>
      <c r="N1774" s="1915"/>
      <c r="O1774" s="1915"/>
      <c r="P1774" s="353" t="s">
        <v>1516</v>
      </c>
      <c r="Q1774" s="1915"/>
      <c r="R1774" s="1917"/>
      <c r="S1774" s="1915"/>
      <c r="T1774" s="1915"/>
      <c r="U1774" s="1919"/>
      <c r="V1774" s="1418">
        <f t="shared" si="182"/>
        <v>0</v>
      </c>
      <c r="W1774" s="16"/>
      <c r="X1774" s="16"/>
      <c r="Y1774" s="16"/>
      <c r="Z1774" s="17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</row>
    <row r="1775" spans="1:36" s="361" customFormat="1" ht="45" hidden="1">
      <c r="A1775" s="354"/>
      <c r="B1775" s="355"/>
      <c r="C1775" s="32" t="s">
        <v>951</v>
      </c>
      <c r="D1775" s="33"/>
      <c r="E1775" s="34"/>
      <c r="F1775" s="35"/>
      <c r="G1775" s="33"/>
      <c r="H1775" s="34"/>
      <c r="I1775" s="35"/>
      <c r="J1775" s="43"/>
      <c r="K1775" s="42"/>
      <c r="L1775" s="39"/>
      <c r="M1775" s="41"/>
      <c r="N1775" s="356"/>
      <c r="O1775" s="40"/>
      <c r="P1775" s="39"/>
      <c r="Q1775" s="45"/>
      <c r="R1775" s="1359">
        <v>2.34</v>
      </c>
      <c r="S1775" s="1265" t="s">
        <v>821</v>
      </c>
      <c r="T1775" s="46" t="s">
        <v>328</v>
      </c>
      <c r="U1775" s="44"/>
      <c r="V1775" s="1418">
        <f t="shared" si="182"/>
        <v>0</v>
      </c>
      <c r="W1775" s="357"/>
      <c r="X1775" s="357"/>
      <c r="Y1775" s="357"/>
      <c r="Z1775" s="358"/>
      <c r="AA1775" s="359"/>
      <c r="AB1775" s="360"/>
    </row>
    <row r="1776" spans="1:36" s="361" customFormat="1" ht="15" hidden="1" customHeight="1">
      <c r="A1776" s="354"/>
      <c r="B1776" s="355"/>
      <c r="C1776" s="32"/>
      <c r="D1776" s="33"/>
      <c r="E1776" s="34"/>
      <c r="F1776" s="35"/>
      <c r="G1776" s="33"/>
      <c r="H1776" s="34"/>
      <c r="I1776" s="35"/>
      <c r="J1776" s="43"/>
      <c r="K1776" s="42"/>
      <c r="L1776" s="39"/>
      <c r="M1776" s="41"/>
      <c r="N1776" s="356"/>
      <c r="O1776" s="40"/>
      <c r="P1776" s="39"/>
      <c r="Q1776" s="45"/>
      <c r="R1776" s="362"/>
      <c r="S1776" s="363"/>
      <c r="T1776" s="46"/>
      <c r="U1776" s="44"/>
      <c r="V1776" s="1418">
        <f t="shared" si="182"/>
        <v>0</v>
      </c>
      <c r="W1776" s="357"/>
      <c r="X1776" s="357"/>
      <c r="Y1776" s="357"/>
      <c r="Z1776" s="358"/>
      <c r="AA1776" s="359"/>
      <c r="AB1776" s="360"/>
    </row>
    <row r="1777" spans="1:36" s="369" customFormat="1" ht="15" hidden="1">
      <c r="A1777" s="364"/>
      <c r="B1777" s="355"/>
      <c r="C1777" s="32"/>
      <c r="D1777" s="33"/>
      <c r="E1777" s="34"/>
      <c r="F1777" s="35"/>
      <c r="G1777" s="33"/>
      <c r="H1777" s="34"/>
      <c r="I1777" s="35"/>
      <c r="J1777" s="43"/>
      <c r="K1777" s="42"/>
      <c r="L1777" s="39"/>
      <c r="M1777" s="41"/>
      <c r="N1777" s="40"/>
      <c r="O1777" s="40"/>
      <c r="P1777" s="39"/>
      <c r="Q1777" s="38"/>
      <c r="R1777" s="365"/>
      <c r="S1777" s="366"/>
      <c r="T1777" s="46"/>
      <c r="U1777" s="44"/>
      <c r="V1777" s="1418">
        <f t="shared" si="182"/>
        <v>0</v>
      </c>
      <c r="W1777" s="367"/>
      <c r="X1777" s="367"/>
      <c r="Y1777" s="367"/>
      <c r="Z1777" s="368"/>
    </row>
    <row r="1778" spans="1:36" s="77" customFormat="1" ht="15" hidden="1">
      <c r="A1778" s="370"/>
      <c r="B1778" s="29"/>
      <c r="C1778" s="30"/>
      <c r="D1778" s="18"/>
      <c r="E1778" s="19"/>
      <c r="F1778" s="20"/>
      <c r="G1778" s="18"/>
      <c r="H1778" s="19"/>
      <c r="I1778" s="20"/>
      <c r="J1778" s="21"/>
      <c r="K1778" s="22"/>
      <c r="L1778" s="23"/>
      <c r="M1778" s="24"/>
      <c r="N1778" s="25"/>
      <c r="O1778" s="25"/>
      <c r="P1778" s="23"/>
      <c r="Q1778" s="26"/>
      <c r="R1778" s="371"/>
      <c r="S1778" s="27"/>
      <c r="T1778" s="372"/>
      <c r="U1778" s="31"/>
      <c r="V1778" s="1418">
        <f t="shared" si="182"/>
        <v>0</v>
      </c>
      <c r="AB1778" s="15"/>
    </row>
    <row r="1779" spans="1:36" s="77" customFormat="1" ht="15.6" hidden="1">
      <c r="A1779" s="370"/>
      <c r="B1779" s="499"/>
      <c r="C1779" s="37"/>
      <c r="D1779" s="1929" t="s">
        <v>1520</v>
      </c>
      <c r="E1779" s="1930"/>
      <c r="F1779" s="1930"/>
      <c r="G1779" s="1930"/>
      <c r="H1779" s="1930"/>
      <c r="I1779" s="1931"/>
      <c r="J1779" s="1932">
        <f>VLOOKUP(A1781,'11 - FINANCEIRA'!_xlnm.Print_Area,6,FALSE)</f>
        <v>2.34</v>
      </c>
      <c r="K1779" s="1933"/>
      <c r="L1779" s="1343" t="str">
        <f>VLOOKUP(A1781,'11 - FINANCEIRA'!_xlnm.Print_Area,4,FALSE)</f>
        <v>m²</v>
      </c>
      <c r="M1779" s="1934" t="s">
        <v>1521</v>
      </c>
      <c r="N1779" s="1935"/>
      <c r="O1779" s="1935"/>
      <c r="P1779" s="1935"/>
      <c r="Q1779" s="1936"/>
      <c r="R1779" s="726">
        <f>SUM(R1775:R1778)</f>
        <v>2.34</v>
      </c>
      <c r="S1779" s="1344" t="str">
        <f>L1779</f>
        <v>m²</v>
      </c>
      <c r="T1779" s="373"/>
      <c r="U1779" s="486"/>
      <c r="V1779" s="1418">
        <f t="shared" si="182"/>
        <v>0</v>
      </c>
      <c r="AB1779" s="15"/>
    </row>
    <row r="1780" spans="1:36" s="77" customFormat="1" ht="15.6" hidden="1">
      <c r="A1780" s="370"/>
      <c r="B1780" s="499"/>
      <c r="C1780" s="725"/>
      <c r="D1780" s="1937" t="s">
        <v>1522</v>
      </c>
      <c r="E1780" s="1938"/>
      <c r="F1780" s="1938"/>
      <c r="G1780" s="1938"/>
      <c r="H1780" s="1938"/>
      <c r="I1780" s="1939"/>
      <c r="J1780" s="1943">
        <f>R1779/J1779</f>
        <v>1</v>
      </c>
      <c r="K1780" s="1944"/>
      <c r="L1780" s="1947"/>
      <c r="M1780" s="1934" t="s">
        <v>1523</v>
      </c>
      <c r="N1780" s="1935"/>
      <c r="O1780" s="1935"/>
      <c r="P1780" s="1935"/>
      <c r="Q1780" s="1936"/>
      <c r="R1780" s="726">
        <f>VLOOKUP(A1781,'11 - FINANCEIRA'!_xlnm.Print_Area,8,FALSE)</f>
        <v>2.34</v>
      </c>
      <c r="S1780" s="727" t="str">
        <f>L1779</f>
        <v>m²</v>
      </c>
      <c r="T1780" s="373"/>
      <c r="U1780" s="486"/>
      <c r="V1780" s="1418">
        <f t="shared" si="182"/>
        <v>0</v>
      </c>
      <c r="AB1780" s="15"/>
    </row>
    <row r="1781" spans="1:36" s="77" customFormat="1" ht="15.6" hidden="1">
      <c r="A1781" s="364" t="s">
        <v>477</v>
      </c>
      <c r="B1781" s="499"/>
      <c r="C1781" s="37"/>
      <c r="D1781" s="2013"/>
      <c r="E1781" s="2014"/>
      <c r="F1781" s="2014"/>
      <c r="G1781" s="2014"/>
      <c r="H1781" s="2014"/>
      <c r="I1781" s="2015"/>
      <c r="J1781" s="2016"/>
      <c r="K1781" s="2017"/>
      <c r="L1781" s="1962"/>
      <c r="M1781" s="2007" t="s">
        <v>1524</v>
      </c>
      <c r="N1781" s="2008"/>
      <c r="O1781" s="2008"/>
      <c r="P1781" s="2008"/>
      <c r="Q1781" s="2009"/>
      <c r="R1781" s="1345">
        <f>R1779-R1780</f>
        <v>0</v>
      </c>
      <c r="S1781" s="1346" t="str">
        <f>L1779</f>
        <v>m²</v>
      </c>
      <c r="T1781" s="373"/>
      <c r="U1781" s="486"/>
      <c r="V1781" s="1418">
        <f>R1781</f>
        <v>0</v>
      </c>
      <c r="AB1781" s="15"/>
    </row>
    <row r="1782" spans="1:36" s="77" customFormat="1" ht="15.6" hidden="1">
      <c r="A1782" s="370"/>
      <c r="B1782" s="1347"/>
      <c r="C1782" s="1348"/>
      <c r="D1782" s="1349"/>
      <c r="E1782" s="1350"/>
      <c r="F1782" s="1349"/>
      <c r="G1782" s="1349"/>
      <c r="H1782" s="1349"/>
      <c r="I1782" s="1349"/>
      <c r="J1782" s="1351"/>
      <c r="K1782" s="1352"/>
      <c r="L1782" s="1353"/>
      <c r="M1782" s="1354"/>
      <c r="N1782" s="1354"/>
      <c r="O1782" s="1354"/>
      <c r="P1782" s="1354"/>
      <c r="Q1782" s="1354"/>
      <c r="R1782" s="1355"/>
      <c r="S1782" s="1356"/>
      <c r="T1782" s="1357"/>
      <c r="U1782" s="1358"/>
      <c r="V1782" s="1420">
        <f>SUM(V1773:V1781)</f>
        <v>0</v>
      </c>
      <c r="AB1782" s="15"/>
    </row>
    <row r="1783" spans="1:36" s="352" customFormat="1" ht="15.6" hidden="1">
      <c r="A1783" s="351"/>
      <c r="B1783" s="1963" t="str">
        <f>VLOOKUP(A1791,'11 - FINANCEIRA'!_xlnm.Print_Area,1,FALSE)</f>
        <v>2.3.9.10</v>
      </c>
      <c r="C1783" s="1965" t="str">
        <f>VLOOKUP(A1791,'11 - FINANCEIRA'!_xlnm.Print_Area,3,FALSE)</f>
        <v>Reboco de argamassa de cimento, cal hidratada ch1 e areia média ou grossa lavada no traço 1:0.5:6, espessura 5mm</v>
      </c>
      <c r="D1783" s="1967" t="s">
        <v>1503</v>
      </c>
      <c r="E1783" s="1968"/>
      <c r="F1783" s="1968"/>
      <c r="G1783" s="1968"/>
      <c r="H1783" s="1968"/>
      <c r="I1783" s="1969"/>
      <c r="J1783" s="1914" t="s">
        <v>1504</v>
      </c>
      <c r="K1783" s="1914" t="s">
        <v>1505</v>
      </c>
      <c r="L1783" s="1914" t="s">
        <v>1506</v>
      </c>
      <c r="M1783" s="1914" t="s">
        <v>1507</v>
      </c>
      <c r="N1783" s="1914" t="s">
        <v>1508</v>
      </c>
      <c r="O1783" s="1914" t="s">
        <v>1509</v>
      </c>
      <c r="P1783" s="1341" t="s">
        <v>1510</v>
      </c>
      <c r="Q1783" s="1914" t="s">
        <v>1493</v>
      </c>
      <c r="R1783" s="1916" t="s">
        <v>804</v>
      </c>
      <c r="S1783" s="1914" t="s">
        <v>1511</v>
      </c>
      <c r="T1783" s="1914" t="s">
        <v>1512</v>
      </c>
      <c r="U1783" s="1918" t="s">
        <v>1513</v>
      </c>
      <c r="V1783" s="1418">
        <f t="shared" ref="V1783:V1790" si="183">V1784</f>
        <v>0</v>
      </c>
      <c r="W1783" s="16"/>
      <c r="X1783" s="16"/>
      <c r="Y1783" s="16"/>
      <c r="Z1783" s="17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</row>
    <row r="1784" spans="1:36" s="352" customFormat="1" ht="15.6" hidden="1">
      <c r="A1784" s="351"/>
      <c r="B1784" s="1964" t="e">
        <f>LEFT(#REF!,5)</f>
        <v>#REF!</v>
      </c>
      <c r="C1784" s="1966" t="e">
        <f>VLOOKUP(LEFT(#REF!,5),'11 - FINANCEIRA'!_xlnm.Print_Area,2,FALSE)</f>
        <v>#REF!</v>
      </c>
      <c r="D1784" s="1920" t="s">
        <v>1514</v>
      </c>
      <c r="E1784" s="1921"/>
      <c r="F1784" s="1922"/>
      <c r="G1784" s="1923" t="s">
        <v>1515</v>
      </c>
      <c r="H1784" s="1924"/>
      <c r="I1784" s="1925"/>
      <c r="J1784" s="1915"/>
      <c r="K1784" s="1915"/>
      <c r="L1784" s="1915"/>
      <c r="M1784" s="1915"/>
      <c r="N1784" s="1915"/>
      <c r="O1784" s="1915"/>
      <c r="P1784" s="353" t="s">
        <v>1516</v>
      </c>
      <c r="Q1784" s="1915"/>
      <c r="R1784" s="1917"/>
      <c r="S1784" s="1915"/>
      <c r="T1784" s="1915"/>
      <c r="U1784" s="1919"/>
      <c r="V1784" s="1418">
        <f t="shared" si="183"/>
        <v>0</v>
      </c>
      <c r="W1784" s="16"/>
      <c r="X1784" s="16"/>
      <c r="Y1784" s="16"/>
      <c r="Z1784" s="17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</row>
    <row r="1785" spans="1:36" s="361" customFormat="1" ht="30" hidden="1">
      <c r="A1785" s="354"/>
      <c r="B1785" s="355"/>
      <c r="C1785" s="32" t="s">
        <v>953</v>
      </c>
      <c r="D1785" s="33"/>
      <c r="E1785" s="34"/>
      <c r="F1785" s="35"/>
      <c r="G1785" s="33"/>
      <c r="H1785" s="34"/>
      <c r="I1785" s="35"/>
      <c r="J1785" s="43"/>
      <c r="K1785" s="42"/>
      <c r="L1785" s="39"/>
      <c r="M1785" s="41"/>
      <c r="N1785" s="356"/>
      <c r="O1785" s="40"/>
      <c r="P1785" s="39"/>
      <c r="Q1785" s="45"/>
      <c r="R1785" s="1359">
        <v>4.8600000000000003</v>
      </c>
      <c r="S1785" s="1265" t="s">
        <v>821</v>
      </c>
      <c r="T1785" s="46" t="s">
        <v>328</v>
      </c>
      <c r="U1785" s="44"/>
      <c r="V1785" s="1418">
        <f t="shared" si="183"/>
        <v>0</v>
      </c>
      <c r="W1785" s="357"/>
      <c r="X1785" s="357"/>
      <c r="Y1785" s="357"/>
      <c r="Z1785" s="358"/>
      <c r="AA1785" s="359"/>
      <c r="AB1785" s="360"/>
    </row>
    <row r="1786" spans="1:36" s="361" customFormat="1" ht="15" hidden="1" customHeight="1">
      <c r="A1786" s="354"/>
      <c r="B1786" s="355"/>
      <c r="C1786" s="32"/>
      <c r="D1786" s="33"/>
      <c r="E1786" s="34"/>
      <c r="F1786" s="35"/>
      <c r="G1786" s="33"/>
      <c r="H1786" s="34"/>
      <c r="I1786" s="35"/>
      <c r="J1786" s="43"/>
      <c r="K1786" s="42"/>
      <c r="L1786" s="39"/>
      <c r="M1786" s="41"/>
      <c r="N1786" s="356"/>
      <c r="O1786" s="40"/>
      <c r="P1786" s="39"/>
      <c r="Q1786" s="45"/>
      <c r="R1786" s="362"/>
      <c r="S1786" s="363"/>
      <c r="T1786" s="46"/>
      <c r="U1786" s="44"/>
      <c r="V1786" s="1418">
        <f t="shared" si="183"/>
        <v>0</v>
      </c>
      <c r="W1786" s="357"/>
      <c r="X1786" s="357"/>
      <c r="Y1786" s="357"/>
      <c r="Z1786" s="358"/>
      <c r="AA1786" s="359"/>
      <c r="AB1786" s="360"/>
    </row>
    <row r="1787" spans="1:36" s="369" customFormat="1" ht="15" hidden="1">
      <c r="A1787" s="364"/>
      <c r="B1787" s="355"/>
      <c r="C1787" s="32"/>
      <c r="D1787" s="33"/>
      <c r="E1787" s="34"/>
      <c r="F1787" s="35"/>
      <c r="G1787" s="33"/>
      <c r="H1787" s="34"/>
      <c r="I1787" s="35"/>
      <c r="J1787" s="43"/>
      <c r="K1787" s="42"/>
      <c r="L1787" s="39"/>
      <c r="M1787" s="41"/>
      <c r="N1787" s="40"/>
      <c r="O1787" s="40"/>
      <c r="P1787" s="39"/>
      <c r="Q1787" s="38"/>
      <c r="R1787" s="365"/>
      <c r="S1787" s="366"/>
      <c r="T1787" s="46"/>
      <c r="U1787" s="44"/>
      <c r="V1787" s="1418">
        <f t="shared" si="183"/>
        <v>0</v>
      </c>
      <c r="W1787" s="367"/>
      <c r="X1787" s="367"/>
      <c r="Y1787" s="367"/>
      <c r="Z1787" s="368"/>
    </row>
    <row r="1788" spans="1:36" s="77" customFormat="1" ht="15" hidden="1">
      <c r="A1788" s="370"/>
      <c r="B1788" s="29"/>
      <c r="C1788" s="30"/>
      <c r="D1788" s="18"/>
      <c r="E1788" s="19"/>
      <c r="F1788" s="20"/>
      <c r="G1788" s="18"/>
      <c r="H1788" s="19"/>
      <c r="I1788" s="20"/>
      <c r="J1788" s="21"/>
      <c r="K1788" s="22"/>
      <c r="L1788" s="23"/>
      <c r="M1788" s="24"/>
      <c r="N1788" s="25"/>
      <c r="O1788" s="25"/>
      <c r="P1788" s="23"/>
      <c r="Q1788" s="26"/>
      <c r="R1788" s="371"/>
      <c r="S1788" s="27"/>
      <c r="T1788" s="372"/>
      <c r="U1788" s="31"/>
      <c r="V1788" s="1418">
        <f t="shared" si="183"/>
        <v>0</v>
      </c>
      <c r="AB1788" s="15"/>
    </row>
    <row r="1789" spans="1:36" s="77" customFormat="1" ht="15.6" hidden="1">
      <c r="A1789" s="370"/>
      <c r="B1789" s="499"/>
      <c r="C1789" s="37"/>
      <c r="D1789" s="1929" t="s">
        <v>1520</v>
      </c>
      <c r="E1789" s="1930"/>
      <c r="F1789" s="1930"/>
      <c r="G1789" s="1930"/>
      <c r="H1789" s="1930"/>
      <c r="I1789" s="1931"/>
      <c r="J1789" s="1932">
        <f>VLOOKUP(A1791,'11 - FINANCEIRA'!_xlnm.Print_Area,6,FALSE)</f>
        <v>4.8600000000000003</v>
      </c>
      <c r="K1789" s="1933"/>
      <c r="L1789" s="1343" t="str">
        <f>VLOOKUP(A1791,'11 - FINANCEIRA'!_xlnm.Print_Area,4,FALSE)</f>
        <v>m²</v>
      </c>
      <c r="M1789" s="1934" t="s">
        <v>1521</v>
      </c>
      <c r="N1789" s="1935"/>
      <c r="O1789" s="1935"/>
      <c r="P1789" s="1935"/>
      <c r="Q1789" s="1936"/>
      <c r="R1789" s="726">
        <f>SUM(R1785:R1788)</f>
        <v>4.8600000000000003</v>
      </c>
      <c r="S1789" s="1344" t="str">
        <f>L1789</f>
        <v>m²</v>
      </c>
      <c r="T1789" s="373"/>
      <c r="U1789" s="486"/>
      <c r="V1789" s="1418">
        <f t="shared" si="183"/>
        <v>0</v>
      </c>
      <c r="AB1789" s="15"/>
    </row>
    <row r="1790" spans="1:36" s="77" customFormat="1" ht="15.6" hidden="1">
      <c r="A1790" s="370"/>
      <c r="B1790" s="499"/>
      <c r="C1790" s="725"/>
      <c r="D1790" s="1937" t="s">
        <v>1522</v>
      </c>
      <c r="E1790" s="1938"/>
      <c r="F1790" s="1938"/>
      <c r="G1790" s="1938"/>
      <c r="H1790" s="1938"/>
      <c r="I1790" s="1939"/>
      <c r="J1790" s="1943">
        <f>R1789/J1789</f>
        <v>1</v>
      </c>
      <c r="K1790" s="1944"/>
      <c r="L1790" s="1947"/>
      <c r="M1790" s="1934" t="s">
        <v>1523</v>
      </c>
      <c r="N1790" s="1935"/>
      <c r="O1790" s="1935"/>
      <c r="P1790" s="1935"/>
      <c r="Q1790" s="1936"/>
      <c r="R1790" s="726">
        <f>VLOOKUP(A1791,'11 - FINANCEIRA'!_xlnm.Print_Area,8,FALSE)</f>
        <v>4.8600000000000003</v>
      </c>
      <c r="S1790" s="727" t="str">
        <f>L1789</f>
        <v>m²</v>
      </c>
      <c r="T1790" s="373"/>
      <c r="U1790" s="486"/>
      <c r="V1790" s="1418">
        <f t="shared" si="183"/>
        <v>0</v>
      </c>
      <c r="AB1790" s="15"/>
    </row>
    <row r="1791" spans="1:36" s="77" customFormat="1" ht="15.6" hidden="1">
      <c r="A1791" s="364" t="s">
        <v>478</v>
      </c>
      <c r="B1791" s="499"/>
      <c r="C1791" s="37"/>
      <c r="D1791" s="2013"/>
      <c r="E1791" s="2014"/>
      <c r="F1791" s="2014"/>
      <c r="G1791" s="2014"/>
      <c r="H1791" s="2014"/>
      <c r="I1791" s="2015"/>
      <c r="J1791" s="2016"/>
      <c r="K1791" s="2017"/>
      <c r="L1791" s="1962"/>
      <c r="M1791" s="2007" t="s">
        <v>1524</v>
      </c>
      <c r="N1791" s="2008"/>
      <c r="O1791" s="2008"/>
      <c r="P1791" s="2008"/>
      <c r="Q1791" s="2009"/>
      <c r="R1791" s="1345">
        <f>R1789-R1790</f>
        <v>0</v>
      </c>
      <c r="S1791" s="1346" t="str">
        <f>L1789</f>
        <v>m²</v>
      </c>
      <c r="T1791" s="373"/>
      <c r="U1791" s="486"/>
      <c r="V1791" s="1418">
        <f>R1791</f>
        <v>0</v>
      </c>
      <c r="AB1791" s="15"/>
    </row>
    <row r="1792" spans="1:36" s="77" customFormat="1" ht="15.6" hidden="1">
      <c r="A1792" s="370"/>
      <c r="B1792" s="1347"/>
      <c r="C1792" s="1348"/>
      <c r="D1792" s="1349"/>
      <c r="E1792" s="1350"/>
      <c r="F1792" s="1349"/>
      <c r="G1792" s="1349"/>
      <c r="H1792" s="1349"/>
      <c r="I1792" s="1349"/>
      <c r="J1792" s="1351"/>
      <c r="K1792" s="1352"/>
      <c r="L1792" s="1353"/>
      <c r="M1792" s="1354"/>
      <c r="N1792" s="1354"/>
      <c r="O1792" s="1354"/>
      <c r="P1792" s="1354"/>
      <c r="Q1792" s="1354"/>
      <c r="R1792" s="1355"/>
      <c r="S1792" s="1356"/>
      <c r="T1792" s="1357"/>
      <c r="U1792" s="1358"/>
      <c r="V1792" s="1420">
        <f>SUM(V1783:V1791)</f>
        <v>0</v>
      </c>
      <c r="AB1792" s="15"/>
    </row>
    <row r="1793" spans="1:36" s="352" customFormat="1" ht="15.6" hidden="1">
      <c r="A1793" s="351"/>
      <c r="B1793" s="1963" t="str">
        <f>VLOOKUP(A1801,'11 - FINANCEIRA'!_xlnm.Print_Area,1,FALSE)</f>
        <v>2.3.9.11</v>
      </c>
      <c r="C1793" s="1965" t="str">
        <f>VLOOKUP(A1801,'11 - FINANCEIRA'!_xlnm.Print_Area,3,FALSE)</f>
        <v>(Composição representativa) do serviço de emboço/massa única, aplicado manualmente, traço 1:2:8, em betoneira de 400l, paredes internas, com execução de taliscas, edificação habitacional unifamiliar (casas) e edificação pública padrão. af_12/2014</v>
      </c>
      <c r="D1793" s="1967" t="s">
        <v>1503</v>
      </c>
      <c r="E1793" s="1968"/>
      <c r="F1793" s="1968"/>
      <c r="G1793" s="1968"/>
      <c r="H1793" s="1968"/>
      <c r="I1793" s="1969"/>
      <c r="J1793" s="1914" t="s">
        <v>1504</v>
      </c>
      <c r="K1793" s="1914" t="s">
        <v>1505</v>
      </c>
      <c r="L1793" s="1914" t="s">
        <v>1506</v>
      </c>
      <c r="M1793" s="1914" t="s">
        <v>1507</v>
      </c>
      <c r="N1793" s="1914" t="s">
        <v>1508</v>
      </c>
      <c r="O1793" s="1914" t="s">
        <v>1509</v>
      </c>
      <c r="P1793" s="1341" t="s">
        <v>1510</v>
      </c>
      <c r="Q1793" s="1914" t="s">
        <v>1493</v>
      </c>
      <c r="R1793" s="1916" t="s">
        <v>804</v>
      </c>
      <c r="S1793" s="1914" t="s">
        <v>1511</v>
      </c>
      <c r="T1793" s="1914" t="s">
        <v>1512</v>
      </c>
      <c r="U1793" s="1918" t="s">
        <v>1513</v>
      </c>
      <c r="V1793" s="1418">
        <f t="shared" ref="V1793:V1800" si="184">V1794</f>
        <v>0</v>
      </c>
      <c r="W1793" s="16"/>
      <c r="X1793" s="16"/>
      <c r="Y1793" s="16"/>
      <c r="Z1793" s="17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</row>
    <row r="1794" spans="1:36" s="352" customFormat="1" ht="15.6" hidden="1">
      <c r="A1794" s="351"/>
      <c r="B1794" s="1964" t="e">
        <f>LEFT(#REF!,5)</f>
        <v>#REF!</v>
      </c>
      <c r="C1794" s="1966" t="e">
        <f>VLOOKUP(LEFT(#REF!,5),'11 - FINANCEIRA'!_xlnm.Print_Area,2,FALSE)</f>
        <v>#REF!</v>
      </c>
      <c r="D1794" s="1920" t="s">
        <v>1514</v>
      </c>
      <c r="E1794" s="1921"/>
      <c r="F1794" s="1922"/>
      <c r="G1794" s="1923" t="s">
        <v>1515</v>
      </c>
      <c r="H1794" s="1924"/>
      <c r="I1794" s="1925"/>
      <c r="J1794" s="1915"/>
      <c r="K1794" s="1915"/>
      <c r="L1794" s="1915"/>
      <c r="M1794" s="1915"/>
      <c r="N1794" s="1915"/>
      <c r="O1794" s="1915"/>
      <c r="P1794" s="353" t="s">
        <v>1516</v>
      </c>
      <c r="Q1794" s="1915"/>
      <c r="R1794" s="1917"/>
      <c r="S1794" s="1915"/>
      <c r="T1794" s="1915"/>
      <c r="U1794" s="1919"/>
      <c r="V1794" s="1418">
        <f t="shared" si="184"/>
        <v>0</v>
      </c>
      <c r="W1794" s="16"/>
      <c r="X1794" s="16"/>
      <c r="Y1794" s="16"/>
      <c r="Z1794" s="17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</row>
    <row r="1795" spans="1:36" s="361" customFormat="1" ht="45" hidden="1">
      <c r="A1795" s="354"/>
      <c r="B1795" s="355"/>
      <c r="C1795" s="32" t="s">
        <v>955</v>
      </c>
      <c r="D1795" s="33"/>
      <c r="E1795" s="34"/>
      <c r="F1795" s="35"/>
      <c r="G1795" s="33"/>
      <c r="H1795" s="34"/>
      <c r="I1795" s="35"/>
      <c r="J1795" s="43"/>
      <c r="K1795" s="42"/>
      <c r="L1795" s="39"/>
      <c r="M1795" s="41"/>
      <c r="N1795" s="356"/>
      <c r="O1795" s="40"/>
      <c r="P1795" s="39"/>
      <c r="Q1795" s="45"/>
      <c r="R1795" s="1359">
        <v>10.26</v>
      </c>
      <c r="S1795" s="1265" t="s">
        <v>821</v>
      </c>
      <c r="T1795" s="46" t="s">
        <v>328</v>
      </c>
      <c r="U1795" s="44"/>
      <c r="V1795" s="1418">
        <f t="shared" si="184"/>
        <v>0</v>
      </c>
      <c r="W1795" s="357"/>
      <c r="X1795" s="357"/>
      <c r="Y1795" s="357"/>
      <c r="Z1795" s="358"/>
      <c r="AA1795" s="359"/>
      <c r="AB1795" s="360"/>
    </row>
    <row r="1796" spans="1:36" s="361" customFormat="1" ht="15" hidden="1" customHeight="1">
      <c r="A1796" s="354"/>
      <c r="B1796" s="355"/>
      <c r="C1796" s="32"/>
      <c r="D1796" s="33"/>
      <c r="E1796" s="34"/>
      <c r="F1796" s="35"/>
      <c r="G1796" s="33"/>
      <c r="H1796" s="34"/>
      <c r="I1796" s="35"/>
      <c r="J1796" s="43"/>
      <c r="K1796" s="42"/>
      <c r="L1796" s="39"/>
      <c r="M1796" s="41"/>
      <c r="N1796" s="356"/>
      <c r="O1796" s="40"/>
      <c r="P1796" s="39"/>
      <c r="Q1796" s="45"/>
      <c r="R1796" s="362"/>
      <c r="S1796" s="363"/>
      <c r="T1796" s="46"/>
      <c r="U1796" s="44"/>
      <c r="V1796" s="1418">
        <f t="shared" si="184"/>
        <v>0</v>
      </c>
      <c r="W1796" s="357"/>
      <c r="X1796" s="357"/>
      <c r="Y1796" s="357"/>
      <c r="Z1796" s="358"/>
      <c r="AA1796" s="359"/>
      <c r="AB1796" s="360"/>
    </row>
    <row r="1797" spans="1:36" s="369" customFormat="1" ht="15" hidden="1">
      <c r="A1797" s="364"/>
      <c r="B1797" s="355"/>
      <c r="C1797" s="32"/>
      <c r="D1797" s="33"/>
      <c r="E1797" s="34"/>
      <c r="F1797" s="35"/>
      <c r="G1797" s="33"/>
      <c r="H1797" s="34"/>
      <c r="I1797" s="35"/>
      <c r="J1797" s="43"/>
      <c r="K1797" s="42"/>
      <c r="L1797" s="39"/>
      <c r="M1797" s="41"/>
      <c r="N1797" s="40"/>
      <c r="O1797" s="40"/>
      <c r="P1797" s="39"/>
      <c r="Q1797" s="38"/>
      <c r="R1797" s="365"/>
      <c r="S1797" s="366"/>
      <c r="T1797" s="46"/>
      <c r="U1797" s="44"/>
      <c r="V1797" s="1418">
        <f t="shared" si="184"/>
        <v>0</v>
      </c>
      <c r="W1797" s="367"/>
      <c r="X1797" s="367"/>
      <c r="Y1797" s="367"/>
      <c r="Z1797" s="368"/>
    </row>
    <row r="1798" spans="1:36" s="77" customFormat="1" ht="15" hidden="1">
      <c r="A1798" s="370"/>
      <c r="B1798" s="29"/>
      <c r="C1798" s="30"/>
      <c r="D1798" s="18"/>
      <c r="E1798" s="19"/>
      <c r="F1798" s="20"/>
      <c r="G1798" s="18"/>
      <c r="H1798" s="19"/>
      <c r="I1798" s="20"/>
      <c r="J1798" s="21"/>
      <c r="K1798" s="22"/>
      <c r="L1798" s="23"/>
      <c r="M1798" s="24"/>
      <c r="N1798" s="25"/>
      <c r="O1798" s="25"/>
      <c r="P1798" s="23"/>
      <c r="Q1798" s="26"/>
      <c r="R1798" s="371"/>
      <c r="S1798" s="27"/>
      <c r="T1798" s="372"/>
      <c r="U1798" s="31"/>
      <c r="V1798" s="1418">
        <f t="shared" si="184"/>
        <v>0</v>
      </c>
      <c r="AB1798" s="15"/>
    </row>
    <row r="1799" spans="1:36" s="77" customFormat="1" ht="15.6" hidden="1">
      <c r="A1799" s="370"/>
      <c r="B1799" s="499"/>
      <c r="C1799" s="37"/>
      <c r="D1799" s="1929" t="s">
        <v>1520</v>
      </c>
      <c r="E1799" s="1930"/>
      <c r="F1799" s="1930"/>
      <c r="G1799" s="1930"/>
      <c r="H1799" s="1930"/>
      <c r="I1799" s="1931"/>
      <c r="J1799" s="1932">
        <f>VLOOKUP(A1801,'11 - FINANCEIRA'!_xlnm.Print_Area,6,FALSE)</f>
        <v>10.26</v>
      </c>
      <c r="K1799" s="1933"/>
      <c r="L1799" s="1343" t="str">
        <f>VLOOKUP(A1801,'11 - FINANCEIRA'!_xlnm.Print_Area,4,FALSE)</f>
        <v>m²</v>
      </c>
      <c r="M1799" s="1934" t="s">
        <v>1521</v>
      </c>
      <c r="N1799" s="1935"/>
      <c r="O1799" s="1935"/>
      <c r="P1799" s="1935"/>
      <c r="Q1799" s="1936"/>
      <c r="R1799" s="726">
        <f>SUM(R1795:R1798)</f>
        <v>10.26</v>
      </c>
      <c r="S1799" s="1344" t="str">
        <f>L1799</f>
        <v>m²</v>
      </c>
      <c r="T1799" s="373"/>
      <c r="U1799" s="486"/>
      <c r="V1799" s="1418">
        <f t="shared" si="184"/>
        <v>0</v>
      </c>
      <c r="AB1799" s="15"/>
    </row>
    <row r="1800" spans="1:36" s="77" customFormat="1" ht="15.6" hidden="1">
      <c r="A1800" s="370"/>
      <c r="B1800" s="499"/>
      <c r="C1800" s="725"/>
      <c r="D1800" s="1937" t="s">
        <v>1522</v>
      </c>
      <c r="E1800" s="1938"/>
      <c r="F1800" s="1938"/>
      <c r="G1800" s="1938"/>
      <c r="H1800" s="1938"/>
      <c r="I1800" s="1939"/>
      <c r="J1800" s="1943">
        <f>R1799/J1799</f>
        <v>1</v>
      </c>
      <c r="K1800" s="1944"/>
      <c r="L1800" s="1947"/>
      <c r="M1800" s="1934" t="s">
        <v>1523</v>
      </c>
      <c r="N1800" s="1935"/>
      <c r="O1800" s="1935"/>
      <c r="P1800" s="1935"/>
      <c r="Q1800" s="1936"/>
      <c r="R1800" s="726">
        <f>VLOOKUP(A1801,'11 - FINANCEIRA'!_xlnm.Print_Area,8,FALSE)</f>
        <v>10.26</v>
      </c>
      <c r="S1800" s="727" t="str">
        <f>L1799</f>
        <v>m²</v>
      </c>
      <c r="T1800" s="373"/>
      <c r="U1800" s="486"/>
      <c r="V1800" s="1418">
        <f t="shared" si="184"/>
        <v>0</v>
      </c>
      <c r="AB1800" s="15"/>
    </row>
    <row r="1801" spans="1:36" s="77" customFormat="1" ht="15.6" hidden="1">
      <c r="A1801" s="364" t="s">
        <v>479</v>
      </c>
      <c r="B1801" s="499"/>
      <c r="C1801" s="37"/>
      <c r="D1801" s="2013"/>
      <c r="E1801" s="2014"/>
      <c r="F1801" s="2014"/>
      <c r="G1801" s="2014"/>
      <c r="H1801" s="2014"/>
      <c r="I1801" s="2015"/>
      <c r="J1801" s="2016"/>
      <c r="K1801" s="2017"/>
      <c r="L1801" s="1962"/>
      <c r="M1801" s="2007" t="s">
        <v>1524</v>
      </c>
      <c r="N1801" s="2008"/>
      <c r="O1801" s="2008"/>
      <c r="P1801" s="2008"/>
      <c r="Q1801" s="2009"/>
      <c r="R1801" s="1345">
        <f>R1799-R1800</f>
        <v>0</v>
      </c>
      <c r="S1801" s="1346" t="str">
        <f>L1799</f>
        <v>m²</v>
      </c>
      <c r="T1801" s="373"/>
      <c r="U1801" s="486"/>
      <c r="V1801" s="1418">
        <f>R1801</f>
        <v>0</v>
      </c>
      <c r="AB1801" s="15"/>
    </row>
    <row r="1802" spans="1:36" s="77" customFormat="1" ht="15.6" hidden="1">
      <c r="A1802" s="370"/>
      <c r="B1802" s="1347"/>
      <c r="C1802" s="1348"/>
      <c r="D1802" s="1349"/>
      <c r="E1802" s="1350"/>
      <c r="F1802" s="1349"/>
      <c r="G1802" s="1349"/>
      <c r="H1802" s="1349"/>
      <c r="I1802" s="1349"/>
      <c r="J1802" s="1351"/>
      <c r="K1802" s="1352"/>
      <c r="L1802" s="1353"/>
      <c r="M1802" s="1354"/>
      <c r="N1802" s="1354"/>
      <c r="O1802" s="1354"/>
      <c r="P1802" s="1354"/>
      <c r="Q1802" s="1354"/>
      <c r="R1802" s="1355"/>
      <c r="S1802" s="1356"/>
      <c r="T1802" s="1357"/>
      <c r="U1802" s="1358"/>
      <c r="V1802" s="1420">
        <f>SUM(V1793:V1801)</f>
        <v>0</v>
      </c>
      <c r="AB1802" s="15"/>
    </row>
    <row r="1803" spans="1:36" s="632" customFormat="1" ht="15.6" hidden="1">
      <c r="A1803" s="630"/>
      <c r="B1803" s="1333" t="str">
        <f>LEFT(A1812,6)</f>
        <v>2.3.10</v>
      </c>
      <c r="C1803" s="1334" t="str">
        <f>VLOOKUP(LEFT(A1812,6),'11 - FINANCEIRA'!_xlnm.Print_Area,2,FALSE)</f>
        <v>HIDROSSANITÁRIO</v>
      </c>
      <c r="D1803" s="1334"/>
      <c r="E1803" s="1335"/>
      <c r="F1803" s="1334"/>
      <c r="G1803" s="2071"/>
      <c r="H1803" s="2072"/>
      <c r="I1803" s="2072"/>
      <c r="J1803" s="2072"/>
      <c r="K1803" s="2072"/>
      <c r="L1803" s="2072"/>
      <c r="M1803" s="1338"/>
      <c r="N1803" s="1339"/>
      <c r="O1803" s="1339"/>
      <c r="P1803" s="1339"/>
      <c r="Q1803" s="1339"/>
      <c r="R1803" s="1339"/>
      <c r="S1803" s="1339"/>
      <c r="T1803" s="1339"/>
      <c r="U1803" s="1339"/>
      <c r="V1803" s="631">
        <f>SUM(V1804:V2093)</f>
        <v>0</v>
      </c>
    </row>
    <row r="1804" spans="1:36" s="352" customFormat="1" ht="15.6" hidden="1">
      <c r="A1804" s="351"/>
      <c r="B1804" s="1963" t="str">
        <f>VLOOKUP(A1812,'11 - FINANCEIRA'!_xlnm.Print_Area,1,FALSE)</f>
        <v>2.3.10.1</v>
      </c>
      <c r="C1804" s="1965" t="str">
        <f>VLOOKUP(A1812,'11 - FINANCEIRA'!_xlnm.Print_Area,3,FALSE)</f>
        <v>Tubo de pvc rígido soldável marrom, diâm. 25mm (3/4"), inclusive conexões</v>
      </c>
      <c r="D1804" s="1967" t="s">
        <v>1503</v>
      </c>
      <c r="E1804" s="1968"/>
      <c r="F1804" s="1968"/>
      <c r="G1804" s="1968"/>
      <c r="H1804" s="1968"/>
      <c r="I1804" s="1969"/>
      <c r="J1804" s="1914" t="s">
        <v>1504</v>
      </c>
      <c r="K1804" s="1914" t="s">
        <v>1505</v>
      </c>
      <c r="L1804" s="1914" t="s">
        <v>1506</v>
      </c>
      <c r="M1804" s="1914" t="s">
        <v>1507</v>
      </c>
      <c r="N1804" s="1914" t="s">
        <v>1508</v>
      </c>
      <c r="O1804" s="1914" t="s">
        <v>1509</v>
      </c>
      <c r="P1804" s="1341" t="s">
        <v>1510</v>
      </c>
      <c r="Q1804" s="1914" t="s">
        <v>1493</v>
      </c>
      <c r="R1804" s="1916" t="s">
        <v>804</v>
      </c>
      <c r="S1804" s="1914" t="s">
        <v>1511</v>
      </c>
      <c r="T1804" s="1914" t="s">
        <v>1512</v>
      </c>
      <c r="U1804" s="1918" t="s">
        <v>1513</v>
      </c>
      <c r="V1804" s="1418">
        <f t="shared" ref="V1804:V1811" si="185">V1805</f>
        <v>0</v>
      </c>
      <c r="W1804" s="16"/>
      <c r="X1804" s="16"/>
      <c r="Y1804" s="16"/>
      <c r="Z1804" s="17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</row>
    <row r="1805" spans="1:36" s="352" customFormat="1" ht="15.6" hidden="1">
      <c r="A1805" s="354"/>
      <c r="B1805" s="1964" t="e">
        <f>LEFT(#REF!,5)</f>
        <v>#REF!</v>
      </c>
      <c r="C1805" s="1966" t="e">
        <f>VLOOKUP(LEFT(#REF!,5),'11 - FINANCEIRA'!_xlnm.Print_Area,2,FALSE)</f>
        <v>#REF!</v>
      </c>
      <c r="D1805" s="1920" t="s">
        <v>1514</v>
      </c>
      <c r="E1805" s="1921"/>
      <c r="F1805" s="1922"/>
      <c r="G1805" s="1923" t="s">
        <v>1515</v>
      </c>
      <c r="H1805" s="1924"/>
      <c r="I1805" s="1925"/>
      <c r="J1805" s="1915"/>
      <c r="K1805" s="1915"/>
      <c r="L1805" s="1915"/>
      <c r="M1805" s="1915"/>
      <c r="N1805" s="1915"/>
      <c r="O1805" s="1915"/>
      <c r="P1805" s="353" t="s">
        <v>1516</v>
      </c>
      <c r="Q1805" s="1915"/>
      <c r="R1805" s="1917"/>
      <c r="S1805" s="1915"/>
      <c r="T1805" s="1915"/>
      <c r="U1805" s="1919"/>
      <c r="V1805" s="1418">
        <f t="shared" si="185"/>
        <v>0</v>
      </c>
      <c r="W1805" s="16"/>
      <c r="X1805" s="16"/>
      <c r="Y1805" s="16"/>
      <c r="Z1805" s="17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</row>
    <row r="1806" spans="1:36" s="361" customFormat="1" ht="15" hidden="1" customHeight="1">
      <c r="A1806" s="354"/>
      <c r="B1806" s="355"/>
      <c r="C1806" s="28" t="s">
        <v>988</v>
      </c>
      <c r="D1806" s="18"/>
      <c r="E1806" s="19"/>
      <c r="F1806" s="20"/>
      <c r="G1806" s="18"/>
      <c r="H1806" s="19"/>
      <c r="I1806" s="20"/>
      <c r="J1806" s="21"/>
      <c r="K1806" s="22"/>
      <c r="L1806" s="23"/>
      <c r="M1806" s="24"/>
      <c r="N1806" s="728"/>
      <c r="O1806" s="25"/>
      <c r="P1806" s="23"/>
      <c r="Q1806" s="729"/>
      <c r="R1806" s="1109">
        <v>130</v>
      </c>
      <c r="S1806" s="730" t="s">
        <v>809</v>
      </c>
      <c r="T1806" s="446" t="s">
        <v>327</v>
      </c>
      <c r="U1806" s="44"/>
      <c r="V1806" s="1418">
        <f t="shared" si="185"/>
        <v>0</v>
      </c>
      <c r="W1806" s="357"/>
      <c r="X1806" s="357"/>
      <c r="Y1806" s="357"/>
      <c r="Z1806" s="358"/>
      <c r="AA1806" s="359"/>
      <c r="AB1806" s="360"/>
    </row>
    <row r="1807" spans="1:36" s="361" customFormat="1" ht="15" hidden="1" customHeight="1">
      <c r="A1807" s="364"/>
      <c r="B1807" s="355"/>
      <c r="C1807" s="32"/>
      <c r="D1807" s="33"/>
      <c r="E1807" s="34"/>
      <c r="F1807" s="35"/>
      <c r="G1807" s="33"/>
      <c r="H1807" s="34"/>
      <c r="I1807" s="35"/>
      <c r="J1807" s="43"/>
      <c r="K1807" s="42"/>
      <c r="L1807" s="39"/>
      <c r="M1807" s="41"/>
      <c r="N1807" s="356"/>
      <c r="O1807" s="40"/>
      <c r="P1807" s="39"/>
      <c r="Q1807" s="45"/>
      <c r="R1807" s="362"/>
      <c r="S1807" s="363"/>
      <c r="T1807" s="46"/>
      <c r="U1807" s="44"/>
      <c r="V1807" s="1418">
        <f t="shared" si="185"/>
        <v>0</v>
      </c>
      <c r="W1807" s="357"/>
      <c r="X1807" s="357"/>
      <c r="Y1807" s="357"/>
      <c r="Z1807" s="358"/>
      <c r="AA1807" s="359"/>
      <c r="AB1807" s="360"/>
    </row>
    <row r="1808" spans="1:36" s="369" customFormat="1" ht="15" hidden="1">
      <c r="A1808" s="370"/>
      <c r="B1808" s="355"/>
      <c r="C1808" s="32"/>
      <c r="D1808" s="33"/>
      <c r="E1808" s="34"/>
      <c r="F1808" s="35"/>
      <c r="G1808" s="33"/>
      <c r="H1808" s="34"/>
      <c r="I1808" s="35"/>
      <c r="J1808" s="43"/>
      <c r="K1808" s="42"/>
      <c r="L1808" s="39"/>
      <c r="M1808" s="41"/>
      <c r="N1808" s="40"/>
      <c r="O1808" s="40"/>
      <c r="P1808" s="39"/>
      <c r="Q1808" s="38"/>
      <c r="R1808" s="365"/>
      <c r="S1808" s="366"/>
      <c r="T1808" s="46"/>
      <c r="U1808" s="44"/>
      <c r="V1808" s="1418">
        <f t="shared" si="185"/>
        <v>0</v>
      </c>
      <c r="W1808" s="367"/>
      <c r="X1808" s="367"/>
      <c r="Y1808" s="367"/>
      <c r="Z1808" s="368"/>
    </row>
    <row r="1809" spans="1:36" s="77" customFormat="1" ht="15" hidden="1">
      <c r="A1809" s="370"/>
      <c r="B1809" s="29"/>
      <c r="C1809" s="30"/>
      <c r="D1809" s="18"/>
      <c r="E1809" s="19"/>
      <c r="F1809" s="20"/>
      <c r="G1809" s="18"/>
      <c r="H1809" s="19"/>
      <c r="I1809" s="20"/>
      <c r="J1809" s="21"/>
      <c r="K1809" s="22"/>
      <c r="L1809" s="23"/>
      <c r="M1809" s="24"/>
      <c r="N1809" s="25"/>
      <c r="O1809" s="25"/>
      <c r="P1809" s="23"/>
      <c r="Q1809" s="26"/>
      <c r="R1809" s="371"/>
      <c r="S1809" s="27"/>
      <c r="T1809" s="372"/>
      <c r="U1809" s="31"/>
      <c r="V1809" s="1418">
        <f t="shared" si="185"/>
        <v>0</v>
      </c>
      <c r="AB1809" s="15"/>
    </row>
    <row r="1810" spans="1:36" s="77" customFormat="1" ht="15.6" hidden="1">
      <c r="A1810" s="370"/>
      <c r="B1810" s="499"/>
      <c r="C1810" s="37"/>
      <c r="D1810" s="1929" t="s">
        <v>1520</v>
      </c>
      <c r="E1810" s="1930"/>
      <c r="F1810" s="1930"/>
      <c r="G1810" s="1930"/>
      <c r="H1810" s="1930"/>
      <c r="I1810" s="1931"/>
      <c r="J1810" s="1932">
        <f>VLOOKUP(A1812,'11 - FINANCEIRA'!_xlnm.Print_Area,6,FALSE)</f>
        <v>130</v>
      </c>
      <c r="K1810" s="1933"/>
      <c r="L1810" s="1343" t="str">
        <f>VLOOKUP(A1812,'11 - FINANCEIRA'!_xlnm.Print_Area,4,FALSE)</f>
        <v>m</v>
      </c>
      <c r="M1810" s="1934" t="s">
        <v>1521</v>
      </c>
      <c r="N1810" s="1935"/>
      <c r="O1810" s="1935"/>
      <c r="P1810" s="1935"/>
      <c r="Q1810" s="1936"/>
      <c r="R1810" s="726">
        <f>SUM(R1806:R1809)</f>
        <v>130</v>
      </c>
      <c r="S1810" s="1344" t="str">
        <f>L1810</f>
        <v>m</v>
      </c>
      <c r="T1810" s="373"/>
      <c r="U1810" s="486"/>
      <c r="V1810" s="1418">
        <f t="shared" si="185"/>
        <v>0</v>
      </c>
      <c r="AB1810" s="15"/>
    </row>
    <row r="1811" spans="1:36" s="77" customFormat="1" ht="15.6" hidden="1">
      <c r="B1811" s="499"/>
      <c r="C1811" s="725"/>
      <c r="D1811" s="1937" t="s">
        <v>1522</v>
      </c>
      <c r="E1811" s="1938"/>
      <c r="F1811" s="1938"/>
      <c r="G1811" s="1938"/>
      <c r="H1811" s="1938"/>
      <c r="I1811" s="1939"/>
      <c r="J1811" s="1943">
        <f>R1810/J1810</f>
        <v>1</v>
      </c>
      <c r="K1811" s="1944"/>
      <c r="L1811" s="1947"/>
      <c r="M1811" s="1934" t="s">
        <v>1523</v>
      </c>
      <c r="N1811" s="1935"/>
      <c r="O1811" s="1935"/>
      <c r="P1811" s="1935"/>
      <c r="Q1811" s="1936"/>
      <c r="R1811" s="726">
        <f>VLOOKUP(A1812,'11 - FINANCEIRA'!_xlnm.Print_Area,8,FALSE)</f>
        <v>130</v>
      </c>
      <c r="S1811" s="727" t="str">
        <f>L1810</f>
        <v>m</v>
      </c>
      <c r="T1811" s="373"/>
      <c r="U1811" s="486"/>
      <c r="V1811" s="1418">
        <f t="shared" si="185"/>
        <v>0</v>
      </c>
      <c r="AB1811" s="15"/>
    </row>
    <row r="1812" spans="1:36" s="77" customFormat="1" ht="15.6" hidden="1">
      <c r="A1812" s="364" t="s">
        <v>481</v>
      </c>
      <c r="B1812" s="499"/>
      <c r="C1812" s="37"/>
      <c r="D1812" s="2013"/>
      <c r="E1812" s="2014"/>
      <c r="F1812" s="2014"/>
      <c r="G1812" s="2014"/>
      <c r="H1812" s="2014"/>
      <c r="I1812" s="2015"/>
      <c r="J1812" s="2016"/>
      <c r="K1812" s="2017"/>
      <c r="L1812" s="1962"/>
      <c r="M1812" s="2007" t="s">
        <v>1524</v>
      </c>
      <c r="N1812" s="2008"/>
      <c r="O1812" s="2008"/>
      <c r="P1812" s="2008"/>
      <c r="Q1812" s="2009"/>
      <c r="R1812" s="1345">
        <f>R1810-R1811</f>
        <v>0</v>
      </c>
      <c r="S1812" s="1346" t="str">
        <f>L1810</f>
        <v>m</v>
      </c>
      <c r="T1812" s="373"/>
      <c r="U1812" s="486"/>
      <c r="V1812" s="1418">
        <f>R1812</f>
        <v>0</v>
      </c>
      <c r="AB1812" s="15"/>
    </row>
    <row r="1813" spans="1:36" s="77" customFormat="1" ht="15.6" hidden="1">
      <c r="A1813" s="370"/>
      <c r="B1813" s="1347"/>
      <c r="C1813" s="1348"/>
      <c r="D1813" s="1349"/>
      <c r="E1813" s="1350"/>
      <c r="F1813" s="1349"/>
      <c r="G1813" s="1349"/>
      <c r="H1813" s="1349"/>
      <c r="I1813" s="1349"/>
      <c r="J1813" s="1351"/>
      <c r="K1813" s="1352"/>
      <c r="L1813" s="1353"/>
      <c r="M1813" s="1354"/>
      <c r="N1813" s="1354"/>
      <c r="O1813" s="1354"/>
      <c r="P1813" s="1354"/>
      <c r="Q1813" s="1354"/>
      <c r="R1813" s="1355"/>
      <c r="S1813" s="1356"/>
      <c r="T1813" s="1357"/>
      <c r="U1813" s="1358"/>
      <c r="V1813" s="1420">
        <f>SUM(V1804:V1812)</f>
        <v>0</v>
      </c>
      <c r="AB1813" s="15"/>
    </row>
    <row r="1814" spans="1:36" s="352" customFormat="1" ht="15.6" hidden="1">
      <c r="A1814" s="351"/>
      <c r="B1814" s="1963" t="str">
        <f>VLOOKUP(A1822,'11 - FINANCEIRA'!_xlnm.Print_Area,1,FALSE)</f>
        <v>2.3.10.2</v>
      </c>
      <c r="C1814" s="1965" t="str">
        <f>VLOOKUP(A1822,'11 - FINANCEIRA'!_xlnm.Print_Area,3,FALSE)</f>
        <v>Tubo de pvc rigido soldável marrom, diâm. 32mm (1"), inclusive conexões</v>
      </c>
      <c r="D1814" s="1967" t="s">
        <v>1503</v>
      </c>
      <c r="E1814" s="1968"/>
      <c r="F1814" s="1968"/>
      <c r="G1814" s="1968"/>
      <c r="H1814" s="1968"/>
      <c r="I1814" s="1969"/>
      <c r="J1814" s="1914" t="s">
        <v>1504</v>
      </c>
      <c r="K1814" s="1914" t="s">
        <v>1505</v>
      </c>
      <c r="L1814" s="1914" t="s">
        <v>1506</v>
      </c>
      <c r="M1814" s="1914" t="s">
        <v>1507</v>
      </c>
      <c r="N1814" s="1914" t="s">
        <v>1508</v>
      </c>
      <c r="O1814" s="1914" t="s">
        <v>1509</v>
      </c>
      <c r="P1814" s="1341" t="s">
        <v>1510</v>
      </c>
      <c r="Q1814" s="1914" t="s">
        <v>1493</v>
      </c>
      <c r="R1814" s="1916" t="s">
        <v>804</v>
      </c>
      <c r="S1814" s="1914" t="s">
        <v>1511</v>
      </c>
      <c r="T1814" s="1914" t="s">
        <v>1512</v>
      </c>
      <c r="U1814" s="1918" t="s">
        <v>1513</v>
      </c>
      <c r="V1814" s="1418">
        <f t="shared" ref="V1814:V1821" si="186">V1815</f>
        <v>0</v>
      </c>
      <c r="W1814" s="16"/>
      <c r="X1814" s="16"/>
      <c r="Y1814" s="16"/>
      <c r="Z1814" s="17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</row>
    <row r="1815" spans="1:36" s="352" customFormat="1" ht="15.6" hidden="1">
      <c r="A1815" s="351"/>
      <c r="B1815" s="1964" t="e">
        <f>LEFT(#REF!,5)</f>
        <v>#REF!</v>
      </c>
      <c r="C1815" s="1966" t="e">
        <f>VLOOKUP(LEFT(#REF!,5),'11 - FINANCEIRA'!_xlnm.Print_Area,2,FALSE)</f>
        <v>#REF!</v>
      </c>
      <c r="D1815" s="1920" t="s">
        <v>1514</v>
      </c>
      <c r="E1815" s="1921"/>
      <c r="F1815" s="1922"/>
      <c r="G1815" s="1923" t="s">
        <v>1515</v>
      </c>
      <c r="H1815" s="1924"/>
      <c r="I1815" s="1925"/>
      <c r="J1815" s="1915"/>
      <c r="K1815" s="1915"/>
      <c r="L1815" s="1915"/>
      <c r="M1815" s="1915"/>
      <c r="N1815" s="1915"/>
      <c r="O1815" s="1915"/>
      <c r="P1815" s="353" t="s">
        <v>1516</v>
      </c>
      <c r="Q1815" s="1915"/>
      <c r="R1815" s="1917"/>
      <c r="S1815" s="1915"/>
      <c r="T1815" s="1915"/>
      <c r="U1815" s="1919"/>
      <c r="V1815" s="1418">
        <f t="shared" si="186"/>
        <v>0</v>
      </c>
      <c r="W1815" s="16"/>
      <c r="X1815" s="16"/>
      <c r="Y1815" s="16"/>
      <c r="Z1815" s="17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</row>
    <row r="1816" spans="1:36" s="361" customFormat="1" ht="15" hidden="1" customHeight="1">
      <c r="A1816" s="354"/>
      <c r="B1816" s="355"/>
      <c r="C1816" s="28" t="s">
        <v>990</v>
      </c>
      <c r="D1816" s="18"/>
      <c r="E1816" s="19"/>
      <c r="F1816" s="20"/>
      <c r="G1816" s="18"/>
      <c r="H1816" s="19"/>
      <c r="I1816" s="20"/>
      <c r="J1816" s="21"/>
      <c r="K1816" s="22"/>
      <c r="L1816" s="23"/>
      <c r="M1816" s="24"/>
      <c r="N1816" s="728"/>
      <c r="O1816" s="25"/>
      <c r="P1816" s="23"/>
      <c r="Q1816" s="729"/>
      <c r="R1816" s="1109">
        <v>30</v>
      </c>
      <c r="S1816" s="730" t="s">
        <v>809</v>
      </c>
      <c r="T1816" s="446" t="s">
        <v>327</v>
      </c>
      <c r="U1816" s="44"/>
      <c r="V1816" s="1418">
        <f t="shared" si="186"/>
        <v>0</v>
      </c>
      <c r="W1816" s="357"/>
      <c r="X1816" s="357"/>
      <c r="Y1816" s="357"/>
      <c r="Z1816" s="358"/>
      <c r="AA1816" s="359"/>
      <c r="AB1816" s="360"/>
    </row>
    <row r="1817" spans="1:36" s="361" customFormat="1" ht="15" hidden="1" customHeight="1">
      <c r="A1817" s="354"/>
      <c r="B1817" s="355"/>
      <c r="C1817" s="32"/>
      <c r="D1817" s="33"/>
      <c r="E1817" s="34"/>
      <c r="F1817" s="35"/>
      <c r="G1817" s="33"/>
      <c r="H1817" s="34"/>
      <c r="I1817" s="35"/>
      <c r="J1817" s="43"/>
      <c r="K1817" s="42"/>
      <c r="L1817" s="39"/>
      <c r="M1817" s="41"/>
      <c r="N1817" s="356"/>
      <c r="O1817" s="40"/>
      <c r="P1817" s="39"/>
      <c r="Q1817" s="45"/>
      <c r="R1817" s="362"/>
      <c r="S1817" s="363"/>
      <c r="T1817" s="46"/>
      <c r="U1817" s="44"/>
      <c r="V1817" s="1418">
        <f t="shared" si="186"/>
        <v>0</v>
      </c>
      <c r="W1817" s="357"/>
      <c r="X1817" s="357"/>
      <c r="Y1817" s="357"/>
      <c r="Z1817" s="358"/>
      <c r="AA1817" s="359"/>
      <c r="AB1817" s="360"/>
    </row>
    <row r="1818" spans="1:36" s="369" customFormat="1" ht="15" hidden="1">
      <c r="A1818" s="364"/>
      <c r="B1818" s="355"/>
      <c r="C1818" s="32"/>
      <c r="D1818" s="33"/>
      <c r="E1818" s="34"/>
      <c r="F1818" s="35"/>
      <c r="G1818" s="33"/>
      <c r="H1818" s="34"/>
      <c r="I1818" s="35"/>
      <c r="J1818" s="43"/>
      <c r="K1818" s="42"/>
      <c r="L1818" s="39"/>
      <c r="M1818" s="41"/>
      <c r="N1818" s="40"/>
      <c r="O1818" s="40"/>
      <c r="P1818" s="39"/>
      <c r="Q1818" s="38"/>
      <c r="R1818" s="365"/>
      <c r="S1818" s="366"/>
      <c r="T1818" s="46"/>
      <c r="U1818" s="44"/>
      <c r="V1818" s="1418">
        <f t="shared" si="186"/>
        <v>0</v>
      </c>
      <c r="W1818" s="367"/>
      <c r="X1818" s="367"/>
      <c r="Y1818" s="367"/>
      <c r="Z1818" s="368"/>
    </row>
    <row r="1819" spans="1:36" s="77" customFormat="1" ht="15" hidden="1">
      <c r="A1819" s="370"/>
      <c r="B1819" s="29"/>
      <c r="C1819" s="30"/>
      <c r="D1819" s="18"/>
      <c r="E1819" s="19"/>
      <c r="F1819" s="20"/>
      <c r="G1819" s="18"/>
      <c r="H1819" s="19"/>
      <c r="I1819" s="20"/>
      <c r="J1819" s="21"/>
      <c r="K1819" s="22"/>
      <c r="L1819" s="23"/>
      <c r="M1819" s="24"/>
      <c r="N1819" s="25"/>
      <c r="O1819" s="25"/>
      <c r="P1819" s="23"/>
      <c r="Q1819" s="26"/>
      <c r="R1819" s="371"/>
      <c r="S1819" s="27"/>
      <c r="T1819" s="372"/>
      <c r="U1819" s="31"/>
      <c r="V1819" s="1418">
        <f t="shared" si="186"/>
        <v>0</v>
      </c>
      <c r="AB1819" s="15"/>
    </row>
    <row r="1820" spans="1:36" s="77" customFormat="1" ht="15.6" hidden="1">
      <c r="A1820" s="370"/>
      <c r="B1820" s="499"/>
      <c r="C1820" s="37"/>
      <c r="D1820" s="1929" t="s">
        <v>1520</v>
      </c>
      <c r="E1820" s="1930"/>
      <c r="F1820" s="1930"/>
      <c r="G1820" s="1930"/>
      <c r="H1820" s="1930"/>
      <c r="I1820" s="1931"/>
      <c r="J1820" s="1932">
        <f>VLOOKUP(A1822,'11 - FINANCEIRA'!_xlnm.Print_Area,6,FALSE)</f>
        <v>30</v>
      </c>
      <c r="K1820" s="1933"/>
      <c r="L1820" s="1343" t="str">
        <f>VLOOKUP(A1822,'11 - FINANCEIRA'!_xlnm.Print_Area,4,FALSE)</f>
        <v>m</v>
      </c>
      <c r="M1820" s="1934" t="s">
        <v>1521</v>
      </c>
      <c r="N1820" s="1935"/>
      <c r="O1820" s="1935"/>
      <c r="P1820" s="1935"/>
      <c r="Q1820" s="1936"/>
      <c r="R1820" s="726">
        <f>SUM(R1816:R1819)</f>
        <v>30</v>
      </c>
      <c r="S1820" s="1344" t="str">
        <f>L1820</f>
        <v>m</v>
      </c>
      <c r="T1820" s="373"/>
      <c r="U1820" s="486"/>
      <c r="V1820" s="1418">
        <f t="shared" si="186"/>
        <v>0</v>
      </c>
      <c r="AB1820" s="15"/>
    </row>
    <row r="1821" spans="1:36" s="77" customFormat="1" ht="15.6" hidden="1">
      <c r="A1821" s="370"/>
      <c r="B1821" s="499"/>
      <c r="C1821" s="725"/>
      <c r="D1821" s="1937" t="s">
        <v>1522</v>
      </c>
      <c r="E1821" s="1938"/>
      <c r="F1821" s="1938"/>
      <c r="G1821" s="1938"/>
      <c r="H1821" s="1938"/>
      <c r="I1821" s="1939"/>
      <c r="J1821" s="1943">
        <f>R1820/J1820</f>
        <v>1</v>
      </c>
      <c r="K1821" s="1944"/>
      <c r="L1821" s="1947"/>
      <c r="M1821" s="1934" t="s">
        <v>1523</v>
      </c>
      <c r="N1821" s="1935"/>
      <c r="O1821" s="1935"/>
      <c r="P1821" s="1935"/>
      <c r="Q1821" s="1936"/>
      <c r="R1821" s="726">
        <f>VLOOKUP(A1822,'11 - FINANCEIRA'!_xlnm.Print_Area,8,FALSE)</f>
        <v>30</v>
      </c>
      <c r="S1821" s="727" t="str">
        <f>L1820</f>
        <v>m</v>
      </c>
      <c r="T1821" s="373"/>
      <c r="U1821" s="486"/>
      <c r="V1821" s="1418">
        <f t="shared" si="186"/>
        <v>0</v>
      </c>
      <c r="AB1821" s="15"/>
    </row>
    <row r="1822" spans="1:36" s="77" customFormat="1" ht="15.6" hidden="1">
      <c r="A1822" s="364" t="s">
        <v>482</v>
      </c>
      <c r="B1822" s="499"/>
      <c r="C1822" s="37"/>
      <c r="D1822" s="2013"/>
      <c r="E1822" s="2014"/>
      <c r="F1822" s="2014"/>
      <c r="G1822" s="2014"/>
      <c r="H1822" s="2014"/>
      <c r="I1822" s="2015"/>
      <c r="J1822" s="2016"/>
      <c r="K1822" s="2017"/>
      <c r="L1822" s="1962"/>
      <c r="M1822" s="2007" t="s">
        <v>1524</v>
      </c>
      <c r="N1822" s="2008"/>
      <c r="O1822" s="2008"/>
      <c r="P1822" s="2008"/>
      <c r="Q1822" s="2009"/>
      <c r="R1822" s="1345">
        <f>R1820-R1821</f>
        <v>0</v>
      </c>
      <c r="S1822" s="1346" t="str">
        <f>L1820</f>
        <v>m</v>
      </c>
      <c r="T1822" s="373"/>
      <c r="U1822" s="486"/>
      <c r="V1822" s="1418">
        <f>R1822</f>
        <v>0</v>
      </c>
      <c r="AB1822" s="15"/>
    </row>
    <row r="1823" spans="1:36" s="77" customFormat="1" ht="15.6" hidden="1">
      <c r="A1823" s="370"/>
      <c r="B1823" s="1347"/>
      <c r="C1823" s="1348"/>
      <c r="D1823" s="1349"/>
      <c r="E1823" s="1350"/>
      <c r="F1823" s="1349"/>
      <c r="G1823" s="1349"/>
      <c r="H1823" s="1349"/>
      <c r="I1823" s="1349"/>
      <c r="J1823" s="1351"/>
      <c r="K1823" s="1352"/>
      <c r="L1823" s="1353"/>
      <c r="M1823" s="1354"/>
      <c r="N1823" s="1354"/>
      <c r="O1823" s="1354"/>
      <c r="P1823" s="1354"/>
      <c r="Q1823" s="1354"/>
      <c r="R1823" s="1355"/>
      <c r="S1823" s="1356"/>
      <c r="T1823" s="1357"/>
      <c r="U1823" s="1358"/>
      <c r="V1823" s="1420">
        <f>SUM(V1814:V1822)</f>
        <v>0</v>
      </c>
      <c r="AB1823" s="15"/>
    </row>
    <row r="1824" spans="1:36" s="352" customFormat="1" ht="15.6" hidden="1">
      <c r="A1824" s="351"/>
      <c r="B1824" s="1963" t="str">
        <f>VLOOKUP(A1832,'11 - FINANCEIRA'!_xlnm.Print_Area,1,FALSE)</f>
        <v>2.3.10.3</v>
      </c>
      <c r="C1824" s="1965" t="str">
        <f>VLOOKUP(A1832,'11 - FINANCEIRA'!_xlnm.Print_Area,3,FALSE)</f>
        <v>Hidrômetro dn 25 1''</v>
      </c>
      <c r="D1824" s="1967" t="s">
        <v>1503</v>
      </c>
      <c r="E1824" s="1968"/>
      <c r="F1824" s="1968"/>
      <c r="G1824" s="1968"/>
      <c r="H1824" s="1968"/>
      <c r="I1824" s="1969"/>
      <c r="J1824" s="1914" t="s">
        <v>1504</v>
      </c>
      <c r="K1824" s="1914" t="s">
        <v>1505</v>
      </c>
      <c r="L1824" s="1914" t="s">
        <v>1506</v>
      </c>
      <c r="M1824" s="1914" t="s">
        <v>1507</v>
      </c>
      <c r="N1824" s="1914" t="s">
        <v>1508</v>
      </c>
      <c r="O1824" s="1914" t="s">
        <v>1509</v>
      </c>
      <c r="P1824" s="1341" t="s">
        <v>1510</v>
      </c>
      <c r="Q1824" s="1914" t="s">
        <v>1493</v>
      </c>
      <c r="R1824" s="1916" t="s">
        <v>804</v>
      </c>
      <c r="S1824" s="1914" t="s">
        <v>1511</v>
      </c>
      <c r="T1824" s="1914" t="s">
        <v>1512</v>
      </c>
      <c r="U1824" s="1918" t="s">
        <v>1513</v>
      </c>
      <c r="V1824" s="1418">
        <f t="shared" ref="V1824:V1831" si="187">V1825</f>
        <v>0</v>
      </c>
      <c r="W1824" s="16"/>
      <c r="X1824" s="16"/>
      <c r="Y1824" s="16"/>
      <c r="Z1824" s="17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</row>
    <row r="1825" spans="1:36" s="352" customFormat="1" ht="15.6" hidden="1">
      <c r="A1825" s="351"/>
      <c r="B1825" s="1964" t="e">
        <f>LEFT(#REF!,5)</f>
        <v>#REF!</v>
      </c>
      <c r="C1825" s="1966" t="e">
        <f>VLOOKUP(LEFT(#REF!,5),'11 - FINANCEIRA'!_xlnm.Print_Area,2,FALSE)</f>
        <v>#REF!</v>
      </c>
      <c r="D1825" s="1920" t="s">
        <v>1514</v>
      </c>
      <c r="E1825" s="1921"/>
      <c r="F1825" s="1922"/>
      <c r="G1825" s="1923" t="s">
        <v>1515</v>
      </c>
      <c r="H1825" s="1924"/>
      <c r="I1825" s="1925"/>
      <c r="J1825" s="1915"/>
      <c r="K1825" s="1915"/>
      <c r="L1825" s="1915"/>
      <c r="M1825" s="1915"/>
      <c r="N1825" s="1915"/>
      <c r="O1825" s="1915"/>
      <c r="P1825" s="353" t="s">
        <v>1516</v>
      </c>
      <c r="Q1825" s="1915"/>
      <c r="R1825" s="1917"/>
      <c r="S1825" s="1915"/>
      <c r="T1825" s="1915"/>
      <c r="U1825" s="1919"/>
      <c r="V1825" s="1418">
        <f t="shared" si="187"/>
        <v>0</v>
      </c>
      <c r="W1825" s="16"/>
      <c r="X1825" s="16"/>
      <c r="Y1825" s="16"/>
      <c r="Z1825" s="17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</row>
    <row r="1826" spans="1:36" s="361" customFormat="1" ht="15" hidden="1" customHeight="1">
      <c r="A1826" s="354"/>
      <c r="B1826" s="355"/>
      <c r="C1826" s="32" t="s">
        <v>992</v>
      </c>
      <c r="D1826" s="33"/>
      <c r="E1826" s="34"/>
      <c r="F1826" s="35"/>
      <c r="G1826" s="33"/>
      <c r="H1826" s="34"/>
      <c r="I1826" s="35"/>
      <c r="J1826" s="43"/>
      <c r="K1826" s="42"/>
      <c r="L1826" s="39"/>
      <c r="M1826" s="41"/>
      <c r="N1826" s="356"/>
      <c r="O1826" s="40"/>
      <c r="P1826" s="39"/>
      <c r="Q1826" s="45"/>
      <c r="R1826" s="1359">
        <v>1</v>
      </c>
      <c r="S1826" s="1265" t="s">
        <v>816</v>
      </c>
      <c r="T1826" s="46" t="s">
        <v>329</v>
      </c>
      <c r="U1826" s="44"/>
      <c r="V1826" s="1418">
        <f t="shared" si="187"/>
        <v>0</v>
      </c>
      <c r="W1826" s="357"/>
      <c r="X1826" s="357"/>
      <c r="Y1826" s="357"/>
      <c r="Z1826" s="358"/>
      <c r="AA1826" s="359"/>
      <c r="AB1826" s="360"/>
    </row>
    <row r="1827" spans="1:36" s="361" customFormat="1" ht="15" hidden="1" customHeight="1">
      <c r="A1827" s="354"/>
      <c r="B1827" s="355"/>
      <c r="C1827" s="32"/>
      <c r="D1827" s="33"/>
      <c r="E1827" s="34"/>
      <c r="F1827" s="35"/>
      <c r="G1827" s="33"/>
      <c r="H1827" s="34"/>
      <c r="I1827" s="35"/>
      <c r="J1827" s="43"/>
      <c r="K1827" s="42"/>
      <c r="L1827" s="39"/>
      <c r="M1827" s="41"/>
      <c r="N1827" s="356"/>
      <c r="O1827" s="40"/>
      <c r="P1827" s="39"/>
      <c r="Q1827" s="45"/>
      <c r="R1827" s="362"/>
      <c r="S1827" s="363"/>
      <c r="T1827" s="46"/>
      <c r="U1827" s="44"/>
      <c r="V1827" s="1418">
        <f t="shared" si="187"/>
        <v>0</v>
      </c>
      <c r="W1827" s="357"/>
      <c r="X1827" s="357"/>
      <c r="Y1827" s="357"/>
      <c r="Z1827" s="358"/>
      <c r="AA1827" s="359"/>
      <c r="AB1827" s="360"/>
    </row>
    <row r="1828" spans="1:36" s="369" customFormat="1" ht="15" hidden="1">
      <c r="A1828" s="364"/>
      <c r="B1828" s="355"/>
      <c r="C1828" s="32"/>
      <c r="D1828" s="33"/>
      <c r="E1828" s="34"/>
      <c r="F1828" s="35"/>
      <c r="G1828" s="33"/>
      <c r="H1828" s="34"/>
      <c r="I1828" s="35"/>
      <c r="J1828" s="43"/>
      <c r="K1828" s="42"/>
      <c r="L1828" s="39"/>
      <c r="M1828" s="41"/>
      <c r="N1828" s="40"/>
      <c r="O1828" s="40"/>
      <c r="P1828" s="39"/>
      <c r="Q1828" s="38"/>
      <c r="R1828" s="365"/>
      <c r="S1828" s="366"/>
      <c r="T1828" s="46"/>
      <c r="U1828" s="44"/>
      <c r="V1828" s="1418">
        <f t="shared" si="187"/>
        <v>0</v>
      </c>
      <c r="W1828" s="367"/>
      <c r="X1828" s="367"/>
      <c r="Y1828" s="367"/>
      <c r="Z1828" s="368"/>
    </row>
    <row r="1829" spans="1:36" s="77" customFormat="1" ht="15" hidden="1">
      <c r="A1829" s="370"/>
      <c r="B1829" s="29"/>
      <c r="C1829" s="30"/>
      <c r="D1829" s="18"/>
      <c r="E1829" s="19"/>
      <c r="F1829" s="20"/>
      <c r="G1829" s="18"/>
      <c r="H1829" s="19"/>
      <c r="I1829" s="20"/>
      <c r="J1829" s="21"/>
      <c r="K1829" s="22"/>
      <c r="L1829" s="23"/>
      <c r="M1829" s="24"/>
      <c r="N1829" s="25"/>
      <c r="O1829" s="25"/>
      <c r="P1829" s="23"/>
      <c r="Q1829" s="26"/>
      <c r="R1829" s="371"/>
      <c r="S1829" s="27"/>
      <c r="T1829" s="372"/>
      <c r="U1829" s="31"/>
      <c r="V1829" s="1418">
        <f t="shared" si="187"/>
        <v>0</v>
      </c>
      <c r="AB1829" s="15"/>
    </row>
    <row r="1830" spans="1:36" s="77" customFormat="1" ht="15.6" hidden="1">
      <c r="A1830" s="370"/>
      <c r="B1830" s="499"/>
      <c r="C1830" s="37"/>
      <c r="D1830" s="1929" t="s">
        <v>1520</v>
      </c>
      <c r="E1830" s="1930"/>
      <c r="F1830" s="1930"/>
      <c r="G1830" s="1930"/>
      <c r="H1830" s="1930"/>
      <c r="I1830" s="1931"/>
      <c r="J1830" s="1932">
        <f>VLOOKUP(A1832,'11 - FINANCEIRA'!_xlnm.Print_Area,6,FALSE)</f>
        <v>1</v>
      </c>
      <c r="K1830" s="1933"/>
      <c r="L1830" s="1343" t="str">
        <f>VLOOKUP(A1832,'11 - FINANCEIRA'!_xlnm.Print_Area,4,FALSE)</f>
        <v>und</v>
      </c>
      <c r="M1830" s="1934" t="s">
        <v>1521</v>
      </c>
      <c r="N1830" s="1935"/>
      <c r="O1830" s="1935"/>
      <c r="P1830" s="1935"/>
      <c r="Q1830" s="1936"/>
      <c r="R1830" s="726">
        <f>SUM(R1826:R1829)</f>
        <v>1</v>
      </c>
      <c r="S1830" s="1344" t="str">
        <f>L1830</f>
        <v>und</v>
      </c>
      <c r="T1830" s="373"/>
      <c r="U1830" s="486"/>
      <c r="V1830" s="1418">
        <f t="shared" si="187"/>
        <v>0</v>
      </c>
      <c r="AB1830" s="15"/>
    </row>
    <row r="1831" spans="1:36" s="77" customFormat="1" ht="15.6" hidden="1">
      <c r="A1831" s="370"/>
      <c r="B1831" s="499"/>
      <c r="C1831" s="725"/>
      <c r="D1831" s="1937" t="s">
        <v>1522</v>
      </c>
      <c r="E1831" s="1938"/>
      <c r="F1831" s="1938"/>
      <c r="G1831" s="1938"/>
      <c r="H1831" s="1938"/>
      <c r="I1831" s="1939"/>
      <c r="J1831" s="1943">
        <f>R1830/J1830</f>
        <v>1</v>
      </c>
      <c r="K1831" s="1944"/>
      <c r="L1831" s="1947"/>
      <c r="M1831" s="1934" t="s">
        <v>1523</v>
      </c>
      <c r="N1831" s="1935"/>
      <c r="O1831" s="1935"/>
      <c r="P1831" s="1935"/>
      <c r="Q1831" s="1936"/>
      <c r="R1831" s="726">
        <f>VLOOKUP(A1832,'11 - FINANCEIRA'!_xlnm.Print_Area,8,FALSE)</f>
        <v>1</v>
      </c>
      <c r="S1831" s="727" t="str">
        <f>L1830</f>
        <v>und</v>
      </c>
      <c r="T1831" s="373"/>
      <c r="U1831" s="486"/>
      <c r="V1831" s="1418">
        <f t="shared" si="187"/>
        <v>0</v>
      </c>
      <c r="AB1831" s="15"/>
    </row>
    <row r="1832" spans="1:36" s="77" customFormat="1" ht="15.6" hidden="1">
      <c r="A1832" s="364" t="s">
        <v>483</v>
      </c>
      <c r="B1832" s="499"/>
      <c r="C1832" s="37"/>
      <c r="D1832" s="2013"/>
      <c r="E1832" s="2014"/>
      <c r="F1832" s="2014"/>
      <c r="G1832" s="2014"/>
      <c r="H1832" s="2014"/>
      <c r="I1832" s="2015"/>
      <c r="J1832" s="2016"/>
      <c r="K1832" s="2017"/>
      <c r="L1832" s="1962"/>
      <c r="M1832" s="2007" t="s">
        <v>1524</v>
      </c>
      <c r="N1832" s="2008"/>
      <c r="O1832" s="2008"/>
      <c r="P1832" s="2008"/>
      <c r="Q1832" s="2009"/>
      <c r="R1832" s="1345">
        <f>R1830-R1831</f>
        <v>0</v>
      </c>
      <c r="S1832" s="1346" t="str">
        <f>L1830</f>
        <v>und</v>
      </c>
      <c r="T1832" s="373"/>
      <c r="U1832" s="486"/>
      <c r="V1832" s="1418">
        <f>R1832</f>
        <v>0</v>
      </c>
      <c r="AB1832" s="15"/>
    </row>
    <row r="1833" spans="1:36" s="77" customFormat="1" ht="15.6" hidden="1">
      <c r="A1833" s="370"/>
      <c r="B1833" s="1347"/>
      <c r="C1833" s="1348"/>
      <c r="D1833" s="1349"/>
      <c r="E1833" s="1350"/>
      <c r="F1833" s="1349"/>
      <c r="G1833" s="1349"/>
      <c r="H1833" s="1349"/>
      <c r="I1833" s="1349"/>
      <c r="J1833" s="1351"/>
      <c r="K1833" s="1352"/>
      <c r="L1833" s="1353"/>
      <c r="M1833" s="1354"/>
      <c r="N1833" s="1354"/>
      <c r="O1833" s="1354"/>
      <c r="P1833" s="1354"/>
      <c r="Q1833" s="1354"/>
      <c r="R1833" s="1355"/>
      <c r="S1833" s="1356"/>
      <c r="T1833" s="1357"/>
      <c r="U1833" s="1358"/>
      <c r="V1833" s="1420">
        <f>SUM(V1824:V1832)</f>
        <v>0</v>
      </c>
      <c r="AB1833" s="15"/>
    </row>
    <row r="1834" spans="1:36" s="352" customFormat="1" ht="15.6" hidden="1">
      <c r="A1834" s="351"/>
      <c r="B1834" s="1963" t="str">
        <f>VLOOKUP(A1842,'11 - FINANCEIRA'!_xlnm.Print_Area,1,FALSE)</f>
        <v>2.3.10.4</v>
      </c>
      <c r="C1834" s="1965" t="str">
        <f>VLOOKUP(A1842,'11 - FINANCEIRA'!_xlnm.Print_Area,3,FALSE)</f>
        <v>Ducha higienica plastica com registro metalico 1/2 "</v>
      </c>
      <c r="D1834" s="1967" t="s">
        <v>1503</v>
      </c>
      <c r="E1834" s="1968"/>
      <c r="F1834" s="1968"/>
      <c r="G1834" s="1968"/>
      <c r="H1834" s="1968"/>
      <c r="I1834" s="1969"/>
      <c r="J1834" s="1914" t="s">
        <v>1504</v>
      </c>
      <c r="K1834" s="1914" t="s">
        <v>1505</v>
      </c>
      <c r="L1834" s="1914" t="s">
        <v>1506</v>
      </c>
      <c r="M1834" s="1914" t="s">
        <v>1507</v>
      </c>
      <c r="N1834" s="1914" t="s">
        <v>1508</v>
      </c>
      <c r="O1834" s="1914" t="s">
        <v>1509</v>
      </c>
      <c r="P1834" s="1341" t="s">
        <v>1510</v>
      </c>
      <c r="Q1834" s="1914" t="s">
        <v>1493</v>
      </c>
      <c r="R1834" s="1916" t="s">
        <v>804</v>
      </c>
      <c r="S1834" s="1914" t="s">
        <v>1511</v>
      </c>
      <c r="T1834" s="1914" t="s">
        <v>1512</v>
      </c>
      <c r="U1834" s="1918" t="s">
        <v>1513</v>
      </c>
      <c r="V1834" s="1418">
        <f t="shared" ref="V1834:V1841" si="188">V1835</f>
        <v>0</v>
      </c>
      <c r="W1834" s="16"/>
      <c r="X1834" s="16"/>
      <c r="Y1834" s="16"/>
      <c r="Z1834" s="17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</row>
    <row r="1835" spans="1:36" s="352" customFormat="1" ht="15.6" hidden="1">
      <c r="A1835" s="351"/>
      <c r="B1835" s="1964" t="e">
        <f>LEFT(#REF!,5)</f>
        <v>#REF!</v>
      </c>
      <c r="C1835" s="1966" t="e">
        <f>VLOOKUP(LEFT(#REF!,5),'11 - FINANCEIRA'!_xlnm.Print_Area,2,FALSE)</f>
        <v>#REF!</v>
      </c>
      <c r="D1835" s="1920" t="s">
        <v>1514</v>
      </c>
      <c r="E1835" s="1921"/>
      <c r="F1835" s="1922"/>
      <c r="G1835" s="1923" t="s">
        <v>1515</v>
      </c>
      <c r="H1835" s="1924"/>
      <c r="I1835" s="1925"/>
      <c r="J1835" s="1915"/>
      <c r="K1835" s="1915"/>
      <c r="L1835" s="1915"/>
      <c r="M1835" s="1915"/>
      <c r="N1835" s="1915"/>
      <c r="O1835" s="1915"/>
      <c r="P1835" s="353" t="s">
        <v>1516</v>
      </c>
      <c r="Q1835" s="1915"/>
      <c r="R1835" s="1917"/>
      <c r="S1835" s="1915"/>
      <c r="T1835" s="1915"/>
      <c r="U1835" s="1919"/>
      <c r="V1835" s="1418">
        <f t="shared" si="188"/>
        <v>0</v>
      </c>
      <c r="W1835" s="16"/>
      <c r="X1835" s="16"/>
      <c r="Y1835" s="16"/>
      <c r="Z1835" s="17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</row>
    <row r="1836" spans="1:36" s="361" customFormat="1" ht="15" hidden="1" customHeight="1">
      <c r="A1836" s="354"/>
      <c r="B1836" s="355"/>
      <c r="C1836" s="32" t="s">
        <v>994</v>
      </c>
      <c r="D1836" s="33"/>
      <c r="E1836" s="34"/>
      <c r="F1836" s="35"/>
      <c r="G1836" s="33"/>
      <c r="H1836" s="34"/>
      <c r="I1836" s="35"/>
      <c r="J1836" s="43"/>
      <c r="K1836" s="42"/>
      <c r="L1836" s="39"/>
      <c r="M1836" s="41"/>
      <c r="N1836" s="356"/>
      <c r="O1836" s="40"/>
      <c r="P1836" s="39"/>
      <c r="Q1836" s="45"/>
      <c r="R1836" s="1359">
        <v>1</v>
      </c>
      <c r="S1836" s="1265" t="s">
        <v>816</v>
      </c>
      <c r="T1836" s="46" t="s">
        <v>329</v>
      </c>
      <c r="U1836" s="44"/>
      <c r="V1836" s="1418">
        <f t="shared" si="188"/>
        <v>0</v>
      </c>
      <c r="W1836" s="357"/>
      <c r="X1836" s="357"/>
      <c r="Y1836" s="357"/>
      <c r="Z1836" s="358"/>
      <c r="AA1836" s="359"/>
      <c r="AB1836" s="360"/>
    </row>
    <row r="1837" spans="1:36" s="361" customFormat="1" ht="15" hidden="1" customHeight="1">
      <c r="A1837" s="354"/>
      <c r="B1837" s="355"/>
      <c r="C1837" s="32"/>
      <c r="D1837" s="33"/>
      <c r="E1837" s="34"/>
      <c r="F1837" s="35"/>
      <c r="G1837" s="33"/>
      <c r="H1837" s="34"/>
      <c r="I1837" s="35"/>
      <c r="J1837" s="43"/>
      <c r="K1837" s="42"/>
      <c r="L1837" s="39"/>
      <c r="M1837" s="41"/>
      <c r="N1837" s="356"/>
      <c r="O1837" s="40"/>
      <c r="P1837" s="39"/>
      <c r="Q1837" s="45"/>
      <c r="R1837" s="362"/>
      <c r="S1837" s="363"/>
      <c r="T1837" s="46"/>
      <c r="U1837" s="44"/>
      <c r="V1837" s="1418">
        <f t="shared" si="188"/>
        <v>0</v>
      </c>
      <c r="W1837" s="357"/>
      <c r="X1837" s="357"/>
      <c r="Y1837" s="357"/>
      <c r="Z1837" s="358"/>
      <c r="AA1837" s="359"/>
      <c r="AB1837" s="360"/>
    </row>
    <row r="1838" spans="1:36" s="369" customFormat="1" ht="15" hidden="1">
      <c r="A1838" s="364"/>
      <c r="B1838" s="355"/>
      <c r="C1838" s="32"/>
      <c r="D1838" s="33"/>
      <c r="E1838" s="34"/>
      <c r="F1838" s="35"/>
      <c r="G1838" s="33"/>
      <c r="H1838" s="34"/>
      <c r="I1838" s="35"/>
      <c r="J1838" s="43"/>
      <c r="K1838" s="42"/>
      <c r="L1838" s="39"/>
      <c r="M1838" s="41"/>
      <c r="N1838" s="40"/>
      <c r="O1838" s="40"/>
      <c r="P1838" s="39"/>
      <c r="Q1838" s="38"/>
      <c r="R1838" s="365"/>
      <c r="S1838" s="366"/>
      <c r="T1838" s="46"/>
      <c r="U1838" s="44"/>
      <c r="V1838" s="1418">
        <f t="shared" si="188"/>
        <v>0</v>
      </c>
      <c r="W1838" s="367"/>
      <c r="X1838" s="367"/>
      <c r="Y1838" s="367"/>
      <c r="Z1838" s="368"/>
    </row>
    <row r="1839" spans="1:36" s="77" customFormat="1" ht="15" hidden="1">
      <c r="A1839" s="370"/>
      <c r="B1839" s="29"/>
      <c r="C1839" s="30"/>
      <c r="D1839" s="18"/>
      <c r="E1839" s="19"/>
      <c r="F1839" s="20"/>
      <c r="G1839" s="18"/>
      <c r="H1839" s="19"/>
      <c r="I1839" s="20"/>
      <c r="J1839" s="21"/>
      <c r="K1839" s="22"/>
      <c r="L1839" s="23"/>
      <c r="M1839" s="24"/>
      <c r="N1839" s="25"/>
      <c r="O1839" s="25"/>
      <c r="P1839" s="23"/>
      <c r="Q1839" s="26"/>
      <c r="R1839" s="371"/>
      <c r="S1839" s="27"/>
      <c r="T1839" s="372"/>
      <c r="U1839" s="31"/>
      <c r="V1839" s="1418">
        <f t="shared" si="188"/>
        <v>0</v>
      </c>
      <c r="AB1839" s="15"/>
    </row>
    <row r="1840" spans="1:36" s="77" customFormat="1" ht="15.6" hidden="1">
      <c r="A1840" s="370"/>
      <c r="B1840" s="499"/>
      <c r="C1840" s="37"/>
      <c r="D1840" s="1929" t="s">
        <v>1520</v>
      </c>
      <c r="E1840" s="1930"/>
      <c r="F1840" s="1930"/>
      <c r="G1840" s="1930"/>
      <c r="H1840" s="1930"/>
      <c r="I1840" s="1931"/>
      <c r="J1840" s="1932">
        <f>VLOOKUP(A1842,'11 - FINANCEIRA'!_xlnm.Print_Area,6,FALSE)</f>
        <v>1</v>
      </c>
      <c r="K1840" s="1933"/>
      <c r="L1840" s="1343" t="str">
        <f>VLOOKUP(A1842,'11 - FINANCEIRA'!_xlnm.Print_Area,4,FALSE)</f>
        <v>und</v>
      </c>
      <c r="M1840" s="1934" t="s">
        <v>1521</v>
      </c>
      <c r="N1840" s="1935"/>
      <c r="O1840" s="1935"/>
      <c r="P1840" s="1935"/>
      <c r="Q1840" s="1936"/>
      <c r="R1840" s="726">
        <f>SUM(R1836:R1839)</f>
        <v>1</v>
      </c>
      <c r="S1840" s="1344" t="str">
        <f>L1840</f>
        <v>und</v>
      </c>
      <c r="T1840" s="373"/>
      <c r="U1840" s="486"/>
      <c r="V1840" s="1418">
        <f t="shared" si="188"/>
        <v>0</v>
      </c>
      <c r="AB1840" s="15"/>
    </row>
    <row r="1841" spans="1:36" s="77" customFormat="1" ht="15.6" hidden="1">
      <c r="A1841" s="370"/>
      <c r="B1841" s="499"/>
      <c r="C1841" s="725"/>
      <c r="D1841" s="1937" t="s">
        <v>1522</v>
      </c>
      <c r="E1841" s="1938"/>
      <c r="F1841" s="1938"/>
      <c r="G1841" s="1938"/>
      <c r="H1841" s="1938"/>
      <c r="I1841" s="1939"/>
      <c r="J1841" s="1943">
        <f>R1840/J1840</f>
        <v>1</v>
      </c>
      <c r="K1841" s="1944"/>
      <c r="L1841" s="1947"/>
      <c r="M1841" s="1934" t="s">
        <v>1523</v>
      </c>
      <c r="N1841" s="1935"/>
      <c r="O1841" s="1935"/>
      <c r="P1841" s="1935"/>
      <c r="Q1841" s="1936"/>
      <c r="R1841" s="726">
        <f>VLOOKUP(A1842,'11 - FINANCEIRA'!_xlnm.Print_Area,8,FALSE)</f>
        <v>1</v>
      </c>
      <c r="S1841" s="727" t="str">
        <f>L1840</f>
        <v>und</v>
      </c>
      <c r="T1841" s="373"/>
      <c r="U1841" s="486"/>
      <c r="V1841" s="1418">
        <f t="shared" si="188"/>
        <v>0</v>
      </c>
      <c r="AB1841" s="15"/>
    </row>
    <row r="1842" spans="1:36" s="77" customFormat="1" ht="15.6" hidden="1">
      <c r="A1842" s="364" t="s">
        <v>484</v>
      </c>
      <c r="B1842" s="499"/>
      <c r="C1842" s="37"/>
      <c r="D1842" s="2013"/>
      <c r="E1842" s="2014"/>
      <c r="F1842" s="2014"/>
      <c r="G1842" s="2014"/>
      <c r="H1842" s="2014"/>
      <c r="I1842" s="2015"/>
      <c r="J1842" s="2016"/>
      <c r="K1842" s="2017"/>
      <c r="L1842" s="1962"/>
      <c r="M1842" s="2007" t="s">
        <v>1524</v>
      </c>
      <c r="N1842" s="2008"/>
      <c r="O1842" s="2008"/>
      <c r="P1842" s="2008"/>
      <c r="Q1842" s="2009"/>
      <c r="R1842" s="1345">
        <f>R1840-R1841</f>
        <v>0</v>
      </c>
      <c r="S1842" s="1346" t="str">
        <f>L1840</f>
        <v>und</v>
      </c>
      <c r="T1842" s="373"/>
      <c r="U1842" s="486"/>
      <c r="V1842" s="1418">
        <f>R1842</f>
        <v>0</v>
      </c>
      <c r="AB1842" s="15"/>
    </row>
    <row r="1843" spans="1:36" s="77" customFormat="1" ht="15.6" hidden="1">
      <c r="A1843" s="370"/>
      <c r="B1843" s="1347"/>
      <c r="C1843" s="1348"/>
      <c r="D1843" s="1349"/>
      <c r="E1843" s="1350"/>
      <c r="F1843" s="1349"/>
      <c r="G1843" s="1349"/>
      <c r="H1843" s="1349"/>
      <c r="I1843" s="1349"/>
      <c r="J1843" s="1351"/>
      <c r="K1843" s="1352"/>
      <c r="L1843" s="1353"/>
      <c r="M1843" s="1354"/>
      <c r="N1843" s="1354"/>
      <c r="O1843" s="1354"/>
      <c r="P1843" s="1354"/>
      <c r="Q1843" s="1354"/>
      <c r="R1843" s="1355"/>
      <c r="S1843" s="1356"/>
      <c r="T1843" s="1357"/>
      <c r="U1843" s="1358"/>
      <c r="V1843" s="1420">
        <f>SUM(V1834:V1842)</f>
        <v>0</v>
      </c>
      <c r="AB1843" s="15"/>
    </row>
    <row r="1844" spans="1:36" s="352" customFormat="1" ht="15.6" hidden="1">
      <c r="A1844" s="351"/>
      <c r="B1844" s="1963" t="str">
        <f>VLOOKUP(A1852,'11 - FINANCEIRA'!_xlnm.Print_Area,1,FALSE)</f>
        <v>2.3.10.5</v>
      </c>
      <c r="C1844" s="1965" t="str">
        <f>VLOOKUP(A1852,'11 - FINANCEIRA'!_xlnm.Print_Area,3,FALSE)</f>
        <v>Adaptador curto com bolsa e rosca para registro, pvc, soldável, dn 25mm x 3/4?, instalado em prumada de água - fornecimento e instalação. af_12/2014</v>
      </c>
      <c r="D1844" s="1967" t="s">
        <v>1503</v>
      </c>
      <c r="E1844" s="1968"/>
      <c r="F1844" s="1968"/>
      <c r="G1844" s="1968"/>
      <c r="H1844" s="1968"/>
      <c r="I1844" s="1969"/>
      <c r="J1844" s="1914" t="s">
        <v>1504</v>
      </c>
      <c r="K1844" s="1914" t="s">
        <v>1505</v>
      </c>
      <c r="L1844" s="1914" t="s">
        <v>1506</v>
      </c>
      <c r="M1844" s="1914" t="s">
        <v>1507</v>
      </c>
      <c r="N1844" s="1914" t="s">
        <v>1508</v>
      </c>
      <c r="O1844" s="1914" t="s">
        <v>1509</v>
      </c>
      <c r="P1844" s="1341" t="s">
        <v>1510</v>
      </c>
      <c r="Q1844" s="1914" t="s">
        <v>1493</v>
      </c>
      <c r="R1844" s="1916" t="s">
        <v>804</v>
      </c>
      <c r="S1844" s="1914" t="s">
        <v>1511</v>
      </c>
      <c r="T1844" s="1914" t="s">
        <v>1512</v>
      </c>
      <c r="U1844" s="1918" t="s">
        <v>1513</v>
      </c>
      <c r="V1844" s="1418">
        <f t="shared" ref="V1844:V1851" si="189">V1845</f>
        <v>0</v>
      </c>
      <c r="W1844" s="16"/>
      <c r="X1844" s="16"/>
      <c r="Y1844" s="16"/>
      <c r="Z1844" s="17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</row>
    <row r="1845" spans="1:36" s="352" customFormat="1" ht="15.6" hidden="1">
      <c r="A1845" s="351"/>
      <c r="B1845" s="1964" t="e">
        <f>LEFT(#REF!,5)</f>
        <v>#REF!</v>
      </c>
      <c r="C1845" s="1966" t="e">
        <f>VLOOKUP(LEFT(#REF!,5),'11 - FINANCEIRA'!_xlnm.Print_Area,2,FALSE)</f>
        <v>#REF!</v>
      </c>
      <c r="D1845" s="1920" t="s">
        <v>1514</v>
      </c>
      <c r="E1845" s="1921"/>
      <c r="F1845" s="1922"/>
      <c r="G1845" s="1923" t="s">
        <v>1515</v>
      </c>
      <c r="H1845" s="1924"/>
      <c r="I1845" s="1925"/>
      <c r="J1845" s="1915"/>
      <c r="K1845" s="1915"/>
      <c r="L1845" s="1915"/>
      <c r="M1845" s="1915"/>
      <c r="N1845" s="1915"/>
      <c r="O1845" s="1915"/>
      <c r="P1845" s="353" t="s">
        <v>1516</v>
      </c>
      <c r="Q1845" s="1915"/>
      <c r="R1845" s="1917"/>
      <c r="S1845" s="1915"/>
      <c r="T1845" s="1915"/>
      <c r="U1845" s="1919"/>
      <c r="V1845" s="1418">
        <f t="shared" si="189"/>
        <v>0</v>
      </c>
      <c r="W1845" s="16"/>
      <c r="X1845" s="16"/>
      <c r="Y1845" s="16"/>
      <c r="Z1845" s="17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</row>
    <row r="1846" spans="1:36" s="361" customFormat="1" ht="30" hidden="1">
      <c r="A1846" s="354"/>
      <c r="B1846" s="355"/>
      <c r="C1846" s="32" t="s">
        <v>996</v>
      </c>
      <c r="D1846" s="33"/>
      <c r="E1846" s="34"/>
      <c r="F1846" s="35"/>
      <c r="G1846" s="33"/>
      <c r="H1846" s="34"/>
      <c r="I1846" s="35"/>
      <c r="J1846" s="43"/>
      <c r="K1846" s="42"/>
      <c r="L1846" s="39"/>
      <c r="M1846" s="41"/>
      <c r="N1846" s="356"/>
      <c r="O1846" s="40"/>
      <c r="P1846" s="39"/>
      <c r="Q1846" s="45"/>
      <c r="R1846" s="1359">
        <v>2</v>
      </c>
      <c r="S1846" s="1265" t="s">
        <v>816</v>
      </c>
      <c r="T1846" s="46" t="s">
        <v>329</v>
      </c>
      <c r="U1846" s="44"/>
      <c r="V1846" s="1418">
        <f t="shared" si="189"/>
        <v>0</v>
      </c>
      <c r="W1846" s="357"/>
      <c r="X1846" s="357"/>
      <c r="Y1846" s="357"/>
      <c r="Z1846" s="358"/>
      <c r="AA1846" s="359"/>
      <c r="AB1846" s="360"/>
    </row>
    <row r="1847" spans="1:36" s="361" customFormat="1" ht="15" hidden="1" customHeight="1">
      <c r="A1847" s="354"/>
      <c r="B1847" s="355"/>
      <c r="C1847" s="32"/>
      <c r="D1847" s="33"/>
      <c r="E1847" s="34"/>
      <c r="F1847" s="35"/>
      <c r="G1847" s="33"/>
      <c r="H1847" s="34"/>
      <c r="I1847" s="35"/>
      <c r="J1847" s="43"/>
      <c r="K1847" s="42"/>
      <c r="L1847" s="39"/>
      <c r="M1847" s="41"/>
      <c r="N1847" s="356"/>
      <c r="O1847" s="40"/>
      <c r="P1847" s="39"/>
      <c r="Q1847" s="45"/>
      <c r="R1847" s="362"/>
      <c r="S1847" s="363"/>
      <c r="T1847" s="46"/>
      <c r="U1847" s="44"/>
      <c r="V1847" s="1418">
        <f t="shared" si="189"/>
        <v>0</v>
      </c>
      <c r="W1847" s="357"/>
      <c r="X1847" s="357"/>
      <c r="Y1847" s="357"/>
      <c r="Z1847" s="358"/>
      <c r="AA1847" s="359"/>
      <c r="AB1847" s="360"/>
    </row>
    <row r="1848" spans="1:36" s="369" customFormat="1" ht="15" hidden="1">
      <c r="A1848" s="364"/>
      <c r="B1848" s="355"/>
      <c r="C1848" s="32"/>
      <c r="D1848" s="33"/>
      <c r="E1848" s="34"/>
      <c r="F1848" s="35"/>
      <c r="G1848" s="33"/>
      <c r="H1848" s="34"/>
      <c r="I1848" s="35"/>
      <c r="J1848" s="43"/>
      <c r="K1848" s="42"/>
      <c r="L1848" s="39"/>
      <c r="M1848" s="41"/>
      <c r="N1848" s="40"/>
      <c r="O1848" s="40"/>
      <c r="P1848" s="39"/>
      <c r="Q1848" s="38"/>
      <c r="R1848" s="365"/>
      <c r="S1848" s="366"/>
      <c r="T1848" s="46"/>
      <c r="U1848" s="44"/>
      <c r="V1848" s="1418">
        <f t="shared" si="189"/>
        <v>0</v>
      </c>
      <c r="W1848" s="367"/>
      <c r="X1848" s="367"/>
      <c r="Y1848" s="367"/>
      <c r="Z1848" s="368"/>
    </row>
    <row r="1849" spans="1:36" s="77" customFormat="1" ht="15" hidden="1">
      <c r="A1849" s="370"/>
      <c r="B1849" s="29"/>
      <c r="C1849" s="30"/>
      <c r="D1849" s="18"/>
      <c r="E1849" s="19"/>
      <c r="F1849" s="20"/>
      <c r="G1849" s="18"/>
      <c r="H1849" s="19"/>
      <c r="I1849" s="20"/>
      <c r="J1849" s="21"/>
      <c r="K1849" s="22"/>
      <c r="L1849" s="23"/>
      <c r="M1849" s="24"/>
      <c r="N1849" s="25"/>
      <c r="O1849" s="25"/>
      <c r="P1849" s="23"/>
      <c r="Q1849" s="26"/>
      <c r="R1849" s="371"/>
      <c r="S1849" s="27"/>
      <c r="T1849" s="372"/>
      <c r="U1849" s="31"/>
      <c r="V1849" s="1418">
        <f t="shared" si="189"/>
        <v>0</v>
      </c>
      <c r="AB1849" s="15"/>
    </row>
    <row r="1850" spans="1:36" s="77" customFormat="1" ht="15.6" hidden="1">
      <c r="A1850" s="370"/>
      <c r="B1850" s="499"/>
      <c r="C1850" s="37"/>
      <c r="D1850" s="1929" t="s">
        <v>1520</v>
      </c>
      <c r="E1850" s="1930"/>
      <c r="F1850" s="1930"/>
      <c r="G1850" s="1930"/>
      <c r="H1850" s="1930"/>
      <c r="I1850" s="1931"/>
      <c r="J1850" s="1932">
        <f>VLOOKUP(A1852,'11 - FINANCEIRA'!_xlnm.Print_Area,6,FALSE)</f>
        <v>2</v>
      </c>
      <c r="K1850" s="1933"/>
      <c r="L1850" s="1343" t="str">
        <f>VLOOKUP(A1852,'11 - FINANCEIRA'!_xlnm.Print_Area,4,FALSE)</f>
        <v>und</v>
      </c>
      <c r="M1850" s="1934" t="s">
        <v>1521</v>
      </c>
      <c r="N1850" s="1935"/>
      <c r="O1850" s="1935"/>
      <c r="P1850" s="1935"/>
      <c r="Q1850" s="1936"/>
      <c r="R1850" s="726">
        <f>SUM(R1846:R1849)</f>
        <v>2</v>
      </c>
      <c r="S1850" s="1344" t="str">
        <f>L1850</f>
        <v>und</v>
      </c>
      <c r="T1850" s="373"/>
      <c r="U1850" s="486"/>
      <c r="V1850" s="1418">
        <f t="shared" si="189"/>
        <v>0</v>
      </c>
      <c r="AB1850" s="15"/>
    </row>
    <row r="1851" spans="1:36" s="77" customFormat="1" ht="15.6" hidden="1">
      <c r="A1851" s="370"/>
      <c r="B1851" s="499"/>
      <c r="C1851" s="725"/>
      <c r="D1851" s="1937" t="s">
        <v>1522</v>
      </c>
      <c r="E1851" s="1938"/>
      <c r="F1851" s="1938"/>
      <c r="G1851" s="1938"/>
      <c r="H1851" s="1938"/>
      <c r="I1851" s="1939"/>
      <c r="J1851" s="1943">
        <f>R1850/J1850</f>
        <v>1</v>
      </c>
      <c r="K1851" s="1944"/>
      <c r="L1851" s="1947"/>
      <c r="M1851" s="1934" t="s">
        <v>1523</v>
      </c>
      <c r="N1851" s="1935"/>
      <c r="O1851" s="1935"/>
      <c r="P1851" s="1935"/>
      <c r="Q1851" s="1936"/>
      <c r="R1851" s="726">
        <f>VLOOKUP(A1852,'11 - FINANCEIRA'!_xlnm.Print_Area,8,FALSE)</f>
        <v>2</v>
      </c>
      <c r="S1851" s="727" t="str">
        <f>L1850</f>
        <v>und</v>
      </c>
      <c r="T1851" s="373"/>
      <c r="U1851" s="486"/>
      <c r="V1851" s="1418">
        <f t="shared" si="189"/>
        <v>0</v>
      </c>
      <c r="AB1851" s="15"/>
    </row>
    <row r="1852" spans="1:36" s="77" customFormat="1" ht="15.6" hidden="1">
      <c r="A1852" s="364" t="s">
        <v>485</v>
      </c>
      <c r="B1852" s="499"/>
      <c r="C1852" s="37"/>
      <c r="D1852" s="2013"/>
      <c r="E1852" s="2014"/>
      <c r="F1852" s="2014"/>
      <c r="G1852" s="2014"/>
      <c r="H1852" s="2014"/>
      <c r="I1852" s="2015"/>
      <c r="J1852" s="2016"/>
      <c r="K1852" s="2017"/>
      <c r="L1852" s="1962"/>
      <c r="M1852" s="2007" t="s">
        <v>1524</v>
      </c>
      <c r="N1852" s="2008"/>
      <c r="O1852" s="2008"/>
      <c r="P1852" s="2008"/>
      <c r="Q1852" s="2009"/>
      <c r="R1852" s="1345">
        <f>R1850-R1851</f>
        <v>0</v>
      </c>
      <c r="S1852" s="1346" t="str">
        <f>L1850</f>
        <v>und</v>
      </c>
      <c r="T1852" s="373"/>
      <c r="U1852" s="486"/>
      <c r="V1852" s="1418">
        <f>R1852</f>
        <v>0</v>
      </c>
      <c r="AB1852" s="15"/>
    </row>
    <row r="1853" spans="1:36" s="77" customFormat="1" ht="15.6" hidden="1">
      <c r="A1853" s="370"/>
      <c r="B1853" s="1347"/>
      <c r="C1853" s="1348"/>
      <c r="D1853" s="1349"/>
      <c r="E1853" s="1350"/>
      <c r="F1853" s="1349"/>
      <c r="G1853" s="1349"/>
      <c r="H1853" s="1349"/>
      <c r="I1853" s="1349"/>
      <c r="J1853" s="1351"/>
      <c r="K1853" s="1352"/>
      <c r="L1853" s="1353"/>
      <c r="M1853" s="1354"/>
      <c r="N1853" s="1354"/>
      <c r="O1853" s="1354"/>
      <c r="P1853" s="1354"/>
      <c r="Q1853" s="1354"/>
      <c r="R1853" s="1355"/>
      <c r="S1853" s="1356"/>
      <c r="T1853" s="1357"/>
      <c r="U1853" s="1358"/>
      <c r="V1853" s="1420">
        <f>SUM(V1844:V1852)</f>
        <v>0</v>
      </c>
      <c r="AB1853" s="15"/>
    </row>
    <row r="1854" spans="1:36" s="352" customFormat="1" ht="15.6" hidden="1">
      <c r="A1854" s="351"/>
      <c r="B1854" s="1963" t="str">
        <f>VLOOKUP(A1862,'11 - FINANCEIRA'!_xlnm.Print_Area,1,FALSE)</f>
        <v>2.3.10.6</v>
      </c>
      <c r="C1854" s="1965" t="str">
        <f>VLOOKUP(A1862,'11 - FINANCEIRA'!_xlnm.Print_Area,3,FALSE)</f>
        <v>Adaptador curto com bolsa e rosca para registro, pvc, soldável, dn 32 mm x 1 , instalado em reservação de água de edificação que possua reservatório de fibra/fibrocimento fornecimento e instalação. af_06/2016</v>
      </c>
      <c r="D1854" s="1967" t="s">
        <v>1503</v>
      </c>
      <c r="E1854" s="1968"/>
      <c r="F1854" s="1968"/>
      <c r="G1854" s="1968"/>
      <c r="H1854" s="1968"/>
      <c r="I1854" s="1969"/>
      <c r="J1854" s="1914" t="s">
        <v>1504</v>
      </c>
      <c r="K1854" s="1914" t="s">
        <v>1505</v>
      </c>
      <c r="L1854" s="1914" t="s">
        <v>1506</v>
      </c>
      <c r="M1854" s="1914" t="s">
        <v>1507</v>
      </c>
      <c r="N1854" s="1914" t="s">
        <v>1508</v>
      </c>
      <c r="O1854" s="1914" t="s">
        <v>1509</v>
      </c>
      <c r="P1854" s="1341" t="s">
        <v>1510</v>
      </c>
      <c r="Q1854" s="1914" t="s">
        <v>1493</v>
      </c>
      <c r="R1854" s="1916" t="s">
        <v>804</v>
      </c>
      <c r="S1854" s="1914" t="s">
        <v>1511</v>
      </c>
      <c r="T1854" s="1914" t="s">
        <v>1512</v>
      </c>
      <c r="U1854" s="1918" t="s">
        <v>1513</v>
      </c>
      <c r="V1854" s="1418">
        <f t="shared" ref="V1854:V1861" si="190">V1855</f>
        <v>0</v>
      </c>
      <c r="W1854" s="16"/>
      <c r="X1854" s="16"/>
      <c r="Y1854" s="16"/>
      <c r="Z1854" s="17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</row>
    <row r="1855" spans="1:36" s="352" customFormat="1" ht="15.6" hidden="1">
      <c r="A1855" s="351"/>
      <c r="B1855" s="1964" t="e">
        <f>LEFT(#REF!,5)</f>
        <v>#REF!</v>
      </c>
      <c r="C1855" s="1966" t="e">
        <f>VLOOKUP(LEFT(#REF!,5),'11 - FINANCEIRA'!_xlnm.Print_Area,2,FALSE)</f>
        <v>#REF!</v>
      </c>
      <c r="D1855" s="1920" t="s">
        <v>1514</v>
      </c>
      <c r="E1855" s="1921"/>
      <c r="F1855" s="1922"/>
      <c r="G1855" s="1923" t="s">
        <v>1515</v>
      </c>
      <c r="H1855" s="1924"/>
      <c r="I1855" s="1925"/>
      <c r="J1855" s="1915"/>
      <c r="K1855" s="1915"/>
      <c r="L1855" s="1915"/>
      <c r="M1855" s="1915"/>
      <c r="N1855" s="1915"/>
      <c r="O1855" s="1915"/>
      <c r="P1855" s="353" t="s">
        <v>1516</v>
      </c>
      <c r="Q1855" s="1915"/>
      <c r="R1855" s="1917"/>
      <c r="S1855" s="1915"/>
      <c r="T1855" s="1915"/>
      <c r="U1855" s="1919"/>
      <c r="V1855" s="1418">
        <f t="shared" si="190"/>
        <v>0</v>
      </c>
      <c r="W1855" s="16"/>
      <c r="X1855" s="16"/>
      <c r="Y1855" s="16"/>
      <c r="Z1855" s="17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</row>
    <row r="1856" spans="1:36" s="361" customFormat="1" ht="45" hidden="1">
      <c r="A1856" s="354"/>
      <c r="B1856" s="355"/>
      <c r="C1856" s="32" t="s">
        <v>998</v>
      </c>
      <c r="D1856" s="33"/>
      <c r="E1856" s="34"/>
      <c r="F1856" s="35"/>
      <c r="G1856" s="33"/>
      <c r="H1856" s="34"/>
      <c r="I1856" s="35"/>
      <c r="J1856" s="43"/>
      <c r="K1856" s="42"/>
      <c r="L1856" s="39"/>
      <c r="M1856" s="41"/>
      <c r="N1856" s="356"/>
      <c r="O1856" s="40"/>
      <c r="P1856" s="39"/>
      <c r="Q1856" s="45"/>
      <c r="R1856" s="1359">
        <v>4</v>
      </c>
      <c r="S1856" s="1265" t="s">
        <v>816</v>
      </c>
      <c r="T1856" s="46" t="s">
        <v>329</v>
      </c>
      <c r="U1856" s="44"/>
      <c r="V1856" s="1418">
        <f t="shared" si="190"/>
        <v>0</v>
      </c>
      <c r="W1856" s="357"/>
      <c r="X1856" s="357"/>
      <c r="Y1856" s="357"/>
      <c r="Z1856" s="358"/>
      <c r="AA1856" s="359"/>
      <c r="AB1856" s="360"/>
    </row>
    <row r="1857" spans="1:36" s="361" customFormat="1" ht="15" hidden="1" customHeight="1">
      <c r="A1857" s="354"/>
      <c r="B1857" s="355"/>
      <c r="C1857" s="32"/>
      <c r="D1857" s="33"/>
      <c r="E1857" s="34"/>
      <c r="F1857" s="35"/>
      <c r="G1857" s="33"/>
      <c r="H1857" s="34"/>
      <c r="I1857" s="35"/>
      <c r="J1857" s="43"/>
      <c r="K1857" s="42"/>
      <c r="L1857" s="39"/>
      <c r="M1857" s="41"/>
      <c r="N1857" s="356"/>
      <c r="O1857" s="40"/>
      <c r="P1857" s="39"/>
      <c r="Q1857" s="45"/>
      <c r="R1857" s="362"/>
      <c r="S1857" s="363"/>
      <c r="T1857" s="46"/>
      <c r="U1857" s="44"/>
      <c r="V1857" s="1418">
        <f t="shared" si="190"/>
        <v>0</v>
      </c>
      <c r="W1857" s="357"/>
      <c r="X1857" s="357"/>
      <c r="Y1857" s="357"/>
      <c r="Z1857" s="358"/>
      <c r="AA1857" s="359"/>
      <c r="AB1857" s="360"/>
    </row>
    <row r="1858" spans="1:36" s="369" customFormat="1" ht="15" hidden="1">
      <c r="A1858" s="364"/>
      <c r="B1858" s="355"/>
      <c r="C1858" s="32"/>
      <c r="D1858" s="33"/>
      <c r="E1858" s="34"/>
      <c r="F1858" s="35"/>
      <c r="G1858" s="33"/>
      <c r="H1858" s="34"/>
      <c r="I1858" s="35"/>
      <c r="J1858" s="43"/>
      <c r="K1858" s="42"/>
      <c r="L1858" s="39"/>
      <c r="M1858" s="41"/>
      <c r="N1858" s="40"/>
      <c r="O1858" s="40"/>
      <c r="P1858" s="39"/>
      <c r="Q1858" s="38"/>
      <c r="R1858" s="365"/>
      <c r="S1858" s="366"/>
      <c r="T1858" s="46"/>
      <c r="U1858" s="44"/>
      <c r="V1858" s="1418">
        <f t="shared" si="190"/>
        <v>0</v>
      </c>
      <c r="W1858" s="367"/>
      <c r="X1858" s="367"/>
      <c r="Y1858" s="367"/>
      <c r="Z1858" s="368"/>
    </row>
    <row r="1859" spans="1:36" s="77" customFormat="1" ht="15" hidden="1">
      <c r="A1859" s="370"/>
      <c r="B1859" s="29"/>
      <c r="C1859" s="30"/>
      <c r="D1859" s="18"/>
      <c r="E1859" s="19"/>
      <c r="F1859" s="20"/>
      <c r="G1859" s="18"/>
      <c r="H1859" s="19"/>
      <c r="I1859" s="20"/>
      <c r="J1859" s="21"/>
      <c r="K1859" s="22"/>
      <c r="L1859" s="23"/>
      <c r="M1859" s="24"/>
      <c r="N1859" s="25"/>
      <c r="O1859" s="25"/>
      <c r="P1859" s="23"/>
      <c r="Q1859" s="26"/>
      <c r="R1859" s="371"/>
      <c r="S1859" s="27"/>
      <c r="T1859" s="372"/>
      <c r="U1859" s="31"/>
      <c r="V1859" s="1418">
        <f t="shared" si="190"/>
        <v>0</v>
      </c>
      <c r="AB1859" s="15"/>
    </row>
    <row r="1860" spans="1:36" s="77" customFormat="1" ht="15.6" hidden="1">
      <c r="A1860" s="370"/>
      <c r="B1860" s="499"/>
      <c r="C1860" s="37"/>
      <c r="D1860" s="1929" t="s">
        <v>1520</v>
      </c>
      <c r="E1860" s="1930"/>
      <c r="F1860" s="1930"/>
      <c r="G1860" s="1930"/>
      <c r="H1860" s="1930"/>
      <c r="I1860" s="1931"/>
      <c r="J1860" s="1932">
        <f>VLOOKUP(A1862,'11 - FINANCEIRA'!_xlnm.Print_Area,6,FALSE)</f>
        <v>4</v>
      </c>
      <c r="K1860" s="1933"/>
      <c r="L1860" s="1343" t="str">
        <f>VLOOKUP(A1862,'11 - FINANCEIRA'!_xlnm.Print_Area,4,FALSE)</f>
        <v>und</v>
      </c>
      <c r="M1860" s="1934" t="s">
        <v>1521</v>
      </c>
      <c r="N1860" s="1935"/>
      <c r="O1860" s="1935"/>
      <c r="P1860" s="1935"/>
      <c r="Q1860" s="1936"/>
      <c r="R1860" s="726">
        <f>SUM(R1856:R1859)</f>
        <v>4</v>
      </c>
      <c r="S1860" s="1344" t="str">
        <f>L1860</f>
        <v>und</v>
      </c>
      <c r="T1860" s="373"/>
      <c r="U1860" s="486"/>
      <c r="V1860" s="1418">
        <f t="shared" si="190"/>
        <v>0</v>
      </c>
      <c r="AB1860" s="15"/>
    </row>
    <row r="1861" spans="1:36" s="77" customFormat="1" ht="15.6" hidden="1">
      <c r="A1861" s="370"/>
      <c r="B1861" s="499"/>
      <c r="C1861" s="725"/>
      <c r="D1861" s="1937" t="s">
        <v>1522</v>
      </c>
      <c r="E1861" s="1938"/>
      <c r="F1861" s="1938"/>
      <c r="G1861" s="1938"/>
      <c r="H1861" s="1938"/>
      <c r="I1861" s="1939"/>
      <c r="J1861" s="1943">
        <f>R1860/J1860</f>
        <v>1</v>
      </c>
      <c r="K1861" s="1944"/>
      <c r="L1861" s="1947"/>
      <c r="M1861" s="1934" t="s">
        <v>1523</v>
      </c>
      <c r="N1861" s="1935"/>
      <c r="O1861" s="1935"/>
      <c r="P1861" s="1935"/>
      <c r="Q1861" s="1936"/>
      <c r="R1861" s="726">
        <f>VLOOKUP(A1862,'11 - FINANCEIRA'!_xlnm.Print_Area,8,FALSE)</f>
        <v>4</v>
      </c>
      <c r="S1861" s="727" t="str">
        <f>L1860</f>
        <v>und</v>
      </c>
      <c r="T1861" s="373"/>
      <c r="U1861" s="486"/>
      <c r="V1861" s="1418">
        <f t="shared" si="190"/>
        <v>0</v>
      </c>
      <c r="AB1861" s="15"/>
    </row>
    <row r="1862" spans="1:36" s="77" customFormat="1" ht="15.6" hidden="1">
      <c r="A1862" s="364" t="s">
        <v>486</v>
      </c>
      <c r="B1862" s="499"/>
      <c r="C1862" s="37"/>
      <c r="D1862" s="2013"/>
      <c r="E1862" s="2014"/>
      <c r="F1862" s="2014"/>
      <c r="G1862" s="2014"/>
      <c r="H1862" s="2014"/>
      <c r="I1862" s="2015"/>
      <c r="J1862" s="2016"/>
      <c r="K1862" s="2017"/>
      <c r="L1862" s="1962"/>
      <c r="M1862" s="2007" t="s">
        <v>1524</v>
      </c>
      <c r="N1862" s="2008"/>
      <c r="O1862" s="2008"/>
      <c r="P1862" s="2008"/>
      <c r="Q1862" s="2009"/>
      <c r="R1862" s="1345">
        <f>R1860-R1861</f>
        <v>0</v>
      </c>
      <c r="S1862" s="1346" t="str">
        <f>L1860</f>
        <v>und</v>
      </c>
      <c r="T1862" s="373"/>
      <c r="U1862" s="486"/>
      <c r="V1862" s="1418">
        <f>R1862</f>
        <v>0</v>
      </c>
      <c r="AB1862" s="15"/>
    </row>
    <row r="1863" spans="1:36" s="77" customFormat="1" ht="15.6" hidden="1">
      <c r="A1863" s="370"/>
      <c r="B1863" s="1347"/>
      <c r="C1863" s="1348"/>
      <c r="D1863" s="1349"/>
      <c r="E1863" s="1350"/>
      <c r="F1863" s="1349"/>
      <c r="G1863" s="1349"/>
      <c r="H1863" s="1349"/>
      <c r="I1863" s="1349"/>
      <c r="J1863" s="1351"/>
      <c r="K1863" s="1352"/>
      <c r="L1863" s="1353"/>
      <c r="M1863" s="1354"/>
      <c r="N1863" s="1354"/>
      <c r="O1863" s="1354"/>
      <c r="P1863" s="1354"/>
      <c r="Q1863" s="1354"/>
      <c r="R1863" s="1355"/>
      <c r="S1863" s="1356"/>
      <c r="T1863" s="1357"/>
      <c r="U1863" s="1358"/>
      <c r="V1863" s="1420">
        <f>SUM(V1854:V1862)</f>
        <v>0</v>
      </c>
      <c r="AB1863" s="15"/>
    </row>
    <row r="1864" spans="1:36" s="352" customFormat="1" ht="15.6" hidden="1">
      <c r="A1864" s="351"/>
      <c r="B1864" s="1963" t="str">
        <f>VLOOKUP(A1872,'11 - FINANCEIRA'!_xlnm.Print_Area,1,FALSE)</f>
        <v>2.3.10.7</v>
      </c>
      <c r="C1864" s="1965" t="str">
        <f>VLOOKUP(A1872,'11 - FINANCEIRA'!_xlnm.Print_Area,3,FALSE)</f>
        <v>Luva soldável e com bucha de latão, pvc, soldável, dn 32mm x 1 , instalado em prumada de água fornecimento e instalação. af_12/2014</v>
      </c>
      <c r="D1864" s="1967" t="s">
        <v>1503</v>
      </c>
      <c r="E1864" s="1968"/>
      <c r="F1864" s="1968"/>
      <c r="G1864" s="1968"/>
      <c r="H1864" s="1968"/>
      <c r="I1864" s="1969"/>
      <c r="J1864" s="1914" t="s">
        <v>1504</v>
      </c>
      <c r="K1864" s="1914" t="s">
        <v>1505</v>
      </c>
      <c r="L1864" s="1914" t="s">
        <v>1506</v>
      </c>
      <c r="M1864" s="1914" t="s">
        <v>1507</v>
      </c>
      <c r="N1864" s="1914" t="s">
        <v>1508</v>
      </c>
      <c r="O1864" s="1914" t="s">
        <v>1509</v>
      </c>
      <c r="P1864" s="1341" t="s">
        <v>1510</v>
      </c>
      <c r="Q1864" s="1914" t="s">
        <v>1493</v>
      </c>
      <c r="R1864" s="1916" t="s">
        <v>804</v>
      </c>
      <c r="S1864" s="1914" t="s">
        <v>1511</v>
      </c>
      <c r="T1864" s="1914" t="s">
        <v>1512</v>
      </c>
      <c r="U1864" s="1918" t="s">
        <v>1513</v>
      </c>
      <c r="V1864" s="1418">
        <f t="shared" ref="V1864:V1871" si="191">V1865</f>
        <v>0</v>
      </c>
      <c r="W1864" s="16"/>
      <c r="X1864" s="16"/>
      <c r="Y1864" s="16"/>
      <c r="Z1864" s="17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</row>
    <row r="1865" spans="1:36" s="352" customFormat="1" ht="15.6" hidden="1">
      <c r="A1865" s="354"/>
      <c r="B1865" s="1964" t="e">
        <f>LEFT(#REF!,5)</f>
        <v>#REF!</v>
      </c>
      <c r="C1865" s="1966" t="e">
        <f>VLOOKUP(LEFT(#REF!,5),'11 - FINANCEIRA'!_xlnm.Print_Area,2,FALSE)</f>
        <v>#REF!</v>
      </c>
      <c r="D1865" s="1920" t="s">
        <v>1514</v>
      </c>
      <c r="E1865" s="1921"/>
      <c r="F1865" s="1922"/>
      <c r="G1865" s="1923" t="s">
        <v>1515</v>
      </c>
      <c r="H1865" s="1924"/>
      <c r="I1865" s="1925"/>
      <c r="J1865" s="1915"/>
      <c r="K1865" s="1915"/>
      <c r="L1865" s="1915"/>
      <c r="M1865" s="1915"/>
      <c r="N1865" s="1915"/>
      <c r="O1865" s="1915"/>
      <c r="P1865" s="353" t="s">
        <v>1516</v>
      </c>
      <c r="Q1865" s="1915"/>
      <c r="R1865" s="1917"/>
      <c r="S1865" s="1915"/>
      <c r="T1865" s="1915"/>
      <c r="U1865" s="1919"/>
      <c r="V1865" s="1418">
        <f t="shared" si="191"/>
        <v>0</v>
      </c>
      <c r="W1865" s="16"/>
      <c r="X1865" s="16"/>
      <c r="Y1865" s="16"/>
      <c r="Z1865" s="17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</row>
    <row r="1866" spans="1:36" s="361" customFormat="1" ht="30" hidden="1">
      <c r="A1866" s="354"/>
      <c r="B1866" s="355"/>
      <c r="C1866" s="32" t="s">
        <v>1000</v>
      </c>
      <c r="D1866" s="33"/>
      <c r="E1866" s="34"/>
      <c r="F1866" s="35"/>
      <c r="G1866" s="33"/>
      <c r="H1866" s="34"/>
      <c r="I1866" s="35"/>
      <c r="J1866" s="43"/>
      <c r="K1866" s="42"/>
      <c r="L1866" s="39"/>
      <c r="M1866" s="41"/>
      <c r="N1866" s="356"/>
      <c r="O1866" s="40"/>
      <c r="P1866" s="39"/>
      <c r="Q1866" s="45"/>
      <c r="R1866" s="1359">
        <v>2</v>
      </c>
      <c r="S1866" s="1265" t="s">
        <v>816</v>
      </c>
      <c r="T1866" s="46" t="s">
        <v>329</v>
      </c>
      <c r="U1866" s="44"/>
      <c r="V1866" s="1418">
        <f t="shared" si="191"/>
        <v>0</v>
      </c>
      <c r="W1866" s="357"/>
      <c r="X1866" s="357"/>
      <c r="Y1866" s="357"/>
      <c r="Z1866" s="358"/>
      <c r="AA1866" s="359"/>
      <c r="AB1866" s="360"/>
    </row>
    <row r="1867" spans="1:36" s="361" customFormat="1" ht="15" hidden="1" customHeight="1">
      <c r="A1867" s="364"/>
      <c r="B1867" s="355"/>
      <c r="C1867" s="32"/>
      <c r="D1867" s="33"/>
      <c r="E1867" s="34"/>
      <c r="F1867" s="35"/>
      <c r="G1867" s="33"/>
      <c r="H1867" s="34"/>
      <c r="I1867" s="35"/>
      <c r="J1867" s="43"/>
      <c r="K1867" s="42"/>
      <c r="L1867" s="39"/>
      <c r="M1867" s="41"/>
      <c r="N1867" s="356"/>
      <c r="O1867" s="40"/>
      <c r="P1867" s="39"/>
      <c r="Q1867" s="45"/>
      <c r="R1867" s="362"/>
      <c r="S1867" s="363"/>
      <c r="T1867" s="46"/>
      <c r="U1867" s="44"/>
      <c r="V1867" s="1418">
        <f t="shared" si="191"/>
        <v>0</v>
      </c>
      <c r="W1867" s="357"/>
      <c r="X1867" s="357"/>
      <c r="Y1867" s="357"/>
      <c r="Z1867" s="358"/>
      <c r="AA1867" s="359"/>
      <c r="AB1867" s="360"/>
    </row>
    <row r="1868" spans="1:36" s="369" customFormat="1" ht="15" hidden="1">
      <c r="A1868" s="370"/>
      <c r="B1868" s="355"/>
      <c r="C1868" s="32"/>
      <c r="D1868" s="33"/>
      <c r="E1868" s="34"/>
      <c r="F1868" s="35"/>
      <c r="G1868" s="33"/>
      <c r="H1868" s="34"/>
      <c r="I1868" s="35"/>
      <c r="J1868" s="43"/>
      <c r="K1868" s="42"/>
      <c r="L1868" s="39"/>
      <c r="M1868" s="41"/>
      <c r="N1868" s="40"/>
      <c r="O1868" s="40"/>
      <c r="P1868" s="39"/>
      <c r="Q1868" s="38"/>
      <c r="R1868" s="365"/>
      <c r="S1868" s="366"/>
      <c r="T1868" s="46"/>
      <c r="U1868" s="44"/>
      <c r="V1868" s="1418">
        <f t="shared" si="191"/>
        <v>0</v>
      </c>
      <c r="W1868" s="367"/>
      <c r="X1868" s="367"/>
      <c r="Y1868" s="367"/>
      <c r="Z1868" s="368"/>
    </row>
    <row r="1869" spans="1:36" s="77" customFormat="1" ht="15" hidden="1">
      <c r="A1869" s="370"/>
      <c r="B1869" s="29"/>
      <c r="C1869" s="30"/>
      <c r="D1869" s="18"/>
      <c r="E1869" s="19"/>
      <c r="F1869" s="20"/>
      <c r="G1869" s="18"/>
      <c r="H1869" s="19"/>
      <c r="I1869" s="20"/>
      <c r="J1869" s="21"/>
      <c r="K1869" s="22"/>
      <c r="L1869" s="23"/>
      <c r="M1869" s="24"/>
      <c r="N1869" s="25"/>
      <c r="O1869" s="25"/>
      <c r="P1869" s="23"/>
      <c r="Q1869" s="26"/>
      <c r="R1869" s="371"/>
      <c r="S1869" s="27"/>
      <c r="T1869" s="372"/>
      <c r="U1869" s="31"/>
      <c r="V1869" s="1418">
        <f t="shared" si="191"/>
        <v>0</v>
      </c>
      <c r="AB1869" s="15"/>
    </row>
    <row r="1870" spans="1:36" s="77" customFormat="1" ht="15.6" hidden="1">
      <c r="A1870" s="370"/>
      <c r="B1870" s="499"/>
      <c r="C1870" s="37"/>
      <c r="D1870" s="1929" t="s">
        <v>1520</v>
      </c>
      <c r="E1870" s="1930"/>
      <c r="F1870" s="1930"/>
      <c r="G1870" s="1930"/>
      <c r="H1870" s="1930"/>
      <c r="I1870" s="1931"/>
      <c r="J1870" s="1932">
        <f>VLOOKUP(A1872,'11 - FINANCEIRA'!_xlnm.Print_Area,6,FALSE)</f>
        <v>2</v>
      </c>
      <c r="K1870" s="1933"/>
      <c r="L1870" s="1343" t="str">
        <f>VLOOKUP(A1872,'11 - FINANCEIRA'!_xlnm.Print_Area,4,FALSE)</f>
        <v>und</v>
      </c>
      <c r="M1870" s="1934" t="s">
        <v>1521</v>
      </c>
      <c r="N1870" s="1935"/>
      <c r="O1870" s="1935"/>
      <c r="P1870" s="1935"/>
      <c r="Q1870" s="1936"/>
      <c r="R1870" s="726">
        <f>SUM(R1866:R1869)</f>
        <v>2</v>
      </c>
      <c r="S1870" s="1344" t="str">
        <f>L1870</f>
        <v>und</v>
      </c>
      <c r="T1870" s="373"/>
      <c r="U1870" s="486"/>
      <c r="V1870" s="1418">
        <f t="shared" si="191"/>
        <v>0</v>
      </c>
      <c r="AB1870" s="15"/>
    </row>
    <row r="1871" spans="1:36" s="77" customFormat="1" ht="15.6" hidden="1">
      <c r="A1871" s="364"/>
      <c r="B1871" s="499"/>
      <c r="C1871" s="725"/>
      <c r="D1871" s="1937" t="s">
        <v>1522</v>
      </c>
      <c r="E1871" s="1938"/>
      <c r="F1871" s="1938"/>
      <c r="G1871" s="1938"/>
      <c r="H1871" s="1938"/>
      <c r="I1871" s="1939"/>
      <c r="J1871" s="1943">
        <f>R1870/J1870</f>
        <v>1</v>
      </c>
      <c r="K1871" s="1944"/>
      <c r="L1871" s="1947"/>
      <c r="M1871" s="1934" t="s">
        <v>1523</v>
      </c>
      <c r="N1871" s="1935"/>
      <c r="O1871" s="1935"/>
      <c r="P1871" s="1935"/>
      <c r="Q1871" s="1936"/>
      <c r="R1871" s="726">
        <f>VLOOKUP(A1872,'11 - FINANCEIRA'!_xlnm.Print_Area,8,FALSE)</f>
        <v>2</v>
      </c>
      <c r="S1871" s="727" t="str">
        <f>L1870</f>
        <v>und</v>
      </c>
      <c r="T1871" s="373"/>
      <c r="U1871" s="486"/>
      <c r="V1871" s="1418">
        <f t="shared" si="191"/>
        <v>0</v>
      </c>
      <c r="AB1871" s="15"/>
    </row>
    <row r="1872" spans="1:36" s="77" customFormat="1" ht="15.6" hidden="1">
      <c r="A1872" s="364" t="s">
        <v>487</v>
      </c>
      <c r="B1872" s="499"/>
      <c r="C1872" s="37"/>
      <c r="D1872" s="2013"/>
      <c r="E1872" s="2014"/>
      <c r="F1872" s="2014"/>
      <c r="G1872" s="2014"/>
      <c r="H1872" s="2014"/>
      <c r="I1872" s="2015"/>
      <c r="J1872" s="2016"/>
      <c r="K1872" s="2017"/>
      <c r="L1872" s="1962"/>
      <c r="M1872" s="2007" t="s">
        <v>1524</v>
      </c>
      <c r="N1872" s="2008"/>
      <c r="O1872" s="2008"/>
      <c r="P1872" s="2008"/>
      <c r="Q1872" s="2009"/>
      <c r="R1872" s="1345">
        <f>R1870-R1871</f>
        <v>0</v>
      </c>
      <c r="S1872" s="1346" t="str">
        <f>L1870</f>
        <v>und</v>
      </c>
      <c r="T1872" s="373"/>
      <c r="U1872" s="486"/>
      <c r="V1872" s="1418">
        <f>R1872</f>
        <v>0</v>
      </c>
      <c r="AB1872" s="15"/>
    </row>
    <row r="1873" spans="1:36" s="77" customFormat="1" ht="15.6" hidden="1">
      <c r="A1873" s="370"/>
      <c r="B1873" s="1347"/>
      <c r="C1873" s="1348"/>
      <c r="D1873" s="1349"/>
      <c r="E1873" s="1350"/>
      <c r="F1873" s="1349"/>
      <c r="G1873" s="1349"/>
      <c r="H1873" s="1349"/>
      <c r="I1873" s="1349"/>
      <c r="J1873" s="1351"/>
      <c r="K1873" s="1352"/>
      <c r="L1873" s="1353"/>
      <c r="M1873" s="1354"/>
      <c r="N1873" s="1354"/>
      <c r="O1873" s="1354"/>
      <c r="P1873" s="1354"/>
      <c r="Q1873" s="1354"/>
      <c r="R1873" s="1355"/>
      <c r="S1873" s="1356"/>
      <c r="T1873" s="1357"/>
      <c r="U1873" s="1358"/>
      <c r="V1873" s="1420">
        <f>SUM(V1864:V1872)</f>
        <v>0</v>
      </c>
      <c r="AB1873" s="15"/>
    </row>
    <row r="1874" spans="1:36" s="352" customFormat="1" ht="15.6" hidden="1">
      <c r="A1874" s="351"/>
      <c r="B1874" s="1963" t="str">
        <f>VLOOKUP(A1882,'11 - FINANCEIRA'!_xlnm.Print_Area,1,FALSE)</f>
        <v>2.3.10.8</v>
      </c>
      <c r="C1874" s="1965" t="str">
        <f>VLOOKUP(A1882,'11 - FINANCEIRA'!_xlnm.Print_Area,3,FALSE)</f>
        <v>Luva com bucha de latão, pvc, soldável, dn 25mm x 3/4?, instalado em prumada de água - fornecimento e instalação. af_12/2014</v>
      </c>
      <c r="D1874" s="1967" t="s">
        <v>1503</v>
      </c>
      <c r="E1874" s="1968"/>
      <c r="F1874" s="1968"/>
      <c r="G1874" s="1968"/>
      <c r="H1874" s="1968"/>
      <c r="I1874" s="1969"/>
      <c r="J1874" s="1914" t="s">
        <v>1504</v>
      </c>
      <c r="K1874" s="1914" t="s">
        <v>1505</v>
      </c>
      <c r="L1874" s="1914" t="s">
        <v>1506</v>
      </c>
      <c r="M1874" s="1914" t="s">
        <v>1507</v>
      </c>
      <c r="N1874" s="1914" t="s">
        <v>1508</v>
      </c>
      <c r="O1874" s="1914" t="s">
        <v>1509</v>
      </c>
      <c r="P1874" s="1341" t="s">
        <v>1510</v>
      </c>
      <c r="Q1874" s="1914" t="s">
        <v>1493</v>
      </c>
      <c r="R1874" s="1916" t="s">
        <v>804</v>
      </c>
      <c r="S1874" s="1914" t="s">
        <v>1511</v>
      </c>
      <c r="T1874" s="1914" t="s">
        <v>1512</v>
      </c>
      <c r="U1874" s="1918" t="s">
        <v>1513</v>
      </c>
      <c r="V1874" s="1418">
        <f t="shared" ref="V1874:V1881" si="192">V1875</f>
        <v>0</v>
      </c>
      <c r="W1874" s="16"/>
      <c r="X1874" s="16"/>
      <c r="Y1874" s="16"/>
      <c r="Z1874" s="17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</row>
    <row r="1875" spans="1:36" s="352" customFormat="1" ht="15.6" hidden="1">
      <c r="A1875" s="351"/>
      <c r="B1875" s="1964" t="e">
        <f>LEFT(#REF!,5)</f>
        <v>#REF!</v>
      </c>
      <c r="C1875" s="1966" t="e">
        <f>VLOOKUP(LEFT(#REF!,5),'11 - FINANCEIRA'!_xlnm.Print_Area,2,FALSE)</f>
        <v>#REF!</v>
      </c>
      <c r="D1875" s="1920" t="s">
        <v>1514</v>
      </c>
      <c r="E1875" s="1921"/>
      <c r="F1875" s="1922"/>
      <c r="G1875" s="1923" t="s">
        <v>1515</v>
      </c>
      <c r="H1875" s="1924"/>
      <c r="I1875" s="1925"/>
      <c r="J1875" s="1915"/>
      <c r="K1875" s="1915"/>
      <c r="L1875" s="1915"/>
      <c r="M1875" s="1915"/>
      <c r="N1875" s="1915"/>
      <c r="O1875" s="1915"/>
      <c r="P1875" s="353" t="s">
        <v>1516</v>
      </c>
      <c r="Q1875" s="1915"/>
      <c r="R1875" s="1917"/>
      <c r="S1875" s="1915"/>
      <c r="T1875" s="1915"/>
      <c r="U1875" s="1919"/>
      <c r="V1875" s="1418">
        <f t="shared" si="192"/>
        <v>0</v>
      </c>
      <c r="W1875" s="16"/>
      <c r="X1875" s="16"/>
      <c r="Y1875" s="16"/>
      <c r="Z1875" s="17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</row>
    <row r="1876" spans="1:36" s="361" customFormat="1" ht="30" hidden="1">
      <c r="A1876" s="354"/>
      <c r="B1876" s="355"/>
      <c r="C1876" s="32" t="s">
        <v>1002</v>
      </c>
      <c r="D1876" s="33"/>
      <c r="E1876" s="34"/>
      <c r="F1876" s="35"/>
      <c r="G1876" s="33"/>
      <c r="H1876" s="34"/>
      <c r="I1876" s="35"/>
      <c r="J1876" s="43"/>
      <c r="K1876" s="42"/>
      <c r="L1876" s="39"/>
      <c r="M1876" s="41"/>
      <c r="N1876" s="356"/>
      <c r="O1876" s="40"/>
      <c r="P1876" s="39"/>
      <c r="Q1876" s="45"/>
      <c r="R1876" s="1359">
        <v>2</v>
      </c>
      <c r="S1876" s="1265" t="s">
        <v>816</v>
      </c>
      <c r="T1876" s="46" t="s">
        <v>329</v>
      </c>
      <c r="U1876" s="44"/>
      <c r="V1876" s="1418">
        <f t="shared" si="192"/>
        <v>0</v>
      </c>
      <c r="W1876" s="357"/>
      <c r="X1876" s="357"/>
      <c r="Y1876" s="357"/>
      <c r="Z1876" s="358"/>
      <c r="AA1876" s="359"/>
      <c r="AB1876" s="360"/>
    </row>
    <row r="1877" spans="1:36" s="361" customFormat="1" ht="15" hidden="1" customHeight="1">
      <c r="A1877" s="354"/>
      <c r="B1877" s="355"/>
      <c r="C1877" s="32"/>
      <c r="D1877" s="33"/>
      <c r="E1877" s="34"/>
      <c r="F1877" s="35"/>
      <c r="G1877" s="33"/>
      <c r="H1877" s="34"/>
      <c r="I1877" s="35"/>
      <c r="J1877" s="43"/>
      <c r="K1877" s="42"/>
      <c r="L1877" s="39"/>
      <c r="M1877" s="41"/>
      <c r="N1877" s="356"/>
      <c r="O1877" s="40"/>
      <c r="P1877" s="39"/>
      <c r="Q1877" s="45"/>
      <c r="R1877" s="362"/>
      <c r="S1877" s="363"/>
      <c r="T1877" s="46"/>
      <c r="U1877" s="44"/>
      <c r="V1877" s="1418">
        <f t="shared" si="192"/>
        <v>0</v>
      </c>
      <c r="W1877" s="357"/>
      <c r="X1877" s="357"/>
      <c r="Y1877" s="357"/>
      <c r="Z1877" s="358"/>
      <c r="AA1877" s="359"/>
      <c r="AB1877" s="360"/>
    </row>
    <row r="1878" spans="1:36" s="369" customFormat="1" ht="15" hidden="1">
      <c r="A1878" s="364"/>
      <c r="B1878" s="355"/>
      <c r="C1878" s="32"/>
      <c r="D1878" s="33"/>
      <c r="E1878" s="34"/>
      <c r="F1878" s="35"/>
      <c r="G1878" s="33"/>
      <c r="H1878" s="34"/>
      <c r="I1878" s="35"/>
      <c r="J1878" s="43"/>
      <c r="K1878" s="42"/>
      <c r="L1878" s="39"/>
      <c r="M1878" s="41"/>
      <c r="N1878" s="40"/>
      <c r="O1878" s="40"/>
      <c r="P1878" s="39"/>
      <c r="Q1878" s="38"/>
      <c r="R1878" s="365"/>
      <c r="S1878" s="366"/>
      <c r="T1878" s="46"/>
      <c r="U1878" s="44"/>
      <c r="V1878" s="1418">
        <f t="shared" si="192"/>
        <v>0</v>
      </c>
      <c r="W1878" s="367"/>
      <c r="X1878" s="367"/>
      <c r="Y1878" s="367"/>
      <c r="Z1878" s="368"/>
    </row>
    <row r="1879" spans="1:36" s="77" customFormat="1" ht="15" hidden="1">
      <c r="A1879" s="370"/>
      <c r="B1879" s="29"/>
      <c r="C1879" s="30"/>
      <c r="D1879" s="18"/>
      <c r="E1879" s="19"/>
      <c r="F1879" s="20"/>
      <c r="G1879" s="18"/>
      <c r="H1879" s="19"/>
      <c r="I1879" s="20"/>
      <c r="J1879" s="21"/>
      <c r="K1879" s="22"/>
      <c r="L1879" s="23"/>
      <c r="M1879" s="24"/>
      <c r="N1879" s="25"/>
      <c r="O1879" s="25"/>
      <c r="P1879" s="23"/>
      <c r="Q1879" s="26"/>
      <c r="R1879" s="371"/>
      <c r="S1879" s="27"/>
      <c r="T1879" s="372"/>
      <c r="U1879" s="31"/>
      <c r="V1879" s="1418">
        <f t="shared" si="192"/>
        <v>0</v>
      </c>
      <c r="AB1879" s="15"/>
    </row>
    <row r="1880" spans="1:36" s="77" customFormat="1" ht="15.6" hidden="1">
      <c r="A1880" s="370"/>
      <c r="B1880" s="499"/>
      <c r="C1880" s="37"/>
      <c r="D1880" s="1929" t="s">
        <v>1520</v>
      </c>
      <c r="E1880" s="1930"/>
      <c r="F1880" s="1930"/>
      <c r="G1880" s="1930"/>
      <c r="H1880" s="1930"/>
      <c r="I1880" s="1931"/>
      <c r="J1880" s="1932">
        <f>VLOOKUP(A1882,'11 - FINANCEIRA'!_xlnm.Print_Area,6,FALSE)</f>
        <v>2</v>
      </c>
      <c r="K1880" s="1933"/>
      <c r="L1880" s="1343" t="str">
        <f>VLOOKUP(A1882,'11 - FINANCEIRA'!_xlnm.Print_Area,4,FALSE)</f>
        <v>und</v>
      </c>
      <c r="M1880" s="1934" t="s">
        <v>1521</v>
      </c>
      <c r="N1880" s="1935"/>
      <c r="O1880" s="1935"/>
      <c r="P1880" s="1935"/>
      <c r="Q1880" s="1936"/>
      <c r="R1880" s="726">
        <f>SUM(R1876:R1879)</f>
        <v>2</v>
      </c>
      <c r="S1880" s="1344" t="str">
        <f>L1880</f>
        <v>und</v>
      </c>
      <c r="T1880" s="373"/>
      <c r="U1880" s="486"/>
      <c r="V1880" s="1418">
        <f t="shared" si="192"/>
        <v>0</v>
      </c>
      <c r="AB1880" s="15"/>
    </row>
    <row r="1881" spans="1:36" s="77" customFormat="1" ht="15.6" hidden="1">
      <c r="A1881" s="370"/>
      <c r="B1881" s="499"/>
      <c r="C1881" s="725"/>
      <c r="D1881" s="1937" t="s">
        <v>1522</v>
      </c>
      <c r="E1881" s="1938"/>
      <c r="F1881" s="1938"/>
      <c r="G1881" s="1938"/>
      <c r="H1881" s="1938"/>
      <c r="I1881" s="1939"/>
      <c r="J1881" s="1943">
        <f>R1880/J1880</f>
        <v>1</v>
      </c>
      <c r="K1881" s="1944"/>
      <c r="L1881" s="1947"/>
      <c r="M1881" s="1934" t="s">
        <v>1523</v>
      </c>
      <c r="N1881" s="1935"/>
      <c r="O1881" s="1935"/>
      <c r="P1881" s="1935"/>
      <c r="Q1881" s="1936"/>
      <c r="R1881" s="726">
        <f>VLOOKUP(A1882,'11 - FINANCEIRA'!_xlnm.Print_Area,8,FALSE)</f>
        <v>2</v>
      </c>
      <c r="S1881" s="727" t="str">
        <f>L1880</f>
        <v>und</v>
      </c>
      <c r="T1881" s="373"/>
      <c r="U1881" s="486"/>
      <c r="V1881" s="1418">
        <f t="shared" si="192"/>
        <v>0</v>
      </c>
      <c r="AB1881" s="15"/>
    </row>
    <row r="1882" spans="1:36" s="77" customFormat="1" ht="15.6" hidden="1">
      <c r="A1882" s="364" t="s">
        <v>488</v>
      </c>
      <c r="B1882" s="499"/>
      <c r="C1882" s="37"/>
      <c r="D1882" s="2013"/>
      <c r="E1882" s="2014"/>
      <c r="F1882" s="2014"/>
      <c r="G1882" s="2014"/>
      <c r="H1882" s="2014"/>
      <c r="I1882" s="2015"/>
      <c r="J1882" s="2016"/>
      <c r="K1882" s="2017"/>
      <c r="L1882" s="1962"/>
      <c r="M1882" s="2007" t="s">
        <v>1524</v>
      </c>
      <c r="N1882" s="2008"/>
      <c r="O1882" s="2008"/>
      <c r="P1882" s="2008"/>
      <c r="Q1882" s="2009"/>
      <c r="R1882" s="1345">
        <f>R1880-R1881</f>
        <v>0</v>
      </c>
      <c r="S1882" s="1346" t="str">
        <f>L1880</f>
        <v>und</v>
      </c>
      <c r="T1882" s="373"/>
      <c r="U1882" s="486"/>
      <c r="V1882" s="1418">
        <f>R1882</f>
        <v>0</v>
      </c>
      <c r="AB1882" s="15"/>
    </row>
    <row r="1883" spans="1:36" s="77" customFormat="1" ht="15.6" hidden="1">
      <c r="A1883" s="370"/>
      <c r="B1883" s="1347"/>
      <c r="C1883" s="1348"/>
      <c r="D1883" s="1349"/>
      <c r="E1883" s="1350"/>
      <c r="F1883" s="1349"/>
      <c r="G1883" s="1349"/>
      <c r="H1883" s="1349"/>
      <c r="I1883" s="1349"/>
      <c r="J1883" s="1351"/>
      <c r="K1883" s="1352"/>
      <c r="L1883" s="1353"/>
      <c r="M1883" s="1354"/>
      <c r="N1883" s="1354"/>
      <c r="O1883" s="1354"/>
      <c r="P1883" s="1354"/>
      <c r="Q1883" s="1354"/>
      <c r="R1883" s="1355"/>
      <c r="S1883" s="1356"/>
      <c r="T1883" s="1357"/>
      <c r="U1883" s="1358"/>
      <c r="V1883" s="1420">
        <f>SUM(V1874:V1882)</f>
        <v>0</v>
      </c>
      <c r="AB1883" s="15"/>
    </row>
    <row r="1884" spans="1:36" s="352" customFormat="1" ht="15.6" hidden="1">
      <c r="A1884" s="351"/>
      <c r="B1884" s="1963" t="str">
        <f>VLOOKUP(A1892,'11 - FINANCEIRA'!_xlnm.Print_Area,1,FALSE)</f>
        <v>2.3.10.9</v>
      </c>
      <c r="C1884" s="1965" t="str">
        <f>VLOOKUP(A1892,'11 - FINANCEIRA'!_xlnm.Print_Area,3,FALSE)</f>
        <v>Luva de redução, pvc, soldável, dn 32mm x 25mm, instalado em ramal de distribuição de água - fornecimento e instalação. af_12/2014</v>
      </c>
      <c r="D1884" s="1967" t="s">
        <v>1503</v>
      </c>
      <c r="E1884" s="1968"/>
      <c r="F1884" s="1968"/>
      <c r="G1884" s="1968"/>
      <c r="H1884" s="1968"/>
      <c r="I1884" s="1969"/>
      <c r="J1884" s="1914" t="s">
        <v>1504</v>
      </c>
      <c r="K1884" s="1914" t="s">
        <v>1505</v>
      </c>
      <c r="L1884" s="1914" t="s">
        <v>1506</v>
      </c>
      <c r="M1884" s="1914" t="s">
        <v>1507</v>
      </c>
      <c r="N1884" s="1914" t="s">
        <v>1508</v>
      </c>
      <c r="O1884" s="1914" t="s">
        <v>1509</v>
      </c>
      <c r="P1884" s="1341" t="s">
        <v>1510</v>
      </c>
      <c r="Q1884" s="1914" t="s">
        <v>1493</v>
      </c>
      <c r="R1884" s="1916" t="s">
        <v>804</v>
      </c>
      <c r="S1884" s="1914" t="s">
        <v>1511</v>
      </c>
      <c r="T1884" s="1914" t="s">
        <v>1512</v>
      </c>
      <c r="U1884" s="1918" t="s">
        <v>1513</v>
      </c>
      <c r="V1884" s="1418">
        <f t="shared" ref="V1884:V1891" si="193">V1885</f>
        <v>0</v>
      </c>
      <c r="W1884" s="16"/>
      <c r="X1884" s="16"/>
      <c r="Y1884" s="16"/>
      <c r="Z1884" s="17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</row>
    <row r="1885" spans="1:36" s="352" customFormat="1" ht="15.6" hidden="1">
      <c r="A1885" s="351"/>
      <c r="B1885" s="1964" t="e">
        <f>LEFT(#REF!,5)</f>
        <v>#REF!</v>
      </c>
      <c r="C1885" s="1966" t="e">
        <f>VLOOKUP(LEFT(#REF!,5),'11 - FINANCEIRA'!_xlnm.Print_Area,2,FALSE)</f>
        <v>#REF!</v>
      </c>
      <c r="D1885" s="1920" t="s">
        <v>1514</v>
      </c>
      <c r="E1885" s="1921"/>
      <c r="F1885" s="1922"/>
      <c r="G1885" s="1923" t="s">
        <v>1515</v>
      </c>
      <c r="H1885" s="1924"/>
      <c r="I1885" s="1925"/>
      <c r="J1885" s="1915"/>
      <c r="K1885" s="1915"/>
      <c r="L1885" s="1915"/>
      <c r="M1885" s="1915"/>
      <c r="N1885" s="1915"/>
      <c r="O1885" s="1915"/>
      <c r="P1885" s="353" t="s">
        <v>1516</v>
      </c>
      <c r="Q1885" s="1915"/>
      <c r="R1885" s="1917"/>
      <c r="S1885" s="1915"/>
      <c r="T1885" s="1915"/>
      <c r="U1885" s="1919"/>
      <c r="V1885" s="1418">
        <f t="shared" si="193"/>
        <v>0</v>
      </c>
      <c r="W1885" s="16"/>
      <c r="X1885" s="16"/>
      <c r="Y1885" s="16"/>
      <c r="Z1885" s="17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</row>
    <row r="1886" spans="1:36" s="361" customFormat="1" ht="15" hidden="1" customHeight="1">
      <c r="A1886" s="354"/>
      <c r="B1886" s="355"/>
      <c r="C1886" s="32" t="s">
        <v>1004</v>
      </c>
      <c r="D1886" s="33"/>
      <c r="E1886" s="34"/>
      <c r="F1886" s="35"/>
      <c r="G1886" s="33"/>
      <c r="H1886" s="34"/>
      <c r="I1886" s="35"/>
      <c r="J1886" s="43"/>
      <c r="K1886" s="42"/>
      <c r="L1886" s="39"/>
      <c r="M1886" s="41"/>
      <c r="N1886" s="356"/>
      <c r="O1886" s="40"/>
      <c r="P1886" s="39"/>
      <c r="Q1886" s="45"/>
      <c r="R1886" s="1359">
        <v>2</v>
      </c>
      <c r="S1886" s="1265" t="s">
        <v>816</v>
      </c>
      <c r="T1886" s="46" t="s">
        <v>329</v>
      </c>
      <c r="U1886" s="44"/>
      <c r="V1886" s="1418">
        <f t="shared" si="193"/>
        <v>0</v>
      </c>
      <c r="W1886" s="357"/>
      <c r="X1886" s="357"/>
      <c r="Y1886" s="357"/>
      <c r="Z1886" s="358"/>
      <c r="AA1886" s="359"/>
      <c r="AB1886" s="360"/>
    </row>
    <row r="1887" spans="1:36" s="361" customFormat="1" ht="15" hidden="1" customHeight="1">
      <c r="A1887" s="354"/>
      <c r="B1887" s="355"/>
      <c r="C1887" s="32"/>
      <c r="D1887" s="33"/>
      <c r="E1887" s="34"/>
      <c r="F1887" s="35"/>
      <c r="G1887" s="33"/>
      <c r="H1887" s="34"/>
      <c r="I1887" s="35"/>
      <c r="J1887" s="43"/>
      <c r="K1887" s="42"/>
      <c r="L1887" s="39"/>
      <c r="M1887" s="41"/>
      <c r="N1887" s="356"/>
      <c r="O1887" s="40"/>
      <c r="P1887" s="39"/>
      <c r="Q1887" s="45"/>
      <c r="R1887" s="362"/>
      <c r="S1887" s="363"/>
      <c r="T1887" s="46"/>
      <c r="U1887" s="44"/>
      <c r="V1887" s="1418">
        <f t="shared" si="193"/>
        <v>0</v>
      </c>
      <c r="W1887" s="357"/>
      <c r="X1887" s="357"/>
      <c r="Y1887" s="357"/>
      <c r="Z1887" s="358"/>
      <c r="AA1887" s="359"/>
      <c r="AB1887" s="360"/>
    </row>
    <row r="1888" spans="1:36" s="369" customFormat="1" ht="15" hidden="1">
      <c r="A1888" s="364"/>
      <c r="B1888" s="355"/>
      <c r="C1888" s="32"/>
      <c r="D1888" s="33"/>
      <c r="E1888" s="34"/>
      <c r="F1888" s="35"/>
      <c r="G1888" s="33"/>
      <c r="H1888" s="34"/>
      <c r="I1888" s="35"/>
      <c r="J1888" s="43"/>
      <c r="K1888" s="42"/>
      <c r="L1888" s="39"/>
      <c r="M1888" s="41"/>
      <c r="N1888" s="40"/>
      <c r="O1888" s="40"/>
      <c r="P1888" s="39"/>
      <c r="Q1888" s="38"/>
      <c r="R1888" s="365"/>
      <c r="S1888" s="366"/>
      <c r="T1888" s="46"/>
      <c r="U1888" s="44"/>
      <c r="V1888" s="1418">
        <f t="shared" si="193"/>
        <v>0</v>
      </c>
      <c r="W1888" s="367"/>
      <c r="X1888" s="367"/>
      <c r="Y1888" s="367"/>
      <c r="Z1888" s="368"/>
    </row>
    <row r="1889" spans="1:36" s="77" customFormat="1" ht="15" hidden="1">
      <c r="A1889" s="370"/>
      <c r="B1889" s="29"/>
      <c r="C1889" s="30"/>
      <c r="D1889" s="18"/>
      <c r="E1889" s="19"/>
      <c r="F1889" s="20"/>
      <c r="G1889" s="18"/>
      <c r="H1889" s="19"/>
      <c r="I1889" s="20"/>
      <c r="J1889" s="21"/>
      <c r="K1889" s="22"/>
      <c r="L1889" s="23"/>
      <c r="M1889" s="24"/>
      <c r="N1889" s="25"/>
      <c r="O1889" s="25"/>
      <c r="P1889" s="23"/>
      <c r="Q1889" s="26"/>
      <c r="R1889" s="371"/>
      <c r="S1889" s="27"/>
      <c r="T1889" s="372"/>
      <c r="U1889" s="31"/>
      <c r="V1889" s="1418">
        <f t="shared" si="193"/>
        <v>0</v>
      </c>
      <c r="AB1889" s="15"/>
    </row>
    <row r="1890" spans="1:36" s="77" customFormat="1" ht="15.6" hidden="1">
      <c r="A1890" s="370"/>
      <c r="B1890" s="499"/>
      <c r="C1890" s="37"/>
      <c r="D1890" s="1929" t="s">
        <v>1520</v>
      </c>
      <c r="E1890" s="1930"/>
      <c r="F1890" s="1930"/>
      <c r="G1890" s="1930"/>
      <c r="H1890" s="1930"/>
      <c r="I1890" s="1931"/>
      <c r="J1890" s="1932">
        <f>VLOOKUP(A1892,'11 - FINANCEIRA'!_xlnm.Print_Area,6,FALSE)</f>
        <v>2</v>
      </c>
      <c r="K1890" s="1933"/>
      <c r="L1890" s="1343" t="str">
        <f>VLOOKUP(A1892,'11 - FINANCEIRA'!_xlnm.Print_Area,4,FALSE)</f>
        <v>und</v>
      </c>
      <c r="M1890" s="1934" t="s">
        <v>1521</v>
      </c>
      <c r="N1890" s="1935"/>
      <c r="O1890" s="1935"/>
      <c r="P1890" s="1935"/>
      <c r="Q1890" s="1936"/>
      <c r="R1890" s="726">
        <f>SUM(R1886:R1889)</f>
        <v>2</v>
      </c>
      <c r="S1890" s="1344" t="str">
        <f>L1890</f>
        <v>und</v>
      </c>
      <c r="T1890" s="373"/>
      <c r="U1890" s="486"/>
      <c r="V1890" s="1418">
        <f t="shared" si="193"/>
        <v>0</v>
      </c>
      <c r="AB1890" s="15"/>
    </row>
    <row r="1891" spans="1:36" s="77" customFormat="1" ht="15.6" hidden="1">
      <c r="A1891" s="370"/>
      <c r="B1891" s="499"/>
      <c r="C1891" s="725"/>
      <c r="D1891" s="1937" t="s">
        <v>1522</v>
      </c>
      <c r="E1891" s="1938"/>
      <c r="F1891" s="1938"/>
      <c r="G1891" s="1938"/>
      <c r="H1891" s="1938"/>
      <c r="I1891" s="1939"/>
      <c r="J1891" s="1943">
        <f>R1890/J1890</f>
        <v>1</v>
      </c>
      <c r="K1891" s="1944"/>
      <c r="L1891" s="1947"/>
      <c r="M1891" s="1934" t="s">
        <v>1523</v>
      </c>
      <c r="N1891" s="1935"/>
      <c r="O1891" s="1935"/>
      <c r="P1891" s="1935"/>
      <c r="Q1891" s="1936"/>
      <c r="R1891" s="726">
        <f>VLOOKUP(A1892,'11 - FINANCEIRA'!_xlnm.Print_Area,8,FALSE)</f>
        <v>2</v>
      </c>
      <c r="S1891" s="727" t="str">
        <f>L1890</f>
        <v>und</v>
      </c>
      <c r="T1891" s="373"/>
      <c r="U1891" s="486"/>
      <c r="V1891" s="1418">
        <f t="shared" si="193"/>
        <v>0</v>
      </c>
      <c r="AB1891" s="15"/>
    </row>
    <row r="1892" spans="1:36" s="77" customFormat="1" ht="15.6" hidden="1">
      <c r="A1892" s="364" t="s">
        <v>489</v>
      </c>
      <c r="B1892" s="499"/>
      <c r="C1892" s="37"/>
      <c r="D1892" s="2013"/>
      <c r="E1892" s="2014"/>
      <c r="F1892" s="2014"/>
      <c r="G1892" s="2014"/>
      <c r="H1892" s="2014"/>
      <c r="I1892" s="2015"/>
      <c r="J1892" s="2016"/>
      <c r="K1892" s="2017"/>
      <c r="L1892" s="1962"/>
      <c r="M1892" s="2007" t="s">
        <v>1524</v>
      </c>
      <c r="N1892" s="2008"/>
      <c r="O1892" s="2008"/>
      <c r="P1892" s="2008"/>
      <c r="Q1892" s="2009"/>
      <c r="R1892" s="1345">
        <f>R1890-R1891</f>
        <v>0</v>
      </c>
      <c r="S1892" s="1346" t="str">
        <f>L1890</f>
        <v>und</v>
      </c>
      <c r="T1892" s="373"/>
      <c r="U1892" s="486"/>
      <c r="V1892" s="1418">
        <f>R1892</f>
        <v>0</v>
      </c>
      <c r="AB1892" s="15"/>
    </row>
    <row r="1893" spans="1:36" s="77" customFormat="1" ht="15.6" hidden="1">
      <c r="A1893" s="370"/>
      <c r="B1893" s="1347"/>
      <c r="C1893" s="1348"/>
      <c r="D1893" s="1349"/>
      <c r="E1893" s="1350"/>
      <c r="F1893" s="1349"/>
      <c r="G1893" s="1349"/>
      <c r="H1893" s="1349"/>
      <c r="I1893" s="1349"/>
      <c r="J1893" s="1351"/>
      <c r="K1893" s="1352"/>
      <c r="L1893" s="1353"/>
      <c r="M1893" s="1354"/>
      <c r="N1893" s="1354"/>
      <c r="O1893" s="1354"/>
      <c r="P1893" s="1354"/>
      <c r="Q1893" s="1354"/>
      <c r="R1893" s="1355"/>
      <c r="S1893" s="1356"/>
      <c r="T1893" s="1357"/>
      <c r="U1893" s="1358"/>
      <c r="V1893" s="1420">
        <f>SUM(V1884:V1892)</f>
        <v>0</v>
      </c>
      <c r="AB1893" s="15"/>
    </row>
    <row r="1894" spans="1:36" s="352" customFormat="1" ht="15.6" hidden="1">
      <c r="A1894" s="351"/>
      <c r="B1894" s="1963" t="str">
        <f>VLOOKUP(A1902,'11 - FINANCEIRA'!_xlnm.Print_Area,1,FALSE)</f>
        <v>2.3.10.10</v>
      </c>
      <c r="C1894" s="1965" t="str">
        <f>VLOOKUP(A1902,'11 - FINANCEIRA'!_xlnm.Print_Area,3,FALSE)</f>
        <v>Válvula de descarga em metal cromado para mictorio com acionamento por pressao e fechamento automatico</v>
      </c>
      <c r="D1894" s="1967" t="s">
        <v>1503</v>
      </c>
      <c r="E1894" s="1968"/>
      <c r="F1894" s="1968"/>
      <c r="G1894" s="1968"/>
      <c r="H1894" s="1968"/>
      <c r="I1894" s="1969"/>
      <c r="J1894" s="1914" t="s">
        <v>1504</v>
      </c>
      <c r="K1894" s="1914" t="s">
        <v>1505</v>
      </c>
      <c r="L1894" s="1914" t="s">
        <v>1506</v>
      </c>
      <c r="M1894" s="1914" t="s">
        <v>1507</v>
      </c>
      <c r="N1894" s="1914" t="s">
        <v>1508</v>
      </c>
      <c r="O1894" s="1914" t="s">
        <v>1509</v>
      </c>
      <c r="P1894" s="1341" t="s">
        <v>1510</v>
      </c>
      <c r="Q1894" s="1914" t="s">
        <v>1493</v>
      </c>
      <c r="R1894" s="1916" t="s">
        <v>804</v>
      </c>
      <c r="S1894" s="1914" t="s">
        <v>1511</v>
      </c>
      <c r="T1894" s="1914" t="s">
        <v>1512</v>
      </c>
      <c r="U1894" s="1918" t="s">
        <v>1513</v>
      </c>
      <c r="V1894" s="1418">
        <f t="shared" ref="V1894:V1901" si="194">V1895</f>
        <v>0</v>
      </c>
      <c r="W1894" s="16"/>
      <c r="X1894" s="16"/>
      <c r="Y1894" s="16"/>
      <c r="Z1894" s="17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</row>
    <row r="1895" spans="1:36" s="352" customFormat="1" ht="15.6" hidden="1">
      <c r="A1895" s="351"/>
      <c r="B1895" s="1964" t="e">
        <f>LEFT(#REF!,5)</f>
        <v>#REF!</v>
      </c>
      <c r="C1895" s="1966" t="e">
        <f>VLOOKUP(LEFT(#REF!,5),'11 - FINANCEIRA'!_xlnm.Print_Area,2,FALSE)</f>
        <v>#REF!</v>
      </c>
      <c r="D1895" s="1920" t="s">
        <v>1514</v>
      </c>
      <c r="E1895" s="1921"/>
      <c r="F1895" s="1922"/>
      <c r="G1895" s="1923" t="s">
        <v>1515</v>
      </c>
      <c r="H1895" s="1924"/>
      <c r="I1895" s="1925"/>
      <c r="J1895" s="1915"/>
      <c r="K1895" s="1915"/>
      <c r="L1895" s="1915"/>
      <c r="M1895" s="1915"/>
      <c r="N1895" s="1915"/>
      <c r="O1895" s="1915"/>
      <c r="P1895" s="353" t="s">
        <v>1516</v>
      </c>
      <c r="Q1895" s="1915"/>
      <c r="R1895" s="1917"/>
      <c r="S1895" s="1915"/>
      <c r="T1895" s="1915"/>
      <c r="U1895" s="1919"/>
      <c r="V1895" s="1418">
        <f t="shared" si="194"/>
        <v>0</v>
      </c>
      <c r="W1895" s="16"/>
      <c r="X1895" s="16"/>
      <c r="Y1895" s="16"/>
      <c r="Z1895" s="17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</row>
    <row r="1896" spans="1:36" s="361" customFormat="1" ht="30" hidden="1">
      <c r="A1896" s="354"/>
      <c r="B1896" s="355"/>
      <c r="C1896" s="32" t="s">
        <v>1006</v>
      </c>
      <c r="D1896" s="33"/>
      <c r="E1896" s="34"/>
      <c r="F1896" s="35"/>
      <c r="G1896" s="33"/>
      <c r="H1896" s="34"/>
      <c r="I1896" s="35"/>
      <c r="J1896" s="43"/>
      <c r="K1896" s="42"/>
      <c r="L1896" s="39"/>
      <c r="M1896" s="41"/>
      <c r="N1896" s="356"/>
      <c r="O1896" s="40"/>
      <c r="P1896" s="39"/>
      <c r="Q1896" s="45"/>
      <c r="R1896" s="1359">
        <v>1</v>
      </c>
      <c r="S1896" s="1265" t="s">
        <v>816</v>
      </c>
      <c r="T1896" s="46" t="s">
        <v>329</v>
      </c>
      <c r="U1896" s="44"/>
      <c r="V1896" s="1418">
        <f>V1897</f>
        <v>0</v>
      </c>
      <c r="W1896" s="357"/>
      <c r="X1896" s="357"/>
      <c r="Y1896" s="357"/>
      <c r="Z1896" s="358"/>
      <c r="AA1896" s="359"/>
      <c r="AB1896" s="360"/>
    </row>
    <row r="1897" spans="1:36" s="361" customFormat="1" ht="15" hidden="1" customHeight="1">
      <c r="A1897" s="354"/>
      <c r="B1897" s="355"/>
      <c r="C1897" s="32"/>
      <c r="D1897" s="33"/>
      <c r="E1897" s="34"/>
      <c r="F1897" s="35"/>
      <c r="G1897" s="33"/>
      <c r="H1897" s="34"/>
      <c r="I1897" s="35"/>
      <c r="J1897" s="43"/>
      <c r="K1897" s="42"/>
      <c r="L1897" s="39"/>
      <c r="M1897" s="41"/>
      <c r="N1897" s="356"/>
      <c r="O1897" s="40"/>
      <c r="P1897" s="39"/>
      <c r="Q1897" s="45"/>
      <c r="R1897" s="362"/>
      <c r="S1897" s="363"/>
      <c r="T1897" s="46"/>
      <c r="U1897" s="44"/>
      <c r="V1897" s="1418">
        <f t="shared" si="194"/>
        <v>0</v>
      </c>
      <c r="W1897" s="357"/>
      <c r="X1897" s="357"/>
      <c r="Y1897" s="357"/>
      <c r="Z1897" s="358"/>
      <c r="AA1897" s="359"/>
      <c r="AB1897" s="360"/>
    </row>
    <row r="1898" spans="1:36" s="369" customFormat="1" ht="15" hidden="1">
      <c r="A1898" s="364"/>
      <c r="B1898" s="355"/>
      <c r="C1898" s="32"/>
      <c r="D1898" s="33"/>
      <c r="E1898" s="34"/>
      <c r="F1898" s="35"/>
      <c r="G1898" s="33"/>
      <c r="H1898" s="34"/>
      <c r="I1898" s="35"/>
      <c r="J1898" s="43"/>
      <c r="K1898" s="42"/>
      <c r="L1898" s="39"/>
      <c r="M1898" s="41"/>
      <c r="N1898" s="40"/>
      <c r="O1898" s="40"/>
      <c r="P1898" s="39"/>
      <c r="Q1898" s="38"/>
      <c r="R1898" s="365"/>
      <c r="S1898" s="366"/>
      <c r="T1898" s="46"/>
      <c r="U1898" s="44"/>
      <c r="V1898" s="1418">
        <f t="shared" si="194"/>
        <v>0</v>
      </c>
      <c r="W1898" s="367"/>
      <c r="X1898" s="367"/>
      <c r="Y1898" s="367"/>
      <c r="Z1898" s="368"/>
    </row>
    <row r="1899" spans="1:36" s="77" customFormat="1" ht="15" hidden="1">
      <c r="A1899" s="370"/>
      <c r="B1899" s="29"/>
      <c r="C1899" s="30"/>
      <c r="D1899" s="18"/>
      <c r="E1899" s="19"/>
      <c r="F1899" s="20"/>
      <c r="G1899" s="18"/>
      <c r="H1899" s="19"/>
      <c r="I1899" s="20"/>
      <c r="J1899" s="21"/>
      <c r="K1899" s="22"/>
      <c r="L1899" s="23"/>
      <c r="M1899" s="24"/>
      <c r="N1899" s="25"/>
      <c r="O1899" s="25"/>
      <c r="P1899" s="23"/>
      <c r="Q1899" s="26"/>
      <c r="R1899" s="371"/>
      <c r="S1899" s="27"/>
      <c r="T1899" s="372"/>
      <c r="U1899" s="31"/>
      <c r="V1899" s="1418">
        <f t="shared" si="194"/>
        <v>0</v>
      </c>
      <c r="AB1899" s="15"/>
    </row>
    <row r="1900" spans="1:36" s="77" customFormat="1" ht="15.6" hidden="1">
      <c r="A1900" s="370"/>
      <c r="B1900" s="499"/>
      <c r="C1900" s="37"/>
      <c r="D1900" s="1929" t="s">
        <v>1520</v>
      </c>
      <c r="E1900" s="1930"/>
      <c r="F1900" s="1930"/>
      <c r="G1900" s="1930"/>
      <c r="H1900" s="1930"/>
      <c r="I1900" s="1931"/>
      <c r="J1900" s="1932">
        <f>VLOOKUP(A1902,'11 - FINANCEIRA'!_xlnm.Print_Area,6,FALSE)</f>
        <v>1</v>
      </c>
      <c r="K1900" s="1933"/>
      <c r="L1900" s="1343" t="str">
        <f>VLOOKUP(A1902,'11 - FINANCEIRA'!_xlnm.Print_Area,4,FALSE)</f>
        <v>und</v>
      </c>
      <c r="M1900" s="1934" t="s">
        <v>1521</v>
      </c>
      <c r="N1900" s="1935"/>
      <c r="O1900" s="1935"/>
      <c r="P1900" s="1935"/>
      <c r="Q1900" s="1936"/>
      <c r="R1900" s="726">
        <f>SUM(R1896:R1899)</f>
        <v>1</v>
      </c>
      <c r="S1900" s="1344" t="str">
        <f>L1900</f>
        <v>und</v>
      </c>
      <c r="T1900" s="373"/>
      <c r="U1900" s="486"/>
      <c r="V1900" s="1418">
        <f t="shared" si="194"/>
        <v>0</v>
      </c>
      <c r="AB1900" s="15"/>
    </row>
    <row r="1901" spans="1:36" s="77" customFormat="1" ht="15.6" hidden="1">
      <c r="A1901" s="370"/>
      <c r="B1901" s="499"/>
      <c r="C1901" s="725"/>
      <c r="D1901" s="1937" t="s">
        <v>1522</v>
      </c>
      <c r="E1901" s="1938"/>
      <c r="F1901" s="1938"/>
      <c r="G1901" s="1938"/>
      <c r="H1901" s="1938"/>
      <c r="I1901" s="1939"/>
      <c r="J1901" s="1943">
        <f>R1900/J1900</f>
        <v>1</v>
      </c>
      <c r="K1901" s="1944"/>
      <c r="L1901" s="1947"/>
      <c r="M1901" s="1934" t="s">
        <v>1523</v>
      </c>
      <c r="N1901" s="1935"/>
      <c r="O1901" s="1935"/>
      <c r="P1901" s="1935"/>
      <c r="Q1901" s="1936"/>
      <c r="R1901" s="726">
        <f>VLOOKUP(A1902,'11 - FINANCEIRA'!_xlnm.Print_Area,8,FALSE)</f>
        <v>1</v>
      </c>
      <c r="S1901" s="727" t="str">
        <f>L1900</f>
        <v>und</v>
      </c>
      <c r="T1901" s="373"/>
      <c r="U1901" s="486"/>
      <c r="V1901" s="1418">
        <f t="shared" si="194"/>
        <v>0</v>
      </c>
      <c r="AB1901" s="15"/>
    </row>
    <row r="1902" spans="1:36" s="77" customFormat="1" ht="15.6" hidden="1">
      <c r="A1902" s="364" t="s">
        <v>490</v>
      </c>
      <c r="B1902" s="499"/>
      <c r="C1902" s="37"/>
      <c r="D1902" s="2013"/>
      <c r="E1902" s="2014"/>
      <c r="F1902" s="2014"/>
      <c r="G1902" s="2014"/>
      <c r="H1902" s="2014"/>
      <c r="I1902" s="2015"/>
      <c r="J1902" s="2016"/>
      <c r="K1902" s="2017"/>
      <c r="L1902" s="1962"/>
      <c r="M1902" s="2007" t="s">
        <v>1524</v>
      </c>
      <c r="N1902" s="2008"/>
      <c r="O1902" s="2008"/>
      <c r="P1902" s="2008"/>
      <c r="Q1902" s="2009"/>
      <c r="R1902" s="1345">
        <f>R1900-R1901</f>
        <v>0</v>
      </c>
      <c r="S1902" s="1346" t="str">
        <f>L1900</f>
        <v>und</v>
      </c>
      <c r="T1902" s="373"/>
      <c r="U1902" s="486"/>
      <c r="V1902" s="1418">
        <f>R1902</f>
        <v>0</v>
      </c>
      <c r="AB1902" s="15"/>
    </row>
    <row r="1903" spans="1:36" s="77" customFormat="1" ht="15.6" hidden="1">
      <c r="A1903" s="370"/>
      <c r="B1903" s="1347"/>
      <c r="C1903" s="1348"/>
      <c r="D1903" s="1349"/>
      <c r="E1903" s="1350"/>
      <c r="F1903" s="1349"/>
      <c r="G1903" s="1349"/>
      <c r="H1903" s="1349"/>
      <c r="I1903" s="1349"/>
      <c r="J1903" s="1351"/>
      <c r="K1903" s="1352"/>
      <c r="L1903" s="1353"/>
      <c r="M1903" s="1354"/>
      <c r="N1903" s="1354"/>
      <c r="O1903" s="1354"/>
      <c r="P1903" s="1354"/>
      <c r="Q1903" s="1354"/>
      <c r="R1903" s="1355"/>
      <c r="S1903" s="1356"/>
      <c r="T1903" s="1357"/>
      <c r="U1903" s="1358"/>
      <c r="V1903" s="1420">
        <f>SUM(V1894:V1902)</f>
        <v>0</v>
      </c>
      <c r="AB1903" s="15"/>
    </row>
    <row r="1904" spans="1:36" s="352" customFormat="1" ht="15.6" hidden="1">
      <c r="A1904" s="351"/>
      <c r="B1904" s="1963" t="str">
        <f>VLOOKUP(A1912,'11 - FINANCEIRA'!_xlnm.Print_Area,1,FALSE)</f>
        <v>2.3.10.11</v>
      </c>
      <c r="C1904" s="1965" t="str">
        <f>VLOOKUP(A1912,'11 - FINANCEIRA'!_xlnm.Print_Area,3,FALSE)</f>
        <v>Luva de redução, pvc, soldável, dn 25mm x 1/2, instalado em ramal de distribuição de água - fornecimento e instalação. af_12/2014</v>
      </c>
      <c r="D1904" s="1967" t="s">
        <v>1503</v>
      </c>
      <c r="E1904" s="1968"/>
      <c r="F1904" s="1968"/>
      <c r="G1904" s="1968"/>
      <c r="H1904" s="1968"/>
      <c r="I1904" s="1969"/>
      <c r="J1904" s="1914" t="s">
        <v>1504</v>
      </c>
      <c r="K1904" s="1914" t="s">
        <v>1505</v>
      </c>
      <c r="L1904" s="1914" t="s">
        <v>1506</v>
      </c>
      <c r="M1904" s="1914" t="s">
        <v>1507</v>
      </c>
      <c r="N1904" s="1914" t="s">
        <v>1508</v>
      </c>
      <c r="O1904" s="1914" t="s">
        <v>1509</v>
      </c>
      <c r="P1904" s="1341" t="s">
        <v>1510</v>
      </c>
      <c r="Q1904" s="1914" t="s">
        <v>1493</v>
      </c>
      <c r="R1904" s="1916" t="s">
        <v>804</v>
      </c>
      <c r="S1904" s="1914" t="s">
        <v>1511</v>
      </c>
      <c r="T1904" s="1914" t="s">
        <v>1512</v>
      </c>
      <c r="U1904" s="1918" t="s">
        <v>1513</v>
      </c>
      <c r="V1904" s="1418">
        <f t="shared" ref="V1904:V1911" si="195">V1905</f>
        <v>0</v>
      </c>
      <c r="W1904" s="16"/>
      <c r="X1904" s="16"/>
      <c r="Y1904" s="16"/>
      <c r="Z1904" s="17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</row>
    <row r="1905" spans="1:36" s="352" customFormat="1" ht="15.6" hidden="1">
      <c r="A1905" s="354"/>
      <c r="B1905" s="1964" t="e">
        <f>LEFT(#REF!,5)</f>
        <v>#REF!</v>
      </c>
      <c r="C1905" s="1966" t="e">
        <f>VLOOKUP(LEFT(#REF!,5),'11 - FINANCEIRA'!_xlnm.Print_Area,2,FALSE)</f>
        <v>#REF!</v>
      </c>
      <c r="D1905" s="1920" t="s">
        <v>1514</v>
      </c>
      <c r="E1905" s="1921"/>
      <c r="F1905" s="1922"/>
      <c r="G1905" s="1923" t="s">
        <v>1515</v>
      </c>
      <c r="H1905" s="1924"/>
      <c r="I1905" s="1925"/>
      <c r="J1905" s="1915"/>
      <c r="K1905" s="1915"/>
      <c r="L1905" s="1915"/>
      <c r="M1905" s="1915"/>
      <c r="N1905" s="1915"/>
      <c r="O1905" s="1915"/>
      <c r="P1905" s="353" t="s">
        <v>1516</v>
      </c>
      <c r="Q1905" s="1915"/>
      <c r="R1905" s="1917"/>
      <c r="S1905" s="1915"/>
      <c r="T1905" s="1915"/>
      <c r="U1905" s="1919"/>
      <c r="V1905" s="1418">
        <f t="shared" si="195"/>
        <v>0</v>
      </c>
      <c r="W1905" s="16"/>
      <c r="X1905" s="16"/>
      <c r="Y1905" s="16"/>
      <c r="Z1905" s="17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</row>
    <row r="1906" spans="1:36" s="361" customFormat="1" ht="30" hidden="1">
      <c r="A1906" s="354"/>
      <c r="B1906" s="355"/>
      <c r="C1906" s="32" t="s">
        <v>1008</v>
      </c>
      <c r="D1906" s="33"/>
      <c r="E1906" s="34"/>
      <c r="F1906" s="35"/>
      <c r="G1906" s="33"/>
      <c r="H1906" s="34"/>
      <c r="I1906" s="35"/>
      <c r="J1906" s="43"/>
      <c r="K1906" s="42"/>
      <c r="L1906" s="39"/>
      <c r="M1906" s="41"/>
      <c r="N1906" s="356"/>
      <c r="O1906" s="40"/>
      <c r="P1906" s="39"/>
      <c r="Q1906" s="45"/>
      <c r="R1906" s="1359">
        <v>1</v>
      </c>
      <c r="S1906" s="1265" t="s">
        <v>816</v>
      </c>
      <c r="T1906" s="46" t="s">
        <v>329</v>
      </c>
      <c r="U1906" s="44"/>
      <c r="V1906" s="1418">
        <f t="shared" si="195"/>
        <v>0</v>
      </c>
      <c r="W1906" s="357"/>
      <c r="X1906" s="357"/>
      <c r="Y1906" s="357"/>
      <c r="Z1906" s="358"/>
      <c r="AA1906" s="359"/>
      <c r="AB1906" s="360"/>
    </row>
    <row r="1907" spans="1:36" s="361" customFormat="1" ht="15" hidden="1" customHeight="1">
      <c r="A1907" s="364"/>
      <c r="B1907" s="355"/>
      <c r="C1907" s="32"/>
      <c r="D1907" s="33"/>
      <c r="E1907" s="34"/>
      <c r="F1907" s="35"/>
      <c r="G1907" s="33"/>
      <c r="H1907" s="34"/>
      <c r="I1907" s="35"/>
      <c r="J1907" s="43"/>
      <c r="K1907" s="42"/>
      <c r="L1907" s="39"/>
      <c r="M1907" s="41"/>
      <c r="N1907" s="356"/>
      <c r="O1907" s="40"/>
      <c r="P1907" s="39"/>
      <c r="Q1907" s="45"/>
      <c r="R1907" s="362"/>
      <c r="S1907" s="363"/>
      <c r="T1907" s="46"/>
      <c r="U1907" s="44"/>
      <c r="V1907" s="1418">
        <f t="shared" si="195"/>
        <v>0</v>
      </c>
      <c r="W1907" s="357"/>
      <c r="X1907" s="357"/>
      <c r="Y1907" s="357"/>
      <c r="Z1907" s="358"/>
      <c r="AA1907" s="359"/>
      <c r="AB1907" s="360"/>
    </row>
    <row r="1908" spans="1:36" s="369" customFormat="1" ht="15" hidden="1">
      <c r="A1908" s="370"/>
      <c r="B1908" s="355"/>
      <c r="C1908" s="32"/>
      <c r="D1908" s="33"/>
      <c r="E1908" s="34"/>
      <c r="F1908" s="35"/>
      <c r="G1908" s="33"/>
      <c r="H1908" s="34"/>
      <c r="I1908" s="35"/>
      <c r="J1908" s="43"/>
      <c r="K1908" s="42"/>
      <c r="L1908" s="39"/>
      <c r="M1908" s="41"/>
      <c r="N1908" s="40"/>
      <c r="O1908" s="40"/>
      <c r="P1908" s="39"/>
      <c r="Q1908" s="38"/>
      <c r="R1908" s="365"/>
      <c r="S1908" s="366"/>
      <c r="T1908" s="46"/>
      <c r="U1908" s="44"/>
      <c r="V1908" s="1418">
        <f t="shared" si="195"/>
        <v>0</v>
      </c>
      <c r="W1908" s="367"/>
      <c r="X1908" s="367"/>
      <c r="Y1908" s="367"/>
      <c r="Z1908" s="368"/>
    </row>
    <row r="1909" spans="1:36" s="77" customFormat="1" ht="15" hidden="1">
      <c r="A1909" s="370"/>
      <c r="B1909" s="29"/>
      <c r="C1909" s="30"/>
      <c r="D1909" s="18"/>
      <c r="E1909" s="19"/>
      <c r="F1909" s="20"/>
      <c r="G1909" s="18"/>
      <c r="H1909" s="19"/>
      <c r="I1909" s="20"/>
      <c r="J1909" s="21"/>
      <c r="K1909" s="22"/>
      <c r="L1909" s="23"/>
      <c r="M1909" s="24"/>
      <c r="N1909" s="25"/>
      <c r="O1909" s="25"/>
      <c r="P1909" s="23"/>
      <c r="Q1909" s="26"/>
      <c r="R1909" s="371"/>
      <c r="S1909" s="27"/>
      <c r="T1909" s="372"/>
      <c r="U1909" s="31"/>
      <c r="V1909" s="1418">
        <f t="shared" si="195"/>
        <v>0</v>
      </c>
      <c r="AB1909" s="15"/>
    </row>
    <row r="1910" spans="1:36" s="77" customFormat="1" ht="15.6" hidden="1">
      <c r="A1910" s="370"/>
      <c r="B1910" s="499"/>
      <c r="C1910" s="37"/>
      <c r="D1910" s="1929" t="s">
        <v>1520</v>
      </c>
      <c r="E1910" s="1930"/>
      <c r="F1910" s="1930"/>
      <c r="G1910" s="1930"/>
      <c r="H1910" s="1930"/>
      <c r="I1910" s="1931"/>
      <c r="J1910" s="1932">
        <f>VLOOKUP(A1912,'11 - FINANCEIRA'!_xlnm.Print_Area,6,FALSE)</f>
        <v>1</v>
      </c>
      <c r="K1910" s="1933"/>
      <c r="L1910" s="1343" t="str">
        <f>VLOOKUP(A1912,'11 - FINANCEIRA'!_xlnm.Print_Area,4,FALSE)</f>
        <v>und</v>
      </c>
      <c r="M1910" s="1934" t="s">
        <v>1521</v>
      </c>
      <c r="N1910" s="1935"/>
      <c r="O1910" s="1935"/>
      <c r="P1910" s="1935"/>
      <c r="Q1910" s="1936"/>
      <c r="R1910" s="726">
        <f>SUM(R1906:R1909)</f>
        <v>1</v>
      </c>
      <c r="S1910" s="1344" t="str">
        <f>L1910</f>
        <v>und</v>
      </c>
      <c r="T1910" s="373"/>
      <c r="U1910" s="486"/>
      <c r="V1910" s="1418">
        <f t="shared" si="195"/>
        <v>0</v>
      </c>
      <c r="AB1910" s="15"/>
    </row>
    <row r="1911" spans="1:36" s="77" customFormat="1" ht="15.6" hidden="1">
      <c r="A1911" s="364"/>
      <c r="B1911" s="499"/>
      <c r="C1911" s="725"/>
      <c r="D1911" s="1937" t="s">
        <v>1522</v>
      </c>
      <c r="E1911" s="1938"/>
      <c r="F1911" s="1938"/>
      <c r="G1911" s="1938"/>
      <c r="H1911" s="1938"/>
      <c r="I1911" s="1939"/>
      <c r="J1911" s="1943">
        <f>R1910/J1910</f>
        <v>1</v>
      </c>
      <c r="K1911" s="1944"/>
      <c r="L1911" s="1947"/>
      <c r="M1911" s="1934" t="s">
        <v>1523</v>
      </c>
      <c r="N1911" s="1935"/>
      <c r="O1911" s="1935"/>
      <c r="P1911" s="1935"/>
      <c r="Q1911" s="1936"/>
      <c r="R1911" s="726">
        <f>VLOOKUP(A1912,'11 - FINANCEIRA'!_xlnm.Print_Area,8,FALSE)</f>
        <v>1</v>
      </c>
      <c r="S1911" s="727" t="str">
        <f>L1910</f>
        <v>und</v>
      </c>
      <c r="T1911" s="373"/>
      <c r="U1911" s="486"/>
      <c r="V1911" s="1418">
        <f t="shared" si="195"/>
        <v>0</v>
      </c>
      <c r="AB1911" s="15"/>
    </row>
    <row r="1912" spans="1:36" s="77" customFormat="1" ht="15.6" hidden="1">
      <c r="A1912" s="364" t="s">
        <v>491</v>
      </c>
      <c r="B1912" s="499"/>
      <c r="C1912" s="37"/>
      <c r="D1912" s="2013"/>
      <c r="E1912" s="2014"/>
      <c r="F1912" s="2014"/>
      <c r="G1912" s="2014"/>
      <c r="H1912" s="2014"/>
      <c r="I1912" s="2015"/>
      <c r="J1912" s="2016"/>
      <c r="K1912" s="2017"/>
      <c r="L1912" s="1962"/>
      <c r="M1912" s="2007" t="s">
        <v>1524</v>
      </c>
      <c r="N1912" s="2008"/>
      <c r="O1912" s="2008"/>
      <c r="P1912" s="2008"/>
      <c r="Q1912" s="2009"/>
      <c r="R1912" s="1345">
        <f>R1910-R1911</f>
        <v>0</v>
      </c>
      <c r="S1912" s="1346" t="str">
        <f>L1910</f>
        <v>und</v>
      </c>
      <c r="T1912" s="373"/>
      <c r="U1912" s="486"/>
      <c r="V1912" s="1418">
        <f>R1912</f>
        <v>0</v>
      </c>
      <c r="AB1912" s="15"/>
    </row>
    <row r="1913" spans="1:36" s="77" customFormat="1" ht="15.6" hidden="1">
      <c r="A1913" s="370"/>
      <c r="B1913" s="1347"/>
      <c r="C1913" s="1348"/>
      <c r="D1913" s="1349"/>
      <c r="E1913" s="1350"/>
      <c r="F1913" s="1349"/>
      <c r="G1913" s="1349"/>
      <c r="H1913" s="1349"/>
      <c r="I1913" s="1349"/>
      <c r="J1913" s="1351"/>
      <c r="K1913" s="1352"/>
      <c r="L1913" s="1353"/>
      <c r="M1913" s="1354"/>
      <c r="N1913" s="1354"/>
      <c r="O1913" s="1354"/>
      <c r="P1913" s="1354"/>
      <c r="Q1913" s="1354"/>
      <c r="R1913" s="1355"/>
      <c r="S1913" s="1356"/>
      <c r="T1913" s="1357"/>
      <c r="U1913" s="1358"/>
      <c r="V1913" s="1420">
        <f>SUM(V1904:V1912)</f>
        <v>0</v>
      </c>
      <c r="AB1913" s="15"/>
    </row>
    <row r="1914" spans="1:36" s="352" customFormat="1" ht="15.6" hidden="1">
      <c r="A1914" s="351"/>
      <c r="B1914" s="1963" t="str">
        <f>VLOOKUP(A1922,'11 - FINANCEIRA'!_xlnm.Print_Area,1,FALSE)</f>
        <v>2.3.10.12</v>
      </c>
      <c r="C1914" s="1965" t="str">
        <f>VLOOKUP(A1922,'11 - FINANCEIRA'!_xlnm.Print_Area,3,FALSE)</f>
        <v>Registro de gaveta bruto diam. 25mm (1")</v>
      </c>
      <c r="D1914" s="1967" t="s">
        <v>1503</v>
      </c>
      <c r="E1914" s="1968"/>
      <c r="F1914" s="1968"/>
      <c r="G1914" s="1968"/>
      <c r="H1914" s="1968"/>
      <c r="I1914" s="1969"/>
      <c r="J1914" s="1914" t="s">
        <v>1504</v>
      </c>
      <c r="K1914" s="1914" t="s">
        <v>1505</v>
      </c>
      <c r="L1914" s="1914" t="s">
        <v>1506</v>
      </c>
      <c r="M1914" s="1914" t="s">
        <v>1507</v>
      </c>
      <c r="N1914" s="1914" t="s">
        <v>1508</v>
      </c>
      <c r="O1914" s="1914" t="s">
        <v>1509</v>
      </c>
      <c r="P1914" s="1341" t="s">
        <v>1510</v>
      </c>
      <c r="Q1914" s="1914" t="s">
        <v>1493</v>
      </c>
      <c r="R1914" s="1916" t="s">
        <v>804</v>
      </c>
      <c r="S1914" s="1914" t="s">
        <v>1511</v>
      </c>
      <c r="T1914" s="1914" t="s">
        <v>1512</v>
      </c>
      <c r="U1914" s="1918" t="s">
        <v>1513</v>
      </c>
      <c r="V1914" s="1418">
        <f t="shared" ref="V1914:V1921" si="196">V1915</f>
        <v>0</v>
      </c>
      <c r="W1914" s="16"/>
      <c r="X1914" s="16"/>
      <c r="Y1914" s="16"/>
      <c r="Z1914" s="17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</row>
    <row r="1915" spans="1:36" s="352" customFormat="1" ht="15.6" hidden="1">
      <c r="A1915" s="351"/>
      <c r="B1915" s="1964" t="e">
        <f>LEFT(#REF!,5)</f>
        <v>#REF!</v>
      </c>
      <c r="C1915" s="1966" t="e">
        <f>VLOOKUP(LEFT(#REF!,5),'11 - FINANCEIRA'!_xlnm.Print_Area,2,FALSE)</f>
        <v>#REF!</v>
      </c>
      <c r="D1915" s="1920" t="s">
        <v>1514</v>
      </c>
      <c r="E1915" s="1921"/>
      <c r="F1915" s="1922"/>
      <c r="G1915" s="1923" t="s">
        <v>1515</v>
      </c>
      <c r="H1915" s="1924"/>
      <c r="I1915" s="1925"/>
      <c r="J1915" s="1915"/>
      <c r="K1915" s="1915"/>
      <c r="L1915" s="1915"/>
      <c r="M1915" s="1915"/>
      <c r="N1915" s="1915"/>
      <c r="O1915" s="1915"/>
      <c r="P1915" s="353" t="s">
        <v>1516</v>
      </c>
      <c r="Q1915" s="1915"/>
      <c r="R1915" s="1917"/>
      <c r="S1915" s="1915"/>
      <c r="T1915" s="1915"/>
      <c r="U1915" s="1919"/>
      <c r="V1915" s="1418">
        <f t="shared" si="196"/>
        <v>0</v>
      </c>
      <c r="W1915" s="16"/>
      <c r="X1915" s="16"/>
      <c r="Y1915" s="16"/>
      <c r="Z1915" s="17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</row>
    <row r="1916" spans="1:36" s="361" customFormat="1" ht="15" hidden="1">
      <c r="A1916" s="354"/>
      <c r="B1916" s="355"/>
      <c r="C1916" s="32" t="s">
        <v>1010</v>
      </c>
      <c r="D1916" s="33"/>
      <c r="E1916" s="34"/>
      <c r="F1916" s="35"/>
      <c r="G1916" s="33"/>
      <c r="H1916" s="34"/>
      <c r="I1916" s="35"/>
      <c r="J1916" s="43"/>
      <c r="K1916" s="42"/>
      <c r="L1916" s="39"/>
      <c r="M1916" s="41"/>
      <c r="N1916" s="356"/>
      <c r="O1916" s="40"/>
      <c r="P1916" s="39"/>
      <c r="Q1916" s="45"/>
      <c r="R1916" s="1359">
        <v>5</v>
      </c>
      <c r="S1916" s="1265" t="s">
        <v>816</v>
      </c>
      <c r="T1916" s="46" t="s">
        <v>329</v>
      </c>
      <c r="U1916" s="44"/>
      <c r="V1916" s="1418">
        <f t="shared" si="196"/>
        <v>0</v>
      </c>
      <c r="W1916" s="357"/>
      <c r="X1916" s="357"/>
      <c r="Y1916" s="357"/>
      <c r="Z1916" s="358"/>
      <c r="AA1916" s="359"/>
      <c r="AB1916" s="360"/>
    </row>
    <row r="1917" spans="1:36" s="361" customFormat="1" ht="15" hidden="1" customHeight="1">
      <c r="A1917" s="354"/>
      <c r="B1917" s="355"/>
      <c r="C1917" s="32"/>
      <c r="D1917" s="33"/>
      <c r="E1917" s="34"/>
      <c r="F1917" s="35"/>
      <c r="G1917" s="33"/>
      <c r="H1917" s="34"/>
      <c r="I1917" s="35"/>
      <c r="J1917" s="43"/>
      <c r="K1917" s="42"/>
      <c r="L1917" s="39"/>
      <c r="M1917" s="41"/>
      <c r="N1917" s="356"/>
      <c r="O1917" s="40"/>
      <c r="P1917" s="39"/>
      <c r="Q1917" s="45"/>
      <c r="R1917" s="362"/>
      <c r="S1917" s="363"/>
      <c r="T1917" s="46"/>
      <c r="U1917" s="44"/>
      <c r="V1917" s="1418">
        <f t="shared" si="196"/>
        <v>0</v>
      </c>
      <c r="W1917" s="357"/>
      <c r="X1917" s="357"/>
      <c r="Y1917" s="357"/>
      <c r="Z1917" s="358"/>
      <c r="AA1917" s="359"/>
      <c r="AB1917" s="360"/>
    </row>
    <row r="1918" spans="1:36" s="369" customFormat="1" ht="15" hidden="1">
      <c r="A1918" s="364"/>
      <c r="B1918" s="355"/>
      <c r="C1918" s="32"/>
      <c r="D1918" s="33"/>
      <c r="E1918" s="34"/>
      <c r="F1918" s="35"/>
      <c r="G1918" s="33"/>
      <c r="H1918" s="34"/>
      <c r="I1918" s="35"/>
      <c r="J1918" s="43"/>
      <c r="K1918" s="42"/>
      <c r="L1918" s="39"/>
      <c r="M1918" s="41"/>
      <c r="N1918" s="40"/>
      <c r="O1918" s="40"/>
      <c r="P1918" s="39"/>
      <c r="Q1918" s="38"/>
      <c r="R1918" s="365"/>
      <c r="S1918" s="366"/>
      <c r="T1918" s="46"/>
      <c r="U1918" s="44"/>
      <c r="V1918" s="1418">
        <f t="shared" si="196"/>
        <v>0</v>
      </c>
      <c r="W1918" s="367"/>
      <c r="X1918" s="367"/>
      <c r="Y1918" s="367"/>
      <c r="Z1918" s="368"/>
    </row>
    <row r="1919" spans="1:36" s="77" customFormat="1" ht="15" hidden="1">
      <c r="A1919" s="370"/>
      <c r="B1919" s="29"/>
      <c r="C1919" s="30"/>
      <c r="D1919" s="18"/>
      <c r="E1919" s="19"/>
      <c r="F1919" s="20"/>
      <c r="G1919" s="18"/>
      <c r="H1919" s="19"/>
      <c r="I1919" s="20"/>
      <c r="J1919" s="21"/>
      <c r="K1919" s="22"/>
      <c r="L1919" s="23"/>
      <c r="M1919" s="24"/>
      <c r="N1919" s="25"/>
      <c r="O1919" s="25"/>
      <c r="P1919" s="23"/>
      <c r="Q1919" s="26"/>
      <c r="R1919" s="371"/>
      <c r="S1919" s="27"/>
      <c r="T1919" s="372"/>
      <c r="U1919" s="31"/>
      <c r="V1919" s="1418">
        <f t="shared" si="196"/>
        <v>0</v>
      </c>
      <c r="AB1919" s="15"/>
    </row>
    <row r="1920" spans="1:36" s="77" customFormat="1" ht="15.6" hidden="1">
      <c r="A1920" s="370"/>
      <c r="B1920" s="499"/>
      <c r="C1920" s="37"/>
      <c r="D1920" s="1929" t="s">
        <v>1520</v>
      </c>
      <c r="E1920" s="1930"/>
      <c r="F1920" s="1930"/>
      <c r="G1920" s="1930"/>
      <c r="H1920" s="1930"/>
      <c r="I1920" s="1931"/>
      <c r="J1920" s="1932">
        <f>VLOOKUP(A1922,'11 - FINANCEIRA'!_xlnm.Print_Area,6,FALSE)</f>
        <v>5</v>
      </c>
      <c r="K1920" s="1933"/>
      <c r="L1920" s="1343" t="str">
        <f>VLOOKUP(A1922,'11 - FINANCEIRA'!_xlnm.Print_Area,4,FALSE)</f>
        <v>und</v>
      </c>
      <c r="M1920" s="1934" t="s">
        <v>1521</v>
      </c>
      <c r="N1920" s="1935"/>
      <c r="O1920" s="1935"/>
      <c r="P1920" s="1935"/>
      <c r="Q1920" s="1936"/>
      <c r="R1920" s="726">
        <f>SUM(R1916:R1919)</f>
        <v>5</v>
      </c>
      <c r="S1920" s="1344" t="str">
        <f>L1920</f>
        <v>und</v>
      </c>
      <c r="T1920" s="373"/>
      <c r="U1920" s="486"/>
      <c r="V1920" s="1418">
        <f t="shared" si="196"/>
        <v>0</v>
      </c>
      <c r="AB1920" s="15"/>
    </row>
    <row r="1921" spans="1:36" s="77" customFormat="1" ht="15.6" hidden="1">
      <c r="A1921" s="370"/>
      <c r="B1921" s="499"/>
      <c r="C1921" s="725"/>
      <c r="D1921" s="1937" t="s">
        <v>1522</v>
      </c>
      <c r="E1921" s="1938"/>
      <c r="F1921" s="1938"/>
      <c r="G1921" s="1938"/>
      <c r="H1921" s="1938"/>
      <c r="I1921" s="1939"/>
      <c r="J1921" s="1943">
        <f>R1920/J1920</f>
        <v>1</v>
      </c>
      <c r="K1921" s="1944"/>
      <c r="L1921" s="1947"/>
      <c r="M1921" s="1934" t="s">
        <v>1523</v>
      </c>
      <c r="N1921" s="1935"/>
      <c r="O1921" s="1935"/>
      <c r="P1921" s="1935"/>
      <c r="Q1921" s="1936"/>
      <c r="R1921" s="726">
        <f>VLOOKUP(A1922,'11 - FINANCEIRA'!_xlnm.Print_Area,8,FALSE)</f>
        <v>5</v>
      </c>
      <c r="S1921" s="727" t="str">
        <f>L1920</f>
        <v>und</v>
      </c>
      <c r="T1921" s="373"/>
      <c r="U1921" s="486"/>
      <c r="V1921" s="1418">
        <f t="shared" si="196"/>
        <v>0</v>
      </c>
      <c r="AB1921" s="15"/>
    </row>
    <row r="1922" spans="1:36" s="77" customFormat="1" ht="15.6" hidden="1">
      <c r="A1922" s="364" t="s">
        <v>492</v>
      </c>
      <c r="B1922" s="499"/>
      <c r="C1922" s="37"/>
      <c r="D1922" s="2013"/>
      <c r="E1922" s="2014"/>
      <c r="F1922" s="2014"/>
      <c r="G1922" s="2014"/>
      <c r="H1922" s="2014"/>
      <c r="I1922" s="2015"/>
      <c r="J1922" s="2016"/>
      <c r="K1922" s="2017"/>
      <c r="L1922" s="1962"/>
      <c r="M1922" s="2007" t="s">
        <v>1524</v>
      </c>
      <c r="N1922" s="2008"/>
      <c r="O1922" s="2008"/>
      <c r="P1922" s="2008"/>
      <c r="Q1922" s="2009"/>
      <c r="R1922" s="1345">
        <f>R1920-R1921</f>
        <v>0</v>
      </c>
      <c r="S1922" s="1346" t="str">
        <f>L1920</f>
        <v>und</v>
      </c>
      <c r="T1922" s="373"/>
      <c r="U1922" s="486"/>
      <c r="V1922" s="1418">
        <f>R1922</f>
        <v>0</v>
      </c>
      <c r="AB1922" s="15"/>
    </row>
    <row r="1923" spans="1:36" s="77" customFormat="1" ht="15.6" hidden="1">
      <c r="A1923" s="370"/>
      <c r="B1923" s="1347"/>
      <c r="C1923" s="1348"/>
      <c r="D1923" s="1349"/>
      <c r="E1923" s="1350"/>
      <c r="F1923" s="1349"/>
      <c r="G1923" s="1349"/>
      <c r="H1923" s="1349"/>
      <c r="I1923" s="1349"/>
      <c r="J1923" s="1351"/>
      <c r="K1923" s="1352"/>
      <c r="L1923" s="1353"/>
      <c r="M1923" s="1354"/>
      <c r="N1923" s="1354"/>
      <c r="O1923" s="1354"/>
      <c r="P1923" s="1354"/>
      <c r="Q1923" s="1354"/>
      <c r="R1923" s="1355"/>
      <c r="S1923" s="1356"/>
      <c r="T1923" s="1357"/>
      <c r="U1923" s="1358"/>
      <c r="V1923" s="1420">
        <f>SUM(V1914:V1922)</f>
        <v>0</v>
      </c>
      <c r="AB1923" s="15"/>
    </row>
    <row r="1924" spans="1:36" s="352" customFormat="1" ht="15.6" hidden="1">
      <c r="A1924" s="351"/>
      <c r="B1924" s="1963" t="str">
        <f>VLOOKUP(A1932,'11 - FINANCEIRA'!_xlnm.Print_Area,1,FALSE)</f>
        <v>2.3.10.13</v>
      </c>
      <c r="C1924" s="1965" t="str">
        <f>VLOOKUP(A1932,'11 - FINANCEIRA'!_xlnm.Print_Area,3,FALSE)</f>
        <v>Registro de gaveta bruto, latão, roscável, 1?, com acabamento e canopla cromados, instalado em reservação de água de edificação que possua reservatório de fibra/fibrocimento ? fornecimento e instalação. af_06/2016</v>
      </c>
      <c r="D1924" s="1967" t="s">
        <v>1503</v>
      </c>
      <c r="E1924" s="1968"/>
      <c r="F1924" s="1968"/>
      <c r="G1924" s="1968"/>
      <c r="H1924" s="1968"/>
      <c r="I1924" s="1969"/>
      <c r="J1924" s="1914" t="s">
        <v>1504</v>
      </c>
      <c r="K1924" s="1914" t="s">
        <v>1505</v>
      </c>
      <c r="L1924" s="1914" t="s">
        <v>1506</v>
      </c>
      <c r="M1924" s="1914" t="s">
        <v>1507</v>
      </c>
      <c r="N1924" s="1914" t="s">
        <v>1508</v>
      </c>
      <c r="O1924" s="1914" t="s">
        <v>1509</v>
      </c>
      <c r="P1924" s="1341" t="s">
        <v>1510</v>
      </c>
      <c r="Q1924" s="1914" t="s">
        <v>1493</v>
      </c>
      <c r="R1924" s="1916" t="s">
        <v>804</v>
      </c>
      <c r="S1924" s="1914" t="s">
        <v>1511</v>
      </c>
      <c r="T1924" s="1914" t="s">
        <v>1512</v>
      </c>
      <c r="U1924" s="1918" t="s">
        <v>1513</v>
      </c>
      <c r="V1924" s="1418">
        <f t="shared" ref="V1924:V1931" si="197">V1925</f>
        <v>0</v>
      </c>
      <c r="W1924" s="16"/>
      <c r="X1924" s="16"/>
      <c r="Y1924" s="16"/>
      <c r="Z1924" s="17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</row>
    <row r="1925" spans="1:36" s="352" customFormat="1" ht="15.6" hidden="1">
      <c r="A1925" s="351"/>
      <c r="B1925" s="1964" t="e">
        <f>LEFT(#REF!,5)</f>
        <v>#REF!</v>
      </c>
      <c r="C1925" s="1966" t="e">
        <f>VLOOKUP(LEFT(#REF!,5),'11 - FINANCEIRA'!_xlnm.Print_Area,2,FALSE)</f>
        <v>#REF!</v>
      </c>
      <c r="D1925" s="1920" t="s">
        <v>1514</v>
      </c>
      <c r="E1925" s="1921"/>
      <c r="F1925" s="1922"/>
      <c r="G1925" s="1923" t="s">
        <v>1515</v>
      </c>
      <c r="H1925" s="1924"/>
      <c r="I1925" s="1925"/>
      <c r="J1925" s="1915"/>
      <c r="K1925" s="1915"/>
      <c r="L1925" s="1915"/>
      <c r="M1925" s="1915"/>
      <c r="N1925" s="1915"/>
      <c r="O1925" s="1915"/>
      <c r="P1925" s="353" t="s">
        <v>1516</v>
      </c>
      <c r="Q1925" s="1915"/>
      <c r="R1925" s="1917"/>
      <c r="S1925" s="1915"/>
      <c r="T1925" s="1915"/>
      <c r="U1925" s="1919"/>
      <c r="V1925" s="1418">
        <f t="shared" si="197"/>
        <v>0</v>
      </c>
      <c r="W1925" s="16"/>
      <c r="X1925" s="16"/>
      <c r="Y1925" s="16"/>
      <c r="Z1925" s="17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</row>
    <row r="1926" spans="1:36" s="361" customFormat="1" ht="45" hidden="1">
      <c r="A1926" s="354"/>
      <c r="B1926" s="355"/>
      <c r="C1926" s="32" t="s">
        <v>1012</v>
      </c>
      <c r="D1926" s="33"/>
      <c r="E1926" s="34"/>
      <c r="F1926" s="35"/>
      <c r="G1926" s="33"/>
      <c r="H1926" s="34"/>
      <c r="I1926" s="35"/>
      <c r="J1926" s="43"/>
      <c r="K1926" s="42"/>
      <c r="L1926" s="39"/>
      <c r="M1926" s="41"/>
      <c r="N1926" s="356"/>
      <c r="O1926" s="40"/>
      <c r="P1926" s="39"/>
      <c r="Q1926" s="45"/>
      <c r="R1926" s="1359">
        <v>1</v>
      </c>
      <c r="S1926" s="1265" t="s">
        <v>816</v>
      </c>
      <c r="T1926" s="46" t="s">
        <v>329</v>
      </c>
      <c r="U1926" s="44"/>
      <c r="V1926" s="1418">
        <f t="shared" si="197"/>
        <v>0</v>
      </c>
      <c r="W1926" s="357"/>
      <c r="X1926" s="357"/>
      <c r="Y1926" s="357"/>
      <c r="Z1926" s="358"/>
      <c r="AA1926" s="359"/>
      <c r="AB1926" s="360"/>
    </row>
    <row r="1927" spans="1:36" s="361" customFormat="1" ht="15" hidden="1" customHeight="1">
      <c r="A1927" s="354"/>
      <c r="B1927" s="355"/>
      <c r="C1927" s="32"/>
      <c r="D1927" s="33"/>
      <c r="E1927" s="34"/>
      <c r="F1927" s="35"/>
      <c r="G1927" s="33"/>
      <c r="H1927" s="34"/>
      <c r="I1927" s="35"/>
      <c r="J1927" s="43"/>
      <c r="K1927" s="42"/>
      <c r="L1927" s="39"/>
      <c r="M1927" s="41"/>
      <c r="N1927" s="356"/>
      <c r="O1927" s="40"/>
      <c r="P1927" s="39"/>
      <c r="Q1927" s="45"/>
      <c r="R1927" s="362"/>
      <c r="S1927" s="363"/>
      <c r="T1927" s="46"/>
      <c r="U1927" s="44"/>
      <c r="V1927" s="1418">
        <f t="shared" si="197"/>
        <v>0</v>
      </c>
      <c r="W1927" s="357"/>
      <c r="X1927" s="357"/>
      <c r="Y1927" s="357"/>
      <c r="Z1927" s="358"/>
      <c r="AA1927" s="359"/>
      <c r="AB1927" s="360"/>
    </row>
    <row r="1928" spans="1:36" s="369" customFormat="1" ht="15" hidden="1">
      <c r="A1928" s="364"/>
      <c r="B1928" s="355"/>
      <c r="C1928" s="32"/>
      <c r="D1928" s="33"/>
      <c r="E1928" s="34"/>
      <c r="F1928" s="35"/>
      <c r="G1928" s="33"/>
      <c r="H1928" s="34"/>
      <c r="I1928" s="35"/>
      <c r="J1928" s="43"/>
      <c r="K1928" s="42"/>
      <c r="L1928" s="39"/>
      <c r="M1928" s="41"/>
      <c r="N1928" s="40"/>
      <c r="O1928" s="40"/>
      <c r="P1928" s="39"/>
      <c r="Q1928" s="38"/>
      <c r="R1928" s="365"/>
      <c r="S1928" s="366"/>
      <c r="T1928" s="46"/>
      <c r="U1928" s="44"/>
      <c r="V1928" s="1418">
        <f t="shared" si="197"/>
        <v>0</v>
      </c>
      <c r="W1928" s="367"/>
      <c r="X1928" s="367"/>
      <c r="Y1928" s="367"/>
      <c r="Z1928" s="368"/>
    </row>
    <row r="1929" spans="1:36" s="77" customFormat="1" ht="15" hidden="1">
      <c r="A1929" s="370"/>
      <c r="B1929" s="29"/>
      <c r="C1929" s="30"/>
      <c r="D1929" s="18"/>
      <c r="E1929" s="19"/>
      <c r="F1929" s="20"/>
      <c r="G1929" s="18"/>
      <c r="H1929" s="19"/>
      <c r="I1929" s="20"/>
      <c r="J1929" s="21"/>
      <c r="K1929" s="22"/>
      <c r="L1929" s="23"/>
      <c r="M1929" s="24"/>
      <c r="N1929" s="25"/>
      <c r="O1929" s="25"/>
      <c r="P1929" s="23"/>
      <c r="Q1929" s="26"/>
      <c r="R1929" s="371"/>
      <c r="S1929" s="27"/>
      <c r="T1929" s="372"/>
      <c r="U1929" s="31"/>
      <c r="V1929" s="1418">
        <f t="shared" si="197"/>
        <v>0</v>
      </c>
      <c r="AB1929" s="15"/>
    </row>
    <row r="1930" spans="1:36" s="77" customFormat="1" ht="15.6" hidden="1">
      <c r="A1930" s="370"/>
      <c r="B1930" s="499"/>
      <c r="C1930" s="37"/>
      <c r="D1930" s="1929" t="s">
        <v>1520</v>
      </c>
      <c r="E1930" s="1930"/>
      <c r="F1930" s="1930"/>
      <c r="G1930" s="1930"/>
      <c r="H1930" s="1930"/>
      <c r="I1930" s="1931"/>
      <c r="J1930" s="1932">
        <f>VLOOKUP(A1932,'11 - FINANCEIRA'!_xlnm.Print_Area,6,FALSE)</f>
        <v>1</v>
      </c>
      <c r="K1930" s="1933"/>
      <c r="L1930" s="1343" t="str">
        <f>VLOOKUP(A1932,'11 - FINANCEIRA'!_xlnm.Print_Area,4,FALSE)</f>
        <v>und</v>
      </c>
      <c r="M1930" s="1934" t="s">
        <v>1521</v>
      </c>
      <c r="N1930" s="1935"/>
      <c r="O1930" s="1935"/>
      <c r="P1930" s="1935"/>
      <c r="Q1930" s="1936"/>
      <c r="R1930" s="726">
        <f>SUM(R1926:R1929)</f>
        <v>1</v>
      </c>
      <c r="S1930" s="1344" t="str">
        <f>L1930</f>
        <v>und</v>
      </c>
      <c r="T1930" s="373"/>
      <c r="U1930" s="486"/>
      <c r="V1930" s="1418">
        <f t="shared" si="197"/>
        <v>0</v>
      </c>
      <c r="AB1930" s="15"/>
    </row>
    <row r="1931" spans="1:36" s="77" customFormat="1" ht="15.6" hidden="1">
      <c r="A1931" s="370"/>
      <c r="B1931" s="499"/>
      <c r="C1931" s="725"/>
      <c r="D1931" s="1937" t="s">
        <v>1522</v>
      </c>
      <c r="E1931" s="1938"/>
      <c r="F1931" s="1938"/>
      <c r="G1931" s="1938"/>
      <c r="H1931" s="1938"/>
      <c r="I1931" s="1939"/>
      <c r="J1931" s="1943">
        <f>R1930/J1930</f>
        <v>1</v>
      </c>
      <c r="K1931" s="1944"/>
      <c r="L1931" s="1947"/>
      <c r="M1931" s="1934" t="s">
        <v>1523</v>
      </c>
      <c r="N1931" s="1935"/>
      <c r="O1931" s="1935"/>
      <c r="P1931" s="1935"/>
      <c r="Q1931" s="1936"/>
      <c r="R1931" s="726">
        <f>VLOOKUP(A1932,'11 - FINANCEIRA'!_xlnm.Print_Area,8,FALSE)</f>
        <v>1</v>
      </c>
      <c r="S1931" s="727" t="str">
        <f>L1930</f>
        <v>und</v>
      </c>
      <c r="T1931" s="373"/>
      <c r="U1931" s="486"/>
      <c r="V1931" s="1418">
        <f t="shared" si="197"/>
        <v>0</v>
      </c>
      <c r="AB1931" s="15"/>
    </row>
    <row r="1932" spans="1:36" s="77" customFormat="1" ht="15.6" hidden="1">
      <c r="A1932" s="364" t="s">
        <v>493</v>
      </c>
      <c r="B1932" s="499"/>
      <c r="C1932" s="37"/>
      <c r="D1932" s="2013"/>
      <c r="E1932" s="2014"/>
      <c r="F1932" s="2014"/>
      <c r="G1932" s="2014"/>
      <c r="H1932" s="2014"/>
      <c r="I1932" s="2015"/>
      <c r="J1932" s="2016"/>
      <c r="K1932" s="2017"/>
      <c r="L1932" s="1962"/>
      <c r="M1932" s="2007" t="s">
        <v>1524</v>
      </c>
      <c r="N1932" s="2008"/>
      <c r="O1932" s="2008"/>
      <c r="P1932" s="2008"/>
      <c r="Q1932" s="2009"/>
      <c r="R1932" s="1345">
        <f>R1930-R1931</f>
        <v>0</v>
      </c>
      <c r="S1932" s="1346" t="str">
        <f>L1930</f>
        <v>und</v>
      </c>
      <c r="T1932" s="373"/>
      <c r="U1932" s="486"/>
      <c r="V1932" s="1418">
        <f>R1932</f>
        <v>0</v>
      </c>
      <c r="AB1932" s="15"/>
    </row>
    <row r="1933" spans="1:36" s="77" customFormat="1" ht="15.6" hidden="1">
      <c r="A1933" s="370"/>
      <c r="B1933" s="1347"/>
      <c r="C1933" s="1348"/>
      <c r="D1933" s="1349"/>
      <c r="E1933" s="1350"/>
      <c r="F1933" s="1349"/>
      <c r="G1933" s="1349"/>
      <c r="H1933" s="1349"/>
      <c r="I1933" s="1349"/>
      <c r="J1933" s="1351"/>
      <c r="K1933" s="1352"/>
      <c r="L1933" s="1353"/>
      <c r="M1933" s="1354"/>
      <c r="N1933" s="1354"/>
      <c r="O1933" s="1354"/>
      <c r="P1933" s="1354"/>
      <c r="Q1933" s="1354"/>
      <c r="R1933" s="1355"/>
      <c r="S1933" s="1356"/>
      <c r="T1933" s="1357"/>
      <c r="U1933" s="1358"/>
      <c r="V1933" s="1420">
        <f>SUM(V1924:V1932)</f>
        <v>0</v>
      </c>
      <c r="AB1933" s="15"/>
    </row>
    <row r="1934" spans="1:36" s="352" customFormat="1" ht="15.6" hidden="1">
      <c r="A1934" s="351"/>
      <c r="B1934" s="1963" t="str">
        <f>VLOOKUP(A1942,'11 - FINANCEIRA'!_xlnm.Print_Area,1,FALSE)</f>
        <v>2.3.10.14</v>
      </c>
      <c r="C1934" s="1965" t="str">
        <f>VLOOKUP(A1942,'11 - FINANCEIRA'!_xlnm.Print_Area,3,FALSE)</f>
        <v>Registro de pressão bruto, latão, roscável, 3/4?, fornecido e instalado em ramal de água. af_12/2014</v>
      </c>
      <c r="D1934" s="1967" t="s">
        <v>1503</v>
      </c>
      <c r="E1934" s="1968"/>
      <c r="F1934" s="1968"/>
      <c r="G1934" s="1968"/>
      <c r="H1934" s="1968"/>
      <c r="I1934" s="1969"/>
      <c r="J1934" s="1914" t="s">
        <v>1504</v>
      </c>
      <c r="K1934" s="1914" t="s">
        <v>1505</v>
      </c>
      <c r="L1934" s="1914" t="s">
        <v>1506</v>
      </c>
      <c r="M1934" s="1914" t="s">
        <v>1507</v>
      </c>
      <c r="N1934" s="1914" t="s">
        <v>1508</v>
      </c>
      <c r="O1934" s="1914" t="s">
        <v>1509</v>
      </c>
      <c r="P1934" s="1341" t="s">
        <v>1510</v>
      </c>
      <c r="Q1934" s="1914" t="s">
        <v>1493</v>
      </c>
      <c r="R1934" s="1916" t="s">
        <v>804</v>
      </c>
      <c r="S1934" s="1914" t="s">
        <v>1511</v>
      </c>
      <c r="T1934" s="1914" t="s">
        <v>1512</v>
      </c>
      <c r="U1934" s="1918" t="s">
        <v>1513</v>
      </c>
      <c r="V1934" s="1418">
        <f t="shared" ref="V1934:V1941" si="198">V1935</f>
        <v>0</v>
      </c>
      <c r="W1934" s="16"/>
      <c r="X1934" s="16"/>
      <c r="Y1934" s="16"/>
      <c r="Z1934" s="17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</row>
    <row r="1935" spans="1:36" s="352" customFormat="1" ht="15.6" hidden="1">
      <c r="A1935" s="351"/>
      <c r="B1935" s="1964" t="e">
        <f>LEFT(#REF!,5)</f>
        <v>#REF!</v>
      </c>
      <c r="C1935" s="1966" t="e">
        <f>VLOOKUP(LEFT(#REF!,5),'11 - FINANCEIRA'!_xlnm.Print_Area,2,FALSE)</f>
        <v>#REF!</v>
      </c>
      <c r="D1935" s="1920" t="s">
        <v>1514</v>
      </c>
      <c r="E1935" s="1921"/>
      <c r="F1935" s="1922"/>
      <c r="G1935" s="1923" t="s">
        <v>1515</v>
      </c>
      <c r="H1935" s="1924"/>
      <c r="I1935" s="1925"/>
      <c r="J1935" s="1915"/>
      <c r="K1935" s="1915"/>
      <c r="L1935" s="1915"/>
      <c r="M1935" s="1915"/>
      <c r="N1935" s="1915"/>
      <c r="O1935" s="1915"/>
      <c r="P1935" s="353" t="s">
        <v>1516</v>
      </c>
      <c r="Q1935" s="1915"/>
      <c r="R1935" s="1917"/>
      <c r="S1935" s="1915"/>
      <c r="T1935" s="1915"/>
      <c r="U1935" s="1919"/>
      <c r="V1935" s="1418">
        <f t="shared" si="198"/>
        <v>0</v>
      </c>
      <c r="W1935" s="16"/>
      <c r="X1935" s="16"/>
      <c r="Y1935" s="16"/>
      <c r="Z1935" s="17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</row>
    <row r="1936" spans="1:36" s="361" customFormat="1" ht="30" hidden="1">
      <c r="A1936" s="354"/>
      <c r="B1936" s="355"/>
      <c r="C1936" s="32" t="s">
        <v>1014</v>
      </c>
      <c r="D1936" s="33"/>
      <c r="E1936" s="34"/>
      <c r="F1936" s="35"/>
      <c r="G1936" s="33"/>
      <c r="H1936" s="34"/>
      <c r="I1936" s="35"/>
      <c r="J1936" s="43"/>
      <c r="K1936" s="42"/>
      <c r="L1936" s="39"/>
      <c r="M1936" s="41"/>
      <c r="N1936" s="356"/>
      <c r="O1936" s="40"/>
      <c r="P1936" s="39"/>
      <c r="Q1936" s="45"/>
      <c r="R1936" s="1359">
        <v>2</v>
      </c>
      <c r="S1936" s="1265" t="s">
        <v>816</v>
      </c>
      <c r="T1936" s="46" t="s">
        <v>329</v>
      </c>
      <c r="U1936" s="44"/>
      <c r="V1936" s="1418">
        <f t="shared" si="198"/>
        <v>0</v>
      </c>
      <c r="W1936" s="357"/>
      <c r="X1936" s="357"/>
      <c r="Y1936" s="357"/>
      <c r="Z1936" s="358"/>
      <c r="AA1936" s="359"/>
      <c r="AB1936" s="360"/>
    </row>
    <row r="1937" spans="1:36" s="361" customFormat="1" ht="15" hidden="1" customHeight="1">
      <c r="A1937" s="354"/>
      <c r="B1937" s="355"/>
      <c r="C1937" s="32"/>
      <c r="D1937" s="33"/>
      <c r="E1937" s="34"/>
      <c r="F1937" s="35"/>
      <c r="G1937" s="33"/>
      <c r="H1937" s="34"/>
      <c r="I1937" s="35"/>
      <c r="J1937" s="43"/>
      <c r="K1937" s="42"/>
      <c r="L1937" s="39"/>
      <c r="M1937" s="41"/>
      <c r="N1937" s="356"/>
      <c r="O1937" s="40"/>
      <c r="P1937" s="39"/>
      <c r="Q1937" s="45"/>
      <c r="R1937" s="362"/>
      <c r="S1937" s="363"/>
      <c r="T1937" s="46"/>
      <c r="U1937" s="44"/>
      <c r="V1937" s="1418">
        <f t="shared" si="198"/>
        <v>0</v>
      </c>
      <c r="W1937" s="357"/>
      <c r="X1937" s="357"/>
      <c r="Y1937" s="357"/>
      <c r="Z1937" s="358"/>
      <c r="AA1937" s="359"/>
      <c r="AB1937" s="360"/>
    </row>
    <row r="1938" spans="1:36" s="369" customFormat="1" ht="15" hidden="1">
      <c r="A1938" s="364"/>
      <c r="B1938" s="355"/>
      <c r="C1938" s="32"/>
      <c r="D1938" s="33"/>
      <c r="E1938" s="34"/>
      <c r="F1938" s="35"/>
      <c r="G1938" s="33"/>
      <c r="H1938" s="34"/>
      <c r="I1938" s="35"/>
      <c r="J1938" s="43"/>
      <c r="K1938" s="42"/>
      <c r="L1938" s="39"/>
      <c r="M1938" s="41"/>
      <c r="N1938" s="40"/>
      <c r="O1938" s="40"/>
      <c r="P1938" s="39"/>
      <c r="Q1938" s="38"/>
      <c r="R1938" s="365"/>
      <c r="S1938" s="366"/>
      <c r="T1938" s="46"/>
      <c r="U1938" s="44"/>
      <c r="V1938" s="1418">
        <f t="shared" si="198"/>
        <v>0</v>
      </c>
      <c r="W1938" s="367"/>
      <c r="X1938" s="367"/>
      <c r="Y1938" s="367"/>
      <c r="Z1938" s="368"/>
    </row>
    <row r="1939" spans="1:36" s="77" customFormat="1" ht="15" hidden="1">
      <c r="A1939" s="370"/>
      <c r="B1939" s="29"/>
      <c r="C1939" s="30"/>
      <c r="D1939" s="18"/>
      <c r="E1939" s="19"/>
      <c r="F1939" s="20"/>
      <c r="G1939" s="18"/>
      <c r="H1939" s="19"/>
      <c r="I1939" s="20"/>
      <c r="J1939" s="21"/>
      <c r="K1939" s="22"/>
      <c r="L1939" s="23"/>
      <c r="M1939" s="24"/>
      <c r="N1939" s="25"/>
      <c r="O1939" s="25"/>
      <c r="P1939" s="23"/>
      <c r="Q1939" s="26"/>
      <c r="R1939" s="371"/>
      <c r="S1939" s="27"/>
      <c r="T1939" s="372"/>
      <c r="U1939" s="31"/>
      <c r="V1939" s="1418">
        <f t="shared" si="198"/>
        <v>0</v>
      </c>
      <c r="AB1939" s="15"/>
    </row>
    <row r="1940" spans="1:36" s="77" customFormat="1" ht="15.6" hidden="1">
      <c r="A1940" s="370"/>
      <c r="B1940" s="499"/>
      <c r="C1940" s="37"/>
      <c r="D1940" s="1929" t="s">
        <v>1520</v>
      </c>
      <c r="E1940" s="1930"/>
      <c r="F1940" s="1930"/>
      <c r="G1940" s="1930"/>
      <c r="H1940" s="1930"/>
      <c r="I1940" s="1931"/>
      <c r="J1940" s="1932">
        <f>VLOOKUP(A1942,'11 - FINANCEIRA'!_xlnm.Print_Area,6,FALSE)</f>
        <v>2</v>
      </c>
      <c r="K1940" s="1933"/>
      <c r="L1940" s="1343" t="str">
        <f>VLOOKUP(A1942,'11 - FINANCEIRA'!_xlnm.Print_Area,4,FALSE)</f>
        <v>und</v>
      </c>
      <c r="M1940" s="1934" t="s">
        <v>1521</v>
      </c>
      <c r="N1940" s="1935"/>
      <c r="O1940" s="1935"/>
      <c r="P1940" s="1935"/>
      <c r="Q1940" s="1936"/>
      <c r="R1940" s="726">
        <f>SUM(R1936:R1939)</f>
        <v>2</v>
      </c>
      <c r="S1940" s="1344" t="str">
        <f>L1940</f>
        <v>und</v>
      </c>
      <c r="T1940" s="373"/>
      <c r="U1940" s="486"/>
      <c r="V1940" s="1418">
        <f t="shared" si="198"/>
        <v>0</v>
      </c>
      <c r="AB1940" s="15"/>
    </row>
    <row r="1941" spans="1:36" s="77" customFormat="1" ht="15.6" hidden="1">
      <c r="A1941" s="370"/>
      <c r="B1941" s="499"/>
      <c r="C1941" s="725"/>
      <c r="D1941" s="1937" t="s">
        <v>1522</v>
      </c>
      <c r="E1941" s="1938"/>
      <c r="F1941" s="1938"/>
      <c r="G1941" s="1938"/>
      <c r="H1941" s="1938"/>
      <c r="I1941" s="1939"/>
      <c r="J1941" s="1943">
        <f>R1940/J1940</f>
        <v>1</v>
      </c>
      <c r="K1941" s="1944"/>
      <c r="L1941" s="1947"/>
      <c r="M1941" s="1934" t="s">
        <v>1523</v>
      </c>
      <c r="N1941" s="1935"/>
      <c r="O1941" s="1935"/>
      <c r="P1941" s="1935"/>
      <c r="Q1941" s="1936"/>
      <c r="R1941" s="726">
        <f>VLOOKUP(A1942,'11 - FINANCEIRA'!_xlnm.Print_Area,8,FALSE)</f>
        <v>2</v>
      </c>
      <c r="S1941" s="727" t="str">
        <f>L1940</f>
        <v>und</v>
      </c>
      <c r="T1941" s="373"/>
      <c r="U1941" s="486"/>
      <c r="V1941" s="1418">
        <f t="shared" si="198"/>
        <v>0</v>
      </c>
      <c r="AB1941" s="15"/>
    </row>
    <row r="1942" spans="1:36" s="77" customFormat="1" ht="15.6" hidden="1">
      <c r="A1942" s="364" t="s">
        <v>494</v>
      </c>
      <c r="B1942" s="499"/>
      <c r="C1942" s="37"/>
      <c r="D1942" s="2013"/>
      <c r="E1942" s="2014"/>
      <c r="F1942" s="2014"/>
      <c r="G1942" s="2014"/>
      <c r="H1942" s="2014"/>
      <c r="I1942" s="2015"/>
      <c r="J1942" s="2016"/>
      <c r="K1942" s="2017"/>
      <c r="L1942" s="1962"/>
      <c r="M1942" s="2007" t="s">
        <v>1524</v>
      </c>
      <c r="N1942" s="2008"/>
      <c r="O1942" s="2008"/>
      <c r="P1942" s="2008"/>
      <c r="Q1942" s="2009"/>
      <c r="R1942" s="1345">
        <f>R1940-R1941</f>
        <v>0</v>
      </c>
      <c r="S1942" s="1346" t="str">
        <f>L1940</f>
        <v>und</v>
      </c>
      <c r="T1942" s="373"/>
      <c r="U1942" s="486"/>
      <c r="V1942" s="1418">
        <f>R1942</f>
        <v>0</v>
      </c>
      <c r="AB1942" s="15"/>
    </row>
    <row r="1943" spans="1:36" s="77" customFormat="1" ht="15.6" hidden="1">
      <c r="A1943" s="370"/>
      <c r="B1943" s="1347"/>
      <c r="C1943" s="1348"/>
      <c r="D1943" s="1349"/>
      <c r="E1943" s="1350"/>
      <c r="F1943" s="1349"/>
      <c r="G1943" s="1349"/>
      <c r="H1943" s="1349"/>
      <c r="I1943" s="1349"/>
      <c r="J1943" s="1351"/>
      <c r="K1943" s="1352"/>
      <c r="L1943" s="1353"/>
      <c r="M1943" s="1354"/>
      <c r="N1943" s="1354"/>
      <c r="O1943" s="1354"/>
      <c r="P1943" s="1354"/>
      <c r="Q1943" s="1354"/>
      <c r="R1943" s="1355"/>
      <c r="S1943" s="1356"/>
      <c r="T1943" s="1357"/>
      <c r="U1943" s="1358"/>
      <c r="V1943" s="1420">
        <f>SUM(V1934:V1942)</f>
        <v>0</v>
      </c>
      <c r="AB1943" s="15"/>
    </row>
    <row r="1944" spans="1:36" s="352" customFormat="1" ht="15.6" hidden="1">
      <c r="A1944" s="351"/>
      <c r="B1944" s="1963" t="str">
        <f>VLOOKUP(A1952,'11 - FINANCEIRA'!_xlnm.Print_Area,1,FALSE)</f>
        <v>2.3.10.15</v>
      </c>
      <c r="C1944" s="1965" t="str">
        <f>VLOOKUP(A1952,'11 - FINANCEIRA'!_xlnm.Print_Area,3,FALSE)</f>
        <v>Torneira de boia, roscável, 3/4? , fornecida e instalada em reservação de água. af_06/2016</v>
      </c>
      <c r="D1944" s="1967" t="s">
        <v>1503</v>
      </c>
      <c r="E1944" s="1968"/>
      <c r="F1944" s="1968"/>
      <c r="G1944" s="1968"/>
      <c r="H1944" s="1968"/>
      <c r="I1944" s="1969"/>
      <c r="J1944" s="1914" t="s">
        <v>1504</v>
      </c>
      <c r="K1944" s="1914" t="s">
        <v>1505</v>
      </c>
      <c r="L1944" s="1914" t="s">
        <v>1506</v>
      </c>
      <c r="M1944" s="1914" t="s">
        <v>1507</v>
      </c>
      <c r="N1944" s="1914" t="s">
        <v>1508</v>
      </c>
      <c r="O1944" s="1914" t="s">
        <v>1509</v>
      </c>
      <c r="P1944" s="1341" t="s">
        <v>1510</v>
      </c>
      <c r="Q1944" s="1914" t="s">
        <v>1493</v>
      </c>
      <c r="R1944" s="1916" t="s">
        <v>804</v>
      </c>
      <c r="S1944" s="1914" t="s">
        <v>1511</v>
      </c>
      <c r="T1944" s="1914" t="s">
        <v>1512</v>
      </c>
      <c r="U1944" s="1918" t="s">
        <v>1513</v>
      </c>
      <c r="V1944" s="1418">
        <f t="shared" ref="V1944:V1951" si="199">V1945</f>
        <v>0</v>
      </c>
      <c r="W1944" s="16"/>
      <c r="X1944" s="16"/>
      <c r="Y1944" s="16"/>
      <c r="Z1944" s="17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</row>
    <row r="1945" spans="1:36" s="352" customFormat="1" ht="15.6" hidden="1">
      <c r="A1945" s="351"/>
      <c r="B1945" s="1964" t="e">
        <f>LEFT(#REF!,5)</f>
        <v>#REF!</v>
      </c>
      <c r="C1945" s="1966" t="e">
        <f>VLOOKUP(LEFT(#REF!,5),'11 - FINANCEIRA'!_xlnm.Print_Area,2,FALSE)</f>
        <v>#REF!</v>
      </c>
      <c r="D1945" s="1920" t="s">
        <v>1514</v>
      </c>
      <c r="E1945" s="1921"/>
      <c r="F1945" s="1922"/>
      <c r="G1945" s="1923" t="s">
        <v>1515</v>
      </c>
      <c r="H1945" s="1924"/>
      <c r="I1945" s="1925"/>
      <c r="J1945" s="1915"/>
      <c r="K1945" s="1915"/>
      <c r="L1945" s="1915"/>
      <c r="M1945" s="1915"/>
      <c r="N1945" s="1915"/>
      <c r="O1945" s="1915"/>
      <c r="P1945" s="353" t="s">
        <v>1516</v>
      </c>
      <c r="Q1945" s="1915"/>
      <c r="R1945" s="1917"/>
      <c r="S1945" s="1915"/>
      <c r="T1945" s="1915"/>
      <c r="U1945" s="1919"/>
      <c r="V1945" s="1418">
        <f t="shared" si="199"/>
        <v>0</v>
      </c>
      <c r="W1945" s="16"/>
      <c r="X1945" s="16"/>
      <c r="Y1945" s="16"/>
      <c r="Z1945" s="17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</row>
    <row r="1946" spans="1:36" s="361" customFormat="1" ht="15" hidden="1">
      <c r="A1946" s="354"/>
      <c r="B1946" s="355"/>
      <c r="C1946" s="32" t="s">
        <v>1016</v>
      </c>
      <c r="D1946" s="33"/>
      <c r="E1946" s="34"/>
      <c r="F1946" s="35"/>
      <c r="G1946" s="33"/>
      <c r="H1946" s="34"/>
      <c r="I1946" s="35"/>
      <c r="J1946" s="43"/>
      <c r="K1946" s="42"/>
      <c r="L1946" s="39"/>
      <c r="M1946" s="41"/>
      <c r="N1946" s="356"/>
      <c r="O1946" s="40"/>
      <c r="P1946" s="39"/>
      <c r="Q1946" s="45"/>
      <c r="R1946" s="1359">
        <v>2</v>
      </c>
      <c r="S1946" s="1265" t="s">
        <v>816</v>
      </c>
      <c r="T1946" s="46" t="s">
        <v>329</v>
      </c>
      <c r="U1946" s="44"/>
      <c r="V1946" s="1418">
        <f t="shared" si="199"/>
        <v>0</v>
      </c>
      <c r="W1946" s="357"/>
      <c r="X1946" s="357"/>
      <c r="Y1946" s="357"/>
      <c r="Z1946" s="358"/>
      <c r="AA1946" s="359"/>
      <c r="AB1946" s="360"/>
    </row>
    <row r="1947" spans="1:36" s="361" customFormat="1" ht="15" hidden="1" customHeight="1">
      <c r="A1947" s="354"/>
      <c r="B1947" s="355"/>
      <c r="C1947" s="32"/>
      <c r="D1947" s="33"/>
      <c r="E1947" s="34"/>
      <c r="F1947" s="35"/>
      <c r="G1947" s="33"/>
      <c r="H1947" s="34"/>
      <c r="I1947" s="35"/>
      <c r="J1947" s="43"/>
      <c r="K1947" s="42"/>
      <c r="L1947" s="39"/>
      <c r="M1947" s="41"/>
      <c r="N1947" s="356"/>
      <c r="O1947" s="40"/>
      <c r="P1947" s="39"/>
      <c r="Q1947" s="45"/>
      <c r="R1947" s="362"/>
      <c r="S1947" s="363"/>
      <c r="T1947" s="46"/>
      <c r="U1947" s="44"/>
      <c r="V1947" s="1418">
        <f t="shared" si="199"/>
        <v>0</v>
      </c>
      <c r="W1947" s="357"/>
      <c r="X1947" s="357"/>
      <c r="Y1947" s="357"/>
      <c r="Z1947" s="358"/>
      <c r="AA1947" s="359"/>
      <c r="AB1947" s="360"/>
    </row>
    <row r="1948" spans="1:36" s="369" customFormat="1" ht="15" hidden="1">
      <c r="A1948" s="364"/>
      <c r="B1948" s="355"/>
      <c r="C1948" s="32"/>
      <c r="D1948" s="33"/>
      <c r="E1948" s="34"/>
      <c r="F1948" s="35"/>
      <c r="G1948" s="33"/>
      <c r="H1948" s="34"/>
      <c r="I1948" s="35"/>
      <c r="J1948" s="43"/>
      <c r="K1948" s="42"/>
      <c r="L1948" s="39"/>
      <c r="M1948" s="41"/>
      <c r="N1948" s="40"/>
      <c r="O1948" s="40"/>
      <c r="P1948" s="39"/>
      <c r="Q1948" s="38"/>
      <c r="R1948" s="365"/>
      <c r="S1948" s="366"/>
      <c r="T1948" s="46"/>
      <c r="U1948" s="44"/>
      <c r="V1948" s="1418">
        <f t="shared" si="199"/>
        <v>0</v>
      </c>
      <c r="W1948" s="367"/>
      <c r="X1948" s="367"/>
      <c r="Y1948" s="367"/>
      <c r="Z1948" s="368"/>
    </row>
    <row r="1949" spans="1:36" s="77" customFormat="1" ht="15" hidden="1">
      <c r="A1949" s="370"/>
      <c r="B1949" s="29"/>
      <c r="C1949" s="30"/>
      <c r="D1949" s="18"/>
      <c r="E1949" s="19"/>
      <c r="F1949" s="20"/>
      <c r="G1949" s="18"/>
      <c r="H1949" s="19"/>
      <c r="I1949" s="20"/>
      <c r="J1949" s="21"/>
      <c r="K1949" s="22"/>
      <c r="L1949" s="23"/>
      <c r="M1949" s="24"/>
      <c r="N1949" s="25"/>
      <c r="O1949" s="25"/>
      <c r="P1949" s="23"/>
      <c r="Q1949" s="26"/>
      <c r="R1949" s="371"/>
      <c r="S1949" s="27"/>
      <c r="T1949" s="372"/>
      <c r="U1949" s="31"/>
      <c r="V1949" s="1418">
        <f t="shared" si="199"/>
        <v>0</v>
      </c>
      <c r="AB1949" s="15"/>
    </row>
    <row r="1950" spans="1:36" s="77" customFormat="1" ht="15.6" hidden="1">
      <c r="A1950" s="370"/>
      <c r="B1950" s="499"/>
      <c r="C1950" s="37"/>
      <c r="D1950" s="1929" t="s">
        <v>1520</v>
      </c>
      <c r="E1950" s="1930"/>
      <c r="F1950" s="1930"/>
      <c r="G1950" s="1930"/>
      <c r="H1950" s="1930"/>
      <c r="I1950" s="1931"/>
      <c r="J1950" s="1932">
        <f>VLOOKUP(A1952,'11 - FINANCEIRA'!_xlnm.Print_Area,6,FALSE)</f>
        <v>2</v>
      </c>
      <c r="K1950" s="1933"/>
      <c r="L1950" s="1343" t="str">
        <f>VLOOKUP(A1952,'11 - FINANCEIRA'!_xlnm.Print_Area,4,FALSE)</f>
        <v>und</v>
      </c>
      <c r="M1950" s="1934" t="s">
        <v>1521</v>
      </c>
      <c r="N1950" s="1935"/>
      <c r="O1950" s="1935"/>
      <c r="P1950" s="1935"/>
      <c r="Q1950" s="1936"/>
      <c r="R1950" s="726">
        <f>SUM(R1946:R1949)</f>
        <v>2</v>
      </c>
      <c r="S1950" s="1344" t="str">
        <f>L1950</f>
        <v>und</v>
      </c>
      <c r="T1950" s="373"/>
      <c r="U1950" s="486"/>
      <c r="V1950" s="1418">
        <f t="shared" si="199"/>
        <v>0</v>
      </c>
      <c r="AB1950" s="15"/>
    </row>
    <row r="1951" spans="1:36" s="77" customFormat="1" ht="15.6" hidden="1">
      <c r="A1951" s="370"/>
      <c r="B1951" s="499"/>
      <c r="C1951" s="725"/>
      <c r="D1951" s="1937" t="s">
        <v>1522</v>
      </c>
      <c r="E1951" s="1938"/>
      <c r="F1951" s="1938"/>
      <c r="G1951" s="1938"/>
      <c r="H1951" s="1938"/>
      <c r="I1951" s="1939"/>
      <c r="J1951" s="1943">
        <f>R1950/J1950</f>
        <v>1</v>
      </c>
      <c r="K1951" s="1944"/>
      <c r="L1951" s="1947"/>
      <c r="M1951" s="1934" t="s">
        <v>1523</v>
      </c>
      <c r="N1951" s="1935"/>
      <c r="O1951" s="1935"/>
      <c r="P1951" s="1935"/>
      <c r="Q1951" s="1936"/>
      <c r="R1951" s="726">
        <f>VLOOKUP(A1952,'11 - FINANCEIRA'!_xlnm.Print_Area,8,FALSE)</f>
        <v>2</v>
      </c>
      <c r="S1951" s="727" t="str">
        <f>L1950</f>
        <v>und</v>
      </c>
      <c r="T1951" s="373"/>
      <c r="U1951" s="486"/>
      <c r="V1951" s="1418">
        <f t="shared" si="199"/>
        <v>0</v>
      </c>
      <c r="AB1951" s="15"/>
    </row>
    <row r="1952" spans="1:36" s="77" customFormat="1" ht="15.6" hidden="1">
      <c r="A1952" s="364" t="s">
        <v>495</v>
      </c>
      <c r="B1952" s="499"/>
      <c r="C1952" s="37"/>
      <c r="D1952" s="2013"/>
      <c r="E1952" s="2014"/>
      <c r="F1952" s="2014"/>
      <c r="G1952" s="2014"/>
      <c r="H1952" s="2014"/>
      <c r="I1952" s="2015"/>
      <c r="J1952" s="2016"/>
      <c r="K1952" s="2017"/>
      <c r="L1952" s="1962"/>
      <c r="M1952" s="2007" t="s">
        <v>1524</v>
      </c>
      <c r="N1952" s="2008"/>
      <c r="O1952" s="2008"/>
      <c r="P1952" s="2008"/>
      <c r="Q1952" s="2009"/>
      <c r="R1952" s="1345">
        <f>R1950-R1951</f>
        <v>0</v>
      </c>
      <c r="S1952" s="1346" t="str">
        <f>L1950</f>
        <v>und</v>
      </c>
      <c r="T1952" s="373"/>
      <c r="U1952" s="486"/>
      <c r="V1952" s="1418">
        <f>R1952</f>
        <v>0</v>
      </c>
      <c r="AB1952" s="15"/>
    </row>
    <row r="1953" spans="1:36" s="77" customFormat="1" ht="15.6" hidden="1">
      <c r="A1953" s="370"/>
      <c r="B1953" s="1347"/>
      <c r="C1953" s="1348"/>
      <c r="D1953" s="1349"/>
      <c r="E1953" s="1350"/>
      <c r="F1953" s="1349"/>
      <c r="G1953" s="1349"/>
      <c r="H1953" s="1349"/>
      <c r="I1953" s="1349"/>
      <c r="J1953" s="1351"/>
      <c r="K1953" s="1352"/>
      <c r="L1953" s="1353"/>
      <c r="M1953" s="1354"/>
      <c r="N1953" s="1354"/>
      <c r="O1953" s="1354"/>
      <c r="P1953" s="1354"/>
      <c r="Q1953" s="1354"/>
      <c r="R1953" s="1355"/>
      <c r="S1953" s="1356"/>
      <c r="T1953" s="1357"/>
      <c r="U1953" s="1358"/>
      <c r="V1953" s="1420">
        <f>SUM(V1944:V1952)</f>
        <v>0</v>
      </c>
      <c r="AB1953" s="15"/>
    </row>
    <row r="1954" spans="1:36" s="352" customFormat="1" ht="15.6" hidden="1">
      <c r="A1954" s="351"/>
      <c r="B1954" s="1963" t="str">
        <f>VLOOKUP(A1962,'11 - FINANCEIRA'!_xlnm.Print_Area,1,FALSE)</f>
        <v>2.3.10.16</v>
      </c>
      <c r="C1954" s="1965" t="str">
        <f>VLOOKUP(A1962,'11 - FINANCEIRA'!_xlnm.Print_Area,3,FALSE)</f>
        <v>Tubo de pvc rígido soldável branco, para esgoto, diâmetro 40mm (1 1/2"), inclusive conexões</v>
      </c>
      <c r="D1954" s="1967" t="s">
        <v>1503</v>
      </c>
      <c r="E1954" s="1968"/>
      <c r="F1954" s="1968"/>
      <c r="G1954" s="1968"/>
      <c r="H1954" s="1968"/>
      <c r="I1954" s="1969"/>
      <c r="J1954" s="1914" t="s">
        <v>1504</v>
      </c>
      <c r="K1954" s="1914" t="s">
        <v>1505</v>
      </c>
      <c r="L1954" s="1914" t="s">
        <v>1506</v>
      </c>
      <c r="M1954" s="1914" t="s">
        <v>1507</v>
      </c>
      <c r="N1954" s="1914" t="s">
        <v>1508</v>
      </c>
      <c r="O1954" s="1914" t="s">
        <v>1509</v>
      </c>
      <c r="P1954" s="1341" t="s">
        <v>1510</v>
      </c>
      <c r="Q1954" s="1914" t="s">
        <v>1493</v>
      </c>
      <c r="R1954" s="1916" t="s">
        <v>804</v>
      </c>
      <c r="S1954" s="1914" t="s">
        <v>1511</v>
      </c>
      <c r="T1954" s="1914" t="s">
        <v>1512</v>
      </c>
      <c r="U1954" s="1918" t="s">
        <v>1513</v>
      </c>
      <c r="V1954" s="1418">
        <f t="shared" ref="V1954:V1961" si="200">V1955</f>
        <v>0</v>
      </c>
      <c r="W1954" s="16"/>
      <c r="X1954" s="16"/>
      <c r="Y1954" s="16"/>
      <c r="Z1954" s="17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</row>
    <row r="1955" spans="1:36" s="352" customFormat="1" ht="15.6" hidden="1">
      <c r="A1955" s="351"/>
      <c r="B1955" s="1964" t="e">
        <f>LEFT(#REF!,5)</f>
        <v>#REF!</v>
      </c>
      <c r="C1955" s="1966" t="e">
        <f>VLOOKUP(LEFT(#REF!,5),'11 - FINANCEIRA'!_xlnm.Print_Area,2,FALSE)</f>
        <v>#REF!</v>
      </c>
      <c r="D1955" s="1920" t="s">
        <v>1514</v>
      </c>
      <c r="E1955" s="1921"/>
      <c r="F1955" s="1922"/>
      <c r="G1955" s="1923" t="s">
        <v>1515</v>
      </c>
      <c r="H1955" s="1924"/>
      <c r="I1955" s="1925"/>
      <c r="J1955" s="1915"/>
      <c r="K1955" s="1915"/>
      <c r="L1955" s="1915"/>
      <c r="M1955" s="1915"/>
      <c r="N1955" s="1915"/>
      <c r="O1955" s="1915"/>
      <c r="P1955" s="353" t="s">
        <v>1516</v>
      </c>
      <c r="Q1955" s="1915"/>
      <c r="R1955" s="1917"/>
      <c r="S1955" s="1915"/>
      <c r="T1955" s="1915"/>
      <c r="U1955" s="1919"/>
      <c r="V1955" s="1418">
        <f t="shared" si="200"/>
        <v>0</v>
      </c>
      <c r="W1955" s="16"/>
      <c r="X1955" s="16"/>
      <c r="Y1955" s="16"/>
      <c r="Z1955" s="17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</row>
    <row r="1956" spans="1:36" s="361" customFormat="1" ht="15" hidden="1" customHeight="1">
      <c r="A1956" s="354"/>
      <c r="B1956" s="355"/>
      <c r="C1956" s="28" t="s">
        <v>1018</v>
      </c>
      <c r="D1956" s="18"/>
      <c r="E1956" s="19"/>
      <c r="F1956" s="20"/>
      <c r="G1956" s="18"/>
      <c r="H1956" s="19"/>
      <c r="I1956" s="20"/>
      <c r="J1956" s="21"/>
      <c r="K1956" s="22"/>
      <c r="L1956" s="23"/>
      <c r="M1956" s="24"/>
      <c r="N1956" s="728"/>
      <c r="O1956" s="25"/>
      <c r="P1956" s="23"/>
      <c r="Q1956" s="729"/>
      <c r="R1956" s="1109">
        <v>12</v>
      </c>
      <c r="S1956" s="730" t="s">
        <v>809</v>
      </c>
      <c r="T1956" s="446" t="s">
        <v>327</v>
      </c>
      <c r="U1956" s="44"/>
      <c r="V1956" s="1418">
        <f t="shared" si="200"/>
        <v>0</v>
      </c>
      <c r="W1956" s="357"/>
      <c r="X1956" s="357"/>
      <c r="Y1956" s="357"/>
      <c r="Z1956" s="358"/>
      <c r="AA1956" s="359"/>
      <c r="AB1956" s="360"/>
    </row>
    <row r="1957" spans="1:36" s="361" customFormat="1" ht="15" hidden="1" customHeight="1">
      <c r="A1957" s="354"/>
      <c r="B1957" s="355"/>
      <c r="C1957" s="32"/>
      <c r="D1957" s="33"/>
      <c r="E1957" s="34"/>
      <c r="F1957" s="35"/>
      <c r="G1957" s="33"/>
      <c r="H1957" s="34"/>
      <c r="I1957" s="35"/>
      <c r="J1957" s="43"/>
      <c r="K1957" s="42"/>
      <c r="L1957" s="39"/>
      <c r="M1957" s="41"/>
      <c r="N1957" s="356"/>
      <c r="O1957" s="40"/>
      <c r="P1957" s="39"/>
      <c r="Q1957" s="45"/>
      <c r="R1957" s="362"/>
      <c r="S1957" s="363"/>
      <c r="T1957" s="46"/>
      <c r="U1957" s="44"/>
      <c r="V1957" s="1418">
        <f t="shared" si="200"/>
        <v>0</v>
      </c>
      <c r="W1957" s="357"/>
      <c r="X1957" s="357"/>
      <c r="Y1957" s="357"/>
      <c r="Z1957" s="358"/>
      <c r="AA1957" s="359"/>
      <c r="AB1957" s="360"/>
    </row>
    <row r="1958" spans="1:36" s="369" customFormat="1" ht="15" hidden="1">
      <c r="A1958" s="364"/>
      <c r="B1958" s="355"/>
      <c r="C1958" s="32"/>
      <c r="D1958" s="33"/>
      <c r="E1958" s="34"/>
      <c r="F1958" s="35"/>
      <c r="G1958" s="33"/>
      <c r="H1958" s="34"/>
      <c r="I1958" s="35"/>
      <c r="J1958" s="43"/>
      <c r="K1958" s="42"/>
      <c r="L1958" s="39"/>
      <c r="M1958" s="41"/>
      <c r="N1958" s="40"/>
      <c r="O1958" s="40"/>
      <c r="P1958" s="39"/>
      <c r="Q1958" s="38"/>
      <c r="R1958" s="365"/>
      <c r="S1958" s="366"/>
      <c r="T1958" s="46"/>
      <c r="U1958" s="44"/>
      <c r="V1958" s="1418">
        <f t="shared" si="200"/>
        <v>0</v>
      </c>
      <c r="W1958" s="367"/>
      <c r="X1958" s="367"/>
      <c r="Y1958" s="367"/>
      <c r="Z1958" s="368"/>
    </row>
    <row r="1959" spans="1:36" s="77" customFormat="1" ht="15" hidden="1">
      <c r="A1959" s="370"/>
      <c r="B1959" s="29"/>
      <c r="C1959" s="30"/>
      <c r="D1959" s="18"/>
      <c r="E1959" s="19"/>
      <c r="F1959" s="20"/>
      <c r="G1959" s="18"/>
      <c r="H1959" s="19"/>
      <c r="I1959" s="20"/>
      <c r="J1959" s="21"/>
      <c r="K1959" s="22"/>
      <c r="L1959" s="23"/>
      <c r="M1959" s="24"/>
      <c r="N1959" s="25"/>
      <c r="O1959" s="25"/>
      <c r="P1959" s="23"/>
      <c r="Q1959" s="26"/>
      <c r="R1959" s="371"/>
      <c r="S1959" s="27"/>
      <c r="T1959" s="372"/>
      <c r="U1959" s="31"/>
      <c r="V1959" s="1418">
        <f t="shared" si="200"/>
        <v>0</v>
      </c>
      <c r="AB1959" s="15"/>
    </row>
    <row r="1960" spans="1:36" s="77" customFormat="1" ht="15.6" hidden="1">
      <c r="A1960" s="370"/>
      <c r="B1960" s="499"/>
      <c r="C1960" s="37"/>
      <c r="D1960" s="1929" t="s">
        <v>1520</v>
      </c>
      <c r="E1960" s="1930"/>
      <c r="F1960" s="1930"/>
      <c r="G1960" s="1930"/>
      <c r="H1960" s="1930"/>
      <c r="I1960" s="1931"/>
      <c r="J1960" s="1932">
        <f>VLOOKUP(A1962,'11 - FINANCEIRA'!_xlnm.Print_Area,6,FALSE)</f>
        <v>12</v>
      </c>
      <c r="K1960" s="1933"/>
      <c r="L1960" s="1343" t="str">
        <f>VLOOKUP(A1962,'11 - FINANCEIRA'!_xlnm.Print_Area,4,FALSE)</f>
        <v>m</v>
      </c>
      <c r="M1960" s="1934" t="s">
        <v>1521</v>
      </c>
      <c r="N1960" s="1935"/>
      <c r="O1960" s="1935"/>
      <c r="P1960" s="1935"/>
      <c r="Q1960" s="1936"/>
      <c r="R1960" s="726">
        <f>SUM(R1956:R1959)</f>
        <v>12</v>
      </c>
      <c r="S1960" s="1344" t="str">
        <f>L1960</f>
        <v>m</v>
      </c>
      <c r="T1960" s="373"/>
      <c r="U1960" s="486"/>
      <c r="V1960" s="1418">
        <f t="shared" si="200"/>
        <v>0</v>
      </c>
      <c r="AB1960" s="15"/>
    </row>
    <row r="1961" spans="1:36" s="77" customFormat="1" ht="15.6" hidden="1">
      <c r="A1961" s="370"/>
      <c r="B1961" s="499"/>
      <c r="C1961" s="725"/>
      <c r="D1961" s="1937" t="s">
        <v>1522</v>
      </c>
      <c r="E1961" s="1938"/>
      <c r="F1961" s="1938"/>
      <c r="G1961" s="1938"/>
      <c r="H1961" s="1938"/>
      <c r="I1961" s="1939"/>
      <c r="J1961" s="1943">
        <f>R1960/J1960</f>
        <v>1</v>
      </c>
      <c r="K1961" s="1944"/>
      <c r="L1961" s="1947"/>
      <c r="M1961" s="1934" t="s">
        <v>1523</v>
      </c>
      <c r="N1961" s="1935"/>
      <c r="O1961" s="1935"/>
      <c r="P1961" s="1935"/>
      <c r="Q1961" s="1936"/>
      <c r="R1961" s="726">
        <f>VLOOKUP(A1962,'11 - FINANCEIRA'!_xlnm.Print_Area,8,FALSE)</f>
        <v>12</v>
      </c>
      <c r="S1961" s="727" t="str">
        <f>L1960</f>
        <v>m</v>
      </c>
      <c r="T1961" s="373"/>
      <c r="U1961" s="486"/>
      <c r="V1961" s="1418">
        <f t="shared" si="200"/>
        <v>0</v>
      </c>
      <c r="AB1961" s="15"/>
    </row>
    <row r="1962" spans="1:36" s="77" customFormat="1" ht="15.6" hidden="1">
      <c r="A1962" s="364" t="s">
        <v>496</v>
      </c>
      <c r="B1962" s="499"/>
      <c r="C1962" s="37"/>
      <c r="D1962" s="2013"/>
      <c r="E1962" s="2014"/>
      <c r="F1962" s="2014"/>
      <c r="G1962" s="2014"/>
      <c r="H1962" s="2014"/>
      <c r="I1962" s="2015"/>
      <c r="J1962" s="2016"/>
      <c r="K1962" s="2017"/>
      <c r="L1962" s="1962"/>
      <c r="M1962" s="2007" t="s">
        <v>1524</v>
      </c>
      <c r="N1962" s="2008"/>
      <c r="O1962" s="2008"/>
      <c r="P1962" s="2008"/>
      <c r="Q1962" s="2009"/>
      <c r="R1962" s="1345">
        <f>R1960-R1961</f>
        <v>0</v>
      </c>
      <c r="S1962" s="1346" t="str">
        <f>L1960</f>
        <v>m</v>
      </c>
      <c r="T1962" s="373"/>
      <c r="U1962" s="486"/>
      <c r="V1962" s="1418">
        <f>R1962</f>
        <v>0</v>
      </c>
      <c r="AB1962" s="15"/>
    </row>
    <row r="1963" spans="1:36" s="77" customFormat="1" ht="15.6" hidden="1">
      <c r="A1963" s="370"/>
      <c r="B1963" s="1347"/>
      <c r="C1963" s="1348"/>
      <c r="D1963" s="1349"/>
      <c r="E1963" s="1350"/>
      <c r="F1963" s="1349"/>
      <c r="G1963" s="1349"/>
      <c r="H1963" s="1349"/>
      <c r="I1963" s="1349"/>
      <c r="J1963" s="1351"/>
      <c r="K1963" s="1352"/>
      <c r="L1963" s="1353"/>
      <c r="M1963" s="1354"/>
      <c r="N1963" s="1354"/>
      <c r="O1963" s="1354"/>
      <c r="P1963" s="1354"/>
      <c r="Q1963" s="1354"/>
      <c r="R1963" s="1355"/>
      <c r="S1963" s="1356"/>
      <c r="T1963" s="1357"/>
      <c r="U1963" s="1358"/>
      <c r="V1963" s="1420">
        <f>SUM(V1954:V1962)</f>
        <v>0</v>
      </c>
      <c r="AB1963" s="15"/>
    </row>
    <row r="1964" spans="1:36" s="352" customFormat="1" ht="15.6" hidden="1">
      <c r="A1964" s="351"/>
      <c r="B1964" s="1963" t="str">
        <f>VLOOKUP(A1972,'11 - FINANCEIRA'!_xlnm.Print_Area,1,FALSE)</f>
        <v>2.3.10.17</v>
      </c>
      <c r="C1964" s="1965" t="str">
        <f>VLOOKUP(A1972,'11 - FINANCEIRA'!_xlnm.Print_Area,3,FALSE)</f>
        <v>Tubo de pvc rígido soldável branco, para esgoto, diâmetro 50mm (2"), inclusive conexões</v>
      </c>
      <c r="D1964" s="1967" t="s">
        <v>1503</v>
      </c>
      <c r="E1964" s="1968"/>
      <c r="F1964" s="1968"/>
      <c r="G1964" s="1968"/>
      <c r="H1964" s="1968"/>
      <c r="I1964" s="1969"/>
      <c r="J1964" s="1914" t="s">
        <v>1504</v>
      </c>
      <c r="K1964" s="1914" t="s">
        <v>1505</v>
      </c>
      <c r="L1964" s="1914" t="s">
        <v>1506</v>
      </c>
      <c r="M1964" s="1914" t="s">
        <v>1507</v>
      </c>
      <c r="N1964" s="1914" t="s">
        <v>1508</v>
      </c>
      <c r="O1964" s="1914" t="s">
        <v>1509</v>
      </c>
      <c r="P1964" s="1341" t="s">
        <v>1510</v>
      </c>
      <c r="Q1964" s="1914" t="s">
        <v>1493</v>
      </c>
      <c r="R1964" s="1916" t="s">
        <v>804</v>
      </c>
      <c r="S1964" s="1914" t="s">
        <v>1511</v>
      </c>
      <c r="T1964" s="1914" t="s">
        <v>1512</v>
      </c>
      <c r="U1964" s="1918" t="s">
        <v>1513</v>
      </c>
      <c r="V1964" s="1418">
        <f t="shared" ref="V1964:V1971" si="201">V1965</f>
        <v>0</v>
      </c>
      <c r="W1964" s="16"/>
      <c r="X1964" s="16"/>
      <c r="Y1964" s="16"/>
      <c r="Z1964" s="17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</row>
    <row r="1965" spans="1:36" s="352" customFormat="1" ht="15.6" hidden="1">
      <c r="A1965" s="354"/>
      <c r="B1965" s="1964" t="e">
        <f>LEFT(#REF!,5)</f>
        <v>#REF!</v>
      </c>
      <c r="C1965" s="1966" t="e">
        <f>VLOOKUP(LEFT(#REF!,5),'11 - FINANCEIRA'!_xlnm.Print_Area,2,FALSE)</f>
        <v>#REF!</v>
      </c>
      <c r="D1965" s="1920" t="s">
        <v>1514</v>
      </c>
      <c r="E1965" s="1921"/>
      <c r="F1965" s="1922"/>
      <c r="G1965" s="1923" t="s">
        <v>1515</v>
      </c>
      <c r="H1965" s="1924"/>
      <c r="I1965" s="1925"/>
      <c r="J1965" s="1915"/>
      <c r="K1965" s="1915"/>
      <c r="L1965" s="1915"/>
      <c r="M1965" s="1915"/>
      <c r="N1965" s="1915"/>
      <c r="O1965" s="1915"/>
      <c r="P1965" s="353" t="s">
        <v>1516</v>
      </c>
      <c r="Q1965" s="1915"/>
      <c r="R1965" s="1917"/>
      <c r="S1965" s="1915"/>
      <c r="T1965" s="1915"/>
      <c r="U1965" s="1919"/>
      <c r="V1965" s="1418">
        <f t="shared" si="201"/>
        <v>0</v>
      </c>
      <c r="W1965" s="16"/>
      <c r="X1965" s="16"/>
      <c r="Y1965" s="16"/>
      <c r="Z1965" s="17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</row>
    <row r="1966" spans="1:36" s="361" customFormat="1" ht="15" hidden="1" customHeight="1">
      <c r="A1966" s="354"/>
      <c r="B1966" s="355"/>
      <c r="C1966" s="28" t="s">
        <v>1020</v>
      </c>
      <c r="D1966" s="18"/>
      <c r="E1966" s="19"/>
      <c r="F1966" s="20"/>
      <c r="G1966" s="18"/>
      <c r="H1966" s="19"/>
      <c r="I1966" s="20"/>
      <c r="J1966" s="21"/>
      <c r="K1966" s="22"/>
      <c r="L1966" s="23"/>
      <c r="M1966" s="24"/>
      <c r="N1966" s="728"/>
      <c r="O1966" s="25"/>
      <c r="P1966" s="23"/>
      <c r="Q1966" s="729"/>
      <c r="R1966" s="1109">
        <v>18</v>
      </c>
      <c r="S1966" s="730" t="s">
        <v>809</v>
      </c>
      <c r="T1966" s="446" t="s">
        <v>327</v>
      </c>
      <c r="U1966" s="44"/>
      <c r="V1966" s="1418">
        <f t="shared" si="201"/>
        <v>0</v>
      </c>
      <c r="W1966" s="357"/>
      <c r="X1966" s="357"/>
      <c r="Y1966" s="357"/>
      <c r="Z1966" s="358"/>
      <c r="AA1966" s="359"/>
      <c r="AB1966" s="360"/>
    </row>
    <row r="1967" spans="1:36" s="361" customFormat="1" ht="15" hidden="1" customHeight="1">
      <c r="A1967" s="364"/>
      <c r="B1967" s="355"/>
      <c r="C1967" s="32"/>
      <c r="D1967" s="33"/>
      <c r="E1967" s="34"/>
      <c r="F1967" s="35"/>
      <c r="G1967" s="33"/>
      <c r="H1967" s="34"/>
      <c r="I1967" s="35"/>
      <c r="J1967" s="43"/>
      <c r="K1967" s="42"/>
      <c r="L1967" s="39"/>
      <c r="M1967" s="41"/>
      <c r="N1967" s="356"/>
      <c r="O1967" s="40"/>
      <c r="P1967" s="39"/>
      <c r="Q1967" s="45"/>
      <c r="R1967" s="362"/>
      <c r="S1967" s="363"/>
      <c r="T1967" s="46"/>
      <c r="U1967" s="44"/>
      <c r="V1967" s="1418">
        <f t="shared" si="201"/>
        <v>0</v>
      </c>
      <c r="W1967" s="357"/>
      <c r="X1967" s="357"/>
      <c r="Y1967" s="357"/>
      <c r="Z1967" s="358"/>
      <c r="AA1967" s="359"/>
      <c r="AB1967" s="360"/>
    </row>
    <row r="1968" spans="1:36" s="369" customFormat="1" ht="15" hidden="1">
      <c r="A1968" s="370"/>
      <c r="B1968" s="355"/>
      <c r="C1968" s="32"/>
      <c r="D1968" s="33"/>
      <c r="E1968" s="34"/>
      <c r="F1968" s="35"/>
      <c r="G1968" s="33"/>
      <c r="H1968" s="34"/>
      <c r="I1968" s="35"/>
      <c r="J1968" s="43"/>
      <c r="K1968" s="42"/>
      <c r="L1968" s="39"/>
      <c r="M1968" s="41"/>
      <c r="N1968" s="40"/>
      <c r="O1968" s="40"/>
      <c r="P1968" s="39"/>
      <c r="Q1968" s="38"/>
      <c r="R1968" s="365"/>
      <c r="S1968" s="366"/>
      <c r="T1968" s="46"/>
      <c r="U1968" s="44"/>
      <c r="V1968" s="1418">
        <f t="shared" si="201"/>
        <v>0</v>
      </c>
      <c r="W1968" s="367"/>
      <c r="X1968" s="367"/>
      <c r="Y1968" s="367"/>
      <c r="Z1968" s="368"/>
    </row>
    <row r="1969" spans="1:36" s="77" customFormat="1" ht="15" hidden="1">
      <c r="A1969" s="370"/>
      <c r="B1969" s="29"/>
      <c r="C1969" s="30"/>
      <c r="D1969" s="18"/>
      <c r="E1969" s="19"/>
      <c r="F1969" s="20"/>
      <c r="G1969" s="18"/>
      <c r="H1969" s="19"/>
      <c r="I1969" s="20"/>
      <c r="J1969" s="21"/>
      <c r="K1969" s="22"/>
      <c r="L1969" s="23"/>
      <c r="M1969" s="24"/>
      <c r="N1969" s="25"/>
      <c r="O1969" s="25"/>
      <c r="P1969" s="23"/>
      <c r="Q1969" s="26"/>
      <c r="R1969" s="371"/>
      <c r="S1969" s="27"/>
      <c r="T1969" s="372"/>
      <c r="U1969" s="31"/>
      <c r="V1969" s="1418">
        <f t="shared" si="201"/>
        <v>0</v>
      </c>
      <c r="AB1969" s="15"/>
    </row>
    <row r="1970" spans="1:36" s="77" customFormat="1" ht="15.6" hidden="1">
      <c r="A1970" s="370"/>
      <c r="B1970" s="499"/>
      <c r="C1970" s="37"/>
      <c r="D1970" s="1929" t="s">
        <v>1520</v>
      </c>
      <c r="E1970" s="1930"/>
      <c r="F1970" s="1930"/>
      <c r="G1970" s="1930"/>
      <c r="H1970" s="1930"/>
      <c r="I1970" s="1931"/>
      <c r="J1970" s="1932">
        <f>VLOOKUP(A1972,'11 - FINANCEIRA'!_xlnm.Print_Area,6,FALSE)</f>
        <v>18</v>
      </c>
      <c r="K1970" s="1933"/>
      <c r="L1970" s="1343" t="str">
        <f>VLOOKUP(A1972,'11 - FINANCEIRA'!_xlnm.Print_Area,4,FALSE)</f>
        <v>m</v>
      </c>
      <c r="M1970" s="1934" t="s">
        <v>1521</v>
      </c>
      <c r="N1970" s="1935"/>
      <c r="O1970" s="1935"/>
      <c r="P1970" s="1935"/>
      <c r="Q1970" s="1936"/>
      <c r="R1970" s="726">
        <f>SUM(R1966:R1969)</f>
        <v>18</v>
      </c>
      <c r="S1970" s="1344" t="str">
        <f>L1970</f>
        <v>m</v>
      </c>
      <c r="T1970" s="373"/>
      <c r="U1970" s="486"/>
      <c r="V1970" s="1418">
        <f t="shared" si="201"/>
        <v>0</v>
      </c>
      <c r="AB1970" s="15"/>
    </row>
    <row r="1971" spans="1:36" s="77" customFormat="1" ht="15.6" hidden="1">
      <c r="A1971" s="364"/>
      <c r="B1971" s="499"/>
      <c r="C1971" s="725"/>
      <c r="D1971" s="1937" t="s">
        <v>1522</v>
      </c>
      <c r="E1971" s="1938"/>
      <c r="F1971" s="1938"/>
      <c r="G1971" s="1938"/>
      <c r="H1971" s="1938"/>
      <c r="I1971" s="1939"/>
      <c r="J1971" s="1943">
        <f>R1970/J1970</f>
        <v>1</v>
      </c>
      <c r="K1971" s="1944"/>
      <c r="L1971" s="1947"/>
      <c r="M1971" s="1934" t="s">
        <v>1523</v>
      </c>
      <c r="N1971" s="1935"/>
      <c r="O1971" s="1935"/>
      <c r="P1971" s="1935"/>
      <c r="Q1971" s="1936"/>
      <c r="R1971" s="726">
        <f>VLOOKUP(A1972,'11 - FINANCEIRA'!_xlnm.Print_Area,8,FALSE)</f>
        <v>18</v>
      </c>
      <c r="S1971" s="727" t="str">
        <f>L1970</f>
        <v>m</v>
      </c>
      <c r="T1971" s="373"/>
      <c r="U1971" s="486"/>
      <c r="V1971" s="1418">
        <f t="shared" si="201"/>
        <v>0</v>
      </c>
      <c r="AB1971" s="15"/>
    </row>
    <row r="1972" spans="1:36" s="77" customFormat="1" ht="15.6" hidden="1">
      <c r="A1972" s="364" t="s">
        <v>497</v>
      </c>
      <c r="B1972" s="499"/>
      <c r="C1972" s="37"/>
      <c r="D1972" s="2013"/>
      <c r="E1972" s="2014"/>
      <c r="F1972" s="2014"/>
      <c r="G1972" s="2014"/>
      <c r="H1972" s="2014"/>
      <c r="I1972" s="2015"/>
      <c r="J1972" s="2016"/>
      <c r="K1972" s="2017"/>
      <c r="L1972" s="1962"/>
      <c r="M1972" s="2007" t="s">
        <v>1524</v>
      </c>
      <c r="N1972" s="2008"/>
      <c r="O1972" s="2008"/>
      <c r="P1972" s="2008"/>
      <c r="Q1972" s="2009"/>
      <c r="R1972" s="1345">
        <f>R1970-R1971</f>
        <v>0</v>
      </c>
      <c r="S1972" s="1346" t="str">
        <f>L1970</f>
        <v>m</v>
      </c>
      <c r="T1972" s="373"/>
      <c r="U1972" s="486"/>
      <c r="V1972" s="1418">
        <f>R1972</f>
        <v>0</v>
      </c>
      <c r="AB1972" s="15"/>
    </row>
    <row r="1973" spans="1:36" s="77" customFormat="1" ht="15.6" hidden="1">
      <c r="A1973" s="370"/>
      <c r="B1973" s="1347"/>
      <c r="C1973" s="1348"/>
      <c r="D1973" s="1349"/>
      <c r="E1973" s="1350"/>
      <c r="F1973" s="1349"/>
      <c r="G1973" s="1349"/>
      <c r="H1973" s="1349"/>
      <c r="I1973" s="1349"/>
      <c r="J1973" s="1351"/>
      <c r="K1973" s="1352"/>
      <c r="L1973" s="1353"/>
      <c r="M1973" s="1354"/>
      <c r="N1973" s="1354"/>
      <c r="O1973" s="1354"/>
      <c r="P1973" s="1354"/>
      <c r="Q1973" s="1354"/>
      <c r="R1973" s="1355"/>
      <c r="S1973" s="1356"/>
      <c r="T1973" s="1357"/>
      <c r="U1973" s="1358"/>
      <c r="V1973" s="1420">
        <f>SUM(V1964:V1972)</f>
        <v>0</v>
      </c>
      <c r="AB1973" s="15"/>
    </row>
    <row r="1974" spans="1:36" s="352" customFormat="1" ht="15.6" hidden="1">
      <c r="A1974" s="351"/>
      <c r="B1974" s="1963" t="str">
        <f>VLOOKUP(A1982,'11 - FINANCEIRA'!_xlnm.Print_Area,1,FALSE)</f>
        <v>2.3.10.18</v>
      </c>
      <c r="C1974" s="1965" t="str">
        <f>VLOOKUP(A1982,'11 - FINANCEIRA'!_xlnm.Print_Area,3,FALSE)</f>
        <v>Tubo de pvc rígido soldável branco, para esgoto, diâmetro 100mm (4"), inclusive conexões</v>
      </c>
      <c r="D1974" s="1967" t="s">
        <v>1503</v>
      </c>
      <c r="E1974" s="1968"/>
      <c r="F1974" s="1968"/>
      <c r="G1974" s="1968"/>
      <c r="H1974" s="1968"/>
      <c r="I1974" s="1969"/>
      <c r="J1974" s="1914" t="s">
        <v>1504</v>
      </c>
      <c r="K1974" s="1914" t="s">
        <v>1505</v>
      </c>
      <c r="L1974" s="1914" t="s">
        <v>1506</v>
      </c>
      <c r="M1974" s="1914" t="s">
        <v>1507</v>
      </c>
      <c r="N1974" s="1914" t="s">
        <v>1508</v>
      </c>
      <c r="O1974" s="1914" t="s">
        <v>1509</v>
      </c>
      <c r="P1974" s="1341" t="s">
        <v>1510</v>
      </c>
      <c r="Q1974" s="1914" t="s">
        <v>1493</v>
      </c>
      <c r="R1974" s="1916" t="s">
        <v>804</v>
      </c>
      <c r="S1974" s="1914" t="s">
        <v>1511</v>
      </c>
      <c r="T1974" s="1914" t="s">
        <v>1512</v>
      </c>
      <c r="U1974" s="1918" t="s">
        <v>1513</v>
      </c>
      <c r="V1974" s="1418">
        <f t="shared" ref="V1974:V1981" si="202">V1975</f>
        <v>0</v>
      </c>
      <c r="W1974" s="16"/>
      <c r="X1974" s="16"/>
      <c r="Y1974" s="16"/>
      <c r="Z1974" s="17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</row>
    <row r="1975" spans="1:36" s="352" customFormat="1" ht="15.6" hidden="1">
      <c r="A1975" s="351"/>
      <c r="B1975" s="1964" t="e">
        <f>LEFT(#REF!,5)</f>
        <v>#REF!</v>
      </c>
      <c r="C1975" s="1966" t="e">
        <f>VLOOKUP(LEFT(#REF!,5),'11 - FINANCEIRA'!_xlnm.Print_Area,2,FALSE)</f>
        <v>#REF!</v>
      </c>
      <c r="D1975" s="1920" t="s">
        <v>1514</v>
      </c>
      <c r="E1975" s="1921"/>
      <c r="F1975" s="1922"/>
      <c r="G1975" s="1923" t="s">
        <v>1515</v>
      </c>
      <c r="H1975" s="1924"/>
      <c r="I1975" s="1925"/>
      <c r="J1975" s="1915"/>
      <c r="K1975" s="1915"/>
      <c r="L1975" s="1915"/>
      <c r="M1975" s="1915"/>
      <c r="N1975" s="1915"/>
      <c r="O1975" s="1915"/>
      <c r="P1975" s="353" t="s">
        <v>1516</v>
      </c>
      <c r="Q1975" s="1915"/>
      <c r="R1975" s="1917"/>
      <c r="S1975" s="1915"/>
      <c r="T1975" s="1915"/>
      <c r="U1975" s="1919"/>
      <c r="V1975" s="1418">
        <f t="shared" si="202"/>
        <v>0</v>
      </c>
      <c r="W1975" s="16"/>
      <c r="X1975" s="16"/>
      <c r="Y1975" s="16"/>
      <c r="Z1975" s="17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</row>
    <row r="1976" spans="1:36" s="361" customFormat="1" ht="15" hidden="1">
      <c r="A1976" s="354"/>
      <c r="B1976" s="355"/>
      <c r="C1976" s="28" t="s">
        <v>1022</v>
      </c>
      <c r="D1976" s="18"/>
      <c r="E1976" s="19"/>
      <c r="F1976" s="20"/>
      <c r="G1976" s="18"/>
      <c r="H1976" s="19"/>
      <c r="I1976" s="20"/>
      <c r="J1976" s="21"/>
      <c r="K1976" s="22"/>
      <c r="L1976" s="23"/>
      <c r="M1976" s="24"/>
      <c r="N1976" s="728"/>
      <c r="O1976" s="25"/>
      <c r="P1976" s="23"/>
      <c r="Q1976" s="729"/>
      <c r="R1976" s="1109">
        <v>42</v>
      </c>
      <c r="S1976" s="730" t="s">
        <v>809</v>
      </c>
      <c r="T1976" s="446" t="s">
        <v>327</v>
      </c>
      <c r="U1976" s="44"/>
      <c r="V1976" s="1418">
        <f t="shared" si="202"/>
        <v>0</v>
      </c>
      <c r="W1976" s="357"/>
      <c r="X1976" s="357"/>
      <c r="Y1976" s="357"/>
      <c r="Z1976" s="358"/>
      <c r="AA1976" s="359"/>
      <c r="AB1976" s="360"/>
    </row>
    <row r="1977" spans="1:36" s="361" customFormat="1" ht="15" hidden="1" customHeight="1">
      <c r="A1977" s="354"/>
      <c r="B1977" s="355"/>
      <c r="C1977" s="32"/>
      <c r="D1977" s="33"/>
      <c r="E1977" s="34"/>
      <c r="F1977" s="35"/>
      <c r="G1977" s="33"/>
      <c r="H1977" s="34"/>
      <c r="I1977" s="35"/>
      <c r="J1977" s="43"/>
      <c r="K1977" s="42"/>
      <c r="L1977" s="39"/>
      <c r="M1977" s="41"/>
      <c r="N1977" s="356"/>
      <c r="O1977" s="40"/>
      <c r="P1977" s="39"/>
      <c r="Q1977" s="45"/>
      <c r="R1977" s="362"/>
      <c r="S1977" s="363"/>
      <c r="T1977" s="46"/>
      <c r="U1977" s="44"/>
      <c r="V1977" s="1418">
        <f t="shared" si="202"/>
        <v>0</v>
      </c>
      <c r="W1977" s="357"/>
      <c r="X1977" s="357"/>
      <c r="Y1977" s="357"/>
      <c r="Z1977" s="358"/>
      <c r="AA1977" s="359"/>
      <c r="AB1977" s="360"/>
    </row>
    <row r="1978" spans="1:36" s="369" customFormat="1" ht="15" hidden="1">
      <c r="A1978" s="364"/>
      <c r="B1978" s="355"/>
      <c r="C1978" s="32"/>
      <c r="D1978" s="33"/>
      <c r="E1978" s="34"/>
      <c r="F1978" s="35"/>
      <c r="G1978" s="33"/>
      <c r="H1978" s="34"/>
      <c r="I1978" s="35"/>
      <c r="J1978" s="43"/>
      <c r="K1978" s="42"/>
      <c r="L1978" s="39"/>
      <c r="M1978" s="41"/>
      <c r="N1978" s="40"/>
      <c r="O1978" s="40"/>
      <c r="P1978" s="39"/>
      <c r="Q1978" s="38"/>
      <c r="R1978" s="365"/>
      <c r="S1978" s="366"/>
      <c r="T1978" s="46"/>
      <c r="U1978" s="44"/>
      <c r="V1978" s="1418">
        <f t="shared" si="202"/>
        <v>0</v>
      </c>
      <c r="W1978" s="367"/>
      <c r="X1978" s="367"/>
      <c r="Y1978" s="367"/>
      <c r="Z1978" s="368"/>
    </row>
    <row r="1979" spans="1:36" s="77" customFormat="1" ht="15" hidden="1">
      <c r="A1979" s="370"/>
      <c r="B1979" s="29"/>
      <c r="C1979" s="30"/>
      <c r="D1979" s="18"/>
      <c r="E1979" s="19"/>
      <c r="F1979" s="20"/>
      <c r="G1979" s="18"/>
      <c r="H1979" s="19"/>
      <c r="I1979" s="20"/>
      <c r="J1979" s="21"/>
      <c r="K1979" s="22"/>
      <c r="L1979" s="23"/>
      <c r="M1979" s="24"/>
      <c r="N1979" s="25"/>
      <c r="O1979" s="25"/>
      <c r="P1979" s="23"/>
      <c r="Q1979" s="26"/>
      <c r="R1979" s="371"/>
      <c r="S1979" s="27"/>
      <c r="T1979" s="372"/>
      <c r="U1979" s="31"/>
      <c r="V1979" s="1418">
        <f t="shared" si="202"/>
        <v>0</v>
      </c>
      <c r="AB1979" s="15"/>
    </row>
    <row r="1980" spans="1:36" s="77" customFormat="1" ht="15.6" hidden="1">
      <c r="A1980" s="370"/>
      <c r="B1980" s="499"/>
      <c r="C1980" s="37"/>
      <c r="D1980" s="1929" t="s">
        <v>1520</v>
      </c>
      <c r="E1980" s="1930"/>
      <c r="F1980" s="1930"/>
      <c r="G1980" s="1930"/>
      <c r="H1980" s="1930"/>
      <c r="I1980" s="1931"/>
      <c r="J1980" s="1932">
        <f>VLOOKUP(A1982,'11 - FINANCEIRA'!_xlnm.Print_Area,6,FALSE)</f>
        <v>42</v>
      </c>
      <c r="K1980" s="1933"/>
      <c r="L1980" s="1343" t="str">
        <f>VLOOKUP(A1982,'11 - FINANCEIRA'!_xlnm.Print_Area,4,FALSE)</f>
        <v>m</v>
      </c>
      <c r="M1980" s="1934" t="s">
        <v>1521</v>
      </c>
      <c r="N1980" s="1935"/>
      <c r="O1980" s="1935"/>
      <c r="P1980" s="1935"/>
      <c r="Q1980" s="1936"/>
      <c r="R1980" s="726">
        <f>SUM(R1976:R1979)</f>
        <v>42</v>
      </c>
      <c r="S1980" s="1344" t="str">
        <f>L1980</f>
        <v>m</v>
      </c>
      <c r="T1980" s="373"/>
      <c r="U1980" s="486"/>
      <c r="V1980" s="1418">
        <f t="shared" si="202"/>
        <v>0</v>
      </c>
      <c r="AB1980" s="15"/>
    </row>
    <row r="1981" spans="1:36" s="77" customFormat="1" ht="15.6" hidden="1">
      <c r="A1981" s="370"/>
      <c r="B1981" s="499"/>
      <c r="C1981" s="725"/>
      <c r="D1981" s="1937" t="s">
        <v>1522</v>
      </c>
      <c r="E1981" s="1938"/>
      <c r="F1981" s="1938"/>
      <c r="G1981" s="1938"/>
      <c r="H1981" s="1938"/>
      <c r="I1981" s="1939"/>
      <c r="J1981" s="1943">
        <f>R1980/J1980</f>
        <v>1</v>
      </c>
      <c r="K1981" s="1944"/>
      <c r="L1981" s="1947"/>
      <c r="M1981" s="1934" t="s">
        <v>1523</v>
      </c>
      <c r="N1981" s="1935"/>
      <c r="O1981" s="1935"/>
      <c r="P1981" s="1935"/>
      <c r="Q1981" s="1936"/>
      <c r="R1981" s="726">
        <f>VLOOKUP(A1982,'11 - FINANCEIRA'!_xlnm.Print_Area,8,FALSE)</f>
        <v>42</v>
      </c>
      <c r="S1981" s="727" t="str">
        <f>L1980</f>
        <v>m</v>
      </c>
      <c r="T1981" s="373"/>
      <c r="U1981" s="486"/>
      <c r="V1981" s="1418">
        <f t="shared" si="202"/>
        <v>0</v>
      </c>
      <c r="AB1981" s="15"/>
    </row>
    <row r="1982" spans="1:36" s="77" customFormat="1" ht="15.6" hidden="1">
      <c r="A1982" s="364" t="s">
        <v>498</v>
      </c>
      <c r="B1982" s="499"/>
      <c r="C1982" s="37"/>
      <c r="D1982" s="2013"/>
      <c r="E1982" s="2014"/>
      <c r="F1982" s="2014"/>
      <c r="G1982" s="2014"/>
      <c r="H1982" s="2014"/>
      <c r="I1982" s="2015"/>
      <c r="J1982" s="2016"/>
      <c r="K1982" s="2017"/>
      <c r="L1982" s="1962"/>
      <c r="M1982" s="2007" t="s">
        <v>1524</v>
      </c>
      <c r="N1982" s="2008"/>
      <c r="O1982" s="2008"/>
      <c r="P1982" s="2008"/>
      <c r="Q1982" s="2009"/>
      <c r="R1982" s="1345">
        <f>R1980-R1981</f>
        <v>0</v>
      </c>
      <c r="S1982" s="1346" t="str">
        <f>L1980</f>
        <v>m</v>
      </c>
      <c r="T1982" s="373"/>
      <c r="U1982" s="486"/>
      <c r="V1982" s="1418">
        <f>R1982</f>
        <v>0</v>
      </c>
      <c r="AB1982" s="15"/>
    </row>
    <row r="1983" spans="1:36" s="77" customFormat="1" ht="15.6" hidden="1">
      <c r="A1983" s="370"/>
      <c r="B1983" s="1347"/>
      <c r="C1983" s="1348"/>
      <c r="D1983" s="1349"/>
      <c r="E1983" s="1350"/>
      <c r="F1983" s="1349"/>
      <c r="G1983" s="1349"/>
      <c r="H1983" s="1349"/>
      <c r="I1983" s="1349"/>
      <c r="J1983" s="1351"/>
      <c r="K1983" s="1352"/>
      <c r="L1983" s="1353"/>
      <c r="M1983" s="1354"/>
      <c r="N1983" s="1354"/>
      <c r="O1983" s="1354"/>
      <c r="P1983" s="1354"/>
      <c r="Q1983" s="1354"/>
      <c r="R1983" s="1355"/>
      <c r="S1983" s="1356"/>
      <c r="T1983" s="1357"/>
      <c r="U1983" s="1358"/>
      <c r="V1983" s="1420">
        <f>SUM(V1974:V1982)</f>
        <v>0</v>
      </c>
      <c r="AB1983" s="15"/>
    </row>
    <row r="1984" spans="1:36" s="352" customFormat="1" ht="15.6" hidden="1">
      <c r="A1984" s="351"/>
      <c r="B1984" s="1963" t="str">
        <f>VLOOKUP(A1992,'11 - FINANCEIRA'!_xlnm.Print_Area,1,FALSE)</f>
        <v>2.3.10.19</v>
      </c>
      <c r="C1984" s="1965" t="str">
        <f>VLOOKUP(A1992,'11 - FINANCEIRA'!_xlnm.Print_Area,3,FALSE)</f>
        <v>Ralo sifonado em pvc 100x40mm, com grelha pvc</v>
      </c>
      <c r="D1984" s="1967" t="s">
        <v>1503</v>
      </c>
      <c r="E1984" s="1968"/>
      <c r="F1984" s="1968"/>
      <c r="G1984" s="1968"/>
      <c r="H1984" s="1968"/>
      <c r="I1984" s="1969"/>
      <c r="J1984" s="1914" t="s">
        <v>1504</v>
      </c>
      <c r="K1984" s="1914" t="s">
        <v>1505</v>
      </c>
      <c r="L1984" s="1914" t="s">
        <v>1506</v>
      </c>
      <c r="M1984" s="1914" t="s">
        <v>1507</v>
      </c>
      <c r="N1984" s="1914" t="s">
        <v>1508</v>
      </c>
      <c r="O1984" s="1914" t="s">
        <v>1509</v>
      </c>
      <c r="P1984" s="1341" t="s">
        <v>1510</v>
      </c>
      <c r="Q1984" s="1914" t="s">
        <v>1493</v>
      </c>
      <c r="R1984" s="1916" t="s">
        <v>804</v>
      </c>
      <c r="S1984" s="1914" t="s">
        <v>1511</v>
      </c>
      <c r="T1984" s="1914" t="s">
        <v>1512</v>
      </c>
      <c r="U1984" s="1918" t="s">
        <v>1513</v>
      </c>
      <c r="V1984" s="1418">
        <f t="shared" ref="V1984:V1991" si="203">V1985</f>
        <v>0</v>
      </c>
      <c r="W1984" s="16"/>
      <c r="X1984" s="16"/>
      <c r="Y1984" s="16"/>
      <c r="Z1984" s="17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</row>
    <row r="1985" spans="1:36" s="352" customFormat="1" ht="15.6" hidden="1">
      <c r="A1985" s="351"/>
      <c r="B1985" s="1964" t="e">
        <f>LEFT(#REF!,5)</f>
        <v>#REF!</v>
      </c>
      <c r="C1985" s="1966" t="e">
        <f>VLOOKUP(LEFT(#REF!,5),'11 - FINANCEIRA'!_xlnm.Print_Area,2,FALSE)</f>
        <v>#REF!</v>
      </c>
      <c r="D1985" s="1920" t="s">
        <v>1514</v>
      </c>
      <c r="E1985" s="1921"/>
      <c r="F1985" s="1922"/>
      <c r="G1985" s="1923" t="s">
        <v>1515</v>
      </c>
      <c r="H1985" s="1924"/>
      <c r="I1985" s="1925"/>
      <c r="J1985" s="1915"/>
      <c r="K1985" s="1915"/>
      <c r="L1985" s="1915"/>
      <c r="M1985" s="1915"/>
      <c r="N1985" s="1915"/>
      <c r="O1985" s="1915"/>
      <c r="P1985" s="353" t="s">
        <v>1516</v>
      </c>
      <c r="Q1985" s="1915"/>
      <c r="R1985" s="1917"/>
      <c r="S1985" s="1915"/>
      <c r="T1985" s="1915"/>
      <c r="U1985" s="1919"/>
      <c r="V1985" s="1418">
        <f t="shared" si="203"/>
        <v>0</v>
      </c>
      <c r="W1985" s="16"/>
      <c r="X1985" s="16"/>
      <c r="Y1985" s="16"/>
      <c r="Z1985" s="17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</row>
    <row r="1986" spans="1:36" s="361" customFormat="1" ht="15" hidden="1" customHeight="1">
      <c r="A1986" s="354"/>
      <c r="B1986" s="355"/>
      <c r="C1986" s="28" t="s">
        <v>1024</v>
      </c>
      <c r="D1986" s="18"/>
      <c r="E1986" s="19"/>
      <c r="F1986" s="20"/>
      <c r="G1986" s="18"/>
      <c r="H1986" s="19"/>
      <c r="I1986" s="20"/>
      <c r="J1986" s="21"/>
      <c r="K1986" s="22"/>
      <c r="L1986" s="23"/>
      <c r="M1986" s="24"/>
      <c r="N1986" s="728"/>
      <c r="O1986" s="25"/>
      <c r="P1986" s="23"/>
      <c r="Q1986" s="729"/>
      <c r="R1986" s="1109">
        <v>1</v>
      </c>
      <c r="S1986" s="730" t="s">
        <v>816</v>
      </c>
      <c r="T1986" s="446" t="s">
        <v>327</v>
      </c>
      <c r="U1986" s="44"/>
      <c r="V1986" s="1418">
        <f t="shared" si="203"/>
        <v>0</v>
      </c>
      <c r="W1986" s="357"/>
      <c r="X1986" s="357"/>
      <c r="Y1986" s="357"/>
      <c r="Z1986" s="358"/>
      <c r="AA1986" s="359"/>
      <c r="AB1986" s="360"/>
    </row>
    <row r="1987" spans="1:36" s="361" customFormat="1" ht="15" hidden="1" customHeight="1">
      <c r="A1987" s="354"/>
      <c r="B1987" s="355"/>
      <c r="C1987" s="32"/>
      <c r="D1987" s="33"/>
      <c r="E1987" s="34"/>
      <c r="F1987" s="35"/>
      <c r="G1987" s="33"/>
      <c r="H1987" s="34"/>
      <c r="I1987" s="35"/>
      <c r="J1987" s="43"/>
      <c r="K1987" s="42"/>
      <c r="L1987" s="39"/>
      <c r="M1987" s="41"/>
      <c r="N1987" s="356"/>
      <c r="O1987" s="40"/>
      <c r="P1987" s="39"/>
      <c r="Q1987" s="45"/>
      <c r="R1987" s="362"/>
      <c r="S1987" s="363"/>
      <c r="T1987" s="46"/>
      <c r="U1987" s="44"/>
      <c r="V1987" s="1418">
        <f t="shared" si="203"/>
        <v>0</v>
      </c>
      <c r="W1987" s="357"/>
      <c r="X1987" s="357"/>
      <c r="Y1987" s="357"/>
      <c r="Z1987" s="358"/>
      <c r="AA1987" s="359"/>
      <c r="AB1987" s="360"/>
    </row>
    <row r="1988" spans="1:36" s="369" customFormat="1" ht="15" hidden="1">
      <c r="A1988" s="364"/>
      <c r="B1988" s="355"/>
      <c r="C1988" s="32"/>
      <c r="D1988" s="33"/>
      <c r="E1988" s="34"/>
      <c r="F1988" s="35"/>
      <c r="G1988" s="33"/>
      <c r="H1988" s="34"/>
      <c r="I1988" s="35"/>
      <c r="J1988" s="43"/>
      <c r="K1988" s="42"/>
      <c r="L1988" s="39"/>
      <c r="M1988" s="41"/>
      <c r="N1988" s="40"/>
      <c r="O1988" s="40"/>
      <c r="P1988" s="39"/>
      <c r="Q1988" s="38"/>
      <c r="R1988" s="365"/>
      <c r="S1988" s="366"/>
      <c r="T1988" s="46"/>
      <c r="U1988" s="44"/>
      <c r="V1988" s="1418">
        <f t="shared" si="203"/>
        <v>0</v>
      </c>
      <c r="W1988" s="367"/>
      <c r="X1988" s="367"/>
      <c r="Y1988" s="367"/>
      <c r="Z1988" s="368"/>
    </row>
    <row r="1989" spans="1:36" s="77" customFormat="1" ht="15" hidden="1">
      <c r="A1989" s="370"/>
      <c r="B1989" s="29"/>
      <c r="C1989" s="30"/>
      <c r="D1989" s="18"/>
      <c r="E1989" s="19"/>
      <c r="F1989" s="20"/>
      <c r="G1989" s="18"/>
      <c r="H1989" s="19"/>
      <c r="I1989" s="20"/>
      <c r="J1989" s="21"/>
      <c r="K1989" s="22"/>
      <c r="L1989" s="23"/>
      <c r="M1989" s="24"/>
      <c r="N1989" s="25"/>
      <c r="O1989" s="25"/>
      <c r="P1989" s="23"/>
      <c r="Q1989" s="26"/>
      <c r="R1989" s="371"/>
      <c r="S1989" s="27"/>
      <c r="T1989" s="372"/>
      <c r="U1989" s="31"/>
      <c r="V1989" s="1418">
        <f t="shared" si="203"/>
        <v>0</v>
      </c>
      <c r="AB1989" s="15"/>
    </row>
    <row r="1990" spans="1:36" s="77" customFormat="1" ht="15.6" hidden="1">
      <c r="A1990" s="370"/>
      <c r="B1990" s="499"/>
      <c r="C1990" s="37"/>
      <c r="D1990" s="1929" t="s">
        <v>1520</v>
      </c>
      <c r="E1990" s="1930"/>
      <c r="F1990" s="1930"/>
      <c r="G1990" s="1930"/>
      <c r="H1990" s="1930"/>
      <c r="I1990" s="1931"/>
      <c r="J1990" s="1932">
        <f>VLOOKUP(A1992,'11 - FINANCEIRA'!_xlnm.Print_Area,6,FALSE)</f>
        <v>1</v>
      </c>
      <c r="K1990" s="1933"/>
      <c r="L1990" s="1343" t="str">
        <f>VLOOKUP(A1992,'11 - FINANCEIRA'!_xlnm.Print_Area,4,FALSE)</f>
        <v>und</v>
      </c>
      <c r="M1990" s="1934" t="s">
        <v>1521</v>
      </c>
      <c r="N1990" s="1935"/>
      <c r="O1990" s="1935"/>
      <c r="P1990" s="1935"/>
      <c r="Q1990" s="1936"/>
      <c r="R1990" s="726">
        <f>SUM(R1986:R1989)</f>
        <v>1</v>
      </c>
      <c r="S1990" s="1344" t="str">
        <f>L1990</f>
        <v>und</v>
      </c>
      <c r="T1990" s="373"/>
      <c r="U1990" s="486"/>
      <c r="V1990" s="1418">
        <f t="shared" si="203"/>
        <v>0</v>
      </c>
      <c r="AB1990" s="15"/>
    </row>
    <row r="1991" spans="1:36" s="77" customFormat="1" ht="15.6" hidden="1">
      <c r="A1991" s="370"/>
      <c r="B1991" s="499"/>
      <c r="C1991" s="725"/>
      <c r="D1991" s="1937" t="s">
        <v>1522</v>
      </c>
      <c r="E1991" s="1938"/>
      <c r="F1991" s="1938"/>
      <c r="G1991" s="1938"/>
      <c r="H1991" s="1938"/>
      <c r="I1991" s="1939"/>
      <c r="J1991" s="1943">
        <f>R1990/J1990</f>
        <v>1</v>
      </c>
      <c r="K1991" s="1944"/>
      <c r="L1991" s="1947"/>
      <c r="M1991" s="1934" t="s">
        <v>1523</v>
      </c>
      <c r="N1991" s="1935"/>
      <c r="O1991" s="1935"/>
      <c r="P1991" s="1935"/>
      <c r="Q1991" s="1936"/>
      <c r="R1991" s="726">
        <f>VLOOKUP(A1992,'11 - FINANCEIRA'!_xlnm.Print_Area,8,FALSE)</f>
        <v>1</v>
      </c>
      <c r="S1991" s="727" t="str">
        <f>L1990</f>
        <v>und</v>
      </c>
      <c r="T1991" s="373"/>
      <c r="U1991" s="486"/>
      <c r="V1991" s="1418">
        <f t="shared" si="203"/>
        <v>0</v>
      </c>
      <c r="AB1991" s="15"/>
    </row>
    <row r="1992" spans="1:36" s="77" customFormat="1" ht="15.6" hidden="1">
      <c r="A1992" s="364" t="s">
        <v>499</v>
      </c>
      <c r="B1992" s="499"/>
      <c r="C1992" s="37"/>
      <c r="D1992" s="2013"/>
      <c r="E1992" s="2014"/>
      <c r="F1992" s="2014"/>
      <c r="G1992" s="2014"/>
      <c r="H1992" s="2014"/>
      <c r="I1992" s="2015"/>
      <c r="J1992" s="2016"/>
      <c r="K1992" s="2017"/>
      <c r="L1992" s="1962"/>
      <c r="M1992" s="2007" t="s">
        <v>1524</v>
      </c>
      <c r="N1992" s="2008"/>
      <c r="O1992" s="2008"/>
      <c r="P1992" s="2008"/>
      <c r="Q1992" s="2009"/>
      <c r="R1992" s="1345">
        <f>R1990-R1991</f>
        <v>0</v>
      </c>
      <c r="S1992" s="1346" t="str">
        <f>L1990</f>
        <v>und</v>
      </c>
      <c r="T1992" s="373"/>
      <c r="U1992" s="486"/>
      <c r="V1992" s="1418">
        <f>R1992</f>
        <v>0</v>
      </c>
      <c r="AB1992" s="15"/>
    </row>
    <row r="1993" spans="1:36" s="77" customFormat="1" ht="15.6" hidden="1">
      <c r="A1993" s="370"/>
      <c r="B1993" s="1347"/>
      <c r="C1993" s="1348"/>
      <c r="D1993" s="1349"/>
      <c r="E1993" s="1350"/>
      <c r="F1993" s="1349"/>
      <c r="G1993" s="1349"/>
      <c r="H1993" s="1349"/>
      <c r="I1993" s="1349"/>
      <c r="J1993" s="1351"/>
      <c r="K1993" s="1352"/>
      <c r="L1993" s="1353"/>
      <c r="M1993" s="1354"/>
      <c r="N1993" s="1354"/>
      <c r="O1993" s="1354"/>
      <c r="P1993" s="1354"/>
      <c r="Q1993" s="1354"/>
      <c r="R1993" s="1355"/>
      <c r="S1993" s="1356"/>
      <c r="T1993" s="1357"/>
      <c r="U1993" s="1358"/>
      <c r="V1993" s="1420">
        <f>SUM(V1984:V1992)</f>
        <v>0</v>
      </c>
      <c r="AB1993" s="15"/>
    </row>
    <row r="1994" spans="1:36" s="352" customFormat="1" ht="15.6" hidden="1">
      <c r="A1994" s="351"/>
      <c r="B1994" s="1963" t="str">
        <f>VLOOKUP(A2002,'11 - FINANCEIRA'!_xlnm.Print_Area,1,FALSE)</f>
        <v>2.3.10.20</v>
      </c>
      <c r="C1994" s="1965" t="str">
        <f>VLOOKUP(A2002,'11 - FINANCEIRA'!_xlnm.Print_Area,3,FALSE)</f>
        <v>Caixa sifonada em pvc, com grelha e porta grelha</v>
      </c>
      <c r="D1994" s="1967" t="s">
        <v>1503</v>
      </c>
      <c r="E1994" s="1968"/>
      <c r="F1994" s="1968"/>
      <c r="G1994" s="1968"/>
      <c r="H1994" s="1968"/>
      <c r="I1994" s="1969"/>
      <c r="J1994" s="1914" t="s">
        <v>1504</v>
      </c>
      <c r="K1994" s="1914" t="s">
        <v>1505</v>
      </c>
      <c r="L1994" s="1914" t="s">
        <v>1506</v>
      </c>
      <c r="M1994" s="1914" t="s">
        <v>1507</v>
      </c>
      <c r="N1994" s="1914" t="s">
        <v>1508</v>
      </c>
      <c r="O1994" s="1914" t="s">
        <v>1509</v>
      </c>
      <c r="P1994" s="1341" t="s">
        <v>1510</v>
      </c>
      <c r="Q1994" s="1914" t="s">
        <v>1493</v>
      </c>
      <c r="R1994" s="1916" t="s">
        <v>804</v>
      </c>
      <c r="S1994" s="1914" t="s">
        <v>1511</v>
      </c>
      <c r="T1994" s="1914" t="s">
        <v>1512</v>
      </c>
      <c r="U1994" s="1918" t="s">
        <v>1513</v>
      </c>
      <c r="V1994" s="1418">
        <f t="shared" ref="V1994:V2001" si="204">V1995</f>
        <v>0</v>
      </c>
      <c r="W1994" s="16"/>
      <c r="X1994" s="16"/>
      <c r="Y1994" s="16"/>
      <c r="Z1994" s="17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</row>
    <row r="1995" spans="1:36" s="352" customFormat="1" ht="15.6" hidden="1">
      <c r="A1995" s="351"/>
      <c r="B1995" s="1964" t="e">
        <f>LEFT(#REF!,5)</f>
        <v>#REF!</v>
      </c>
      <c r="C1995" s="1966" t="e">
        <f>VLOOKUP(LEFT(#REF!,5),'11 - FINANCEIRA'!_xlnm.Print_Area,2,FALSE)</f>
        <v>#REF!</v>
      </c>
      <c r="D1995" s="1920" t="s">
        <v>1514</v>
      </c>
      <c r="E1995" s="1921"/>
      <c r="F1995" s="1922"/>
      <c r="G1995" s="1923" t="s">
        <v>1515</v>
      </c>
      <c r="H1995" s="1924"/>
      <c r="I1995" s="1925"/>
      <c r="J1995" s="1915"/>
      <c r="K1995" s="1915"/>
      <c r="L1995" s="1915"/>
      <c r="M1995" s="1915"/>
      <c r="N1995" s="1915"/>
      <c r="O1995" s="1915"/>
      <c r="P1995" s="353" t="s">
        <v>1516</v>
      </c>
      <c r="Q1995" s="1915"/>
      <c r="R1995" s="1917"/>
      <c r="S1995" s="1915"/>
      <c r="T1995" s="1915"/>
      <c r="U1995" s="1919"/>
      <c r="V1995" s="1418">
        <f t="shared" si="204"/>
        <v>0</v>
      </c>
      <c r="W1995" s="16"/>
      <c r="X1995" s="16"/>
      <c r="Y1995" s="16"/>
      <c r="Z1995" s="17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</row>
    <row r="1996" spans="1:36" s="361" customFormat="1" ht="15" hidden="1" customHeight="1">
      <c r="A1996" s="354"/>
      <c r="B1996" s="355"/>
      <c r="C1996" s="28" t="s">
        <v>1026</v>
      </c>
      <c r="D1996" s="18"/>
      <c r="E1996" s="19"/>
      <c r="F1996" s="20"/>
      <c r="G1996" s="18"/>
      <c r="H1996" s="19"/>
      <c r="I1996" s="20"/>
      <c r="J1996" s="21"/>
      <c r="K1996" s="22"/>
      <c r="L1996" s="23"/>
      <c r="M1996" s="24"/>
      <c r="N1996" s="728"/>
      <c r="O1996" s="25"/>
      <c r="P1996" s="23"/>
      <c r="Q1996" s="729"/>
      <c r="R1996" s="1109">
        <v>2</v>
      </c>
      <c r="S1996" s="730" t="s">
        <v>816</v>
      </c>
      <c r="T1996" s="446" t="s">
        <v>327</v>
      </c>
      <c r="U1996" s="44"/>
      <c r="V1996" s="1418">
        <f t="shared" si="204"/>
        <v>0</v>
      </c>
      <c r="W1996" s="357"/>
      <c r="X1996" s="357"/>
      <c r="Y1996" s="357"/>
      <c r="Z1996" s="358"/>
      <c r="AA1996" s="359"/>
      <c r="AB1996" s="360"/>
    </row>
    <row r="1997" spans="1:36" s="361" customFormat="1" ht="15" hidden="1" customHeight="1">
      <c r="A1997" s="354"/>
      <c r="B1997" s="355"/>
      <c r="C1997" s="32"/>
      <c r="D1997" s="33"/>
      <c r="E1997" s="34"/>
      <c r="F1997" s="35"/>
      <c r="G1997" s="33"/>
      <c r="H1997" s="34"/>
      <c r="I1997" s="35"/>
      <c r="J1997" s="43"/>
      <c r="K1997" s="42"/>
      <c r="L1997" s="39"/>
      <c r="M1997" s="41"/>
      <c r="N1997" s="356"/>
      <c r="O1997" s="40"/>
      <c r="P1997" s="39"/>
      <c r="Q1997" s="45"/>
      <c r="R1997" s="362"/>
      <c r="S1997" s="363"/>
      <c r="T1997" s="46"/>
      <c r="U1997" s="44"/>
      <c r="V1997" s="1418">
        <f t="shared" si="204"/>
        <v>0</v>
      </c>
      <c r="W1997" s="357"/>
      <c r="X1997" s="357"/>
      <c r="Y1997" s="357"/>
      <c r="Z1997" s="358"/>
      <c r="AA1997" s="359"/>
      <c r="AB1997" s="360"/>
    </row>
    <row r="1998" spans="1:36" s="369" customFormat="1" ht="15" hidden="1">
      <c r="A1998" s="364"/>
      <c r="B1998" s="355"/>
      <c r="C1998" s="32"/>
      <c r="D1998" s="33"/>
      <c r="E1998" s="34"/>
      <c r="F1998" s="35"/>
      <c r="G1998" s="33"/>
      <c r="H1998" s="34"/>
      <c r="I1998" s="35"/>
      <c r="J1998" s="43"/>
      <c r="K1998" s="42"/>
      <c r="L1998" s="39"/>
      <c r="M1998" s="41"/>
      <c r="N1998" s="40"/>
      <c r="O1998" s="40"/>
      <c r="P1998" s="39"/>
      <c r="Q1998" s="38"/>
      <c r="R1998" s="365"/>
      <c r="S1998" s="366"/>
      <c r="T1998" s="46"/>
      <c r="U1998" s="44"/>
      <c r="V1998" s="1418">
        <f t="shared" si="204"/>
        <v>0</v>
      </c>
      <c r="W1998" s="367"/>
      <c r="X1998" s="367"/>
      <c r="Y1998" s="367"/>
      <c r="Z1998" s="368"/>
    </row>
    <row r="1999" spans="1:36" s="77" customFormat="1" ht="15" hidden="1">
      <c r="A1999" s="370"/>
      <c r="B1999" s="29"/>
      <c r="C1999" s="30"/>
      <c r="D1999" s="18"/>
      <c r="E1999" s="19"/>
      <c r="F1999" s="20"/>
      <c r="G1999" s="18"/>
      <c r="H1999" s="19"/>
      <c r="I1999" s="20"/>
      <c r="J1999" s="21"/>
      <c r="K1999" s="22"/>
      <c r="L1999" s="23"/>
      <c r="M1999" s="24"/>
      <c r="N1999" s="25"/>
      <c r="O1999" s="25"/>
      <c r="P1999" s="23"/>
      <c r="Q1999" s="26"/>
      <c r="R1999" s="371"/>
      <c r="S1999" s="27"/>
      <c r="T1999" s="372"/>
      <c r="U1999" s="31"/>
      <c r="V1999" s="1418">
        <f t="shared" si="204"/>
        <v>0</v>
      </c>
      <c r="AB1999" s="15"/>
    </row>
    <row r="2000" spans="1:36" s="77" customFormat="1" ht="15.6" hidden="1">
      <c r="A2000" s="370"/>
      <c r="B2000" s="499"/>
      <c r="C2000" s="37"/>
      <c r="D2000" s="1929" t="s">
        <v>1520</v>
      </c>
      <c r="E2000" s="1930"/>
      <c r="F2000" s="1930"/>
      <c r="G2000" s="1930"/>
      <c r="H2000" s="1930"/>
      <c r="I2000" s="1931"/>
      <c r="J2000" s="1932">
        <f>VLOOKUP(A2002,'11 - FINANCEIRA'!_xlnm.Print_Area,6,FALSE)</f>
        <v>2</v>
      </c>
      <c r="K2000" s="1933"/>
      <c r="L2000" s="1343" t="str">
        <f>VLOOKUP(A2002,'11 - FINANCEIRA'!_xlnm.Print_Area,4,FALSE)</f>
        <v>und</v>
      </c>
      <c r="M2000" s="1934" t="s">
        <v>1521</v>
      </c>
      <c r="N2000" s="1935"/>
      <c r="O2000" s="1935"/>
      <c r="P2000" s="1935"/>
      <c r="Q2000" s="1936"/>
      <c r="R2000" s="726">
        <f>SUM(R1996:R1999)</f>
        <v>2</v>
      </c>
      <c r="S2000" s="1344" t="str">
        <f>L2000</f>
        <v>und</v>
      </c>
      <c r="T2000" s="373"/>
      <c r="U2000" s="486"/>
      <c r="V2000" s="1418">
        <f t="shared" si="204"/>
        <v>0</v>
      </c>
      <c r="AB2000" s="15"/>
    </row>
    <row r="2001" spans="1:36" s="77" customFormat="1" ht="15.6" hidden="1">
      <c r="A2001" s="370"/>
      <c r="B2001" s="499"/>
      <c r="C2001" s="725"/>
      <c r="D2001" s="1937" t="s">
        <v>1522</v>
      </c>
      <c r="E2001" s="1938"/>
      <c r="F2001" s="1938"/>
      <c r="G2001" s="1938"/>
      <c r="H2001" s="1938"/>
      <c r="I2001" s="1939"/>
      <c r="J2001" s="1943">
        <f>R2000/J2000</f>
        <v>1</v>
      </c>
      <c r="K2001" s="1944"/>
      <c r="L2001" s="1947"/>
      <c r="M2001" s="1934" t="s">
        <v>1523</v>
      </c>
      <c r="N2001" s="1935"/>
      <c r="O2001" s="1935"/>
      <c r="P2001" s="1935"/>
      <c r="Q2001" s="1936"/>
      <c r="R2001" s="726">
        <f>VLOOKUP(A2002,'11 - FINANCEIRA'!_xlnm.Print_Area,8,FALSE)</f>
        <v>2</v>
      </c>
      <c r="S2001" s="727" t="str">
        <f>L2000</f>
        <v>und</v>
      </c>
      <c r="T2001" s="373"/>
      <c r="U2001" s="486"/>
      <c r="V2001" s="1418">
        <f t="shared" si="204"/>
        <v>0</v>
      </c>
      <c r="AB2001" s="15"/>
    </row>
    <row r="2002" spans="1:36" s="77" customFormat="1" ht="15.6" hidden="1">
      <c r="A2002" s="364" t="s">
        <v>500</v>
      </c>
      <c r="B2002" s="499"/>
      <c r="C2002" s="37"/>
      <c r="D2002" s="2013"/>
      <c r="E2002" s="2014"/>
      <c r="F2002" s="2014"/>
      <c r="G2002" s="2014"/>
      <c r="H2002" s="2014"/>
      <c r="I2002" s="2015"/>
      <c r="J2002" s="2016"/>
      <c r="K2002" s="2017"/>
      <c r="L2002" s="1962"/>
      <c r="M2002" s="2007" t="s">
        <v>1524</v>
      </c>
      <c r="N2002" s="2008"/>
      <c r="O2002" s="2008"/>
      <c r="P2002" s="2008"/>
      <c r="Q2002" s="2009"/>
      <c r="R2002" s="1345">
        <f>R2000-R2001</f>
        <v>0</v>
      </c>
      <c r="S2002" s="1346" t="str">
        <f>L2000</f>
        <v>und</v>
      </c>
      <c r="T2002" s="373"/>
      <c r="U2002" s="486"/>
      <c r="V2002" s="1418">
        <f>R2002</f>
        <v>0</v>
      </c>
      <c r="AB2002" s="15"/>
    </row>
    <row r="2003" spans="1:36" s="77" customFormat="1" ht="15.6" hidden="1">
      <c r="A2003" s="370"/>
      <c r="B2003" s="1347"/>
      <c r="C2003" s="1348"/>
      <c r="D2003" s="1349"/>
      <c r="E2003" s="1350"/>
      <c r="F2003" s="1349"/>
      <c r="G2003" s="1349"/>
      <c r="H2003" s="1349"/>
      <c r="I2003" s="1349"/>
      <c r="J2003" s="1351"/>
      <c r="K2003" s="1352"/>
      <c r="L2003" s="1353"/>
      <c r="M2003" s="1354"/>
      <c r="N2003" s="1354"/>
      <c r="O2003" s="1354"/>
      <c r="P2003" s="1354"/>
      <c r="Q2003" s="1354"/>
      <c r="R2003" s="1355"/>
      <c r="S2003" s="1356"/>
      <c r="T2003" s="1357"/>
      <c r="U2003" s="1358"/>
      <c r="V2003" s="1420">
        <f>SUM(V1994:V2002)</f>
        <v>0</v>
      </c>
      <c r="AB2003" s="15"/>
    </row>
    <row r="2004" spans="1:36" s="352" customFormat="1" ht="15.6" hidden="1">
      <c r="A2004" s="351"/>
      <c r="B2004" s="1963" t="str">
        <f>VLOOKUP(A2012,'11 - FINANCEIRA'!_xlnm.Print_Area,1,FALSE)</f>
        <v>2.3.10.21</v>
      </c>
      <c r="C2004" s="1965" t="str">
        <f>VLOOKUP(A2012,'11 - FINANCEIRA'!_xlnm.Print_Area,3,FALSE)</f>
        <v xml:space="preserve">Caixa de gordura pequena </v>
      </c>
      <c r="D2004" s="1967" t="s">
        <v>1503</v>
      </c>
      <c r="E2004" s="1968"/>
      <c r="F2004" s="1968"/>
      <c r="G2004" s="1968"/>
      <c r="H2004" s="1968"/>
      <c r="I2004" s="1969"/>
      <c r="J2004" s="1914" t="s">
        <v>1504</v>
      </c>
      <c r="K2004" s="1914" t="s">
        <v>1505</v>
      </c>
      <c r="L2004" s="1914" t="s">
        <v>1506</v>
      </c>
      <c r="M2004" s="1914" t="s">
        <v>1507</v>
      </c>
      <c r="N2004" s="1914" t="s">
        <v>1508</v>
      </c>
      <c r="O2004" s="1914" t="s">
        <v>1509</v>
      </c>
      <c r="P2004" s="1341" t="s">
        <v>1510</v>
      </c>
      <c r="Q2004" s="1914" t="s">
        <v>1493</v>
      </c>
      <c r="R2004" s="1916" t="s">
        <v>804</v>
      </c>
      <c r="S2004" s="1914" t="s">
        <v>1511</v>
      </c>
      <c r="T2004" s="1914" t="s">
        <v>1512</v>
      </c>
      <c r="U2004" s="1918" t="s">
        <v>1513</v>
      </c>
      <c r="V2004" s="1418">
        <f t="shared" ref="V2004:V2011" si="205">V2005</f>
        <v>0</v>
      </c>
      <c r="W2004" s="16"/>
      <c r="X2004" s="16"/>
      <c r="Y2004" s="16"/>
      <c r="Z2004" s="17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</row>
    <row r="2005" spans="1:36" s="352" customFormat="1" ht="15.6" hidden="1">
      <c r="A2005" s="354"/>
      <c r="B2005" s="1964" t="e">
        <f>LEFT(#REF!,5)</f>
        <v>#REF!</v>
      </c>
      <c r="C2005" s="1966" t="e">
        <f>VLOOKUP(LEFT(#REF!,5),'11 - FINANCEIRA'!_xlnm.Print_Area,2,FALSE)</f>
        <v>#REF!</v>
      </c>
      <c r="D2005" s="1920" t="s">
        <v>1514</v>
      </c>
      <c r="E2005" s="1921"/>
      <c r="F2005" s="1922"/>
      <c r="G2005" s="1923" t="s">
        <v>1515</v>
      </c>
      <c r="H2005" s="1924"/>
      <c r="I2005" s="1925"/>
      <c r="J2005" s="1915"/>
      <c r="K2005" s="1915"/>
      <c r="L2005" s="1915"/>
      <c r="M2005" s="1915"/>
      <c r="N2005" s="1915"/>
      <c r="O2005" s="1915"/>
      <c r="P2005" s="353" t="s">
        <v>1516</v>
      </c>
      <c r="Q2005" s="1915"/>
      <c r="R2005" s="1917"/>
      <c r="S2005" s="1915"/>
      <c r="T2005" s="1915"/>
      <c r="U2005" s="1919"/>
      <c r="V2005" s="1418">
        <f t="shared" si="205"/>
        <v>0</v>
      </c>
      <c r="W2005" s="16"/>
      <c r="X2005" s="16"/>
      <c r="Y2005" s="16"/>
      <c r="Z2005" s="17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</row>
    <row r="2006" spans="1:36" s="361" customFormat="1" ht="15" hidden="1" customHeight="1">
      <c r="A2006" s="354"/>
      <c r="B2006" s="355"/>
      <c r="C2006" s="28" t="s">
        <v>1028</v>
      </c>
      <c r="D2006" s="18"/>
      <c r="E2006" s="19"/>
      <c r="F2006" s="20"/>
      <c r="G2006" s="18"/>
      <c r="H2006" s="19"/>
      <c r="I2006" s="20"/>
      <c r="J2006" s="21"/>
      <c r="K2006" s="22"/>
      <c r="L2006" s="23"/>
      <c r="M2006" s="24"/>
      <c r="N2006" s="728"/>
      <c r="O2006" s="25"/>
      <c r="P2006" s="23"/>
      <c r="Q2006" s="729"/>
      <c r="R2006" s="1109">
        <v>1</v>
      </c>
      <c r="S2006" s="730" t="s">
        <v>816</v>
      </c>
      <c r="T2006" s="446" t="s">
        <v>327</v>
      </c>
      <c r="U2006" s="44"/>
      <c r="V2006" s="1418">
        <f t="shared" si="205"/>
        <v>0</v>
      </c>
      <c r="W2006" s="357"/>
      <c r="X2006" s="357"/>
      <c r="Y2006" s="357"/>
      <c r="Z2006" s="358"/>
      <c r="AA2006" s="359"/>
      <c r="AB2006" s="360"/>
    </row>
    <row r="2007" spans="1:36" s="361" customFormat="1" ht="15" hidden="1" customHeight="1">
      <c r="A2007" s="364"/>
      <c r="B2007" s="355"/>
      <c r="C2007" s="32"/>
      <c r="D2007" s="33"/>
      <c r="E2007" s="34"/>
      <c r="F2007" s="35"/>
      <c r="G2007" s="33"/>
      <c r="H2007" s="34"/>
      <c r="I2007" s="35"/>
      <c r="J2007" s="43"/>
      <c r="K2007" s="42"/>
      <c r="L2007" s="39"/>
      <c r="M2007" s="41"/>
      <c r="N2007" s="356"/>
      <c r="O2007" s="40"/>
      <c r="P2007" s="39"/>
      <c r="Q2007" s="45"/>
      <c r="R2007" s="362"/>
      <c r="S2007" s="363"/>
      <c r="T2007" s="46"/>
      <c r="U2007" s="44"/>
      <c r="V2007" s="1418">
        <f t="shared" si="205"/>
        <v>0</v>
      </c>
      <c r="W2007" s="357"/>
      <c r="X2007" s="357"/>
      <c r="Y2007" s="357"/>
      <c r="Z2007" s="358"/>
      <c r="AA2007" s="359"/>
      <c r="AB2007" s="360"/>
    </row>
    <row r="2008" spans="1:36" s="369" customFormat="1" ht="15" hidden="1">
      <c r="A2008" s="370"/>
      <c r="B2008" s="355"/>
      <c r="C2008" s="32"/>
      <c r="D2008" s="33"/>
      <c r="E2008" s="34"/>
      <c r="F2008" s="35"/>
      <c r="G2008" s="33"/>
      <c r="H2008" s="34"/>
      <c r="I2008" s="35"/>
      <c r="J2008" s="43"/>
      <c r="K2008" s="42"/>
      <c r="L2008" s="39"/>
      <c r="M2008" s="41"/>
      <c r="N2008" s="40"/>
      <c r="O2008" s="40"/>
      <c r="P2008" s="39"/>
      <c r="Q2008" s="38"/>
      <c r="R2008" s="365"/>
      <c r="S2008" s="366"/>
      <c r="T2008" s="46"/>
      <c r="U2008" s="44"/>
      <c r="V2008" s="1418">
        <f t="shared" si="205"/>
        <v>0</v>
      </c>
      <c r="W2008" s="367"/>
      <c r="X2008" s="367"/>
      <c r="Y2008" s="367"/>
      <c r="Z2008" s="368"/>
    </row>
    <row r="2009" spans="1:36" s="77" customFormat="1" ht="15" hidden="1">
      <c r="A2009" s="370"/>
      <c r="B2009" s="29"/>
      <c r="C2009" s="30"/>
      <c r="D2009" s="18"/>
      <c r="E2009" s="19"/>
      <c r="F2009" s="20"/>
      <c r="G2009" s="18"/>
      <c r="H2009" s="19"/>
      <c r="I2009" s="20"/>
      <c r="J2009" s="21"/>
      <c r="K2009" s="22"/>
      <c r="L2009" s="23"/>
      <c r="M2009" s="24"/>
      <c r="N2009" s="25"/>
      <c r="O2009" s="25"/>
      <c r="P2009" s="23"/>
      <c r="Q2009" s="26"/>
      <c r="R2009" s="371"/>
      <c r="S2009" s="27"/>
      <c r="T2009" s="372"/>
      <c r="U2009" s="31"/>
      <c r="V2009" s="1418">
        <f t="shared" si="205"/>
        <v>0</v>
      </c>
      <c r="AB2009" s="15"/>
    </row>
    <row r="2010" spans="1:36" s="77" customFormat="1" ht="15.6" hidden="1">
      <c r="A2010" s="370"/>
      <c r="B2010" s="499"/>
      <c r="C2010" s="37"/>
      <c r="D2010" s="1929" t="s">
        <v>1520</v>
      </c>
      <c r="E2010" s="1930"/>
      <c r="F2010" s="1930"/>
      <c r="G2010" s="1930"/>
      <c r="H2010" s="1930"/>
      <c r="I2010" s="1931"/>
      <c r="J2010" s="1932">
        <f>VLOOKUP(A2012,'11 - FINANCEIRA'!_xlnm.Print_Area,6,FALSE)</f>
        <v>1</v>
      </c>
      <c r="K2010" s="1933"/>
      <c r="L2010" s="1343" t="str">
        <f>VLOOKUP(A2012,'11 - FINANCEIRA'!_xlnm.Print_Area,4,FALSE)</f>
        <v>und</v>
      </c>
      <c r="M2010" s="1934" t="s">
        <v>1521</v>
      </c>
      <c r="N2010" s="1935"/>
      <c r="O2010" s="1935"/>
      <c r="P2010" s="1935"/>
      <c r="Q2010" s="1936"/>
      <c r="R2010" s="726">
        <f>SUM(R2006:R2009)</f>
        <v>1</v>
      </c>
      <c r="S2010" s="1344" t="str">
        <f>L2010</f>
        <v>und</v>
      </c>
      <c r="T2010" s="373"/>
      <c r="U2010" s="486"/>
      <c r="V2010" s="1418">
        <f t="shared" si="205"/>
        <v>0</v>
      </c>
      <c r="AB2010" s="15"/>
    </row>
    <row r="2011" spans="1:36" s="77" customFormat="1" ht="15.6" hidden="1">
      <c r="A2011" s="364"/>
      <c r="B2011" s="499"/>
      <c r="C2011" s="725"/>
      <c r="D2011" s="1937" t="s">
        <v>1522</v>
      </c>
      <c r="E2011" s="1938"/>
      <c r="F2011" s="1938"/>
      <c r="G2011" s="1938"/>
      <c r="H2011" s="1938"/>
      <c r="I2011" s="1939"/>
      <c r="J2011" s="1943">
        <f>R2010/J2010</f>
        <v>1</v>
      </c>
      <c r="K2011" s="1944"/>
      <c r="L2011" s="1947"/>
      <c r="M2011" s="1934" t="s">
        <v>1523</v>
      </c>
      <c r="N2011" s="1935"/>
      <c r="O2011" s="1935"/>
      <c r="P2011" s="1935"/>
      <c r="Q2011" s="1936"/>
      <c r="R2011" s="726">
        <f>VLOOKUP(A2012,'11 - FINANCEIRA'!_xlnm.Print_Area,8,FALSE)</f>
        <v>1</v>
      </c>
      <c r="S2011" s="727" t="str">
        <f>L2010</f>
        <v>und</v>
      </c>
      <c r="T2011" s="373"/>
      <c r="U2011" s="486"/>
      <c r="V2011" s="1418">
        <f t="shared" si="205"/>
        <v>0</v>
      </c>
      <c r="AB2011" s="15"/>
    </row>
    <row r="2012" spans="1:36" s="77" customFormat="1" ht="15.6" hidden="1">
      <c r="A2012" s="364" t="s">
        <v>501</v>
      </c>
      <c r="B2012" s="499"/>
      <c r="C2012" s="37"/>
      <c r="D2012" s="2013"/>
      <c r="E2012" s="2014"/>
      <c r="F2012" s="2014"/>
      <c r="G2012" s="2014"/>
      <c r="H2012" s="2014"/>
      <c r="I2012" s="2015"/>
      <c r="J2012" s="2016"/>
      <c r="K2012" s="2017"/>
      <c r="L2012" s="1962"/>
      <c r="M2012" s="2007" t="s">
        <v>1524</v>
      </c>
      <c r="N2012" s="2008"/>
      <c r="O2012" s="2008"/>
      <c r="P2012" s="2008"/>
      <c r="Q2012" s="2009"/>
      <c r="R2012" s="1345">
        <f>R2010-R2011</f>
        <v>0</v>
      </c>
      <c r="S2012" s="1346" t="str">
        <f>L2010</f>
        <v>und</v>
      </c>
      <c r="T2012" s="373"/>
      <c r="U2012" s="486"/>
      <c r="V2012" s="1418">
        <f>R2012</f>
        <v>0</v>
      </c>
      <c r="AB2012" s="15"/>
    </row>
    <row r="2013" spans="1:36" s="77" customFormat="1" ht="15.6" hidden="1">
      <c r="A2013" s="370"/>
      <c r="B2013" s="1347"/>
      <c r="C2013" s="1348"/>
      <c r="D2013" s="1349"/>
      <c r="E2013" s="1350"/>
      <c r="F2013" s="1349"/>
      <c r="G2013" s="1349"/>
      <c r="H2013" s="1349"/>
      <c r="I2013" s="1349"/>
      <c r="J2013" s="1351"/>
      <c r="K2013" s="1352"/>
      <c r="L2013" s="1353"/>
      <c r="M2013" s="1354"/>
      <c r="N2013" s="1354"/>
      <c r="O2013" s="1354"/>
      <c r="P2013" s="1354"/>
      <c r="Q2013" s="1354"/>
      <c r="R2013" s="1355"/>
      <c r="S2013" s="1356"/>
      <c r="T2013" s="1357"/>
      <c r="U2013" s="1358"/>
      <c r="V2013" s="1420">
        <f>SUM(V2004:V2012)</f>
        <v>0</v>
      </c>
      <c r="AB2013" s="15"/>
    </row>
    <row r="2014" spans="1:36" s="352" customFormat="1" ht="15.6" hidden="1">
      <c r="A2014" s="351"/>
      <c r="B2014" s="1963" t="str">
        <f>VLOOKUP(A2022,'11 - FINANCEIRA'!_xlnm.Print_Area,1,FALSE)</f>
        <v>2.3.10.22</v>
      </c>
      <c r="C2014" s="1965" t="str">
        <f>VLOOKUP(A2022,'11 - FINANCEIRA'!_xlnm.Print_Area,3,FALSE)</f>
        <v>Caixa de passagem de alvenaria de blocos de concreto 9x19x39cm, dimensões de 80x80x80m, com revestimento interno em chapisco e reboco tampa de concreto esp. 5cm e lastro de brita 5cm</v>
      </c>
      <c r="D2014" s="1967" t="s">
        <v>1503</v>
      </c>
      <c r="E2014" s="1968"/>
      <c r="F2014" s="1968"/>
      <c r="G2014" s="1968"/>
      <c r="H2014" s="1968"/>
      <c r="I2014" s="1969"/>
      <c r="J2014" s="1914" t="s">
        <v>1504</v>
      </c>
      <c r="K2014" s="1914" t="s">
        <v>1505</v>
      </c>
      <c r="L2014" s="1914" t="s">
        <v>1506</v>
      </c>
      <c r="M2014" s="1914" t="s">
        <v>1507</v>
      </c>
      <c r="N2014" s="1914" t="s">
        <v>1508</v>
      </c>
      <c r="O2014" s="1914" t="s">
        <v>1509</v>
      </c>
      <c r="P2014" s="1341" t="s">
        <v>1510</v>
      </c>
      <c r="Q2014" s="1914" t="s">
        <v>1493</v>
      </c>
      <c r="R2014" s="1916" t="s">
        <v>804</v>
      </c>
      <c r="S2014" s="1914" t="s">
        <v>1511</v>
      </c>
      <c r="T2014" s="1914" t="s">
        <v>1512</v>
      </c>
      <c r="U2014" s="1918" t="s">
        <v>1513</v>
      </c>
      <c r="V2014" s="1418">
        <f t="shared" ref="V2014:V2021" si="206">V2015</f>
        <v>0</v>
      </c>
      <c r="W2014" s="16"/>
      <c r="X2014" s="16"/>
      <c r="Y2014" s="16"/>
      <c r="Z2014" s="17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</row>
    <row r="2015" spans="1:36" s="352" customFormat="1" ht="15.6" hidden="1">
      <c r="A2015" s="351"/>
      <c r="B2015" s="1964" t="e">
        <f>LEFT(#REF!,5)</f>
        <v>#REF!</v>
      </c>
      <c r="C2015" s="1966" t="e">
        <f>VLOOKUP(LEFT(#REF!,5),'11 - FINANCEIRA'!_xlnm.Print_Area,2,FALSE)</f>
        <v>#REF!</v>
      </c>
      <c r="D2015" s="1920" t="s">
        <v>1514</v>
      </c>
      <c r="E2015" s="1921"/>
      <c r="F2015" s="1922"/>
      <c r="G2015" s="1923" t="s">
        <v>1515</v>
      </c>
      <c r="H2015" s="1924"/>
      <c r="I2015" s="1925"/>
      <c r="J2015" s="1915"/>
      <c r="K2015" s="1915"/>
      <c r="L2015" s="1915"/>
      <c r="M2015" s="1915"/>
      <c r="N2015" s="1915"/>
      <c r="O2015" s="1915"/>
      <c r="P2015" s="353" t="s">
        <v>1516</v>
      </c>
      <c r="Q2015" s="1915"/>
      <c r="R2015" s="1917"/>
      <c r="S2015" s="1915"/>
      <c r="T2015" s="1915"/>
      <c r="U2015" s="1919"/>
      <c r="V2015" s="1418">
        <f t="shared" si="206"/>
        <v>0</v>
      </c>
      <c r="W2015" s="16"/>
      <c r="X2015" s="16"/>
      <c r="Y2015" s="16"/>
      <c r="Z2015" s="17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</row>
    <row r="2016" spans="1:36" s="361" customFormat="1" ht="45" hidden="1">
      <c r="A2016" s="354"/>
      <c r="B2016" s="355"/>
      <c r="C2016" s="28" t="s">
        <v>1030</v>
      </c>
      <c r="D2016" s="18"/>
      <c r="E2016" s="19"/>
      <c r="F2016" s="20"/>
      <c r="G2016" s="18"/>
      <c r="H2016" s="19"/>
      <c r="I2016" s="20"/>
      <c r="J2016" s="21"/>
      <c r="K2016" s="22"/>
      <c r="L2016" s="23"/>
      <c r="M2016" s="24"/>
      <c r="N2016" s="728"/>
      <c r="O2016" s="25"/>
      <c r="P2016" s="23"/>
      <c r="Q2016" s="729"/>
      <c r="R2016" s="1109">
        <v>3</v>
      </c>
      <c r="S2016" s="730" t="s">
        <v>816</v>
      </c>
      <c r="T2016" s="446" t="s">
        <v>327</v>
      </c>
      <c r="U2016" s="44"/>
      <c r="V2016" s="1418">
        <f t="shared" si="206"/>
        <v>0</v>
      </c>
      <c r="W2016" s="357"/>
      <c r="X2016" s="357"/>
      <c r="Y2016" s="357"/>
      <c r="Z2016" s="358"/>
      <c r="AA2016" s="359"/>
      <c r="AB2016" s="360"/>
    </row>
    <row r="2017" spans="1:36" s="361" customFormat="1" ht="15" hidden="1" customHeight="1">
      <c r="A2017" s="354"/>
      <c r="B2017" s="355"/>
      <c r="C2017" s="32"/>
      <c r="D2017" s="33"/>
      <c r="E2017" s="34"/>
      <c r="F2017" s="35"/>
      <c r="G2017" s="33"/>
      <c r="H2017" s="34"/>
      <c r="I2017" s="35"/>
      <c r="J2017" s="43"/>
      <c r="K2017" s="42"/>
      <c r="L2017" s="39"/>
      <c r="M2017" s="41"/>
      <c r="N2017" s="356"/>
      <c r="O2017" s="40"/>
      <c r="P2017" s="39"/>
      <c r="Q2017" s="45"/>
      <c r="R2017" s="362"/>
      <c r="S2017" s="363"/>
      <c r="T2017" s="46"/>
      <c r="U2017" s="44"/>
      <c r="V2017" s="1418">
        <f t="shared" si="206"/>
        <v>0</v>
      </c>
      <c r="W2017" s="357"/>
      <c r="X2017" s="357"/>
      <c r="Y2017" s="357"/>
      <c r="Z2017" s="358"/>
      <c r="AA2017" s="359"/>
      <c r="AB2017" s="360"/>
    </row>
    <row r="2018" spans="1:36" s="369" customFormat="1" ht="15" hidden="1">
      <c r="A2018" s="364"/>
      <c r="B2018" s="355"/>
      <c r="C2018" s="32"/>
      <c r="D2018" s="33"/>
      <c r="E2018" s="34"/>
      <c r="F2018" s="35"/>
      <c r="G2018" s="33"/>
      <c r="H2018" s="34"/>
      <c r="I2018" s="35"/>
      <c r="J2018" s="43"/>
      <c r="K2018" s="42"/>
      <c r="L2018" s="39"/>
      <c r="M2018" s="41"/>
      <c r="N2018" s="40"/>
      <c r="O2018" s="40"/>
      <c r="P2018" s="39"/>
      <c r="Q2018" s="38"/>
      <c r="R2018" s="365"/>
      <c r="S2018" s="366"/>
      <c r="T2018" s="46"/>
      <c r="U2018" s="44"/>
      <c r="V2018" s="1418">
        <f t="shared" si="206"/>
        <v>0</v>
      </c>
      <c r="W2018" s="367"/>
      <c r="X2018" s="367"/>
      <c r="Y2018" s="367"/>
      <c r="Z2018" s="368"/>
    </row>
    <row r="2019" spans="1:36" s="77" customFormat="1" ht="15" hidden="1">
      <c r="A2019" s="370"/>
      <c r="B2019" s="29"/>
      <c r="C2019" s="30"/>
      <c r="D2019" s="18"/>
      <c r="E2019" s="19"/>
      <c r="F2019" s="20"/>
      <c r="G2019" s="18"/>
      <c r="H2019" s="19"/>
      <c r="I2019" s="20"/>
      <c r="J2019" s="21"/>
      <c r="K2019" s="22"/>
      <c r="L2019" s="23"/>
      <c r="M2019" s="24"/>
      <c r="N2019" s="25"/>
      <c r="O2019" s="25"/>
      <c r="P2019" s="23"/>
      <c r="Q2019" s="26"/>
      <c r="R2019" s="371"/>
      <c r="S2019" s="27"/>
      <c r="T2019" s="372"/>
      <c r="U2019" s="31"/>
      <c r="V2019" s="1418">
        <f t="shared" si="206"/>
        <v>0</v>
      </c>
      <c r="AB2019" s="15"/>
    </row>
    <row r="2020" spans="1:36" s="77" customFormat="1" ht="15.6" hidden="1">
      <c r="A2020" s="370"/>
      <c r="B2020" s="499"/>
      <c r="C2020" s="37"/>
      <c r="D2020" s="1929" t="s">
        <v>1520</v>
      </c>
      <c r="E2020" s="1930"/>
      <c r="F2020" s="1930"/>
      <c r="G2020" s="1930"/>
      <c r="H2020" s="1930"/>
      <c r="I2020" s="1931"/>
      <c r="J2020" s="1932">
        <f>VLOOKUP(A2022,'11 - FINANCEIRA'!_xlnm.Print_Area,6,FALSE)</f>
        <v>3</v>
      </c>
      <c r="K2020" s="1933"/>
      <c r="L2020" s="1343" t="str">
        <f>VLOOKUP(A2022,'11 - FINANCEIRA'!_xlnm.Print_Area,4,FALSE)</f>
        <v>und</v>
      </c>
      <c r="M2020" s="1934" t="s">
        <v>1521</v>
      </c>
      <c r="N2020" s="1935"/>
      <c r="O2020" s="1935"/>
      <c r="P2020" s="1935"/>
      <c r="Q2020" s="1936"/>
      <c r="R2020" s="726">
        <f>SUM(R2016:R2019)</f>
        <v>3</v>
      </c>
      <c r="S2020" s="1344" t="str">
        <f>L2020</f>
        <v>und</v>
      </c>
      <c r="T2020" s="373"/>
      <c r="U2020" s="486"/>
      <c r="V2020" s="1418">
        <f t="shared" si="206"/>
        <v>0</v>
      </c>
      <c r="AB2020" s="15"/>
    </row>
    <row r="2021" spans="1:36" s="77" customFormat="1" ht="15.6" hidden="1">
      <c r="A2021" s="370"/>
      <c r="B2021" s="499"/>
      <c r="C2021" s="725"/>
      <c r="D2021" s="1937" t="s">
        <v>1522</v>
      </c>
      <c r="E2021" s="1938"/>
      <c r="F2021" s="1938"/>
      <c r="G2021" s="1938"/>
      <c r="H2021" s="1938"/>
      <c r="I2021" s="1939"/>
      <c r="J2021" s="1943">
        <f>R2020/J2020</f>
        <v>1</v>
      </c>
      <c r="K2021" s="1944"/>
      <c r="L2021" s="1947"/>
      <c r="M2021" s="1934" t="s">
        <v>1523</v>
      </c>
      <c r="N2021" s="1935"/>
      <c r="O2021" s="1935"/>
      <c r="P2021" s="1935"/>
      <c r="Q2021" s="1936"/>
      <c r="R2021" s="726">
        <f>VLOOKUP(A2022,'11 - FINANCEIRA'!_xlnm.Print_Area,8,FALSE)</f>
        <v>3</v>
      </c>
      <c r="S2021" s="727" t="str">
        <f>L2020</f>
        <v>und</v>
      </c>
      <c r="T2021" s="373"/>
      <c r="U2021" s="486"/>
      <c r="V2021" s="1418">
        <f t="shared" si="206"/>
        <v>0</v>
      </c>
      <c r="AB2021" s="15"/>
    </row>
    <row r="2022" spans="1:36" s="77" customFormat="1" ht="15.6" hidden="1">
      <c r="A2022" s="364" t="s">
        <v>502</v>
      </c>
      <c r="B2022" s="499"/>
      <c r="C2022" s="37"/>
      <c r="D2022" s="2013"/>
      <c r="E2022" s="2014"/>
      <c r="F2022" s="2014"/>
      <c r="G2022" s="2014"/>
      <c r="H2022" s="2014"/>
      <c r="I2022" s="2015"/>
      <c r="J2022" s="2016"/>
      <c r="K2022" s="2017"/>
      <c r="L2022" s="1962"/>
      <c r="M2022" s="2007" t="s">
        <v>1524</v>
      </c>
      <c r="N2022" s="2008"/>
      <c r="O2022" s="2008"/>
      <c r="P2022" s="2008"/>
      <c r="Q2022" s="2009"/>
      <c r="R2022" s="1345">
        <f>R2020-R2021</f>
        <v>0</v>
      </c>
      <c r="S2022" s="1346" t="str">
        <f>L2020</f>
        <v>und</v>
      </c>
      <c r="T2022" s="373"/>
      <c r="U2022" s="486"/>
      <c r="V2022" s="1418">
        <f>R2022</f>
        <v>0</v>
      </c>
      <c r="AB2022" s="15"/>
    </row>
    <row r="2023" spans="1:36" s="77" customFormat="1" ht="15.6" hidden="1">
      <c r="A2023" s="370"/>
      <c r="B2023" s="1347"/>
      <c r="C2023" s="1348"/>
      <c r="D2023" s="1349"/>
      <c r="E2023" s="1350"/>
      <c r="F2023" s="1349"/>
      <c r="G2023" s="1349"/>
      <c r="H2023" s="1349"/>
      <c r="I2023" s="1349"/>
      <c r="J2023" s="1351"/>
      <c r="K2023" s="1352"/>
      <c r="L2023" s="1353"/>
      <c r="M2023" s="1354"/>
      <c r="N2023" s="1354"/>
      <c r="O2023" s="1354"/>
      <c r="P2023" s="1354"/>
      <c r="Q2023" s="1354"/>
      <c r="R2023" s="1355"/>
      <c r="S2023" s="1356"/>
      <c r="T2023" s="1357"/>
      <c r="U2023" s="1358"/>
      <c r="V2023" s="1420">
        <f>SUM(V2014:V2022)</f>
        <v>0</v>
      </c>
      <c r="AB2023" s="15"/>
    </row>
    <row r="2024" spans="1:36" s="352" customFormat="1" ht="15.6" hidden="1">
      <c r="A2024" s="351"/>
      <c r="B2024" s="1963" t="str">
        <f>VLOOKUP(A2032,'11 - FINANCEIRA'!_xlnm.Print_Area,1,FALSE)</f>
        <v>2.3.10.23</v>
      </c>
      <c r="C2024" s="1965" t="str">
        <f>VLOOKUP(A2032,'11 - FINANCEIRA'!_xlnm.Print_Area,3,FALSE)</f>
        <v>Caixa de passagem de alvenaria de blocos de concreto 9x19x39cm, dimensões de 1.00x1.00x1.00m, com revestimento interno em chapisco e reboco tampa de concreto esp. 5cm e lastro de brita 5cm</v>
      </c>
      <c r="D2024" s="1967" t="s">
        <v>1503</v>
      </c>
      <c r="E2024" s="1968"/>
      <c r="F2024" s="1968"/>
      <c r="G2024" s="1968"/>
      <c r="H2024" s="1968"/>
      <c r="I2024" s="1969"/>
      <c r="J2024" s="1914" t="s">
        <v>1504</v>
      </c>
      <c r="K2024" s="1914" t="s">
        <v>1505</v>
      </c>
      <c r="L2024" s="1914" t="s">
        <v>1506</v>
      </c>
      <c r="M2024" s="1914" t="s">
        <v>1507</v>
      </c>
      <c r="N2024" s="1914" t="s">
        <v>1508</v>
      </c>
      <c r="O2024" s="1914" t="s">
        <v>1509</v>
      </c>
      <c r="P2024" s="1341" t="s">
        <v>1510</v>
      </c>
      <c r="Q2024" s="1914" t="s">
        <v>1493</v>
      </c>
      <c r="R2024" s="1916" t="s">
        <v>804</v>
      </c>
      <c r="S2024" s="1914" t="s">
        <v>1511</v>
      </c>
      <c r="T2024" s="1914" t="s">
        <v>1512</v>
      </c>
      <c r="U2024" s="1918" t="s">
        <v>1513</v>
      </c>
      <c r="V2024" s="1418">
        <f t="shared" ref="V2024:V2031" si="207">V2025</f>
        <v>0</v>
      </c>
      <c r="W2024" s="16"/>
      <c r="X2024" s="16"/>
      <c r="Y2024" s="16"/>
      <c r="Z2024" s="17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</row>
    <row r="2025" spans="1:36" s="352" customFormat="1" ht="15.6" hidden="1">
      <c r="A2025" s="351"/>
      <c r="B2025" s="1964" t="e">
        <f>LEFT(#REF!,5)</f>
        <v>#REF!</v>
      </c>
      <c r="C2025" s="1966" t="e">
        <f>VLOOKUP(LEFT(#REF!,5),'11 - FINANCEIRA'!_xlnm.Print_Area,2,FALSE)</f>
        <v>#REF!</v>
      </c>
      <c r="D2025" s="1920" t="s">
        <v>1514</v>
      </c>
      <c r="E2025" s="1921"/>
      <c r="F2025" s="1922"/>
      <c r="G2025" s="1923" t="s">
        <v>1515</v>
      </c>
      <c r="H2025" s="1924"/>
      <c r="I2025" s="1925"/>
      <c r="J2025" s="1915"/>
      <c r="K2025" s="1915"/>
      <c r="L2025" s="1915"/>
      <c r="M2025" s="1915"/>
      <c r="N2025" s="1915"/>
      <c r="O2025" s="1915"/>
      <c r="P2025" s="353" t="s">
        <v>1516</v>
      </c>
      <c r="Q2025" s="1915"/>
      <c r="R2025" s="1917"/>
      <c r="S2025" s="1915"/>
      <c r="T2025" s="1915"/>
      <c r="U2025" s="1919"/>
      <c r="V2025" s="1418">
        <f t="shared" si="207"/>
        <v>0</v>
      </c>
      <c r="W2025" s="16"/>
      <c r="X2025" s="16"/>
      <c r="Y2025" s="16"/>
      <c r="Z2025" s="17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</row>
    <row r="2026" spans="1:36" s="361" customFormat="1" ht="45" hidden="1">
      <c r="A2026" s="354"/>
      <c r="B2026" s="355"/>
      <c r="C2026" s="28" t="s">
        <v>1032</v>
      </c>
      <c r="D2026" s="18"/>
      <c r="E2026" s="19"/>
      <c r="F2026" s="20"/>
      <c r="G2026" s="18"/>
      <c r="H2026" s="19"/>
      <c r="I2026" s="20"/>
      <c r="J2026" s="21"/>
      <c r="K2026" s="22"/>
      <c r="L2026" s="23"/>
      <c r="M2026" s="24"/>
      <c r="N2026" s="728"/>
      <c r="O2026" s="25"/>
      <c r="P2026" s="23"/>
      <c r="Q2026" s="729"/>
      <c r="R2026" s="1109">
        <v>1</v>
      </c>
      <c r="S2026" s="730" t="s">
        <v>816</v>
      </c>
      <c r="T2026" s="446" t="s">
        <v>327</v>
      </c>
      <c r="U2026" s="44"/>
      <c r="V2026" s="1418">
        <f t="shared" si="207"/>
        <v>0</v>
      </c>
      <c r="W2026" s="357"/>
      <c r="X2026" s="357"/>
      <c r="Y2026" s="357"/>
      <c r="Z2026" s="358"/>
      <c r="AA2026" s="359"/>
      <c r="AB2026" s="360"/>
    </row>
    <row r="2027" spans="1:36" s="361" customFormat="1" ht="15" hidden="1" customHeight="1">
      <c r="A2027" s="354"/>
      <c r="B2027" s="355"/>
      <c r="C2027" s="32"/>
      <c r="D2027" s="33"/>
      <c r="E2027" s="34"/>
      <c r="F2027" s="35"/>
      <c r="G2027" s="33"/>
      <c r="H2027" s="34"/>
      <c r="I2027" s="35"/>
      <c r="J2027" s="43"/>
      <c r="K2027" s="42"/>
      <c r="L2027" s="39"/>
      <c r="M2027" s="41"/>
      <c r="N2027" s="356"/>
      <c r="O2027" s="40"/>
      <c r="P2027" s="39"/>
      <c r="Q2027" s="45"/>
      <c r="R2027" s="362"/>
      <c r="S2027" s="363"/>
      <c r="T2027" s="46"/>
      <c r="U2027" s="44"/>
      <c r="V2027" s="1418">
        <f t="shared" si="207"/>
        <v>0</v>
      </c>
      <c r="W2027" s="357"/>
      <c r="X2027" s="357"/>
      <c r="Y2027" s="357"/>
      <c r="Z2027" s="358"/>
      <c r="AA2027" s="359"/>
      <c r="AB2027" s="360"/>
    </row>
    <row r="2028" spans="1:36" s="369" customFormat="1" ht="15" hidden="1">
      <c r="A2028" s="364"/>
      <c r="B2028" s="355"/>
      <c r="C2028" s="32"/>
      <c r="D2028" s="33"/>
      <c r="E2028" s="34"/>
      <c r="F2028" s="35"/>
      <c r="G2028" s="33"/>
      <c r="H2028" s="34"/>
      <c r="I2028" s="35"/>
      <c r="J2028" s="43"/>
      <c r="K2028" s="42"/>
      <c r="L2028" s="39"/>
      <c r="M2028" s="41"/>
      <c r="N2028" s="40"/>
      <c r="O2028" s="40"/>
      <c r="P2028" s="39"/>
      <c r="Q2028" s="38"/>
      <c r="R2028" s="365"/>
      <c r="S2028" s="366"/>
      <c r="T2028" s="46"/>
      <c r="U2028" s="44"/>
      <c r="V2028" s="1418">
        <f t="shared" si="207"/>
        <v>0</v>
      </c>
      <c r="W2028" s="367"/>
      <c r="X2028" s="367"/>
      <c r="Y2028" s="367"/>
      <c r="Z2028" s="368"/>
    </row>
    <row r="2029" spans="1:36" s="77" customFormat="1" ht="15" hidden="1">
      <c r="A2029" s="370"/>
      <c r="B2029" s="29"/>
      <c r="C2029" s="30"/>
      <c r="D2029" s="18"/>
      <c r="E2029" s="19"/>
      <c r="F2029" s="20"/>
      <c r="G2029" s="18"/>
      <c r="H2029" s="19"/>
      <c r="I2029" s="20"/>
      <c r="J2029" s="21"/>
      <c r="K2029" s="22"/>
      <c r="L2029" s="23"/>
      <c r="M2029" s="24"/>
      <c r="N2029" s="25"/>
      <c r="O2029" s="25"/>
      <c r="P2029" s="23"/>
      <c r="Q2029" s="26"/>
      <c r="R2029" s="371"/>
      <c r="S2029" s="27"/>
      <c r="T2029" s="372"/>
      <c r="U2029" s="31"/>
      <c r="V2029" s="1418">
        <f t="shared" si="207"/>
        <v>0</v>
      </c>
      <c r="AB2029" s="15"/>
    </row>
    <row r="2030" spans="1:36" s="77" customFormat="1" ht="15.6" hidden="1">
      <c r="A2030" s="370"/>
      <c r="B2030" s="499"/>
      <c r="C2030" s="37"/>
      <c r="D2030" s="1929" t="s">
        <v>1520</v>
      </c>
      <c r="E2030" s="1930"/>
      <c r="F2030" s="1930"/>
      <c r="G2030" s="1930"/>
      <c r="H2030" s="1930"/>
      <c r="I2030" s="1931"/>
      <c r="J2030" s="1932">
        <f>VLOOKUP(A2032,'11 - FINANCEIRA'!_xlnm.Print_Area,6,FALSE)</f>
        <v>1</v>
      </c>
      <c r="K2030" s="1933"/>
      <c r="L2030" s="1343" t="str">
        <f>VLOOKUP(A2032,'11 - FINANCEIRA'!_xlnm.Print_Area,4,FALSE)</f>
        <v>und</v>
      </c>
      <c r="M2030" s="1934" t="s">
        <v>1521</v>
      </c>
      <c r="N2030" s="1935"/>
      <c r="O2030" s="1935"/>
      <c r="P2030" s="1935"/>
      <c r="Q2030" s="1936"/>
      <c r="R2030" s="726">
        <f>SUM(R2026:R2029)</f>
        <v>1</v>
      </c>
      <c r="S2030" s="1344" t="str">
        <f>L2030</f>
        <v>und</v>
      </c>
      <c r="T2030" s="373"/>
      <c r="U2030" s="486"/>
      <c r="V2030" s="1418">
        <f t="shared" si="207"/>
        <v>0</v>
      </c>
      <c r="AB2030" s="15"/>
    </row>
    <row r="2031" spans="1:36" s="77" customFormat="1" ht="15.6" hidden="1">
      <c r="A2031" s="370"/>
      <c r="B2031" s="499"/>
      <c r="C2031" s="725"/>
      <c r="D2031" s="1937" t="s">
        <v>1522</v>
      </c>
      <c r="E2031" s="1938"/>
      <c r="F2031" s="1938"/>
      <c r="G2031" s="1938"/>
      <c r="H2031" s="1938"/>
      <c r="I2031" s="1939"/>
      <c r="J2031" s="1943">
        <f>R2030/J2030</f>
        <v>1</v>
      </c>
      <c r="K2031" s="1944"/>
      <c r="L2031" s="1947"/>
      <c r="M2031" s="1934" t="s">
        <v>1523</v>
      </c>
      <c r="N2031" s="1935"/>
      <c r="O2031" s="1935"/>
      <c r="P2031" s="1935"/>
      <c r="Q2031" s="1936"/>
      <c r="R2031" s="726">
        <f>VLOOKUP(A2032,'11 - FINANCEIRA'!_xlnm.Print_Area,8,FALSE)</f>
        <v>1</v>
      </c>
      <c r="S2031" s="727" t="str">
        <f>L2030</f>
        <v>und</v>
      </c>
      <c r="T2031" s="373"/>
      <c r="U2031" s="486"/>
      <c r="V2031" s="1418">
        <f t="shared" si="207"/>
        <v>0</v>
      </c>
      <c r="AB2031" s="15"/>
    </row>
    <row r="2032" spans="1:36" s="77" customFormat="1" ht="15.6" hidden="1">
      <c r="A2032" s="364" t="s">
        <v>503</v>
      </c>
      <c r="B2032" s="499"/>
      <c r="C2032" s="37"/>
      <c r="D2032" s="2013"/>
      <c r="E2032" s="2014"/>
      <c r="F2032" s="2014"/>
      <c r="G2032" s="2014"/>
      <c r="H2032" s="2014"/>
      <c r="I2032" s="2015"/>
      <c r="J2032" s="2016"/>
      <c r="K2032" s="2017"/>
      <c r="L2032" s="1962"/>
      <c r="M2032" s="2007" t="s">
        <v>1524</v>
      </c>
      <c r="N2032" s="2008"/>
      <c r="O2032" s="2008"/>
      <c r="P2032" s="2008"/>
      <c r="Q2032" s="2009"/>
      <c r="R2032" s="1345">
        <f>R2030-R2031</f>
        <v>0</v>
      </c>
      <c r="S2032" s="1346" t="str">
        <f>L2030</f>
        <v>und</v>
      </c>
      <c r="T2032" s="373"/>
      <c r="U2032" s="486"/>
      <c r="V2032" s="1418">
        <f>R2032</f>
        <v>0</v>
      </c>
      <c r="AB2032" s="15"/>
    </row>
    <row r="2033" spans="1:36" s="77" customFormat="1" ht="15.6" hidden="1">
      <c r="A2033" s="370"/>
      <c r="B2033" s="1347"/>
      <c r="C2033" s="1348"/>
      <c r="D2033" s="1349"/>
      <c r="E2033" s="1350"/>
      <c r="F2033" s="1349"/>
      <c r="G2033" s="1349"/>
      <c r="H2033" s="1349"/>
      <c r="I2033" s="1349"/>
      <c r="J2033" s="1351"/>
      <c r="K2033" s="1352"/>
      <c r="L2033" s="1353"/>
      <c r="M2033" s="1354"/>
      <c r="N2033" s="1354"/>
      <c r="O2033" s="1354"/>
      <c r="P2033" s="1354"/>
      <c r="Q2033" s="1354"/>
      <c r="R2033" s="1355"/>
      <c r="S2033" s="1356"/>
      <c r="T2033" s="1357"/>
      <c r="U2033" s="1358"/>
      <c r="V2033" s="1420">
        <f>SUM(V2024:V2032)</f>
        <v>0</v>
      </c>
      <c r="AB2033" s="15"/>
    </row>
    <row r="2034" spans="1:36" s="352" customFormat="1" ht="15.6" hidden="1">
      <c r="A2034" s="351"/>
      <c r="B2034" s="1963" t="str">
        <f>VLOOKUP(A2042,'11 - FINANCEIRA'!_xlnm.Print_Area,1,FALSE)</f>
        <v>2.3.10.24</v>
      </c>
      <c r="C2034" s="1965" t="str">
        <f>VLOOKUP(A2042,'11 - FINANCEIRA'!_xlnm.Print_Area,3,FALSE)</f>
        <v>Terminal de ventilacao, 50 mm, serie normal, esgoto predial</v>
      </c>
      <c r="D2034" s="1967" t="s">
        <v>1503</v>
      </c>
      <c r="E2034" s="1968"/>
      <c r="F2034" s="1968"/>
      <c r="G2034" s="1968"/>
      <c r="H2034" s="1968"/>
      <c r="I2034" s="1969"/>
      <c r="J2034" s="1914" t="s">
        <v>1504</v>
      </c>
      <c r="K2034" s="1914" t="s">
        <v>1505</v>
      </c>
      <c r="L2034" s="1914" t="s">
        <v>1506</v>
      </c>
      <c r="M2034" s="1914" t="s">
        <v>1507</v>
      </c>
      <c r="N2034" s="1914" t="s">
        <v>1508</v>
      </c>
      <c r="O2034" s="1914" t="s">
        <v>1509</v>
      </c>
      <c r="P2034" s="1341" t="s">
        <v>1510</v>
      </c>
      <c r="Q2034" s="1914" t="s">
        <v>1493</v>
      </c>
      <c r="R2034" s="1916" t="s">
        <v>804</v>
      </c>
      <c r="S2034" s="1914" t="s">
        <v>1511</v>
      </c>
      <c r="T2034" s="1914" t="s">
        <v>1512</v>
      </c>
      <c r="U2034" s="1918" t="s">
        <v>1513</v>
      </c>
      <c r="V2034" s="1418">
        <f t="shared" ref="V2034:V2041" si="208">V2035</f>
        <v>0</v>
      </c>
      <c r="W2034" s="16"/>
      <c r="X2034" s="16"/>
      <c r="Y2034" s="16"/>
      <c r="Z2034" s="17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</row>
    <row r="2035" spans="1:36" s="352" customFormat="1" ht="15.6" hidden="1">
      <c r="A2035" s="351"/>
      <c r="B2035" s="1964" t="e">
        <f>LEFT(#REF!,5)</f>
        <v>#REF!</v>
      </c>
      <c r="C2035" s="1966" t="e">
        <f>VLOOKUP(LEFT(#REF!,5),'11 - FINANCEIRA'!_xlnm.Print_Area,2,FALSE)</f>
        <v>#REF!</v>
      </c>
      <c r="D2035" s="1920" t="s">
        <v>1514</v>
      </c>
      <c r="E2035" s="1921"/>
      <c r="F2035" s="1922"/>
      <c r="G2035" s="1923" t="s">
        <v>1515</v>
      </c>
      <c r="H2035" s="1924"/>
      <c r="I2035" s="1925"/>
      <c r="J2035" s="1915"/>
      <c r="K2035" s="1915"/>
      <c r="L2035" s="1915"/>
      <c r="M2035" s="1915"/>
      <c r="N2035" s="1915"/>
      <c r="O2035" s="1915"/>
      <c r="P2035" s="353" t="s">
        <v>1516</v>
      </c>
      <c r="Q2035" s="1915"/>
      <c r="R2035" s="1917"/>
      <c r="S2035" s="1915"/>
      <c r="T2035" s="1915"/>
      <c r="U2035" s="1919"/>
      <c r="V2035" s="1418">
        <f t="shared" si="208"/>
        <v>0</v>
      </c>
      <c r="W2035" s="16"/>
      <c r="X2035" s="16"/>
      <c r="Y2035" s="16"/>
      <c r="Z2035" s="17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</row>
    <row r="2036" spans="1:36" s="361" customFormat="1" ht="15" hidden="1" customHeight="1">
      <c r="A2036" s="354"/>
      <c r="B2036" s="355"/>
      <c r="C2036" s="28" t="s">
        <v>1034</v>
      </c>
      <c r="D2036" s="18"/>
      <c r="E2036" s="19"/>
      <c r="F2036" s="20"/>
      <c r="G2036" s="18"/>
      <c r="H2036" s="19"/>
      <c r="I2036" s="20"/>
      <c r="J2036" s="21"/>
      <c r="K2036" s="22"/>
      <c r="L2036" s="23"/>
      <c r="M2036" s="24"/>
      <c r="N2036" s="728"/>
      <c r="O2036" s="25"/>
      <c r="P2036" s="23"/>
      <c r="Q2036" s="729"/>
      <c r="R2036" s="1109">
        <v>1</v>
      </c>
      <c r="S2036" s="730" t="s">
        <v>816</v>
      </c>
      <c r="T2036" s="446" t="s">
        <v>327</v>
      </c>
      <c r="U2036" s="44"/>
      <c r="V2036" s="1418">
        <f t="shared" si="208"/>
        <v>0</v>
      </c>
      <c r="W2036" s="357"/>
      <c r="X2036" s="357"/>
      <c r="Y2036" s="357"/>
      <c r="Z2036" s="358"/>
      <c r="AA2036" s="359"/>
      <c r="AB2036" s="360"/>
    </row>
    <row r="2037" spans="1:36" s="361" customFormat="1" ht="15" hidden="1" customHeight="1">
      <c r="A2037" s="354"/>
      <c r="B2037" s="355"/>
      <c r="C2037" s="32"/>
      <c r="D2037" s="33"/>
      <c r="E2037" s="34"/>
      <c r="F2037" s="35"/>
      <c r="G2037" s="33"/>
      <c r="H2037" s="34"/>
      <c r="I2037" s="35"/>
      <c r="J2037" s="43"/>
      <c r="K2037" s="42"/>
      <c r="L2037" s="39"/>
      <c r="M2037" s="41"/>
      <c r="N2037" s="356"/>
      <c r="O2037" s="40"/>
      <c r="P2037" s="39"/>
      <c r="Q2037" s="45"/>
      <c r="R2037" s="362"/>
      <c r="S2037" s="363"/>
      <c r="T2037" s="46"/>
      <c r="U2037" s="44"/>
      <c r="V2037" s="1418">
        <f t="shared" si="208"/>
        <v>0</v>
      </c>
      <c r="W2037" s="357"/>
      <c r="X2037" s="357"/>
      <c r="Y2037" s="357"/>
      <c r="Z2037" s="358"/>
      <c r="AA2037" s="359"/>
      <c r="AB2037" s="360"/>
    </row>
    <row r="2038" spans="1:36" s="369" customFormat="1" ht="15" hidden="1">
      <c r="A2038" s="364"/>
      <c r="B2038" s="355"/>
      <c r="C2038" s="32"/>
      <c r="D2038" s="33"/>
      <c r="E2038" s="34"/>
      <c r="F2038" s="35"/>
      <c r="G2038" s="33"/>
      <c r="H2038" s="34"/>
      <c r="I2038" s="35"/>
      <c r="J2038" s="43"/>
      <c r="K2038" s="42"/>
      <c r="L2038" s="39"/>
      <c r="M2038" s="41"/>
      <c r="N2038" s="40"/>
      <c r="O2038" s="40"/>
      <c r="P2038" s="39"/>
      <c r="Q2038" s="38"/>
      <c r="R2038" s="365"/>
      <c r="S2038" s="366"/>
      <c r="T2038" s="46"/>
      <c r="U2038" s="44"/>
      <c r="V2038" s="1418">
        <f t="shared" si="208"/>
        <v>0</v>
      </c>
      <c r="W2038" s="367"/>
      <c r="X2038" s="367"/>
      <c r="Y2038" s="367"/>
      <c r="Z2038" s="368"/>
    </row>
    <row r="2039" spans="1:36" s="77" customFormat="1" ht="15" hidden="1">
      <c r="A2039" s="370"/>
      <c r="B2039" s="29"/>
      <c r="C2039" s="30"/>
      <c r="D2039" s="18"/>
      <c r="E2039" s="19"/>
      <c r="F2039" s="20"/>
      <c r="G2039" s="18"/>
      <c r="H2039" s="19"/>
      <c r="I2039" s="20"/>
      <c r="J2039" s="21"/>
      <c r="K2039" s="22"/>
      <c r="L2039" s="23"/>
      <c r="M2039" s="24"/>
      <c r="N2039" s="25"/>
      <c r="O2039" s="25"/>
      <c r="P2039" s="23"/>
      <c r="Q2039" s="26"/>
      <c r="R2039" s="371"/>
      <c r="S2039" s="27"/>
      <c r="T2039" s="372"/>
      <c r="U2039" s="31"/>
      <c r="V2039" s="1418">
        <f t="shared" si="208"/>
        <v>0</v>
      </c>
      <c r="AB2039" s="15"/>
    </row>
    <row r="2040" spans="1:36" s="77" customFormat="1" ht="15.6" hidden="1">
      <c r="A2040" s="370"/>
      <c r="B2040" s="499"/>
      <c r="C2040" s="37"/>
      <c r="D2040" s="1929" t="s">
        <v>1520</v>
      </c>
      <c r="E2040" s="1930"/>
      <c r="F2040" s="1930"/>
      <c r="G2040" s="1930"/>
      <c r="H2040" s="1930"/>
      <c r="I2040" s="1931"/>
      <c r="J2040" s="1932">
        <f>VLOOKUP(A2042,'11 - FINANCEIRA'!_xlnm.Print_Area,6,FALSE)</f>
        <v>1</v>
      </c>
      <c r="K2040" s="1933"/>
      <c r="L2040" s="1343" t="str">
        <f>VLOOKUP(A2042,'11 - FINANCEIRA'!_xlnm.Print_Area,4,FALSE)</f>
        <v>und</v>
      </c>
      <c r="M2040" s="1934" t="s">
        <v>1521</v>
      </c>
      <c r="N2040" s="1935"/>
      <c r="O2040" s="1935"/>
      <c r="P2040" s="1935"/>
      <c r="Q2040" s="1936"/>
      <c r="R2040" s="726">
        <f>SUM(R2036:R2039)</f>
        <v>1</v>
      </c>
      <c r="S2040" s="1344" t="str">
        <f>L2040</f>
        <v>und</v>
      </c>
      <c r="T2040" s="373"/>
      <c r="U2040" s="486"/>
      <c r="V2040" s="1418">
        <f t="shared" si="208"/>
        <v>0</v>
      </c>
      <c r="AB2040" s="15"/>
    </row>
    <row r="2041" spans="1:36" s="77" customFormat="1" ht="15.6" hidden="1">
      <c r="A2041" s="370"/>
      <c r="B2041" s="499"/>
      <c r="C2041" s="725"/>
      <c r="D2041" s="1937" t="s">
        <v>1522</v>
      </c>
      <c r="E2041" s="1938"/>
      <c r="F2041" s="1938"/>
      <c r="G2041" s="1938"/>
      <c r="H2041" s="1938"/>
      <c r="I2041" s="1939"/>
      <c r="J2041" s="1943">
        <f>R2040/J2040</f>
        <v>1</v>
      </c>
      <c r="K2041" s="1944"/>
      <c r="L2041" s="1947"/>
      <c r="M2041" s="1934" t="s">
        <v>1523</v>
      </c>
      <c r="N2041" s="1935"/>
      <c r="O2041" s="1935"/>
      <c r="P2041" s="1935"/>
      <c r="Q2041" s="1936"/>
      <c r="R2041" s="726">
        <f>VLOOKUP(A2042,'11 - FINANCEIRA'!_xlnm.Print_Area,8,FALSE)</f>
        <v>1</v>
      </c>
      <c r="S2041" s="727" t="str">
        <f>L2040</f>
        <v>und</v>
      </c>
      <c r="T2041" s="373"/>
      <c r="U2041" s="486"/>
      <c r="V2041" s="1418">
        <f t="shared" si="208"/>
        <v>0</v>
      </c>
      <c r="AB2041" s="15"/>
    </row>
    <row r="2042" spans="1:36" s="77" customFormat="1" ht="15.6" hidden="1">
      <c r="A2042" s="364" t="s">
        <v>504</v>
      </c>
      <c r="B2042" s="499"/>
      <c r="C2042" s="37"/>
      <c r="D2042" s="2013"/>
      <c r="E2042" s="2014"/>
      <c r="F2042" s="2014"/>
      <c r="G2042" s="2014"/>
      <c r="H2042" s="2014"/>
      <c r="I2042" s="2015"/>
      <c r="J2042" s="2016"/>
      <c r="K2042" s="2017"/>
      <c r="L2042" s="1962"/>
      <c r="M2042" s="2007" t="s">
        <v>1524</v>
      </c>
      <c r="N2042" s="2008"/>
      <c r="O2042" s="2008"/>
      <c r="P2042" s="2008"/>
      <c r="Q2042" s="2009"/>
      <c r="R2042" s="1345">
        <f>R2040-R2041</f>
        <v>0</v>
      </c>
      <c r="S2042" s="1346" t="str">
        <f>L2040</f>
        <v>und</v>
      </c>
      <c r="T2042" s="373"/>
      <c r="U2042" s="486"/>
      <c r="V2042" s="1418">
        <f>R2042</f>
        <v>0</v>
      </c>
      <c r="AB2042" s="15"/>
    </row>
    <row r="2043" spans="1:36" s="77" customFormat="1" ht="15.6" hidden="1">
      <c r="A2043" s="370"/>
      <c r="B2043" s="1347"/>
      <c r="C2043" s="1348"/>
      <c r="D2043" s="1349"/>
      <c r="E2043" s="1350"/>
      <c r="F2043" s="1349"/>
      <c r="G2043" s="1349"/>
      <c r="H2043" s="1349"/>
      <c r="I2043" s="1349"/>
      <c r="J2043" s="1351"/>
      <c r="K2043" s="1352"/>
      <c r="L2043" s="1353"/>
      <c r="M2043" s="1354"/>
      <c r="N2043" s="1354"/>
      <c r="O2043" s="1354"/>
      <c r="P2043" s="1354"/>
      <c r="Q2043" s="1354"/>
      <c r="R2043" s="1355"/>
      <c r="S2043" s="1356"/>
      <c r="T2043" s="1357"/>
      <c r="U2043" s="1358"/>
      <c r="V2043" s="1420">
        <f>SUM(V2034:V2042)</f>
        <v>0</v>
      </c>
      <c r="AB2043" s="15"/>
    </row>
    <row r="2044" spans="1:36" s="352" customFormat="1" ht="15.6" hidden="1">
      <c r="A2044" s="351"/>
      <c r="B2044" s="1963" t="str">
        <f>VLOOKUP(A2052,'11 - FINANCEIRA'!_xlnm.Print_Area,1,FALSE)</f>
        <v>2.3.10.25</v>
      </c>
      <c r="C2044" s="1965" t="str">
        <f>VLOOKUP(A2052,'11 - FINANCEIRA'!_xlnm.Print_Area,3,FALSE)</f>
        <v>Te, pvc, serie normal, esgoto predial, dn 100 x 100 mm, junta elástica, fornecido e instalado em subcoletor aéreo de esgoto sanitário. af_12/2014</v>
      </c>
      <c r="D2044" s="1967" t="s">
        <v>1503</v>
      </c>
      <c r="E2044" s="1968"/>
      <c r="F2044" s="1968"/>
      <c r="G2044" s="1968"/>
      <c r="H2044" s="1968"/>
      <c r="I2044" s="1969"/>
      <c r="J2044" s="1914" t="s">
        <v>1504</v>
      </c>
      <c r="K2044" s="1914" t="s">
        <v>1505</v>
      </c>
      <c r="L2044" s="1914" t="s">
        <v>1506</v>
      </c>
      <c r="M2044" s="1914" t="s">
        <v>1507</v>
      </c>
      <c r="N2044" s="1914" t="s">
        <v>1508</v>
      </c>
      <c r="O2044" s="1914" t="s">
        <v>1509</v>
      </c>
      <c r="P2044" s="1341" t="s">
        <v>1510</v>
      </c>
      <c r="Q2044" s="1914" t="s">
        <v>1493</v>
      </c>
      <c r="R2044" s="1916" t="s">
        <v>804</v>
      </c>
      <c r="S2044" s="1914" t="s">
        <v>1511</v>
      </c>
      <c r="T2044" s="1914" t="s">
        <v>1512</v>
      </c>
      <c r="U2044" s="1918" t="s">
        <v>1513</v>
      </c>
      <c r="V2044" s="1418">
        <f t="shared" ref="V2044:V2051" si="209">V2045</f>
        <v>0</v>
      </c>
      <c r="W2044" s="16"/>
      <c r="X2044" s="16"/>
      <c r="Y2044" s="16"/>
      <c r="Z2044" s="17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</row>
    <row r="2045" spans="1:36" s="352" customFormat="1" ht="15.6" hidden="1">
      <c r="A2045" s="351"/>
      <c r="B2045" s="1964" t="e">
        <f>LEFT(#REF!,5)</f>
        <v>#REF!</v>
      </c>
      <c r="C2045" s="1966" t="e">
        <f>VLOOKUP(LEFT(#REF!,5),'11 - FINANCEIRA'!_xlnm.Print_Area,2,FALSE)</f>
        <v>#REF!</v>
      </c>
      <c r="D2045" s="1920" t="s">
        <v>1514</v>
      </c>
      <c r="E2045" s="1921"/>
      <c r="F2045" s="1922"/>
      <c r="G2045" s="1923" t="s">
        <v>1515</v>
      </c>
      <c r="H2045" s="1924"/>
      <c r="I2045" s="1925"/>
      <c r="J2045" s="1915"/>
      <c r="K2045" s="1915"/>
      <c r="L2045" s="1915"/>
      <c r="M2045" s="1915"/>
      <c r="N2045" s="1915"/>
      <c r="O2045" s="1915"/>
      <c r="P2045" s="353" t="s">
        <v>1516</v>
      </c>
      <c r="Q2045" s="1915"/>
      <c r="R2045" s="1917"/>
      <c r="S2045" s="1915"/>
      <c r="T2045" s="1915"/>
      <c r="U2045" s="1919"/>
      <c r="V2045" s="1418">
        <f t="shared" si="209"/>
        <v>0</v>
      </c>
      <c r="W2045" s="16"/>
      <c r="X2045" s="16"/>
      <c r="Y2045" s="16"/>
      <c r="Z2045" s="17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</row>
    <row r="2046" spans="1:36" s="361" customFormat="1" ht="30" hidden="1">
      <c r="A2046" s="354"/>
      <c r="B2046" s="355"/>
      <c r="C2046" s="28" t="s">
        <v>1036</v>
      </c>
      <c r="D2046" s="18"/>
      <c r="E2046" s="19"/>
      <c r="F2046" s="20"/>
      <c r="G2046" s="18"/>
      <c r="H2046" s="19"/>
      <c r="I2046" s="20"/>
      <c r="J2046" s="21"/>
      <c r="K2046" s="22"/>
      <c r="L2046" s="23"/>
      <c r="M2046" s="24"/>
      <c r="N2046" s="728"/>
      <c r="O2046" s="25"/>
      <c r="P2046" s="23"/>
      <c r="Q2046" s="729"/>
      <c r="R2046" s="1109">
        <v>2</v>
      </c>
      <c r="S2046" s="730" t="s">
        <v>816</v>
      </c>
      <c r="T2046" s="446" t="s">
        <v>327</v>
      </c>
      <c r="U2046" s="44"/>
      <c r="V2046" s="1418">
        <f t="shared" si="209"/>
        <v>0</v>
      </c>
      <c r="W2046" s="357"/>
      <c r="X2046" s="357"/>
      <c r="Y2046" s="357"/>
      <c r="Z2046" s="358"/>
      <c r="AA2046" s="359"/>
      <c r="AB2046" s="360"/>
    </row>
    <row r="2047" spans="1:36" s="361" customFormat="1" ht="15" hidden="1" customHeight="1">
      <c r="A2047" s="354"/>
      <c r="B2047" s="355"/>
      <c r="C2047" s="32"/>
      <c r="D2047" s="33"/>
      <c r="E2047" s="34"/>
      <c r="F2047" s="35"/>
      <c r="G2047" s="33"/>
      <c r="H2047" s="34"/>
      <c r="I2047" s="35"/>
      <c r="J2047" s="43"/>
      <c r="K2047" s="42"/>
      <c r="L2047" s="39"/>
      <c r="M2047" s="41"/>
      <c r="N2047" s="356"/>
      <c r="O2047" s="40"/>
      <c r="P2047" s="39"/>
      <c r="Q2047" s="45"/>
      <c r="R2047" s="362"/>
      <c r="S2047" s="363"/>
      <c r="T2047" s="46"/>
      <c r="U2047" s="44"/>
      <c r="V2047" s="1418">
        <f t="shared" si="209"/>
        <v>0</v>
      </c>
      <c r="W2047" s="357"/>
      <c r="X2047" s="357"/>
      <c r="Y2047" s="357"/>
      <c r="Z2047" s="358"/>
      <c r="AA2047" s="359"/>
      <c r="AB2047" s="360"/>
    </row>
    <row r="2048" spans="1:36" s="369" customFormat="1" ht="15" hidden="1">
      <c r="A2048" s="364"/>
      <c r="B2048" s="355"/>
      <c r="C2048" s="32"/>
      <c r="D2048" s="33"/>
      <c r="E2048" s="34"/>
      <c r="F2048" s="35"/>
      <c r="G2048" s="33"/>
      <c r="H2048" s="34"/>
      <c r="I2048" s="35"/>
      <c r="J2048" s="43"/>
      <c r="K2048" s="42"/>
      <c r="L2048" s="39"/>
      <c r="M2048" s="41"/>
      <c r="N2048" s="40"/>
      <c r="O2048" s="40"/>
      <c r="P2048" s="39"/>
      <c r="Q2048" s="38"/>
      <c r="R2048" s="365"/>
      <c r="S2048" s="366"/>
      <c r="T2048" s="46"/>
      <c r="U2048" s="44"/>
      <c r="V2048" s="1418">
        <f t="shared" si="209"/>
        <v>0</v>
      </c>
      <c r="W2048" s="367"/>
      <c r="X2048" s="367"/>
      <c r="Y2048" s="367"/>
      <c r="Z2048" s="368"/>
    </row>
    <row r="2049" spans="1:36" s="77" customFormat="1" ht="15" hidden="1">
      <c r="A2049" s="370"/>
      <c r="B2049" s="29"/>
      <c r="C2049" s="30"/>
      <c r="D2049" s="18"/>
      <c r="E2049" s="19"/>
      <c r="F2049" s="20"/>
      <c r="G2049" s="18"/>
      <c r="H2049" s="19"/>
      <c r="I2049" s="20"/>
      <c r="J2049" s="21"/>
      <c r="K2049" s="22"/>
      <c r="L2049" s="23"/>
      <c r="M2049" s="24"/>
      <c r="N2049" s="25"/>
      <c r="O2049" s="25"/>
      <c r="P2049" s="23"/>
      <c r="Q2049" s="26"/>
      <c r="R2049" s="371"/>
      <c r="S2049" s="27"/>
      <c r="T2049" s="372"/>
      <c r="U2049" s="31"/>
      <c r="V2049" s="1418">
        <f t="shared" si="209"/>
        <v>0</v>
      </c>
      <c r="AB2049" s="15"/>
    </row>
    <row r="2050" spans="1:36" s="77" customFormat="1" ht="15.6" hidden="1">
      <c r="A2050" s="370"/>
      <c r="B2050" s="499"/>
      <c r="C2050" s="37"/>
      <c r="D2050" s="1929" t="s">
        <v>1520</v>
      </c>
      <c r="E2050" s="1930"/>
      <c r="F2050" s="1930"/>
      <c r="G2050" s="1930"/>
      <c r="H2050" s="1930"/>
      <c r="I2050" s="1931"/>
      <c r="J2050" s="1932">
        <f>VLOOKUP(A2052,'11 - FINANCEIRA'!_xlnm.Print_Area,6,FALSE)</f>
        <v>2</v>
      </c>
      <c r="K2050" s="1933"/>
      <c r="L2050" s="1343" t="str">
        <f>VLOOKUP(A2052,'11 - FINANCEIRA'!_xlnm.Print_Area,4,FALSE)</f>
        <v>und</v>
      </c>
      <c r="M2050" s="1934" t="s">
        <v>1521</v>
      </c>
      <c r="N2050" s="1935"/>
      <c r="O2050" s="1935"/>
      <c r="P2050" s="1935"/>
      <c r="Q2050" s="1936"/>
      <c r="R2050" s="726">
        <f>SUM(R2046:R2049)</f>
        <v>2</v>
      </c>
      <c r="S2050" s="1344" t="str">
        <f>L2050</f>
        <v>und</v>
      </c>
      <c r="T2050" s="373"/>
      <c r="U2050" s="486"/>
      <c r="V2050" s="1418">
        <f t="shared" si="209"/>
        <v>0</v>
      </c>
      <c r="AB2050" s="15"/>
    </row>
    <row r="2051" spans="1:36" s="77" customFormat="1" ht="15.6" hidden="1">
      <c r="A2051" s="370"/>
      <c r="B2051" s="499"/>
      <c r="C2051" s="725"/>
      <c r="D2051" s="1937" t="s">
        <v>1522</v>
      </c>
      <c r="E2051" s="1938"/>
      <c r="F2051" s="1938"/>
      <c r="G2051" s="1938"/>
      <c r="H2051" s="1938"/>
      <c r="I2051" s="1939"/>
      <c r="J2051" s="1943">
        <f>R2050/J2050</f>
        <v>1</v>
      </c>
      <c r="K2051" s="1944"/>
      <c r="L2051" s="1947"/>
      <c r="M2051" s="1934" t="s">
        <v>1523</v>
      </c>
      <c r="N2051" s="1935"/>
      <c r="O2051" s="1935"/>
      <c r="P2051" s="1935"/>
      <c r="Q2051" s="1936"/>
      <c r="R2051" s="726">
        <f>VLOOKUP(A2052,'11 - FINANCEIRA'!_xlnm.Print_Area,8,FALSE)</f>
        <v>2</v>
      </c>
      <c r="S2051" s="727" t="str">
        <f>L2050</f>
        <v>und</v>
      </c>
      <c r="T2051" s="373"/>
      <c r="U2051" s="486"/>
      <c r="V2051" s="1418">
        <f t="shared" si="209"/>
        <v>0</v>
      </c>
      <c r="AB2051" s="15"/>
    </row>
    <row r="2052" spans="1:36" s="77" customFormat="1" ht="15.6" hidden="1">
      <c r="A2052" s="364" t="s">
        <v>505</v>
      </c>
      <c r="B2052" s="499"/>
      <c r="C2052" s="37"/>
      <c r="D2052" s="2013"/>
      <c r="E2052" s="2014"/>
      <c r="F2052" s="2014"/>
      <c r="G2052" s="2014"/>
      <c r="H2052" s="2014"/>
      <c r="I2052" s="2015"/>
      <c r="J2052" s="2016"/>
      <c r="K2052" s="2017"/>
      <c r="L2052" s="1962"/>
      <c r="M2052" s="2007" t="s">
        <v>1524</v>
      </c>
      <c r="N2052" s="2008"/>
      <c r="O2052" s="2008"/>
      <c r="P2052" s="2008"/>
      <c r="Q2052" s="2009"/>
      <c r="R2052" s="1345">
        <f>R2050-R2051</f>
        <v>0</v>
      </c>
      <c r="S2052" s="1346" t="str">
        <f>L2050</f>
        <v>und</v>
      </c>
      <c r="T2052" s="373"/>
      <c r="U2052" s="486"/>
      <c r="V2052" s="1418">
        <f>R2052</f>
        <v>0</v>
      </c>
      <c r="AB2052" s="15"/>
    </row>
    <row r="2053" spans="1:36" s="77" customFormat="1" ht="15.6" hidden="1">
      <c r="A2053" s="370"/>
      <c r="B2053" s="1347"/>
      <c r="C2053" s="1348"/>
      <c r="D2053" s="1349"/>
      <c r="E2053" s="1350"/>
      <c r="F2053" s="1349"/>
      <c r="G2053" s="1349"/>
      <c r="H2053" s="1349"/>
      <c r="I2053" s="1349"/>
      <c r="J2053" s="1351"/>
      <c r="K2053" s="1352"/>
      <c r="L2053" s="1353"/>
      <c r="M2053" s="1354"/>
      <c r="N2053" s="1354"/>
      <c r="O2053" s="1354"/>
      <c r="P2053" s="1354"/>
      <c r="Q2053" s="1354"/>
      <c r="R2053" s="1355"/>
      <c r="S2053" s="1356"/>
      <c r="T2053" s="1357"/>
      <c r="U2053" s="1358"/>
      <c r="V2053" s="1420">
        <f>SUM(V2044:V2052)</f>
        <v>0</v>
      </c>
      <c r="AB2053" s="15"/>
    </row>
    <row r="2054" spans="1:36" s="352" customFormat="1" ht="15.6" hidden="1">
      <c r="A2054" s="351"/>
      <c r="B2054" s="1963" t="str">
        <f>VLOOKUP(A2062,'11 - FINANCEIRA'!_xlnm.Print_Area,1,FALSE)</f>
        <v>2.3.10.26</v>
      </c>
      <c r="C2054" s="1965" t="str">
        <f>VLOOKUP(A2062,'11 - FINANCEIRA'!_xlnm.Print_Area,3,FALSE)</f>
        <v>Cap pvc esgoto 50mm (tampão) - fornecimento e instalação</v>
      </c>
      <c r="D2054" s="1967" t="s">
        <v>1503</v>
      </c>
      <c r="E2054" s="1968"/>
      <c r="F2054" s="1968"/>
      <c r="G2054" s="1968"/>
      <c r="H2054" s="1968"/>
      <c r="I2054" s="1969"/>
      <c r="J2054" s="1914" t="s">
        <v>1504</v>
      </c>
      <c r="K2054" s="1914" t="s">
        <v>1505</v>
      </c>
      <c r="L2054" s="1914" t="s">
        <v>1506</v>
      </c>
      <c r="M2054" s="1914" t="s">
        <v>1507</v>
      </c>
      <c r="N2054" s="1914" t="s">
        <v>1508</v>
      </c>
      <c r="O2054" s="1914" t="s">
        <v>1509</v>
      </c>
      <c r="P2054" s="1341" t="s">
        <v>1510</v>
      </c>
      <c r="Q2054" s="1914" t="s">
        <v>1493</v>
      </c>
      <c r="R2054" s="1916" t="s">
        <v>804</v>
      </c>
      <c r="S2054" s="1914" t="s">
        <v>1511</v>
      </c>
      <c r="T2054" s="1914" t="s">
        <v>1512</v>
      </c>
      <c r="U2054" s="1918" t="s">
        <v>1513</v>
      </c>
      <c r="V2054" s="1418">
        <f t="shared" ref="V2054:V2061" si="210">V2055</f>
        <v>0</v>
      </c>
      <c r="W2054" s="16"/>
      <c r="X2054" s="16"/>
      <c r="Y2054" s="16"/>
      <c r="Z2054" s="17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</row>
    <row r="2055" spans="1:36" s="352" customFormat="1" ht="15.6" hidden="1">
      <c r="A2055" s="351"/>
      <c r="B2055" s="1964" t="e">
        <f>LEFT(#REF!,5)</f>
        <v>#REF!</v>
      </c>
      <c r="C2055" s="1966" t="e">
        <f>VLOOKUP(LEFT(#REF!,5),'11 - FINANCEIRA'!_xlnm.Print_Area,2,FALSE)</f>
        <v>#REF!</v>
      </c>
      <c r="D2055" s="1920" t="s">
        <v>1514</v>
      </c>
      <c r="E2055" s="1921"/>
      <c r="F2055" s="1922"/>
      <c r="G2055" s="1923" t="s">
        <v>1515</v>
      </c>
      <c r="H2055" s="1924"/>
      <c r="I2055" s="1925"/>
      <c r="J2055" s="1915"/>
      <c r="K2055" s="1915"/>
      <c r="L2055" s="1915"/>
      <c r="M2055" s="1915"/>
      <c r="N2055" s="1915"/>
      <c r="O2055" s="1915"/>
      <c r="P2055" s="353" t="s">
        <v>1516</v>
      </c>
      <c r="Q2055" s="1915"/>
      <c r="R2055" s="1917"/>
      <c r="S2055" s="1915"/>
      <c r="T2055" s="1915"/>
      <c r="U2055" s="1919"/>
      <c r="V2055" s="1418">
        <f t="shared" si="210"/>
        <v>0</v>
      </c>
      <c r="W2055" s="16"/>
      <c r="X2055" s="16"/>
      <c r="Y2055" s="16"/>
      <c r="Z2055" s="17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</row>
    <row r="2056" spans="1:36" s="361" customFormat="1" ht="15" hidden="1" customHeight="1">
      <c r="A2056" s="354"/>
      <c r="B2056" s="355"/>
      <c r="C2056" s="28" t="s">
        <v>1038</v>
      </c>
      <c r="D2056" s="18"/>
      <c r="E2056" s="19"/>
      <c r="F2056" s="20"/>
      <c r="G2056" s="18"/>
      <c r="H2056" s="19"/>
      <c r="I2056" s="20"/>
      <c r="J2056" s="21"/>
      <c r="K2056" s="22"/>
      <c r="L2056" s="23"/>
      <c r="M2056" s="24"/>
      <c r="N2056" s="728"/>
      <c r="O2056" s="25"/>
      <c r="P2056" s="23"/>
      <c r="Q2056" s="729"/>
      <c r="R2056" s="1109">
        <v>2</v>
      </c>
      <c r="S2056" s="730" t="s">
        <v>816</v>
      </c>
      <c r="T2056" s="446" t="s">
        <v>327</v>
      </c>
      <c r="U2056" s="44"/>
      <c r="V2056" s="1418">
        <f t="shared" si="210"/>
        <v>0</v>
      </c>
      <c r="W2056" s="357"/>
      <c r="X2056" s="357"/>
      <c r="Y2056" s="357"/>
      <c r="Z2056" s="358"/>
      <c r="AA2056" s="359"/>
      <c r="AB2056" s="360"/>
    </row>
    <row r="2057" spans="1:36" s="361" customFormat="1" ht="15" hidden="1" customHeight="1">
      <c r="A2057" s="354"/>
      <c r="B2057" s="355"/>
      <c r="C2057" s="32"/>
      <c r="D2057" s="33"/>
      <c r="E2057" s="34"/>
      <c r="F2057" s="35"/>
      <c r="G2057" s="33"/>
      <c r="H2057" s="34"/>
      <c r="I2057" s="35"/>
      <c r="J2057" s="43"/>
      <c r="K2057" s="42"/>
      <c r="L2057" s="39"/>
      <c r="M2057" s="41"/>
      <c r="N2057" s="356"/>
      <c r="O2057" s="40"/>
      <c r="P2057" s="39"/>
      <c r="Q2057" s="45"/>
      <c r="R2057" s="362"/>
      <c r="S2057" s="363"/>
      <c r="T2057" s="46"/>
      <c r="U2057" s="44"/>
      <c r="V2057" s="1418">
        <f t="shared" si="210"/>
        <v>0</v>
      </c>
      <c r="W2057" s="357"/>
      <c r="X2057" s="357"/>
      <c r="Y2057" s="357"/>
      <c r="Z2057" s="358"/>
      <c r="AA2057" s="359"/>
      <c r="AB2057" s="360"/>
    </row>
    <row r="2058" spans="1:36" s="369" customFormat="1" ht="15" hidden="1">
      <c r="A2058" s="364"/>
      <c r="B2058" s="355"/>
      <c r="C2058" s="32"/>
      <c r="D2058" s="33"/>
      <c r="E2058" s="34"/>
      <c r="F2058" s="35"/>
      <c r="G2058" s="33"/>
      <c r="H2058" s="34"/>
      <c r="I2058" s="35"/>
      <c r="J2058" s="43"/>
      <c r="K2058" s="42"/>
      <c r="L2058" s="39"/>
      <c r="M2058" s="41"/>
      <c r="N2058" s="40"/>
      <c r="O2058" s="40"/>
      <c r="P2058" s="39"/>
      <c r="Q2058" s="38"/>
      <c r="R2058" s="365"/>
      <c r="S2058" s="366"/>
      <c r="T2058" s="46"/>
      <c r="U2058" s="44"/>
      <c r="V2058" s="1418">
        <f t="shared" si="210"/>
        <v>0</v>
      </c>
      <c r="W2058" s="367"/>
      <c r="X2058" s="367"/>
      <c r="Y2058" s="367"/>
      <c r="Z2058" s="368"/>
    </row>
    <row r="2059" spans="1:36" s="77" customFormat="1" ht="15" hidden="1">
      <c r="A2059" s="370"/>
      <c r="B2059" s="29"/>
      <c r="C2059" s="30"/>
      <c r="D2059" s="18"/>
      <c r="E2059" s="19"/>
      <c r="F2059" s="20"/>
      <c r="G2059" s="18"/>
      <c r="H2059" s="19"/>
      <c r="I2059" s="20"/>
      <c r="J2059" s="21"/>
      <c r="K2059" s="22"/>
      <c r="L2059" s="23"/>
      <c r="M2059" s="24"/>
      <c r="N2059" s="25"/>
      <c r="O2059" s="25"/>
      <c r="P2059" s="23"/>
      <c r="Q2059" s="26"/>
      <c r="R2059" s="371"/>
      <c r="S2059" s="27"/>
      <c r="T2059" s="372"/>
      <c r="U2059" s="31"/>
      <c r="V2059" s="1418">
        <f t="shared" si="210"/>
        <v>0</v>
      </c>
      <c r="AB2059" s="15"/>
    </row>
    <row r="2060" spans="1:36" s="77" customFormat="1" ht="15.6" hidden="1">
      <c r="A2060" s="370"/>
      <c r="B2060" s="499"/>
      <c r="C2060" s="37"/>
      <c r="D2060" s="1929" t="s">
        <v>1520</v>
      </c>
      <c r="E2060" s="1930"/>
      <c r="F2060" s="1930"/>
      <c r="G2060" s="1930"/>
      <c r="H2060" s="1930"/>
      <c r="I2060" s="1931"/>
      <c r="J2060" s="1932">
        <f>VLOOKUP(A2062,'11 - FINANCEIRA'!_xlnm.Print_Area,6,FALSE)</f>
        <v>2</v>
      </c>
      <c r="K2060" s="1933"/>
      <c r="L2060" s="1343" t="str">
        <f>VLOOKUP(A2062,'11 - FINANCEIRA'!_xlnm.Print_Area,4,FALSE)</f>
        <v>und</v>
      </c>
      <c r="M2060" s="1934" t="s">
        <v>1521</v>
      </c>
      <c r="N2060" s="1935"/>
      <c r="O2060" s="1935"/>
      <c r="P2060" s="1935"/>
      <c r="Q2060" s="1936"/>
      <c r="R2060" s="726">
        <f>SUM(R2056:R2059)</f>
        <v>2</v>
      </c>
      <c r="S2060" s="1344" t="str">
        <f>L2060</f>
        <v>und</v>
      </c>
      <c r="T2060" s="373"/>
      <c r="U2060" s="486"/>
      <c r="V2060" s="1418">
        <f t="shared" si="210"/>
        <v>0</v>
      </c>
      <c r="AB2060" s="15"/>
    </row>
    <row r="2061" spans="1:36" s="77" customFormat="1" ht="15.6" hidden="1">
      <c r="A2061" s="370"/>
      <c r="B2061" s="499"/>
      <c r="C2061" s="725"/>
      <c r="D2061" s="1937" t="s">
        <v>1522</v>
      </c>
      <c r="E2061" s="1938"/>
      <c r="F2061" s="1938"/>
      <c r="G2061" s="1938"/>
      <c r="H2061" s="1938"/>
      <c r="I2061" s="1939"/>
      <c r="J2061" s="1943">
        <f>R2060/J2060</f>
        <v>1</v>
      </c>
      <c r="K2061" s="1944"/>
      <c r="L2061" s="1947"/>
      <c r="M2061" s="1934" t="s">
        <v>1523</v>
      </c>
      <c r="N2061" s="1935"/>
      <c r="O2061" s="1935"/>
      <c r="P2061" s="1935"/>
      <c r="Q2061" s="1936"/>
      <c r="R2061" s="726">
        <f>VLOOKUP(A2062,'11 - FINANCEIRA'!_xlnm.Print_Area,8,FALSE)</f>
        <v>2</v>
      </c>
      <c r="S2061" s="727" t="str">
        <f>L2060</f>
        <v>und</v>
      </c>
      <c r="T2061" s="373"/>
      <c r="U2061" s="486"/>
      <c r="V2061" s="1418">
        <f t="shared" si="210"/>
        <v>0</v>
      </c>
      <c r="AB2061" s="15"/>
    </row>
    <row r="2062" spans="1:36" s="77" customFormat="1" ht="15.6" hidden="1">
      <c r="A2062" s="364" t="s">
        <v>506</v>
      </c>
      <c r="B2062" s="499"/>
      <c r="C2062" s="37"/>
      <c r="D2062" s="2013"/>
      <c r="E2062" s="2014"/>
      <c r="F2062" s="2014"/>
      <c r="G2062" s="2014"/>
      <c r="H2062" s="2014"/>
      <c r="I2062" s="2015"/>
      <c r="J2062" s="2016"/>
      <c r="K2062" s="2017"/>
      <c r="L2062" s="1962"/>
      <c r="M2062" s="2007" t="s">
        <v>1524</v>
      </c>
      <c r="N2062" s="2008"/>
      <c r="O2062" s="2008"/>
      <c r="P2062" s="2008"/>
      <c r="Q2062" s="2009"/>
      <c r="R2062" s="1345">
        <f>R2060-R2061</f>
        <v>0</v>
      </c>
      <c r="S2062" s="1346" t="str">
        <f>L2060</f>
        <v>und</v>
      </c>
      <c r="T2062" s="373"/>
      <c r="U2062" s="486"/>
      <c r="V2062" s="1418">
        <f>R2062</f>
        <v>0</v>
      </c>
      <c r="AB2062" s="15"/>
    </row>
    <row r="2063" spans="1:36" s="77" customFormat="1" ht="15.6" hidden="1">
      <c r="A2063" s="370"/>
      <c r="B2063" s="1347"/>
      <c r="C2063" s="1348"/>
      <c r="D2063" s="1349"/>
      <c r="E2063" s="1350"/>
      <c r="F2063" s="1349"/>
      <c r="G2063" s="1349"/>
      <c r="H2063" s="1349"/>
      <c r="I2063" s="1349"/>
      <c r="J2063" s="1351"/>
      <c r="K2063" s="1352"/>
      <c r="L2063" s="1353"/>
      <c r="M2063" s="1354"/>
      <c r="N2063" s="1354"/>
      <c r="O2063" s="1354"/>
      <c r="P2063" s="1354"/>
      <c r="Q2063" s="1354"/>
      <c r="R2063" s="1355"/>
      <c r="S2063" s="1356"/>
      <c r="T2063" s="1357"/>
      <c r="U2063" s="1358"/>
      <c r="V2063" s="1420">
        <f>SUM(V2054:V2062)</f>
        <v>0</v>
      </c>
      <c r="AB2063" s="15"/>
    </row>
    <row r="2064" spans="1:36" s="352" customFormat="1" ht="15.6" hidden="1">
      <c r="A2064" s="351"/>
      <c r="B2064" s="1963" t="str">
        <f>VLOOKUP(A2072,'11 - FINANCEIRA'!_xlnm.Print_Area,1,FALSE)</f>
        <v>2.3.10.27</v>
      </c>
      <c r="C2064" s="1965" t="str">
        <f>VLOOKUP(A2072,'11 - FINANCEIRA'!_xlnm.Print_Area,3,FALSE)</f>
        <v>Tubo pvc rígido para esgoto no diâmetro de 200mm incluindo escavação e aterro com areia</v>
      </c>
      <c r="D2064" s="1967" t="s">
        <v>1503</v>
      </c>
      <c r="E2064" s="1968"/>
      <c r="F2064" s="1968"/>
      <c r="G2064" s="1968"/>
      <c r="H2064" s="1968"/>
      <c r="I2064" s="1969"/>
      <c r="J2064" s="1914" t="s">
        <v>1504</v>
      </c>
      <c r="K2064" s="1914" t="s">
        <v>1505</v>
      </c>
      <c r="L2064" s="1914" t="s">
        <v>1506</v>
      </c>
      <c r="M2064" s="1914" t="s">
        <v>1507</v>
      </c>
      <c r="N2064" s="1914" t="s">
        <v>1508</v>
      </c>
      <c r="O2064" s="1914" t="s">
        <v>1509</v>
      </c>
      <c r="P2064" s="1341" t="s">
        <v>1510</v>
      </c>
      <c r="Q2064" s="1914" t="s">
        <v>1493</v>
      </c>
      <c r="R2064" s="1916" t="s">
        <v>804</v>
      </c>
      <c r="S2064" s="1914" t="s">
        <v>1511</v>
      </c>
      <c r="T2064" s="1914" t="s">
        <v>1512</v>
      </c>
      <c r="U2064" s="1918" t="s">
        <v>1513</v>
      </c>
      <c r="V2064" s="1418">
        <f t="shared" ref="V2064:V2071" si="211">V2065</f>
        <v>0</v>
      </c>
      <c r="W2064" s="16"/>
      <c r="X2064" s="16"/>
      <c r="Y2064" s="16"/>
      <c r="Z2064" s="17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</row>
    <row r="2065" spans="1:36" s="352" customFormat="1" ht="15.6" hidden="1">
      <c r="A2065" s="351"/>
      <c r="B2065" s="1964" t="e">
        <f>LEFT(#REF!,5)</f>
        <v>#REF!</v>
      </c>
      <c r="C2065" s="1966" t="e">
        <f>VLOOKUP(LEFT(#REF!,5),'11 - FINANCEIRA'!_xlnm.Print_Area,2,FALSE)</f>
        <v>#REF!</v>
      </c>
      <c r="D2065" s="1920" t="s">
        <v>1514</v>
      </c>
      <c r="E2065" s="1921"/>
      <c r="F2065" s="1922"/>
      <c r="G2065" s="1923" t="s">
        <v>1515</v>
      </c>
      <c r="H2065" s="1924"/>
      <c r="I2065" s="1925"/>
      <c r="J2065" s="1915"/>
      <c r="K2065" s="1915"/>
      <c r="L2065" s="1915"/>
      <c r="M2065" s="1915"/>
      <c r="N2065" s="1915"/>
      <c r="O2065" s="1915"/>
      <c r="P2065" s="353" t="s">
        <v>1516</v>
      </c>
      <c r="Q2065" s="1915"/>
      <c r="R2065" s="1917"/>
      <c r="S2065" s="1915"/>
      <c r="T2065" s="1915"/>
      <c r="U2065" s="1919"/>
      <c r="V2065" s="1418">
        <f t="shared" si="211"/>
        <v>0</v>
      </c>
      <c r="W2065" s="16"/>
      <c r="X2065" s="16"/>
      <c r="Y2065" s="16"/>
      <c r="Z2065" s="17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</row>
    <row r="2066" spans="1:36" s="361" customFormat="1" ht="28.95" hidden="1" customHeight="1">
      <c r="A2066" s="354"/>
      <c r="B2066" s="355"/>
      <c r="C2066" s="28" t="s">
        <v>1040</v>
      </c>
      <c r="D2066" s="18"/>
      <c r="E2066" s="19"/>
      <c r="F2066" s="20"/>
      <c r="G2066" s="18"/>
      <c r="H2066" s="19"/>
      <c r="I2066" s="20"/>
      <c r="J2066" s="21"/>
      <c r="K2066" s="22"/>
      <c r="L2066" s="23"/>
      <c r="M2066" s="24"/>
      <c r="N2066" s="728"/>
      <c r="O2066" s="25"/>
      <c r="P2066" s="23"/>
      <c r="Q2066" s="729"/>
      <c r="R2066" s="1109">
        <v>3</v>
      </c>
      <c r="S2066" s="730" t="s">
        <v>809</v>
      </c>
      <c r="T2066" s="446" t="s">
        <v>327</v>
      </c>
      <c r="U2066" s="44"/>
      <c r="V2066" s="1418">
        <f t="shared" si="211"/>
        <v>0</v>
      </c>
      <c r="W2066" s="357"/>
      <c r="X2066" s="357"/>
      <c r="Y2066" s="357"/>
      <c r="Z2066" s="358"/>
      <c r="AA2066" s="359"/>
      <c r="AB2066" s="360"/>
    </row>
    <row r="2067" spans="1:36" s="361" customFormat="1" ht="15" hidden="1" customHeight="1">
      <c r="A2067" s="354"/>
      <c r="B2067" s="355"/>
      <c r="C2067" s="32"/>
      <c r="D2067" s="33"/>
      <c r="E2067" s="34"/>
      <c r="F2067" s="35"/>
      <c r="G2067" s="33"/>
      <c r="H2067" s="34"/>
      <c r="I2067" s="35"/>
      <c r="J2067" s="43"/>
      <c r="K2067" s="42"/>
      <c r="L2067" s="39"/>
      <c r="M2067" s="41"/>
      <c r="N2067" s="356"/>
      <c r="O2067" s="40"/>
      <c r="P2067" s="39"/>
      <c r="Q2067" s="45"/>
      <c r="R2067" s="362"/>
      <c r="S2067" s="363"/>
      <c r="T2067" s="46"/>
      <c r="U2067" s="44"/>
      <c r="V2067" s="1418">
        <f t="shared" si="211"/>
        <v>0</v>
      </c>
      <c r="W2067" s="357"/>
      <c r="X2067" s="357"/>
      <c r="Y2067" s="357"/>
      <c r="Z2067" s="358"/>
      <c r="AA2067" s="359"/>
      <c r="AB2067" s="360"/>
    </row>
    <row r="2068" spans="1:36" s="369" customFormat="1" ht="15" hidden="1">
      <c r="A2068" s="364"/>
      <c r="B2068" s="355"/>
      <c r="C2068" s="32"/>
      <c r="D2068" s="33"/>
      <c r="E2068" s="34"/>
      <c r="F2068" s="35"/>
      <c r="G2068" s="33"/>
      <c r="H2068" s="34"/>
      <c r="I2068" s="35"/>
      <c r="J2068" s="43"/>
      <c r="K2068" s="42"/>
      <c r="L2068" s="39"/>
      <c r="M2068" s="41"/>
      <c r="N2068" s="40"/>
      <c r="O2068" s="40"/>
      <c r="P2068" s="39"/>
      <c r="Q2068" s="38"/>
      <c r="R2068" s="365"/>
      <c r="S2068" s="366"/>
      <c r="T2068" s="46"/>
      <c r="U2068" s="44"/>
      <c r="V2068" s="1418">
        <f t="shared" si="211"/>
        <v>0</v>
      </c>
      <c r="W2068" s="367"/>
      <c r="X2068" s="367"/>
      <c r="Y2068" s="367"/>
      <c r="Z2068" s="368"/>
    </row>
    <row r="2069" spans="1:36" s="77" customFormat="1" ht="15" hidden="1">
      <c r="A2069" s="370"/>
      <c r="B2069" s="29"/>
      <c r="C2069" s="30"/>
      <c r="D2069" s="18"/>
      <c r="E2069" s="19"/>
      <c r="F2069" s="20"/>
      <c r="G2069" s="18"/>
      <c r="H2069" s="19"/>
      <c r="I2069" s="20"/>
      <c r="J2069" s="21"/>
      <c r="K2069" s="22"/>
      <c r="L2069" s="23"/>
      <c r="M2069" s="24"/>
      <c r="N2069" s="25"/>
      <c r="O2069" s="25"/>
      <c r="P2069" s="23"/>
      <c r="Q2069" s="26"/>
      <c r="R2069" s="371"/>
      <c r="S2069" s="27"/>
      <c r="T2069" s="372"/>
      <c r="U2069" s="31"/>
      <c r="V2069" s="1418">
        <f t="shared" si="211"/>
        <v>0</v>
      </c>
      <c r="AB2069" s="15"/>
    </row>
    <row r="2070" spans="1:36" s="77" customFormat="1" ht="15.6" hidden="1">
      <c r="A2070" s="370"/>
      <c r="B2070" s="499"/>
      <c r="C2070" s="37"/>
      <c r="D2070" s="1929" t="s">
        <v>1520</v>
      </c>
      <c r="E2070" s="1930"/>
      <c r="F2070" s="1930"/>
      <c r="G2070" s="1930"/>
      <c r="H2070" s="1930"/>
      <c r="I2070" s="1931"/>
      <c r="J2070" s="1932">
        <f>VLOOKUP(A2072,'11 - FINANCEIRA'!_xlnm.Print_Area,6,FALSE)</f>
        <v>3</v>
      </c>
      <c r="K2070" s="1933"/>
      <c r="L2070" s="1343" t="str">
        <f>VLOOKUP(A2072,'11 - FINANCEIRA'!_xlnm.Print_Area,4,FALSE)</f>
        <v>m</v>
      </c>
      <c r="M2070" s="1934" t="s">
        <v>1521</v>
      </c>
      <c r="N2070" s="1935"/>
      <c r="O2070" s="1935"/>
      <c r="P2070" s="1935"/>
      <c r="Q2070" s="1936"/>
      <c r="R2070" s="726">
        <f>SUM(R2066:R2069)</f>
        <v>3</v>
      </c>
      <c r="S2070" s="1344" t="str">
        <f>L2070</f>
        <v>m</v>
      </c>
      <c r="T2070" s="373"/>
      <c r="U2070" s="486"/>
      <c r="V2070" s="1418">
        <f t="shared" si="211"/>
        <v>0</v>
      </c>
      <c r="AB2070" s="15"/>
    </row>
    <row r="2071" spans="1:36" s="77" customFormat="1" ht="15.6" hidden="1">
      <c r="A2071" s="370"/>
      <c r="B2071" s="499"/>
      <c r="C2071" s="725"/>
      <c r="D2071" s="1937" t="s">
        <v>1522</v>
      </c>
      <c r="E2071" s="1938"/>
      <c r="F2071" s="1938"/>
      <c r="G2071" s="1938"/>
      <c r="H2071" s="1938"/>
      <c r="I2071" s="1939"/>
      <c r="J2071" s="1943">
        <f>R2070/J2070</f>
        <v>1</v>
      </c>
      <c r="K2071" s="1944"/>
      <c r="L2071" s="1947"/>
      <c r="M2071" s="1934" t="s">
        <v>1523</v>
      </c>
      <c r="N2071" s="1935"/>
      <c r="O2071" s="1935"/>
      <c r="P2071" s="1935"/>
      <c r="Q2071" s="1936"/>
      <c r="R2071" s="726">
        <f>VLOOKUP(A2072,'11 - FINANCEIRA'!_xlnm.Print_Area,8,FALSE)</f>
        <v>3</v>
      </c>
      <c r="S2071" s="727" t="str">
        <f>L2070</f>
        <v>m</v>
      </c>
      <c r="T2071" s="373"/>
      <c r="U2071" s="486"/>
      <c r="V2071" s="1418">
        <f t="shared" si="211"/>
        <v>0</v>
      </c>
      <c r="AB2071" s="15"/>
    </row>
    <row r="2072" spans="1:36" s="77" customFormat="1" ht="15.6" hidden="1">
      <c r="A2072" s="364" t="s">
        <v>507</v>
      </c>
      <c r="B2072" s="499"/>
      <c r="C2072" s="37"/>
      <c r="D2072" s="2013"/>
      <c r="E2072" s="2014"/>
      <c r="F2072" s="2014"/>
      <c r="G2072" s="2014"/>
      <c r="H2072" s="2014"/>
      <c r="I2072" s="2015"/>
      <c r="J2072" s="2016"/>
      <c r="K2072" s="2017"/>
      <c r="L2072" s="1962"/>
      <c r="M2072" s="2007" t="s">
        <v>1524</v>
      </c>
      <c r="N2072" s="2008"/>
      <c r="O2072" s="2008"/>
      <c r="P2072" s="2008"/>
      <c r="Q2072" s="2009"/>
      <c r="R2072" s="1345">
        <f>R2070-R2071</f>
        <v>0</v>
      </c>
      <c r="S2072" s="1346" t="str">
        <f>L2070</f>
        <v>m</v>
      </c>
      <c r="T2072" s="373"/>
      <c r="U2072" s="486"/>
      <c r="V2072" s="1418">
        <f>R2072</f>
        <v>0</v>
      </c>
      <c r="AB2072" s="15"/>
    </row>
    <row r="2073" spans="1:36" s="77" customFormat="1" ht="15.6" hidden="1">
      <c r="A2073" s="370"/>
      <c r="B2073" s="1347"/>
      <c r="C2073" s="1348"/>
      <c r="D2073" s="1349"/>
      <c r="E2073" s="1350"/>
      <c r="F2073" s="1349"/>
      <c r="G2073" s="1349"/>
      <c r="H2073" s="1349"/>
      <c r="I2073" s="1349"/>
      <c r="J2073" s="1351"/>
      <c r="K2073" s="1352"/>
      <c r="L2073" s="1353"/>
      <c r="M2073" s="1354"/>
      <c r="N2073" s="1354"/>
      <c r="O2073" s="1354"/>
      <c r="P2073" s="1354"/>
      <c r="Q2073" s="1354"/>
      <c r="R2073" s="1355"/>
      <c r="S2073" s="1356"/>
      <c r="T2073" s="1357"/>
      <c r="U2073" s="1358"/>
      <c r="V2073" s="1420">
        <f>SUM(V2064:V2072)</f>
        <v>0</v>
      </c>
      <c r="AB2073" s="15"/>
    </row>
    <row r="2074" spans="1:36" s="352" customFormat="1" ht="15.6" hidden="1">
      <c r="A2074" s="351"/>
      <c r="B2074" s="1963" t="str">
        <f>VLOOKUP(A2082,'11 - FINANCEIRA'!_xlnm.Print_Area,1,FALSE)</f>
        <v>2.3.10.28</v>
      </c>
      <c r="C2074" s="1965" t="str">
        <f>VLOOKUP(A2082,'11 - FINANCEIRA'!_xlnm.Print_Area,3,FALSE)</f>
        <v>Fossa séptica de anéis pré-moldados de concreto, diâmetro 1.20 m, altura útil de 1.70m, completa, incluindo tampa c/visita de 60cm, concreto p/fundo esp.10 cm, e tubo para ligação ao filtro</v>
      </c>
      <c r="D2074" s="1967" t="s">
        <v>1503</v>
      </c>
      <c r="E2074" s="1968"/>
      <c r="F2074" s="1968"/>
      <c r="G2074" s="1968"/>
      <c r="H2074" s="1968"/>
      <c r="I2074" s="1969"/>
      <c r="J2074" s="1914" t="s">
        <v>1504</v>
      </c>
      <c r="K2074" s="1914" t="s">
        <v>1505</v>
      </c>
      <c r="L2074" s="1914" t="s">
        <v>1506</v>
      </c>
      <c r="M2074" s="1914" t="s">
        <v>1507</v>
      </c>
      <c r="N2074" s="1914" t="s">
        <v>1508</v>
      </c>
      <c r="O2074" s="1914" t="s">
        <v>1509</v>
      </c>
      <c r="P2074" s="1341" t="s">
        <v>1510</v>
      </c>
      <c r="Q2074" s="1914" t="s">
        <v>1493</v>
      </c>
      <c r="R2074" s="1916" t="s">
        <v>804</v>
      </c>
      <c r="S2074" s="1914" t="s">
        <v>1511</v>
      </c>
      <c r="T2074" s="1914" t="s">
        <v>1512</v>
      </c>
      <c r="U2074" s="1918" t="s">
        <v>1513</v>
      </c>
      <c r="V2074" s="1418">
        <f t="shared" ref="V2074:V2081" si="212">V2075</f>
        <v>0</v>
      </c>
      <c r="W2074" s="16"/>
      <c r="X2074" s="16"/>
      <c r="Y2074" s="16"/>
      <c r="Z2074" s="17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</row>
    <row r="2075" spans="1:36" s="352" customFormat="1" ht="15.6" hidden="1">
      <c r="A2075" s="354"/>
      <c r="B2075" s="1964" t="e">
        <f>LEFT(#REF!,5)</f>
        <v>#REF!</v>
      </c>
      <c r="C2075" s="1966" t="e">
        <f>VLOOKUP(LEFT(#REF!,5),'11 - FINANCEIRA'!_xlnm.Print_Area,2,FALSE)</f>
        <v>#REF!</v>
      </c>
      <c r="D2075" s="1920" t="s">
        <v>1514</v>
      </c>
      <c r="E2075" s="1921"/>
      <c r="F2075" s="1922"/>
      <c r="G2075" s="1923" t="s">
        <v>1515</v>
      </c>
      <c r="H2075" s="1924"/>
      <c r="I2075" s="1925"/>
      <c r="J2075" s="1915"/>
      <c r="K2075" s="1915"/>
      <c r="L2075" s="1915"/>
      <c r="M2075" s="1915"/>
      <c r="N2075" s="1915"/>
      <c r="O2075" s="1915"/>
      <c r="P2075" s="353" t="s">
        <v>1516</v>
      </c>
      <c r="Q2075" s="1915"/>
      <c r="R2075" s="1917"/>
      <c r="S2075" s="1915"/>
      <c r="T2075" s="1915"/>
      <c r="U2075" s="1919"/>
      <c r="V2075" s="1418">
        <f t="shared" si="212"/>
        <v>0</v>
      </c>
      <c r="W2075" s="16"/>
      <c r="X2075" s="16"/>
      <c r="Y2075" s="16"/>
      <c r="Z2075" s="17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</row>
    <row r="2076" spans="1:36" s="361" customFormat="1" ht="45" hidden="1">
      <c r="A2076" s="354"/>
      <c r="B2076" s="355"/>
      <c r="C2076" s="28" t="s">
        <v>1042</v>
      </c>
      <c r="D2076" s="18"/>
      <c r="E2076" s="19"/>
      <c r="F2076" s="20"/>
      <c r="G2076" s="18"/>
      <c r="H2076" s="19"/>
      <c r="I2076" s="20"/>
      <c r="J2076" s="21"/>
      <c r="K2076" s="22"/>
      <c r="L2076" s="23"/>
      <c r="M2076" s="24"/>
      <c r="N2076" s="728"/>
      <c r="O2076" s="25"/>
      <c r="P2076" s="23"/>
      <c r="Q2076" s="729"/>
      <c r="R2076" s="1109">
        <v>1</v>
      </c>
      <c r="S2076" s="730" t="s">
        <v>816</v>
      </c>
      <c r="T2076" s="446" t="s">
        <v>327</v>
      </c>
      <c r="U2076" s="44"/>
      <c r="V2076" s="1418">
        <f t="shared" si="212"/>
        <v>0</v>
      </c>
      <c r="W2076" s="357"/>
      <c r="X2076" s="357"/>
      <c r="Y2076" s="357"/>
      <c r="Z2076" s="358"/>
      <c r="AA2076" s="359"/>
      <c r="AB2076" s="360"/>
    </row>
    <row r="2077" spans="1:36" s="361" customFormat="1" ht="15" hidden="1" customHeight="1">
      <c r="A2077" s="364"/>
      <c r="B2077" s="355"/>
      <c r="C2077" s="32"/>
      <c r="D2077" s="33"/>
      <c r="E2077" s="34"/>
      <c r="F2077" s="35"/>
      <c r="G2077" s="33"/>
      <c r="H2077" s="34"/>
      <c r="I2077" s="35"/>
      <c r="J2077" s="43"/>
      <c r="K2077" s="42"/>
      <c r="L2077" s="39"/>
      <c r="M2077" s="41"/>
      <c r="N2077" s="356"/>
      <c r="O2077" s="40"/>
      <c r="P2077" s="39"/>
      <c r="Q2077" s="45"/>
      <c r="R2077" s="362"/>
      <c r="S2077" s="363"/>
      <c r="T2077" s="46"/>
      <c r="U2077" s="44"/>
      <c r="V2077" s="1418">
        <f t="shared" si="212"/>
        <v>0</v>
      </c>
      <c r="W2077" s="357"/>
      <c r="X2077" s="357"/>
      <c r="Y2077" s="357"/>
      <c r="Z2077" s="358"/>
      <c r="AA2077" s="359"/>
      <c r="AB2077" s="360"/>
    </row>
    <row r="2078" spans="1:36" s="369" customFormat="1" ht="15" hidden="1">
      <c r="A2078" s="370"/>
      <c r="B2078" s="355"/>
      <c r="C2078" s="32"/>
      <c r="D2078" s="33"/>
      <c r="E2078" s="34"/>
      <c r="F2078" s="35"/>
      <c r="G2078" s="33"/>
      <c r="H2078" s="34"/>
      <c r="I2078" s="35"/>
      <c r="J2078" s="43"/>
      <c r="K2078" s="42"/>
      <c r="L2078" s="39"/>
      <c r="M2078" s="41"/>
      <c r="N2078" s="40"/>
      <c r="O2078" s="40"/>
      <c r="P2078" s="39"/>
      <c r="Q2078" s="38"/>
      <c r="R2078" s="365"/>
      <c r="S2078" s="366"/>
      <c r="T2078" s="46"/>
      <c r="U2078" s="44"/>
      <c r="V2078" s="1418">
        <f t="shared" si="212"/>
        <v>0</v>
      </c>
      <c r="W2078" s="367"/>
      <c r="X2078" s="367"/>
      <c r="Y2078" s="367"/>
      <c r="Z2078" s="368"/>
    </row>
    <row r="2079" spans="1:36" s="77" customFormat="1" ht="15" hidden="1">
      <c r="A2079" s="370"/>
      <c r="B2079" s="29"/>
      <c r="C2079" s="30"/>
      <c r="D2079" s="18"/>
      <c r="E2079" s="19"/>
      <c r="F2079" s="20"/>
      <c r="G2079" s="18"/>
      <c r="H2079" s="19"/>
      <c r="I2079" s="20"/>
      <c r="J2079" s="21"/>
      <c r="K2079" s="22"/>
      <c r="L2079" s="23"/>
      <c r="M2079" s="24"/>
      <c r="N2079" s="25"/>
      <c r="O2079" s="25"/>
      <c r="P2079" s="23"/>
      <c r="Q2079" s="26"/>
      <c r="R2079" s="371"/>
      <c r="S2079" s="27"/>
      <c r="T2079" s="372"/>
      <c r="U2079" s="31"/>
      <c r="V2079" s="1418">
        <f t="shared" si="212"/>
        <v>0</v>
      </c>
      <c r="AB2079" s="15"/>
    </row>
    <row r="2080" spans="1:36" s="77" customFormat="1" ht="15.6" hidden="1">
      <c r="A2080" s="370"/>
      <c r="B2080" s="499"/>
      <c r="C2080" s="37"/>
      <c r="D2080" s="1929" t="s">
        <v>1520</v>
      </c>
      <c r="E2080" s="1930"/>
      <c r="F2080" s="1930"/>
      <c r="G2080" s="1930"/>
      <c r="H2080" s="1930"/>
      <c r="I2080" s="1931"/>
      <c r="J2080" s="1932">
        <f>VLOOKUP(A2082,'11 - FINANCEIRA'!_xlnm.Print_Area,6,FALSE)</f>
        <v>1</v>
      </c>
      <c r="K2080" s="1933"/>
      <c r="L2080" s="1343" t="str">
        <f>VLOOKUP(A2082,'11 - FINANCEIRA'!_xlnm.Print_Area,4,FALSE)</f>
        <v>und</v>
      </c>
      <c r="M2080" s="1934" t="s">
        <v>1521</v>
      </c>
      <c r="N2080" s="1935"/>
      <c r="O2080" s="1935"/>
      <c r="P2080" s="1935"/>
      <c r="Q2080" s="1936"/>
      <c r="R2080" s="726">
        <f>SUM(R2076:R2079)</f>
        <v>1</v>
      </c>
      <c r="S2080" s="1344" t="str">
        <f>L2080</f>
        <v>und</v>
      </c>
      <c r="T2080" s="373"/>
      <c r="U2080" s="486"/>
      <c r="V2080" s="1418">
        <f t="shared" si="212"/>
        <v>0</v>
      </c>
      <c r="AB2080" s="15"/>
    </row>
    <row r="2081" spans="1:36" s="77" customFormat="1" ht="15.6" hidden="1">
      <c r="A2081" s="364"/>
      <c r="B2081" s="499"/>
      <c r="C2081" s="725"/>
      <c r="D2081" s="1937" t="s">
        <v>1522</v>
      </c>
      <c r="E2081" s="1938"/>
      <c r="F2081" s="1938"/>
      <c r="G2081" s="1938"/>
      <c r="H2081" s="1938"/>
      <c r="I2081" s="1939"/>
      <c r="J2081" s="1943">
        <f>R2080/J2080</f>
        <v>1</v>
      </c>
      <c r="K2081" s="1944"/>
      <c r="L2081" s="1947"/>
      <c r="M2081" s="1934" t="s">
        <v>1523</v>
      </c>
      <c r="N2081" s="1935"/>
      <c r="O2081" s="1935"/>
      <c r="P2081" s="1935"/>
      <c r="Q2081" s="1936"/>
      <c r="R2081" s="726">
        <f>VLOOKUP(A2082,'11 - FINANCEIRA'!_xlnm.Print_Area,8,FALSE)</f>
        <v>1</v>
      </c>
      <c r="S2081" s="727" t="str">
        <f>L2080</f>
        <v>und</v>
      </c>
      <c r="T2081" s="373"/>
      <c r="U2081" s="486"/>
      <c r="V2081" s="1418">
        <f t="shared" si="212"/>
        <v>0</v>
      </c>
      <c r="AB2081" s="15"/>
    </row>
    <row r="2082" spans="1:36" s="77" customFormat="1" ht="15.6" hidden="1">
      <c r="A2082" s="364" t="s">
        <v>508</v>
      </c>
      <c r="B2082" s="499"/>
      <c r="C2082" s="37"/>
      <c r="D2082" s="2013"/>
      <c r="E2082" s="2014"/>
      <c r="F2082" s="2014"/>
      <c r="G2082" s="2014"/>
      <c r="H2082" s="2014"/>
      <c r="I2082" s="2015"/>
      <c r="J2082" s="2016"/>
      <c r="K2082" s="2017"/>
      <c r="L2082" s="1962"/>
      <c r="M2082" s="2007" t="s">
        <v>1524</v>
      </c>
      <c r="N2082" s="2008"/>
      <c r="O2082" s="2008"/>
      <c r="P2082" s="2008"/>
      <c r="Q2082" s="2009"/>
      <c r="R2082" s="1345">
        <f>R2080-R2081</f>
        <v>0</v>
      </c>
      <c r="S2082" s="1346" t="str">
        <f>L2080</f>
        <v>und</v>
      </c>
      <c r="T2082" s="373"/>
      <c r="U2082" s="486"/>
      <c r="V2082" s="1418">
        <f>R2082</f>
        <v>0</v>
      </c>
      <c r="AB2082" s="15"/>
    </row>
    <row r="2083" spans="1:36" s="77" customFormat="1" ht="15.6" hidden="1">
      <c r="A2083" s="370"/>
      <c r="B2083" s="1347"/>
      <c r="C2083" s="1348"/>
      <c r="D2083" s="1349"/>
      <c r="E2083" s="1350"/>
      <c r="F2083" s="1349"/>
      <c r="G2083" s="1349"/>
      <c r="H2083" s="1349"/>
      <c r="I2083" s="1349"/>
      <c r="J2083" s="1351"/>
      <c r="K2083" s="1352"/>
      <c r="L2083" s="1353"/>
      <c r="M2083" s="1354"/>
      <c r="N2083" s="1354"/>
      <c r="O2083" s="1354"/>
      <c r="P2083" s="1354"/>
      <c r="Q2083" s="1354"/>
      <c r="R2083" s="1355"/>
      <c r="S2083" s="1356"/>
      <c r="T2083" s="1357"/>
      <c r="U2083" s="1358"/>
      <c r="V2083" s="1420">
        <f>SUM(V2074:V2082)</f>
        <v>0</v>
      </c>
      <c r="AB2083" s="15"/>
    </row>
    <row r="2084" spans="1:36" s="352" customFormat="1" ht="15.6" hidden="1">
      <c r="A2084" s="351"/>
      <c r="B2084" s="1963" t="str">
        <f>VLOOKUP(A2092,'11 - FINANCEIRA'!_xlnm.Print_Area,1,FALSE)</f>
        <v>2.3.10.29</v>
      </c>
      <c r="C2084" s="1965" t="str">
        <f>VLOOKUP(A2092,'11 - FINANCEIRA'!_xlnm.Print_Area,3,FALSE)</f>
        <v>Filtro anaeróbio de anéis pré-moldados de concreto, diâmetro de 1.20m, altura útil de 1.80m, completo, incl. tampa c/visita de 60 cm, concreto p/fundo esp.10cm e tubulação de saída de esgoto</v>
      </c>
      <c r="D2084" s="1967" t="s">
        <v>1503</v>
      </c>
      <c r="E2084" s="1968"/>
      <c r="F2084" s="1968"/>
      <c r="G2084" s="1968"/>
      <c r="H2084" s="1968"/>
      <c r="I2084" s="1969"/>
      <c r="J2084" s="1914" t="s">
        <v>1504</v>
      </c>
      <c r="K2084" s="1914" t="s">
        <v>1505</v>
      </c>
      <c r="L2084" s="1914" t="s">
        <v>1506</v>
      </c>
      <c r="M2084" s="1914" t="s">
        <v>1507</v>
      </c>
      <c r="N2084" s="1914" t="s">
        <v>1508</v>
      </c>
      <c r="O2084" s="1914" t="s">
        <v>1509</v>
      </c>
      <c r="P2084" s="1341" t="s">
        <v>1510</v>
      </c>
      <c r="Q2084" s="1914" t="s">
        <v>1493</v>
      </c>
      <c r="R2084" s="1916" t="s">
        <v>804</v>
      </c>
      <c r="S2084" s="1914" t="s">
        <v>1511</v>
      </c>
      <c r="T2084" s="1914" t="s">
        <v>1512</v>
      </c>
      <c r="U2084" s="1918" t="s">
        <v>1513</v>
      </c>
      <c r="V2084" s="1418">
        <f t="shared" ref="V2084:V2091" si="213">V2085</f>
        <v>0</v>
      </c>
      <c r="W2084" s="16"/>
      <c r="X2084" s="16"/>
      <c r="Y2084" s="16"/>
      <c r="Z2084" s="17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</row>
    <row r="2085" spans="1:36" s="352" customFormat="1" ht="15.6" hidden="1">
      <c r="A2085" s="351"/>
      <c r="B2085" s="1964" t="e">
        <f>LEFT(#REF!,5)</f>
        <v>#REF!</v>
      </c>
      <c r="C2085" s="1966" t="e">
        <f>VLOOKUP(LEFT(#REF!,5),'11 - FINANCEIRA'!_xlnm.Print_Area,2,FALSE)</f>
        <v>#REF!</v>
      </c>
      <c r="D2085" s="1920" t="s">
        <v>1514</v>
      </c>
      <c r="E2085" s="1921"/>
      <c r="F2085" s="1922"/>
      <c r="G2085" s="1923" t="s">
        <v>1515</v>
      </c>
      <c r="H2085" s="1924"/>
      <c r="I2085" s="1925"/>
      <c r="J2085" s="1915"/>
      <c r="K2085" s="1915"/>
      <c r="L2085" s="1915"/>
      <c r="M2085" s="1915"/>
      <c r="N2085" s="1915"/>
      <c r="O2085" s="1915"/>
      <c r="P2085" s="353" t="s">
        <v>1516</v>
      </c>
      <c r="Q2085" s="1915"/>
      <c r="R2085" s="1917"/>
      <c r="S2085" s="1915"/>
      <c r="T2085" s="1915"/>
      <c r="U2085" s="1919"/>
      <c r="V2085" s="1418">
        <f t="shared" si="213"/>
        <v>0</v>
      </c>
      <c r="W2085" s="16"/>
      <c r="X2085" s="16"/>
      <c r="Y2085" s="16"/>
      <c r="Z2085" s="17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</row>
    <row r="2086" spans="1:36" s="361" customFormat="1" ht="45" hidden="1">
      <c r="A2086" s="354"/>
      <c r="B2086" s="355"/>
      <c r="C2086" s="28" t="s">
        <v>1044</v>
      </c>
      <c r="D2086" s="18"/>
      <c r="E2086" s="19"/>
      <c r="F2086" s="20"/>
      <c r="G2086" s="18"/>
      <c r="H2086" s="19"/>
      <c r="I2086" s="20"/>
      <c r="J2086" s="21"/>
      <c r="K2086" s="22"/>
      <c r="L2086" s="23"/>
      <c r="M2086" s="24"/>
      <c r="N2086" s="728"/>
      <c r="O2086" s="25"/>
      <c r="P2086" s="23"/>
      <c r="Q2086" s="729"/>
      <c r="R2086" s="1109">
        <v>1</v>
      </c>
      <c r="S2086" s="730" t="s">
        <v>816</v>
      </c>
      <c r="T2086" s="446" t="s">
        <v>327</v>
      </c>
      <c r="U2086" s="44"/>
      <c r="V2086" s="1418">
        <f t="shared" si="213"/>
        <v>0</v>
      </c>
      <c r="W2086" s="357"/>
      <c r="X2086" s="357"/>
      <c r="Y2086" s="357"/>
      <c r="Z2086" s="358"/>
      <c r="AA2086" s="359"/>
      <c r="AB2086" s="360"/>
    </row>
    <row r="2087" spans="1:36" s="361" customFormat="1" ht="15" hidden="1" customHeight="1">
      <c r="A2087" s="354"/>
      <c r="B2087" s="355"/>
      <c r="C2087" s="32"/>
      <c r="D2087" s="33"/>
      <c r="E2087" s="34"/>
      <c r="F2087" s="35"/>
      <c r="G2087" s="33"/>
      <c r="H2087" s="34"/>
      <c r="I2087" s="35"/>
      <c r="J2087" s="43"/>
      <c r="K2087" s="42"/>
      <c r="L2087" s="39"/>
      <c r="M2087" s="41"/>
      <c r="N2087" s="356"/>
      <c r="O2087" s="40"/>
      <c r="P2087" s="39"/>
      <c r="Q2087" s="45"/>
      <c r="R2087" s="362"/>
      <c r="S2087" s="363"/>
      <c r="T2087" s="46"/>
      <c r="U2087" s="44"/>
      <c r="V2087" s="1418">
        <f t="shared" si="213"/>
        <v>0</v>
      </c>
      <c r="W2087" s="357"/>
      <c r="X2087" s="357"/>
      <c r="Y2087" s="357"/>
      <c r="Z2087" s="358"/>
      <c r="AA2087" s="359"/>
      <c r="AB2087" s="360"/>
    </row>
    <row r="2088" spans="1:36" s="369" customFormat="1" ht="15" hidden="1">
      <c r="A2088" s="364"/>
      <c r="B2088" s="355"/>
      <c r="C2088" s="32"/>
      <c r="D2088" s="33"/>
      <c r="E2088" s="34"/>
      <c r="F2088" s="35"/>
      <c r="G2088" s="33"/>
      <c r="H2088" s="34"/>
      <c r="I2088" s="35"/>
      <c r="J2088" s="43"/>
      <c r="K2088" s="42"/>
      <c r="L2088" s="39"/>
      <c r="M2088" s="41"/>
      <c r="N2088" s="40"/>
      <c r="O2088" s="40"/>
      <c r="P2088" s="39"/>
      <c r="Q2088" s="38"/>
      <c r="R2088" s="365"/>
      <c r="S2088" s="366"/>
      <c r="T2088" s="46"/>
      <c r="U2088" s="44"/>
      <c r="V2088" s="1418">
        <f t="shared" si="213"/>
        <v>0</v>
      </c>
      <c r="W2088" s="367"/>
      <c r="X2088" s="367"/>
      <c r="Y2088" s="367"/>
      <c r="Z2088" s="368"/>
    </row>
    <row r="2089" spans="1:36" s="77" customFormat="1" ht="15" hidden="1">
      <c r="A2089" s="370"/>
      <c r="B2089" s="29"/>
      <c r="C2089" s="30"/>
      <c r="D2089" s="18"/>
      <c r="E2089" s="19"/>
      <c r="F2089" s="20"/>
      <c r="G2089" s="18"/>
      <c r="H2089" s="19"/>
      <c r="I2089" s="20"/>
      <c r="J2089" s="21"/>
      <c r="K2089" s="22"/>
      <c r="L2089" s="23"/>
      <c r="M2089" s="24"/>
      <c r="N2089" s="25"/>
      <c r="O2089" s="25"/>
      <c r="P2089" s="23"/>
      <c r="Q2089" s="26"/>
      <c r="R2089" s="371"/>
      <c r="S2089" s="27"/>
      <c r="T2089" s="372"/>
      <c r="U2089" s="31"/>
      <c r="V2089" s="1418">
        <f t="shared" si="213"/>
        <v>0</v>
      </c>
      <c r="AB2089" s="15"/>
    </row>
    <row r="2090" spans="1:36" s="77" customFormat="1" ht="15.6" hidden="1">
      <c r="A2090" s="370"/>
      <c r="B2090" s="499"/>
      <c r="C2090" s="37"/>
      <c r="D2090" s="1929" t="s">
        <v>1520</v>
      </c>
      <c r="E2090" s="1930"/>
      <c r="F2090" s="1930"/>
      <c r="G2090" s="1930"/>
      <c r="H2090" s="1930"/>
      <c r="I2090" s="1931"/>
      <c r="J2090" s="1932">
        <f>VLOOKUP(A2092,'11 - FINANCEIRA'!_xlnm.Print_Area,6,FALSE)</f>
        <v>1</v>
      </c>
      <c r="K2090" s="1933"/>
      <c r="L2090" s="1343" t="str">
        <f>VLOOKUP(A2092,'11 - FINANCEIRA'!_xlnm.Print_Area,4,FALSE)</f>
        <v>und</v>
      </c>
      <c r="M2090" s="1934" t="s">
        <v>1521</v>
      </c>
      <c r="N2090" s="1935"/>
      <c r="O2090" s="1935"/>
      <c r="P2090" s="1935"/>
      <c r="Q2090" s="1936"/>
      <c r="R2090" s="726">
        <f>SUM(R2086:R2089)</f>
        <v>1</v>
      </c>
      <c r="S2090" s="1344" t="str">
        <f>L2090</f>
        <v>und</v>
      </c>
      <c r="T2090" s="373"/>
      <c r="U2090" s="486"/>
      <c r="V2090" s="1418">
        <f t="shared" si="213"/>
        <v>0</v>
      </c>
      <c r="AB2090" s="15"/>
    </row>
    <row r="2091" spans="1:36" s="77" customFormat="1" ht="15.6" hidden="1">
      <c r="A2091" s="370"/>
      <c r="B2091" s="499"/>
      <c r="C2091" s="725"/>
      <c r="D2091" s="1937" t="s">
        <v>1522</v>
      </c>
      <c r="E2091" s="1938"/>
      <c r="F2091" s="1938"/>
      <c r="G2091" s="1938"/>
      <c r="H2091" s="1938"/>
      <c r="I2091" s="1939"/>
      <c r="J2091" s="1943">
        <f>R2090/J2090</f>
        <v>1</v>
      </c>
      <c r="K2091" s="1944"/>
      <c r="L2091" s="1947"/>
      <c r="M2091" s="1934" t="s">
        <v>1523</v>
      </c>
      <c r="N2091" s="1935"/>
      <c r="O2091" s="1935"/>
      <c r="P2091" s="1935"/>
      <c r="Q2091" s="1936"/>
      <c r="R2091" s="726">
        <f>VLOOKUP(A2092,'11 - FINANCEIRA'!_xlnm.Print_Area,8,FALSE)</f>
        <v>1</v>
      </c>
      <c r="S2091" s="727" t="str">
        <f>L2090</f>
        <v>und</v>
      </c>
      <c r="T2091" s="373"/>
      <c r="U2091" s="486"/>
      <c r="V2091" s="1418">
        <f t="shared" si="213"/>
        <v>0</v>
      </c>
      <c r="AB2091" s="15"/>
    </row>
    <row r="2092" spans="1:36" s="77" customFormat="1" ht="15.6" hidden="1">
      <c r="A2092" s="364" t="s">
        <v>509</v>
      </c>
      <c r="B2092" s="499"/>
      <c r="C2092" s="37"/>
      <c r="D2092" s="2013"/>
      <c r="E2092" s="2014"/>
      <c r="F2092" s="2014"/>
      <c r="G2092" s="2014"/>
      <c r="H2092" s="2014"/>
      <c r="I2092" s="2015"/>
      <c r="J2092" s="2016"/>
      <c r="K2092" s="2017"/>
      <c r="L2092" s="1962"/>
      <c r="M2092" s="2007" t="s">
        <v>1524</v>
      </c>
      <c r="N2092" s="2008"/>
      <c r="O2092" s="2008"/>
      <c r="P2092" s="2008"/>
      <c r="Q2092" s="2009"/>
      <c r="R2092" s="1345">
        <f>R2090-R2091</f>
        <v>0</v>
      </c>
      <c r="S2092" s="1346" t="str">
        <f>L2090</f>
        <v>und</v>
      </c>
      <c r="T2092" s="373"/>
      <c r="U2092" s="486"/>
      <c r="V2092" s="1418">
        <f>R2092</f>
        <v>0</v>
      </c>
      <c r="AB2092" s="15"/>
    </row>
    <row r="2093" spans="1:36" s="77" customFormat="1" ht="15.6" hidden="1">
      <c r="A2093" s="370"/>
      <c r="B2093" s="1347"/>
      <c r="C2093" s="1348"/>
      <c r="D2093" s="1349"/>
      <c r="E2093" s="1350"/>
      <c r="F2093" s="1349"/>
      <c r="G2093" s="1349"/>
      <c r="H2093" s="1349"/>
      <c r="I2093" s="1349"/>
      <c r="J2093" s="1351"/>
      <c r="K2093" s="1352"/>
      <c r="L2093" s="1353"/>
      <c r="M2093" s="1354"/>
      <c r="N2093" s="1354"/>
      <c r="O2093" s="1354"/>
      <c r="P2093" s="1354"/>
      <c r="Q2093" s="1354"/>
      <c r="R2093" s="1355"/>
      <c r="S2093" s="1356"/>
      <c r="T2093" s="1357"/>
      <c r="U2093" s="1358"/>
      <c r="V2093" s="1420">
        <f>SUM(V2084:V2092)</f>
        <v>0</v>
      </c>
      <c r="AB2093" s="15"/>
    </row>
    <row r="2094" spans="1:36" s="632" customFormat="1" ht="15.6">
      <c r="A2094" s="630"/>
      <c r="B2094" s="1333" t="str">
        <f>LEFT(A2103,6)</f>
        <v>2.3.11</v>
      </c>
      <c r="C2094" s="1334" t="str">
        <f>VLOOKUP(LEFT(A2103,6),'11 - FINANCEIRA'!_xlnm.Print_Area,2,FALSE)</f>
        <v>EXTERNO E URBANIZAÇÃO</v>
      </c>
      <c r="D2094" s="1334"/>
      <c r="E2094" s="1335"/>
      <c r="F2094" s="1334"/>
      <c r="G2094" s="2071"/>
      <c r="H2094" s="2072"/>
      <c r="I2094" s="2072"/>
      <c r="J2094" s="2072"/>
      <c r="K2094" s="2072"/>
      <c r="L2094" s="2072"/>
      <c r="M2094" s="1338"/>
      <c r="N2094" s="1339"/>
      <c r="O2094" s="1339"/>
      <c r="P2094" s="1339"/>
      <c r="Q2094" s="1339"/>
      <c r="R2094" s="1339"/>
      <c r="S2094" s="1339"/>
      <c r="T2094" s="1339"/>
      <c r="U2094" s="1339"/>
      <c r="V2094" s="631">
        <f>SUM(V2095:V2244)</f>
        <v>900</v>
      </c>
    </row>
    <row r="2095" spans="1:36" s="352" customFormat="1" ht="15.6" hidden="1">
      <c r="A2095" s="351"/>
      <c r="B2095" s="1963" t="str">
        <f>VLOOKUP(A2103,'11 - FINANCEIRA'!_xlnm.Print_Area,1,FALSE)</f>
        <v>2.3.11.1</v>
      </c>
      <c r="C2095" s="1965" t="str">
        <f>VLOOKUP(A2103,'11 - FINANCEIRA'!_xlnm.Print_Area,3,FALSE)</f>
        <v>Portão de ferro de abrir em barra chata, chapa e tubo, inclusive chumbamento</v>
      </c>
      <c r="D2095" s="1967" t="s">
        <v>1503</v>
      </c>
      <c r="E2095" s="1968"/>
      <c r="F2095" s="1968"/>
      <c r="G2095" s="1968"/>
      <c r="H2095" s="1968"/>
      <c r="I2095" s="1969"/>
      <c r="J2095" s="1914" t="s">
        <v>1504</v>
      </c>
      <c r="K2095" s="1914" t="s">
        <v>1505</v>
      </c>
      <c r="L2095" s="1914" t="s">
        <v>1506</v>
      </c>
      <c r="M2095" s="1914" t="s">
        <v>1507</v>
      </c>
      <c r="N2095" s="1914" t="s">
        <v>1508</v>
      </c>
      <c r="O2095" s="1914" t="s">
        <v>1509</v>
      </c>
      <c r="P2095" s="1341" t="s">
        <v>1510</v>
      </c>
      <c r="Q2095" s="1914" t="s">
        <v>1493</v>
      </c>
      <c r="R2095" s="1916" t="s">
        <v>804</v>
      </c>
      <c r="S2095" s="1914" t="s">
        <v>1511</v>
      </c>
      <c r="T2095" s="1914" t="s">
        <v>1512</v>
      </c>
      <c r="U2095" s="1918" t="s">
        <v>1513</v>
      </c>
      <c r="V2095" s="1418">
        <f t="shared" ref="V2095:V2102" si="214">V2096</f>
        <v>0</v>
      </c>
      <c r="W2095" s="16"/>
      <c r="X2095" s="16"/>
      <c r="Y2095" s="16"/>
      <c r="Z2095" s="17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</row>
    <row r="2096" spans="1:36" s="352" customFormat="1" ht="15.6" hidden="1">
      <c r="A2096" s="351"/>
      <c r="B2096" s="1964" t="e">
        <f>LEFT(#REF!,5)</f>
        <v>#REF!</v>
      </c>
      <c r="C2096" s="1966" t="e">
        <f>VLOOKUP(LEFT(#REF!,5),'11 - FINANCEIRA'!_xlnm.Print_Area,2,FALSE)</f>
        <v>#REF!</v>
      </c>
      <c r="D2096" s="1920" t="s">
        <v>1514</v>
      </c>
      <c r="E2096" s="1921"/>
      <c r="F2096" s="1922"/>
      <c r="G2096" s="1923" t="s">
        <v>1515</v>
      </c>
      <c r="H2096" s="1924"/>
      <c r="I2096" s="1925"/>
      <c r="J2096" s="1915"/>
      <c r="K2096" s="1915"/>
      <c r="L2096" s="1915"/>
      <c r="M2096" s="1915"/>
      <c r="N2096" s="1915"/>
      <c r="O2096" s="1915"/>
      <c r="P2096" s="353" t="s">
        <v>1516</v>
      </c>
      <c r="Q2096" s="1915"/>
      <c r="R2096" s="1917"/>
      <c r="S2096" s="1915"/>
      <c r="T2096" s="1915"/>
      <c r="U2096" s="1919"/>
      <c r="V2096" s="1418">
        <f t="shared" si="214"/>
        <v>0</v>
      </c>
      <c r="W2096" s="16"/>
      <c r="X2096" s="16"/>
      <c r="Y2096" s="16"/>
      <c r="Z2096" s="17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</row>
    <row r="2097" spans="1:36" s="361" customFormat="1" ht="15" hidden="1">
      <c r="A2097" s="354"/>
      <c r="B2097" s="355"/>
      <c r="C2097" s="32" t="s">
        <v>968</v>
      </c>
      <c r="D2097" s="33"/>
      <c r="E2097" s="34"/>
      <c r="F2097" s="35"/>
      <c r="G2097" s="33"/>
      <c r="H2097" s="34"/>
      <c r="I2097" s="35"/>
      <c r="J2097" s="43"/>
      <c r="K2097" s="42"/>
      <c r="L2097" s="39"/>
      <c r="M2097" s="41"/>
      <c r="N2097" s="356"/>
      <c r="O2097" s="40"/>
      <c r="P2097" s="39"/>
      <c r="Q2097" s="45"/>
      <c r="R2097" s="1359">
        <v>22</v>
      </c>
      <c r="S2097" s="1265" t="s">
        <v>821</v>
      </c>
      <c r="T2097" s="46" t="s">
        <v>328</v>
      </c>
      <c r="U2097" s="44"/>
      <c r="V2097" s="1418">
        <f t="shared" si="214"/>
        <v>0</v>
      </c>
      <c r="W2097" s="357"/>
      <c r="X2097" s="357"/>
      <c r="Y2097" s="357"/>
      <c r="Z2097" s="358"/>
      <c r="AA2097" s="359"/>
      <c r="AB2097" s="360"/>
    </row>
    <row r="2098" spans="1:36" s="361" customFormat="1" ht="15" hidden="1" customHeight="1">
      <c r="A2098" s="354"/>
      <c r="B2098" s="355"/>
      <c r="C2098" s="32"/>
      <c r="D2098" s="33"/>
      <c r="E2098" s="34"/>
      <c r="F2098" s="35"/>
      <c r="G2098" s="33"/>
      <c r="H2098" s="34"/>
      <c r="I2098" s="35"/>
      <c r="J2098" s="43"/>
      <c r="K2098" s="42"/>
      <c r="L2098" s="39"/>
      <c r="M2098" s="41"/>
      <c r="N2098" s="356"/>
      <c r="O2098" s="40"/>
      <c r="P2098" s="39"/>
      <c r="Q2098" s="45"/>
      <c r="R2098" s="362"/>
      <c r="S2098" s="363"/>
      <c r="T2098" s="46"/>
      <c r="U2098" s="44"/>
      <c r="V2098" s="1418">
        <f t="shared" si="214"/>
        <v>0</v>
      </c>
      <c r="W2098" s="357"/>
      <c r="X2098" s="357"/>
      <c r="Y2098" s="357"/>
      <c r="Z2098" s="358"/>
      <c r="AA2098" s="359"/>
      <c r="AB2098" s="360"/>
    </row>
    <row r="2099" spans="1:36" s="369" customFormat="1" ht="15" hidden="1">
      <c r="A2099" s="364"/>
      <c r="B2099" s="355"/>
      <c r="C2099" s="32"/>
      <c r="D2099" s="33"/>
      <c r="E2099" s="34"/>
      <c r="F2099" s="35"/>
      <c r="G2099" s="33"/>
      <c r="H2099" s="34"/>
      <c r="I2099" s="35"/>
      <c r="J2099" s="43"/>
      <c r="K2099" s="42"/>
      <c r="L2099" s="39"/>
      <c r="M2099" s="41"/>
      <c r="N2099" s="40"/>
      <c r="O2099" s="40"/>
      <c r="P2099" s="39"/>
      <c r="Q2099" s="38"/>
      <c r="R2099" s="365"/>
      <c r="S2099" s="366"/>
      <c r="T2099" s="46"/>
      <c r="U2099" s="44"/>
      <c r="V2099" s="1418">
        <f t="shared" si="214"/>
        <v>0</v>
      </c>
      <c r="W2099" s="367"/>
      <c r="X2099" s="367"/>
      <c r="Y2099" s="367"/>
      <c r="Z2099" s="368"/>
    </row>
    <row r="2100" spans="1:36" s="77" customFormat="1" ht="15" hidden="1">
      <c r="A2100" s="370"/>
      <c r="B2100" s="29"/>
      <c r="C2100" s="30"/>
      <c r="D2100" s="18"/>
      <c r="E2100" s="19"/>
      <c r="F2100" s="20"/>
      <c r="G2100" s="18"/>
      <c r="H2100" s="19"/>
      <c r="I2100" s="20"/>
      <c r="J2100" s="21"/>
      <c r="K2100" s="22"/>
      <c r="L2100" s="23"/>
      <c r="M2100" s="24"/>
      <c r="N2100" s="25"/>
      <c r="O2100" s="25"/>
      <c r="P2100" s="23"/>
      <c r="Q2100" s="26"/>
      <c r="R2100" s="371"/>
      <c r="S2100" s="27"/>
      <c r="T2100" s="372"/>
      <c r="U2100" s="31"/>
      <c r="V2100" s="1418">
        <f t="shared" si="214"/>
        <v>0</v>
      </c>
      <c r="AB2100" s="15"/>
    </row>
    <row r="2101" spans="1:36" s="77" customFormat="1" ht="15.6" hidden="1">
      <c r="A2101" s="370"/>
      <c r="B2101" s="499"/>
      <c r="C2101" s="37"/>
      <c r="D2101" s="1929" t="s">
        <v>1520</v>
      </c>
      <c r="E2101" s="1930"/>
      <c r="F2101" s="1930"/>
      <c r="G2101" s="1930"/>
      <c r="H2101" s="1930"/>
      <c r="I2101" s="1931"/>
      <c r="J2101" s="1932">
        <f>VLOOKUP(A2103,'11 - FINANCEIRA'!_xlnm.Print_Area,6,FALSE)</f>
        <v>22</v>
      </c>
      <c r="K2101" s="1933"/>
      <c r="L2101" s="1343" t="str">
        <f>VLOOKUP(A2103,'11 - FINANCEIRA'!_xlnm.Print_Area,4,FALSE)</f>
        <v>m²</v>
      </c>
      <c r="M2101" s="1934" t="s">
        <v>1521</v>
      </c>
      <c r="N2101" s="1935"/>
      <c r="O2101" s="1935"/>
      <c r="P2101" s="1935"/>
      <c r="Q2101" s="1936"/>
      <c r="R2101" s="726">
        <f>SUM(R2097:R2100)</f>
        <v>22</v>
      </c>
      <c r="S2101" s="1344" t="str">
        <f>L2101</f>
        <v>m²</v>
      </c>
      <c r="T2101" s="373"/>
      <c r="U2101" s="486"/>
      <c r="V2101" s="1418">
        <f t="shared" si="214"/>
        <v>0</v>
      </c>
      <c r="AB2101" s="15"/>
    </row>
    <row r="2102" spans="1:36" s="77" customFormat="1" ht="15.6" hidden="1">
      <c r="A2102" s="370"/>
      <c r="B2102" s="499"/>
      <c r="C2102" s="725"/>
      <c r="D2102" s="1937" t="s">
        <v>1522</v>
      </c>
      <c r="E2102" s="1938"/>
      <c r="F2102" s="1938"/>
      <c r="G2102" s="1938"/>
      <c r="H2102" s="1938"/>
      <c r="I2102" s="1939"/>
      <c r="J2102" s="1943">
        <f>R2101/J2101</f>
        <v>1</v>
      </c>
      <c r="K2102" s="1944"/>
      <c r="L2102" s="1947"/>
      <c r="M2102" s="1934" t="s">
        <v>1523</v>
      </c>
      <c r="N2102" s="1935"/>
      <c r="O2102" s="1935"/>
      <c r="P2102" s="1935"/>
      <c r="Q2102" s="1936"/>
      <c r="R2102" s="726">
        <f>VLOOKUP(A2103,'11 - FINANCEIRA'!_xlnm.Print_Area,8,FALSE)</f>
        <v>22</v>
      </c>
      <c r="S2102" s="727" t="str">
        <f>L2101</f>
        <v>m²</v>
      </c>
      <c r="T2102" s="373"/>
      <c r="U2102" s="486"/>
      <c r="V2102" s="1418">
        <f t="shared" si="214"/>
        <v>0</v>
      </c>
      <c r="AB2102" s="15"/>
    </row>
    <row r="2103" spans="1:36" s="77" customFormat="1" ht="15.6" hidden="1">
      <c r="A2103" s="364" t="s">
        <v>511</v>
      </c>
      <c r="B2103" s="499"/>
      <c r="C2103" s="37"/>
      <c r="D2103" s="2013"/>
      <c r="E2103" s="2014"/>
      <c r="F2103" s="2014"/>
      <c r="G2103" s="2014"/>
      <c r="H2103" s="2014"/>
      <c r="I2103" s="2015"/>
      <c r="J2103" s="2016"/>
      <c r="K2103" s="2017"/>
      <c r="L2103" s="1962"/>
      <c r="M2103" s="2007" t="s">
        <v>1524</v>
      </c>
      <c r="N2103" s="2008"/>
      <c r="O2103" s="2008"/>
      <c r="P2103" s="2008"/>
      <c r="Q2103" s="2009"/>
      <c r="R2103" s="1345">
        <f>R2101-R2102</f>
        <v>0</v>
      </c>
      <c r="S2103" s="1346" t="str">
        <f>L2101</f>
        <v>m²</v>
      </c>
      <c r="T2103" s="373"/>
      <c r="U2103" s="486"/>
      <c r="V2103" s="1418">
        <f>R2103</f>
        <v>0</v>
      </c>
      <c r="AB2103" s="15"/>
    </row>
    <row r="2104" spans="1:36" s="77" customFormat="1" ht="15.6" hidden="1">
      <c r="A2104" s="370"/>
      <c r="B2104" s="1347"/>
      <c r="C2104" s="1348"/>
      <c r="D2104" s="1349"/>
      <c r="E2104" s="1350"/>
      <c r="F2104" s="1349"/>
      <c r="G2104" s="1349"/>
      <c r="H2104" s="1349"/>
      <c r="I2104" s="1349"/>
      <c r="J2104" s="1351"/>
      <c r="K2104" s="1352"/>
      <c r="L2104" s="1353"/>
      <c r="M2104" s="1354"/>
      <c r="N2104" s="1354"/>
      <c r="O2104" s="1354"/>
      <c r="P2104" s="1354"/>
      <c r="Q2104" s="1354"/>
      <c r="R2104" s="1355"/>
      <c r="S2104" s="1356"/>
      <c r="T2104" s="1357"/>
      <c r="U2104" s="1358"/>
      <c r="V2104" s="1420">
        <f>SUM(V2095:V2103)</f>
        <v>0</v>
      </c>
      <c r="AB2104" s="15"/>
    </row>
    <row r="2105" spans="1:36" s="352" customFormat="1" ht="15.6" hidden="1">
      <c r="A2105" s="351"/>
      <c r="B2105" s="1963" t="str">
        <f>VLOOKUP(A2113,'11 - FINANCEIRA'!_xlnm.Print_Area,1,FALSE)</f>
        <v>2.3.11.2</v>
      </c>
      <c r="C2105" s="1965" t="str">
        <f>VLOOKUP(A2113,'11 - FINANCEIRA'!_xlnm.Print_Area,3,FALSE)</f>
        <v>Alvenaria de vedação de blocos cerâmicos furados na vertical de 14x19x39cm (espessura 14cm) de paredes com área líquida menor que 6m² sem vãos e argamassa de assentamento com preparo em betoneira. af_06/2014</v>
      </c>
      <c r="D2105" s="1967" t="s">
        <v>1503</v>
      </c>
      <c r="E2105" s="1968"/>
      <c r="F2105" s="1968"/>
      <c r="G2105" s="1968"/>
      <c r="H2105" s="1968"/>
      <c r="I2105" s="1969"/>
      <c r="J2105" s="1914" t="s">
        <v>1504</v>
      </c>
      <c r="K2105" s="1914" t="s">
        <v>1505</v>
      </c>
      <c r="L2105" s="1914" t="s">
        <v>1506</v>
      </c>
      <c r="M2105" s="1914" t="s">
        <v>1507</v>
      </c>
      <c r="N2105" s="1914" t="s">
        <v>1508</v>
      </c>
      <c r="O2105" s="1914" t="s">
        <v>1509</v>
      </c>
      <c r="P2105" s="1341" t="s">
        <v>1510</v>
      </c>
      <c r="Q2105" s="1914" t="s">
        <v>1493</v>
      </c>
      <c r="R2105" s="1916" t="s">
        <v>804</v>
      </c>
      <c r="S2105" s="1914" t="s">
        <v>1511</v>
      </c>
      <c r="T2105" s="1914" t="s">
        <v>1512</v>
      </c>
      <c r="U2105" s="1918" t="s">
        <v>1513</v>
      </c>
      <c r="V2105" s="1418">
        <f t="shared" ref="V2105:V2112" si="215">V2106</f>
        <v>0</v>
      </c>
      <c r="W2105" s="16"/>
      <c r="X2105" s="16"/>
      <c r="Y2105" s="16"/>
      <c r="Z2105" s="17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</row>
    <row r="2106" spans="1:36" s="352" customFormat="1" ht="15.6" hidden="1">
      <c r="A2106" s="351"/>
      <c r="B2106" s="1964" t="e">
        <f>LEFT(#REF!,5)</f>
        <v>#REF!</v>
      </c>
      <c r="C2106" s="1966" t="e">
        <f>VLOOKUP(LEFT(#REF!,5),'11 - FINANCEIRA'!_xlnm.Print_Area,2,FALSE)</f>
        <v>#REF!</v>
      </c>
      <c r="D2106" s="1920" t="s">
        <v>1514</v>
      </c>
      <c r="E2106" s="1921"/>
      <c r="F2106" s="1922"/>
      <c r="G2106" s="1923" t="s">
        <v>1515</v>
      </c>
      <c r="H2106" s="1924"/>
      <c r="I2106" s="1925"/>
      <c r="J2106" s="1915"/>
      <c r="K2106" s="1915"/>
      <c r="L2106" s="1915"/>
      <c r="M2106" s="1915"/>
      <c r="N2106" s="1915"/>
      <c r="O2106" s="1915"/>
      <c r="P2106" s="353" t="s">
        <v>1516</v>
      </c>
      <c r="Q2106" s="1915"/>
      <c r="R2106" s="1917"/>
      <c r="S2106" s="1915"/>
      <c r="T2106" s="1915"/>
      <c r="U2106" s="1919"/>
      <c r="V2106" s="1418">
        <f t="shared" si="215"/>
        <v>0</v>
      </c>
      <c r="W2106" s="16"/>
      <c r="X2106" s="16"/>
      <c r="Y2106" s="16"/>
      <c r="Z2106" s="17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</row>
    <row r="2107" spans="1:36" s="361" customFormat="1" ht="15" hidden="1">
      <c r="A2107" s="354"/>
      <c r="B2107" s="355"/>
      <c r="C2107" s="32"/>
      <c r="D2107" s="33"/>
      <c r="E2107" s="34"/>
      <c r="F2107" s="35"/>
      <c r="G2107" s="33"/>
      <c r="H2107" s="34"/>
      <c r="I2107" s="35"/>
      <c r="J2107" s="43"/>
      <c r="K2107" s="42"/>
      <c r="L2107" s="39"/>
      <c r="M2107" s="41"/>
      <c r="N2107" s="356"/>
      <c r="O2107" s="40"/>
      <c r="P2107" s="39"/>
      <c r="Q2107" s="45"/>
      <c r="R2107" s="1359"/>
      <c r="S2107" s="1265"/>
      <c r="T2107" s="46"/>
      <c r="U2107" s="44"/>
      <c r="V2107" s="1418">
        <f t="shared" si="215"/>
        <v>0</v>
      </c>
      <c r="W2107" s="357"/>
      <c r="X2107" s="357"/>
      <c r="Y2107" s="357"/>
      <c r="Z2107" s="358"/>
      <c r="AA2107" s="359"/>
      <c r="AB2107" s="360"/>
    </row>
    <row r="2108" spans="1:36" s="361" customFormat="1" ht="15" hidden="1">
      <c r="A2108" s="354"/>
      <c r="B2108" s="355"/>
      <c r="C2108" s="32"/>
      <c r="D2108" s="33"/>
      <c r="E2108" s="34"/>
      <c r="F2108" s="35"/>
      <c r="G2108" s="33"/>
      <c r="H2108" s="34"/>
      <c r="I2108" s="35"/>
      <c r="J2108" s="43"/>
      <c r="K2108" s="42"/>
      <c r="L2108" s="39"/>
      <c r="M2108" s="41"/>
      <c r="N2108" s="356"/>
      <c r="O2108" s="40"/>
      <c r="P2108" s="39"/>
      <c r="Q2108" s="45"/>
      <c r="R2108" s="362"/>
      <c r="S2108" s="363"/>
      <c r="T2108" s="46"/>
      <c r="U2108" s="44"/>
      <c r="V2108" s="1418">
        <f t="shared" si="215"/>
        <v>0</v>
      </c>
      <c r="W2108" s="357"/>
      <c r="X2108" s="357"/>
      <c r="Y2108" s="357"/>
      <c r="Z2108" s="358"/>
      <c r="AA2108" s="359"/>
      <c r="AB2108" s="360"/>
    </row>
    <row r="2109" spans="1:36" s="369" customFormat="1" ht="15" hidden="1">
      <c r="A2109" s="364"/>
      <c r="B2109" s="355"/>
      <c r="C2109" s="32"/>
      <c r="D2109" s="33"/>
      <c r="E2109" s="34"/>
      <c r="F2109" s="35"/>
      <c r="G2109" s="33"/>
      <c r="H2109" s="34"/>
      <c r="I2109" s="35"/>
      <c r="J2109" s="43"/>
      <c r="K2109" s="42"/>
      <c r="L2109" s="39"/>
      <c r="M2109" s="41"/>
      <c r="N2109" s="40"/>
      <c r="O2109" s="40"/>
      <c r="P2109" s="39"/>
      <c r="Q2109" s="38"/>
      <c r="R2109" s="365"/>
      <c r="S2109" s="366"/>
      <c r="T2109" s="46"/>
      <c r="U2109" s="44"/>
      <c r="V2109" s="1418">
        <f t="shared" si="215"/>
        <v>0</v>
      </c>
      <c r="W2109" s="367"/>
      <c r="X2109" s="367"/>
      <c r="Y2109" s="367"/>
      <c r="Z2109" s="368"/>
    </row>
    <row r="2110" spans="1:36" s="77" customFormat="1" ht="15" hidden="1">
      <c r="A2110" s="370"/>
      <c r="B2110" s="29"/>
      <c r="C2110" s="30"/>
      <c r="D2110" s="18"/>
      <c r="E2110" s="19"/>
      <c r="F2110" s="20"/>
      <c r="G2110" s="18"/>
      <c r="H2110" s="19"/>
      <c r="I2110" s="20"/>
      <c r="J2110" s="21"/>
      <c r="K2110" s="22"/>
      <c r="L2110" s="23"/>
      <c r="M2110" s="24"/>
      <c r="N2110" s="25"/>
      <c r="O2110" s="25"/>
      <c r="P2110" s="23"/>
      <c r="Q2110" s="26"/>
      <c r="R2110" s="371"/>
      <c r="S2110" s="27"/>
      <c r="T2110" s="372"/>
      <c r="U2110" s="31"/>
      <c r="V2110" s="1418">
        <f t="shared" si="215"/>
        <v>0</v>
      </c>
      <c r="AB2110" s="15"/>
    </row>
    <row r="2111" spans="1:36" s="77" customFormat="1" ht="15.6" hidden="1">
      <c r="A2111" s="370"/>
      <c r="B2111" s="499"/>
      <c r="C2111" s="37"/>
      <c r="D2111" s="1929" t="s">
        <v>1520</v>
      </c>
      <c r="E2111" s="1930"/>
      <c r="F2111" s="1930"/>
      <c r="G2111" s="1930"/>
      <c r="H2111" s="1930"/>
      <c r="I2111" s="1931"/>
      <c r="J2111" s="1932">
        <f>VLOOKUP(A2113,'11 - FINANCEIRA'!_xlnm.Print_Area,6,FALSE)</f>
        <v>348</v>
      </c>
      <c r="K2111" s="1933"/>
      <c r="L2111" s="1343" t="str">
        <f>VLOOKUP(A2113,'11 - FINANCEIRA'!_xlnm.Print_Area,4,FALSE)</f>
        <v>m²</v>
      </c>
      <c r="M2111" s="1934" t="s">
        <v>1521</v>
      </c>
      <c r="N2111" s="1935"/>
      <c r="O2111" s="1935"/>
      <c r="P2111" s="1935"/>
      <c r="Q2111" s="1936"/>
      <c r="R2111" s="726">
        <f>SUM(R2107:R2110)</f>
        <v>0</v>
      </c>
      <c r="S2111" s="1344" t="str">
        <f>L2111</f>
        <v>m²</v>
      </c>
      <c r="T2111" s="373"/>
      <c r="U2111" s="486"/>
      <c r="V2111" s="1418">
        <f t="shared" si="215"/>
        <v>0</v>
      </c>
      <c r="AB2111" s="15"/>
    </row>
    <row r="2112" spans="1:36" s="77" customFormat="1" ht="15.6" hidden="1">
      <c r="A2112" s="370"/>
      <c r="B2112" s="499"/>
      <c r="C2112" s="725"/>
      <c r="D2112" s="1937" t="s">
        <v>1522</v>
      </c>
      <c r="E2112" s="1938"/>
      <c r="F2112" s="1938"/>
      <c r="G2112" s="1938"/>
      <c r="H2112" s="1938"/>
      <c r="I2112" s="1939"/>
      <c r="J2112" s="1943">
        <f>R2111/J2111</f>
        <v>0</v>
      </c>
      <c r="K2112" s="1944"/>
      <c r="L2112" s="1947"/>
      <c r="M2112" s="1934" t="s">
        <v>1523</v>
      </c>
      <c r="N2112" s="1935"/>
      <c r="O2112" s="1935"/>
      <c r="P2112" s="1935"/>
      <c r="Q2112" s="1936"/>
      <c r="R2112" s="726">
        <f>VLOOKUP(A2113,'11 - FINANCEIRA'!_xlnm.Print_Area,8,FALSE)</f>
        <v>0</v>
      </c>
      <c r="S2112" s="727" t="str">
        <f>L2111</f>
        <v>m²</v>
      </c>
      <c r="T2112" s="373"/>
      <c r="U2112" s="486"/>
      <c r="V2112" s="1418">
        <f t="shared" si="215"/>
        <v>0</v>
      </c>
      <c r="AB2112" s="15"/>
    </row>
    <row r="2113" spans="1:36" s="77" customFormat="1" ht="15.6" hidden="1">
      <c r="A2113" s="364" t="s">
        <v>512</v>
      </c>
      <c r="B2113" s="499"/>
      <c r="C2113" s="37"/>
      <c r="D2113" s="2013"/>
      <c r="E2113" s="2014"/>
      <c r="F2113" s="2014"/>
      <c r="G2113" s="2014"/>
      <c r="H2113" s="2014"/>
      <c r="I2113" s="2015"/>
      <c r="J2113" s="2016"/>
      <c r="K2113" s="2017"/>
      <c r="L2113" s="1962"/>
      <c r="M2113" s="2007" t="s">
        <v>1524</v>
      </c>
      <c r="N2113" s="2008"/>
      <c r="O2113" s="2008"/>
      <c r="P2113" s="2008"/>
      <c r="Q2113" s="2009"/>
      <c r="R2113" s="1345">
        <f>R2111-R2112</f>
        <v>0</v>
      </c>
      <c r="S2113" s="1346" t="str">
        <f>L2111</f>
        <v>m²</v>
      </c>
      <c r="T2113" s="373"/>
      <c r="U2113" s="486"/>
      <c r="V2113" s="1418">
        <f>R2113</f>
        <v>0</v>
      </c>
      <c r="AB2113" s="15"/>
    </row>
    <row r="2114" spans="1:36" s="77" customFormat="1" ht="15.6" hidden="1">
      <c r="A2114" s="370"/>
      <c r="B2114" s="1347"/>
      <c r="C2114" s="1348"/>
      <c r="D2114" s="1349"/>
      <c r="E2114" s="1350"/>
      <c r="F2114" s="1349"/>
      <c r="G2114" s="1349"/>
      <c r="H2114" s="1349"/>
      <c r="I2114" s="1349"/>
      <c r="J2114" s="1351"/>
      <c r="K2114" s="1352"/>
      <c r="L2114" s="1353"/>
      <c r="M2114" s="1354"/>
      <c r="N2114" s="1354"/>
      <c r="O2114" s="1354"/>
      <c r="P2114" s="1354"/>
      <c r="Q2114" s="1354"/>
      <c r="R2114" s="1355"/>
      <c r="S2114" s="1356"/>
      <c r="T2114" s="1357"/>
      <c r="U2114" s="1358"/>
      <c r="V2114" s="1420">
        <f>SUM(V2105:V2113)</f>
        <v>0</v>
      </c>
      <c r="AB2114" s="15"/>
    </row>
    <row r="2115" spans="1:36" s="352" customFormat="1" ht="15.6" hidden="1">
      <c r="A2115" s="351"/>
      <c r="B2115" s="1963" t="str">
        <f>VLOOKUP(A2123,'11 - FINANCEIRA'!_xlnm.Print_Area,1,FALSE)</f>
        <v>2.3.11.3</v>
      </c>
      <c r="C2115" s="1965" t="str">
        <f>VLOOKUP(A2123,'11 - FINANCEIRA'!_xlnm.Print_Area,3,FALSE)</f>
        <v>Concertina clipada (dupla) em aco galvanizado de alta resistencia, com espiral de 300 mm, d = 2,76 mm</v>
      </c>
      <c r="D2115" s="1967" t="s">
        <v>1503</v>
      </c>
      <c r="E2115" s="1968"/>
      <c r="F2115" s="1968"/>
      <c r="G2115" s="1968"/>
      <c r="H2115" s="1968"/>
      <c r="I2115" s="1969"/>
      <c r="J2115" s="1914" t="s">
        <v>1504</v>
      </c>
      <c r="K2115" s="1914" t="s">
        <v>1505</v>
      </c>
      <c r="L2115" s="1914" t="s">
        <v>1506</v>
      </c>
      <c r="M2115" s="1914" t="s">
        <v>1507</v>
      </c>
      <c r="N2115" s="1914" t="s">
        <v>1508</v>
      </c>
      <c r="O2115" s="1914" t="s">
        <v>1509</v>
      </c>
      <c r="P2115" s="1341" t="s">
        <v>1510</v>
      </c>
      <c r="Q2115" s="1914" t="s">
        <v>1493</v>
      </c>
      <c r="R2115" s="1916" t="s">
        <v>804</v>
      </c>
      <c r="S2115" s="1914" t="s">
        <v>1511</v>
      </c>
      <c r="T2115" s="1914" t="s">
        <v>1512</v>
      </c>
      <c r="U2115" s="1918" t="s">
        <v>1513</v>
      </c>
      <c r="V2115" s="1418">
        <f t="shared" ref="V2115:V2122" si="216">V2116</f>
        <v>0</v>
      </c>
      <c r="W2115" s="16"/>
      <c r="X2115" s="16"/>
      <c r="Y2115" s="16"/>
      <c r="Z2115" s="17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</row>
    <row r="2116" spans="1:36" s="352" customFormat="1" ht="15.6" hidden="1">
      <c r="A2116" s="351"/>
      <c r="B2116" s="1964" t="e">
        <f>LEFT(#REF!,5)</f>
        <v>#REF!</v>
      </c>
      <c r="C2116" s="1966" t="e">
        <f>VLOOKUP(LEFT(#REF!,5),'11 - FINANCEIRA'!_xlnm.Print_Area,2,FALSE)</f>
        <v>#REF!</v>
      </c>
      <c r="D2116" s="1920" t="s">
        <v>1514</v>
      </c>
      <c r="E2116" s="1921"/>
      <c r="F2116" s="1922"/>
      <c r="G2116" s="1923" t="s">
        <v>1515</v>
      </c>
      <c r="H2116" s="1924"/>
      <c r="I2116" s="1925"/>
      <c r="J2116" s="1915"/>
      <c r="K2116" s="1915"/>
      <c r="L2116" s="1915"/>
      <c r="M2116" s="1915"/>
      <c r="N2116" s="1915"/>
      <c r="O2116" s="1915"/>
      <c r="P2116" s="353" t="s">
        <v>1516</v>
      </c>
      <c r="Q2116" s="1915"/>
      <c r="R2116" s="1917"/>
      <c r="S2116" s="1915"/>
      <c r="T2116" s="1915"/>
      <c r="U2116" s="1919"/>
      <c r="V2116" s="1418">
        <f t="shared" si="216"/>
        <v>0</v>
      </c>
      <c r="W2116" s="16"/>
      <c r="X2116" s="16"/>
      <c r="Y2116" s="16"/>
      <c r="Z2116" s="17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</row>
    <row r="2117" spans="1:36" s="361" customFormat="1" ht="30" hidden="1">
      <c r="A2117" s="354"/>
      <c r="B2117" s="355"/>
      <c r="C2117" s="32" t="s">
        <v>1047</v>
      </c>
      <c r="D2117" s="33"/>
      <c r="E2117" s="34"/>
      <c r="F2117" s="35"/>
      <c r="G2117" s="33"/>
      <c r="H2117" s="34"/>
      <c r="I2117" s="35"/>
      <c r="J2117" s="43"/>
      <c r="K2117" s="42"/>
      <c r="L2117" s="39"/>
      <c r="M2117" s="41"/>
      <c r="N2117" s="356"/>
      <c r="O2117" s="40"/>
      <c r="P2117" s="39"/>
      <c r="Q2117" s="45"/>
      <c r="R2117" s="1359">
        <v>229</v>
      </c>
      <c r="S2117" s="1265" t="s">
        <v>809</v>
      </c>
      <c r="T2117" s="46" t="s">
        <v>330</v>
      </c>
      <c r="U2117" s="44"/>
      <c r="V2117" s="1418">
        <f t="shared" si="216"/>
        <v>0</v>
      </c>
      <c r="W2117" s="357"/>
      <c r="X2117" s="357"/>
      <c r="Y2117" s="357"/>
      <c r="Z2117" s="358"/>
      <c r="AA2117" s="359"/>
      <c r="AB2117" s="360"/>
    </row>
    <row r="2118" spans="1:36" s="361" customFormat="1" ht="15" hidden="1" customHeight="1">
      <c r="A2118" s="354"/>
      <c r="B2118" s="355"/>
      <c r="C2118" s="32"/>
      <c r="D2118" s="33"/>
      <c r="E2118" s="34"/>
      <c r="F2118" s="35"/>
      <c r="G2118" s="33"/>
      <c r="H2118" s="34"/>
      <c r="I2118" s="35"/>
      <c r="J2118" s="43"/>
      <c r="K2118" s="42"/>
      <c r="L2118" s="39"/>
      <c r="M2118" s="41"/>
      <c r="N2118" s="356"/>
      <c r="O2118" s="40"/>
      <c r="P2118" s="39"/>
      <c r="Q2118" s="45"/>
      <c r="R2118" s="362"/>
      <c r="S2118" s="363"/>
      <c r="T2118" s="46"/>
      <c r="U2118" s="44"/>
      <c r="V2118" s="1418">
        <f t="shared" si="216"/>
        <v>0</v>
      </c>
      <c r="W2118" s="357"/>
      <c r="X2118" s="357"/>
      <c r="Y2118" s="357"/>
      <c r="Z2118" s="358"/>
      <c r="AA2118" s="359"/>
      <c r="AB2118" s="360"/>
    </row>
    <row r="2119" spans="1:36" s="369" customFormat="1" ht="15" hidden="1">
      <c r="A2119" s="364"/>
      <c r="B2119" s="355"/>
      <c r="C2119" s="32"/>
      <c r="D2119" s="33"/>
      <c r="E2119" s="34"/>
      <c r="F2119" s="35"/>
      <c r="G2119" s="33"/>
      <c r="H2119" s="34"/>
      <c r="I2119" s="35"/>
      <c r="J2119" s="43"/>
      <c r="K2119" s="42"/>
      <c r="L2119" s="39"/>
      <c r="M2119" s="41"/>
      <c r="N2119" s="40"/>
      <c r="O2119" s="40"/>
      <c r="P2119" s="39"/>
      <c r="Q2119" s="38"/>
      <c r="R2119" s="365"/>
      <c r="S2119" s="366"/>
      <c r="T2119" s="46"/>
      <c r="U2119" s="44"/>
      <c r="V2119" s="1418">
        <f t="shared" si="216"/>
        <v>0</v>
      </c>
      <c r="W2119" s="367"/>
      <c r="X2119" s="367"/>
      <c r="Y2119" s="367"/>
      <c r="Z2119" s="368"/>
    </row>
    <row r="2120" spans="1:36" s="77" customFormat="1" ht="15" hidden="1">
      <c r="A2120" s="370"/>
      <c r="B2120" s="29"/>
      <c r="C2120" s="30"/>
      <c r="D2120" s="18"/>
      <c r="E2120" s="19"/>
      <c r="F2120" s="20"/>
      <c r="G2120" s="18"/>
      <c r="H2120" s="19"/>
      <c r="I2120" s="20"/>
      <c r="J2120" s="21"/>
      <c r="K2120" s="22"/>
      <c r="L2120" s="23"/>
      <c r="M2120" s="24"/>
      <c r="N2120" s="25"/>
      <c r="O2120" s="25"/>
      <c r="P2120" s="23"/>
      <c r="Q2120" s="26"/>
      <c r="R2120" s="371"/>
      <c r="S2120" s="27"/>
      <c r="T2120" s="372"/>
      <c r="U2120" s="31"/>
      <c r="V2120" s="1418">
        <f t="shared" si="216"/>
        <v>0</v>
      </c>
      <c r="AB2120" s="15"/>
    </row>
    <row r="2121" spans="1:36" s="77" customFormat="1" ht="15.6" hidden="1">
      <c r="A2121" s="370"/>
      <c r="B2121" s="499"/>
      <c r="C2121" s="37"/>
      <c r="D2121" s="1929" t="s">
        <v>1520</v>
      </c>
      <c r="E2121" s="1930"/>
      <c r="F2121" s="1930"/>
      <c r="G2121" s="1930"/>
      <c r="H2121" s="1930"/>
      <c r="I2121" s="1931"/>
      <c r="J2121" s="1932">
        <f>VLOOKUP(A2123,'11 - FINANCEIRA'!_xlnm.Print_Area,6,FALSE)</f>
        <v>229</v>
      </c>
      <c r="K2121" s="1933"/>
      <c r="L2121" s="1343" t="str">
        <f>VLOOKUP(A2123,'11 - FINANCEIRA'!_xlnm.Print_Area,4,FALSE)</f>
        <v>m</v>
      </c>
      <c r="M2121" s="1934" t="s">
        <v>1521</v>
      </c>
      <c r="N2121" s="1935"/>
      <c r="O2121" s="1935"/>
      <c r="P2121" s="1935"/>
      <c r="Q2121" s="1936"/>
      <c r="R2121" s="726">
        <f>SUM(R2117:R2120)</f>
        <v>229</v>
      </c>
      <c r="S2121" s="1344" t="str">
        <f>L2121</f>
        <v>m</v>
      </c>
      <c r="T2121" s="373"/>
      <c r="U2121" s="486"/>
      <c r="V2121" s="1418">
        <f t="shared" si="216"/>
        <v>0</v>
      </c>
      <c r="AB2121" s="15"/>
    </row>
    <row r="2122" spans="1:36" s="77" customFormat="1" ht="15.6" hidden="1">
      <c r="A2122" s="370"/>
      <c r="B2122" s="499"/>
      <c r="C2122" s="725"/>
      <c r="D2122" s="1937" t="s">
        <v>1522</v>
      </c>
      <c r="E2122" s="1938"/>
      <c r="F2122" s="1938"/>
      <c r="G2122" s="1938"/>
      <c r="H2122" s="1938"/>
      <c r="I2122" s="1939"/>
      <c r="J2122" s="1943">
        <f>R2121/J2121</f>
        <v>1</v>
      </c>
      <c r="K2122" s="1944"/>
      <c r="L2122" s="1947"/>
      <c r="M2122" s="1934" t="s">
        <v>1523</v>
      </c>
      <c r="N2122" s="1935"/>
      <c r="O2122" s="1935"/>
      <c r="P2122" s="1935"/>
      <c r="Q2122" s="1936"/>
      <c r="R2122" s="726">
        <f>VLOOKUP(A2123,'11 - FINANCEIRA'!_xlnm.Print_Area,8,FALSE)</f>
        <v>229</v>
      </c>
      <c r="S2122" s="727" t="str">
        <f>L2121</f>
        <v>m</v>
      </c>
      <c r="T2122" s="373"/>
      <c r="U2122" s="486"/>
      <c r="V2122" s="1418">
        <f t="shared" si="216"/>
        <v>0</v>
      </c>
      <c r="AB2122" s="15"/>
    </row>
    <row r="2123" spans="1:36" s="77" customFormat="1" ht="15.6" hidden="1">
      <c r="A2123" s="364" t="s">
        <v>513</v>
      </c>
      <c r="B2123" s="499"/>
      <c r="C2123" s="37"/>
      <c r="D2123" s="2013"/>
      <c r="E2123" s="2014"/>
      <c r="F2123" s="2014"/>
      <c r="G2123" s="2014"/>
      <c r="H2123" s="2014"/>
      <c r="I2123" s="2015"/>
      <c r="J2123" s="2016"/>
      <c r="K2123" s="2017"/>
      <c r="L2123" s="1962"/>
      <c r="M2123" s="2007" t="s">
        <v>1524</v>
      </c>
      <c r="N2123" s="2008"/>
      <c r="O2123" s="2008"/>
      <c r="P2123" s="2008"/>
      <c r="Q2123" s="2009"/>
      <c r="R2123" s="1345">
        <f>R2121-R2122</f>
        <v>0</v>
      </c>
      <c r="S2123" s="1346" t="str">
        <f>L2121</f>
        <v>m</v>
      </c>
      <c r="T2123" s="373"/>
      <c r="U2123" s="486"/>
      <c r="V2123" s="1418">
        <f>R2123</f>
        <v>0</v>
      </c>
      <c r="AB2123" s="15"/>
    </row>
    <row r="2124" spans="1:36" s="77" customFormat="1" ht="15.6" hidden="1">
      <c r="A2124" s="370"/>
      <c r="B2124" s="1347"/>
      <c r="C2124" s="1348"/>
      <c r="D2124" s="1349"/>
      <c r="E2124" s="1350"/>
      <c r="F2124" s="1349"/>
      <c r="G2124" s="1349"/>
      <c r="H2124" s="1349"/>
      <c r="I2124" s="1349"/>
      <c r="J2124" s="1351"/>
      <c r="K2124" s="1352"/>
      <c r="L2124" s="1353"/>
      <c r="M2124" s="1354"/>
      <c r="N2124" s="1354"/>
      <c r="O2124" s="1354"/>
      <c r="P2124" s="1354"/>
      <c r="Q2124" s="1354"/>
      <c r="R2124" s="1355"/>
      <c r="S2124" s="1356"/>
      <c r="T2124" s="1357"/>
      <c r="U2124" s="1358"/>
      <c r="V2124" s="1420">
        <f>SUM(V2115:V2123)</f>
        <v>0</v>
      </c>
      <c r="AB2124" s="15"/>
    </row>
    <row r="2125" spans="1:36" s="352" customFormat="1" ht="15.6" hidden="1">
      <c r="A2125" s="351"/>
      <c r="B2125" s="1963" t="str">
        <f>VLOOKUP(A2133,'11 - FINANCEIRA'!_xlnm.Print_Area,1,FALSE)</f>
        <v>2.3.11.4</v>
      </c>
      <c r="C2125" s="1965" t="str">
        <f>VLOOKUP(A2133,'11 - FINANCEIRA'!_xlnm.Print_Area,3,FALSE)</f>
        <v>Alambrado estruturado por tubos de aco galvanizado, com costura, din 2440, diametro 2", com tela de arame galvanizado, fio 14 bwg e malha quadrada 5x5cm</v>
      </c>
      <c r="D2125" s="1967" t="s">
        <v>1503</v>
      </c>
      <c r="E2125" s="1968"/>
      <c r="F2125" s="1968"/>
      <c r="G2125" s="1968"/>
      <c r="H2125" s="1968"/>
      <c r="I2125" s="1969"/>
      <c r="J2125" s="1914" t="s">
        <v>1504</v>
      </c>
      <c r="K2125" s="1914" t="s">
        <v>1505</v>
      </c>
      <c r="L2125" s="1914" t="s">
        <v>1506</v>
      </c>
      <c r="M2125" s="1914" t="s">
        <v>1507</v>
      </c>
      <c r="N2125" s="1914" t="s">
        <v>1508</v>
      </c>
      <c r="O2125" s="1914" t="s">
        <v>1509</v>
      </c>
      <c r="P2125" s="1341" t="s">
        <v>1510</v>
      </c>
      <c r="Q2125" s="1914" t="s">
        <v>1493</v>
      </c>
      <c r="R2125" s="1916" t="s">
        <v>804</v>
      </c>
      <c r="S2125" s="1914" t="s">
        <v>1511</v>
      </c>
      <c r="T2125" s="1914" t="s">
        <v>1512</v>
      </c>
      <c r="U2125" s="1918" t="s">
        <v>1513</v>
      </c>
      <c r="V2125" s="1418">
        <f t="shared" ref="V2125:V2132" si="217">V2126</f>
        <v>0</v>
      </c>
      <c r="W2125" s="16"/>
      <c r="X2125" s="16"/>
      <c r="Y2125" s="16"/>
      <c r="Z2125" s="17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</row>
    <row r="2126" spans="1:36" s="352" customFormat="1" ht="15.6" hidden="1">
      <c r="A2126" s="351"/>
      <c r="B2126" s="1964" t="e">
        <f>LEFT(#REF!,5)</f>
        <v>#REF!</v>
      </c>
      <c r="C2126" s="1966" t="e">
        <f>VLOOKUP(LEFT(#REF!,5),'11 - FINANCEIRA'!_xlnm.Print_Area,2,FALSE)</f>
        <v>#REF!</v>
      </c>
      <c r="D2126" s="1920" t="s">
        <v>1514</v>
      </c>
      <c r="E2126" s="1921"/>
      <c r="F2126" s="1922"/>
      <c r="G2126" s="1923" t="s">
        <v>1515</v>
      </c>
      <c r="H2126" s="1924"/>
      <c r="I2126" s="1925"/>
      <c r="J2126" s="1915"/>
      <c r="K2126" s="1915"/>
      <c r="L2126" s="1915"/>
      <c r="M2126" s="1915"/>
      <c r="N2126" s="1915"/>
      <c r="O2126" s="1915"/>
      <c r="P2126" s="353" t="s">
        <v>1516</v>
      </c>
      <c r="Q2126" s="1915"/>
      <c r="R2126" s="1917"/>
      <c r="S2126" s="1915"/>
      <c r="T2126" s="1915"/>
      <c r="U2126" s="1919"/>
      <c r="V2126" s="1418">
        <f t="shared" si="217"/>
        <v>0</v>
      </c>
      <c r="W2126" s="16"/>
      <c r="X2126" s="16"/>
      <c r="Y2126" s="16"/>
      <c r="Z2126" s="17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</row>
    <row r="2127" spans="1:36" s="361" customFormat="1" ht="30" hidden="1">
      <c r="A2127" s="354"/>
      <c r="B2127" s="355"/>
      <c r="C2127" s="28" t="s">
        <v>172</v>
      </c>
      <c r="D2127" s="18"/>
      <c r="E2127" s="19"/>
      <c r="F2127" s="20"/>
      <c r="G2127" s="18"/>
      <c r="H2127" s="19"/>
      <c r="I2127" s="20"/>
      <c r="J2127" s="21"/>
      <c r="K2127" s="22"/>
      <c r="L2127" s="23"/>
      <c r="M2127" s="24"/>
      <c r="N2127" s="728"/>
      <c r="O2127" s="25"/>
      <c r="P2127" s="23"/>
      <c r="Q2127" s="729"/>
      <c r="R2127" s="1109">
        <v>135.46</v>
      </c>
      <c r="S2127" s="730" t="s">
        <v>821</v>
      </c>
      <c r="T2127" s="446" t="s">
        <v>327</v>
      </c>
      <c r="U2127" s="44"/>
      <c r="V2127" s="1418">
        <f t="shared" si="217"/>
        <v>0</v>
      </c>
      <c r="W2127" s="357"/>
      <c r="X2127" s="357"/>
      <c r="Y2127" s="357"/>
      <c r="Z2127" s="358"/>
      <c r="AA2127" s="359"/>
      <c r="AB2127" s="360"/>
    </row>
    <row r="2128" spans="1:36" s="361" customFormat="1" ht="30" hidden="1">
      <c r="A2128" s="354"/>
      <c r="B2128" s="355"/>
      <c r="C2128" s="32" t="s">
        <v>172</v>
      </c>
      <c r="D2128" s="33"/>
      <c r="E2128" s="34"/>
      <c r="F2128" s="35"/>
      <c r="G2128" s="33"/>
      <c r="H2128" s="34"/>
      <c r="I2128" s="35"/>
      <c r="J2128" s="43"/>
      <c r="K2128" s="42"/>
      <c r="L2128" s="39"/>
      <c r="M2128" s="41"/>
      <c r="N2128" s="356"/>
      <c r="O2128" s="40"/>
      <c r="P2128" s="39"/>
      <c r="Q2128" s="45"/>
      <c r="R2128" s="362">
        <v>46.539999999999992</v>
      </c>
      <c r="S2128" s="363" t="s">
        <v>821</v>
      </c>
      <c r="T2128" s="46" t="s">
        <v>330</v>
      </c>
      <c r="U2128" s="44"/>
      <c r="V2128" s="1418">
        <f t="shared" si="217"/>
        <v>0</v>
      </c>
      <c r="W2128" s="357"/>
      <c r="X2128" s="357"/>
      <c r="Y2128" s="357"/>
      <c r="Z2128" s="358"/>
      <c r="AA2128" s="359"/>
      <c r="AB2128" s="360"/>
    </row>
    <row r="2129" spans="1:36" s="369" customFormat="1" ht="15" hidden="1">
      <c r="A2129" s="364"/>
      <c r="B2129" s="355"/>
      <c r="C2129" s="32"/>
      <c r="D2129" s="33"/>
      <c r="E2129" s="34"/>
      <c r="F2129" s="35"/>
      <c r="G2129" s="33"/>
      <c r="H2129" s="34"/>
      <c r="I2129" s="35"/>
      <c r="J2129" s="43"/>
      <c r="K2129" s="42"/>
      <c r="L2129" s="39"/>
      <c r="M2129" s="41"/>
      <c r="N2129" s="40"/>
      <c r="O2129" s="40"/>
      <c r="P2129" s="39"/>
      <c r="Q2129" s="38"/>
      <c r="R2129" s="365"/>
      <c r="S2129" s="366"/>
      <c r="T2129" s="46"/>
      <c r="U2129" s="44"/>
      <c r="V2129" s="1418">
        <f t="shared" si="217"/>
        <v>0</v>
      </c>
      <c r="W2129" s="367"/>
      <c r="X2129" s="367"/>
      <c r="Y2129" s="367"/>
      <c r="Z2129" s="368"/>
    </row>
    <row r="2130" spans="1:36" s="77" customFormat="1" ht="15" hidden="1">
      <c r="A2130" s="370"/>
      <c r="B2130" s="29"/>
      <c r="C2130" s="30"/>
      <c r="D2130" s="18"/>
      <c r="E2130" s="19"/>
      <c r="F2130" s="20"/>
      <c r="G2130" s="18"/>
      <c r="H2130" s="19"/>
      <c r="I2130" s="20"/>
      <c r="J2130" s="21"/>
      <c r="K2130" s="22"/>
      <c r="L2130" s="23"/>
      <c r="M2130" s="24"/>
      <c r="N2130" s="25"/>
      <c r="O2130" s="25"/>
      <c r="P2130" s="23"/>
      <c r="Q2130" s="26"/>
      <c r="R2130" s="371"/>
      <c r="S2130" s="27"/>
      <c r="T2130" s="372"/>
      <c r="U2130" s="31"/>
      <c r="V2130" s="1418">
        <f t="shared" si="217"/>
        <v>0</v>
      </c>
      <c r="AB2130" s="15"/>
    </row>
    <row r="2131" spans="1:36" s="77" customFormat="1" ht="15.6" hidden="1">
      <c r="A2131" s="370"/>
      <c r="B2131" s="499"/>
      <c r="C2131" s="37"/>
      <c r="D2131" s="1929" t="s">
        <v>1520</v>
      </c>
      <c r="E2131" s="1930"/>
      <c r="F2131" s="1930"/>
      <c r="G2131" s="1930"/>
      <c r="H2131" s="1930"/>
      <c r="I2131" s="1931"/>
      <c r="J2131" s="1932">
        <f>VLOOKUP(A2133,'11 - FINANCEIRA'!_xlnm.Print_Area,6,FALSE)</f>
        <v>182</v>
      </c>
      <c r="K2131" s="1933"/>
      <c r="L2131" s="1343" t="str">
        <f>VLOOKUP(A2133,'11 - FINANCEIRA'!_xlnm.Print_Area,4,FALSE)</f>
        <v>m²</v>
      </c>
      <c r="M2131" s="1934" t="s">
        <v>1521</v>
      </c>
      <c r="N2131" s="1935"/>
      <c r="O2131" s="1935"/>
      <c r="P2131" s="1935"/>
      <c r="Q2131" s="1936"/>
      <c r="R2131" s="726">
        <f>SUM(R2127:R2130)</f>
        <v>182</v>
      </c>
      <c r="S2131" s="1344" t="str">
        <f>L2131</f>
        <v>m²</v>
      </c>
      <c r="T2131" s="373"/>
      <c r="U2131" s="486"/>
      <c r="V2131" s="1418">
        <f t="shared" si="217"/>
        <v>0</v>
      </c>
      <c r="AB2131" s="15"/>
    </row>
    <row r="2132" spans="1:36" s="77" customFormat="1" ht="15.6" hidden="1">
      <c r="A2132" s="370"/>
      <c r="B2132" s="499"/>
      <c r="C2132" s="725"/>
      <c r="D2132" s="1937" t="s">
        <v>1522</v>
      </c>
      <c r="E2132" s="1938"/>
      <c r="F2132" s="1938"/>
      <c r="G2132" s="1938"/>
      <c r="H2132" s="1938"/>
      <c r="I2132" s="1939"/>
      <c r="J2132" s="1943">
        <f>R2131/J2131</f>
        <v>1</v>
      </c>
      <c r="K2132" s="1944"/>
      <c r="L2132" s="1947"/>
      <c r="M2132" s="1934" t="s">
        <v>1523</v>
      </c>
      <c r="N2132" s="1935"/>
      <c r="O2132" s="1935"/>
      <c r="P2132" s="1935"/>
      <c r="Q2132" s="1936"/>
      <c r="R2132" s="726">
        <f>VLOOKUP(A2133,'11 - FINANCEIRA'!_xlnm.Print_Area,8,FALSE)</f>
        <v>182</v>
      </c>
      <c r="S2132" s="727" t="str">
        <f>L2131</f>
        <v>m²</v>
      </c>
      <c r="T2132" s="373"/>
      <c r="U2132" s="486"/>
      <c r="V2132" s="1418">
        <f t="shared" si="217"/>
        <v>0</v>
      </c>
      <c r="AB2132" s="15"/>
    </row>
    <row r="2133" spans="1:36" s="77" customFormat="1" ht="15.6" hidden="1">
      <c r="A2133" s="364" t="s">
        <v>514</v>
      </c>
      <c r="B2133" s="499"/>
      <c r="C2133" s="37"/>
      <c r="D2133" s="2013"/>
      <c r="E2133" s="2014"/>
      <c r="F2133" s="2014"/>
      <c r="G2133" s="2014"/>
      <c r="H2133" s="2014"/>
      <c r="I2133" s="2015"/>
      <c r="J2133" s="2016"/>
      <c r="K2133" s="2017"/>
      <c r="L2133" s="1962"/>
      <c r="M2133" s="2007" t="s">
        <v>1524</v>
      </c>
      <c r="N2133" s="2008"/>
      <c r="O2133" s="2008"/>
      <c r="P2133" s="2008"/>
      <c r="Q2133" s="2009"/>
      <c r="R2133" s="1345">
        <f>R2131-R2132</f>
        <v>0</v>
      </c>
      <c r="S2133" s="1346" t="str">
        <f>L2131</f>
        <v>m²</v>
      </c>
      <c r="T2133" s="373"/>
      <c r="U2133" s="486"/>
      <c r="V2133" s="1418">
        <f>R2133</f>
        <v>0</v>
      </c>
      <c r="AB2133" s="15"/>
    </row>
    <row r="2134" spans="1:36" s="77" customFormat="1" ht="15.6" hidden="1">
      <c r="A2134" s="370"/>
      <c r="B2134" s="1347"/>
      <c r="C2134" s="1348"/>
      <c r="D2134" s="1349"/>
      <c r="E2134" s="1350"/>
      <c r="F2134" s="1349"/>
      <c r="G2134" s="1349"/>
      <c r="H2134" s="1349"/>
      <c r="I2134" s="1349"/>
      <c r="J2134" s="1351"/>
      <c r="K2134" s="1352"/>
      <c r="L2134" s="1353"/>
      <c r="M2134" s="1354"/>
      <c r="N2134" s="1354"/>
      <c r="O2134" s="1354"/>
      <c r="P2134" s="1354"/>
      <c r="Q2134" s="1354"/>
      <c r="R2134" s="1355"/>
      <c r="S2134" s="1356"/>
      <c r="T2134" s="1357"/>
      <c r="U2134" s="1358"/>
      <c r="V2134" s="1420">
        <f>SUM(V2125:V2133)</f>
        <v>0</v>
      </c>
      <c r="AB2134" s="15"/>
    </row>
    <row r="2135" spans="1:36" s="352" customFormat="1" ht="15.6" hidden="1">
      <c r="A2135" s="351"/>
      <c r="B2135" s="1963" t="str">
        <f>VLOOKUP(A2143,'11 - FINANCEIRA'!_xlnm.Print_Area,1,FALSE)</f>
        <v>2.3.11.5</v>
      </c>
      <c r="C2135" s="1965" t="str">
        <f>VLOOKUP(A2143,'11 - FINANCEIRA'!_xlnm.Print_Area,3,FALSE)</f>
        <v>Corrimão simples, diâmetro externo = 1 1/2", em aço galvanizado. af_04/2019_p</v>
      </c>
      <c r="D2135" s="1967" t="s">
        <v>1503</v>
      </c>
      <c r="E2135" s="1968"/>
      <c r="F2135" s="1968"/>
      <c r="G2135" s="1968"/>
      <c r="H2135" s="1968"/>
      <c r="I2135" s="1969"/>
      <c r="J2135" s="1914" t="s">
        <v>1504</v>
      </c>
      <c r="K2135" s="1914" t="s">
        <v>1505</v>
      </c>
      <c r="L2135" s="1914" t="s">
        <v>1506</v>
      </c>
      <c r="M2135" s="1914" t="s">
        <v>1507</v>
      </c>
      <c r="N2135" s="1914" t="s">
        <v>1508</v>
      </c>
      <c r="O2135" s="1914" t="s">
        <v>1509</v>
      </c>
      <c r="P2135" s="1341" t="s">
        <v>1510</v>
      </c>
      <c r="Q2135" s="1914" t="s">
        <v>1493</v>
      </c>
      <c r="R2135" s="1916" t="s">
        <v>804</v>
      </c>
      <c r="S2135" s="1914" t="s">
        <v>1511</v>
      </c>
      <c r="T2135" s="1914" t="s">
        <v>1512</v>
      </c>
      <c r="U2135" s="1918" t="s">
        <v>1513</v>
      </c>
      <c r="V2135" s="1418">
        <f t="shared" ref="V2135:V2142" si="218">V2136</f>
        <v>0</v>
      </c>
      <c r="W2135" s="16"/>
      <c r="X2135" s="16"/>
      <c r="Y2135" s="16"/>
      <c r="Z2135" s="17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</row>
    <row r="2136" spans="1:36" s="352" customFormat="1" ht="15.6" hidden="1">
      <c r="A2136" s="351"/>
      <c r="B2136" s="1964" t="e">
        <f>LEFT(#REF!,5)</f>
        <v>#REF!</v>
      </c>
      <c r="C2136" s="1966" t="e">
        <f>VLOOKUP(LEFT(#REF!,5),'11 - FINANCEIRA'!_xlnm.Print_Area,2,FALSE)</f>
        <v>#REF!</v>
      </c>
      <c r="D2136" s="1920" t="s">
        <v>1514</v>
      </c>
      <c r="E2136" s="1921"/>
      <c r="F2136" s="1922"/>
      <c r="G2136" s="1923" t="s">
        <v>1515</v>
      </c>
      <c r="H2136" s="1924"/>
      <c r="I2136" s="1925"/>
      <c r="J2136" s="1915"/>
      <c r="K2136" s="1915"/>
      <c r="L2136" s="1915"/>
      <c r="M2136" s="1915"/>
      <c r="N2136" s="1915"/>
      <c r="O2136" s="1915"/>
      <c r="P2136" s="353" t="s">
        <v>1516</v>
      </c>
      <c r="Q2136" s="1915"/>
      <c r="R2136" s="1917"/>
      <c r="S2136" s="1915"/>
      <c r="T2136" s="1915"/>
      <c r="U2136" s="1919"/>
      <c r="V2136" s="1418">
        <f t="shared" si="218"/>
        <v>0</v>
      </c>
      <c r="W2136" s="16"/>
      <c r="X2136" s="16"/>
      <c r="Y2136" s="16"/>
      <c r="Z2136" s="17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</row>
    <row r="2137" spans="1:36" s="361" customFormat="1" ht="15" hidden="1">
      <c r="A2137" s="354"/>
      <c r="B2137" s="355"/>
      <c r="C2137" s="32"/>
      <c r="D2137" s="33"/>
      <c r="E2137" s="34"/>
      <c r="F2137" s="35"/>
      <c r="G2137" s="33"/>
      <c r="H2137" s="34"/>
      <c r="I2137" s="35"/>
      <c r="J2137" s="43"/>
      <c r="K2137" s="42"/>
      <c r="L2137" s="39"/>
      <c r="M2137" s="41"/>
      <c r="N2137" s="356"/>
      <c r="O2137" s="40"/>
      <c r="P2137" s="39"/>
      <c r="Q2137" s="45"/>
      <c r="R2137" s="1359"/>
      <c r="S2137" s="1265"/>
      <c r="T2137" s="46"/>
      <c r="U2137" s="44"/>
      <c r="V2137" s="1418">
        <f t="shared" si="218"/>
        <v>0</v>
      </c>
      <c r="W2137" s="357"/>
      <c r="X2137" s="357"/>
      <c r="Y2137" s="357"/>
      <c r="Z2137" s="358"/>
      <c r="AA2137" s="359"/>
      <c r="AB2137" s="360"/>
    </row>
    <row r="2138" spans="1:36" s="361" customFormat="1" ht="15" hidden="1">
      <c r="A2138" s="354"/>
      <c r="B2138" s="355"/>
      <c r="C2138" s="32"/>
      <c r="D2138" s="33"/>
      <c r="E2138" s="34"/>
      <c r="F2138" s="35"/>
      <c r="G2138" s="33"/>
      <c r="H2138" s="34"/>
      <c r="I2138" s="35"/>
      <c r="J2138" s="43"/>
      <c r="K2138" s="42"/>
      <c r="L2138" s="39"/>
      <c r="M2138" s="41"/>
      <c r="N2138" s="356"/>
      <c r="O2138" s="40"/>
      <c r="P2138" s="39"/>
      <c r="Q2138" s="45"/>
      <c r="R2138" s="362"/>
      <c r="S2138" s="363"/>
      <c r="T2138" s="46"/>
      <c r="U2138" s="44"/>
      <c r="V2138" s="1418">
        <f t="shared" si="218"/>
        <v>0</v>
      </c>
      <c r="W2138" s="357"/>
      <c r="X2138" s="357"/>
      <c r="Y2138" s="357"/>
      <c r="Z2138" s="358"/>
      <c r="AA2138" s="359"/>
      <c r="AB2138" s="360"/>
    </row>
    <row r="2139" spans="1:36" s="369" customFormat="1" ht="15" hidden="1">
      <c r="A2139" s="364"/>
      <c r="B2139" s="355"/>
      <c r="C2139" s="32"/>
      <c r="D2139" s="33"/>
      <c r="E2139" s="34"/>
      <c r="F2139" s="35"/>
      <c r="G2139" s="33"/>
      <c r="H2139" s="34"/>
      <c r="I2139" s="35"/>
      <c r="J2139" s="43"/>
      <c r="K2139" s="42"/>
      <c r="L2139" s="39"/>
      <c r="M2139" s="41"/>
      <c r="N2139" s="40"/>
      <c r="O2139" s="40"/>
      <c r="P2139" s="39"/>
      <c r="Q2139" s="38"/>
      <c r="R2139" s="365"/>
      <c r="S2139" s="366"/>
      <c r="T2139" s="46"/>
      <c r="U2139" s="44"/>
      <c r="V2139" s="1418">
        <f t="shared" si="218"/>
        <v>0</v>
      </c>
      <c r="W2139" s="367"/>
      <c r="X2139" s="367"/>
      <c r="Y2139" s="367"/>
      <c r="Z2139" s="368"/>
    </row>
    <row r="2140" spans="1:36" s="77" customFormat="1" ht="15" hidden="1">
      <c r="A2140" s="370"/>
      <c r="B2140" s="29"/>
      <c r="C2140" s="30"/>
      <c r="D2140" s="18"/>
      <c r="E2140" s="19"/>
      <c r="F2140" s="20"/>
      <c r="G2140" s="18"/>
      <c r="H2140" s="19"/>
      <c r="I2140" s="20"/>
      <c r="J2140" s="21"/>
      <c r="K2140" s="22"/>
      <c r="L2140" s="23"/>
      <c r="M2140" s="24"/>
      <c r="N2140" s="25"/>
      <c r="O2140" s="25"/>
      <c r="P2140" s="23"/>
      <c r="Q2140" s="26"/>
      <c r="R2140" s="371"/>
      <c r="S2140" s="27"/>
      <c r="T2140" s="372"/>
      <c r="U2140" s="31"/>
      <c r="V2140" s="1418">
        <f t="shared" si="218"/>
        <v>0</v>
      </c>
      <c r="AB2140" s="15"/>
    </row>
    <row r="2141" spans="1:36" s="77" customFormat="1" ht="15.6" hidden="1">
      <c r="A2141" s="370"/>
      <c r="B2141" s="499"/>
      <c r="C2141" s="37"/>
      <c r="D2141" s="1929" t="s">
        <v>1520</v>
      </c>
      <c r="E2141" s="1930"/>
      <c r="F2141" s="1930"/>
      <c r="G2141" s="1930"/>
      <c r="H2141" s="1930"/>
      <c r="I2141" s="1931"/>
      <c r="J2141" s="1932">
        <f>VLOOKUP(A2143,'11 - FINANCEIRA'!_xlnm.Print_Area,6,FALSE)</f>
        <v>166.32</v>
      </c>
      <c r="K2141" s="1933"/>
      <c r="L2141" s="1343" t="str">
        <f>VLOOKUP(A2143,'11 - FINANCEIRA'!_xlnm.Print_Area,4,FALSE)</f>
        <v>m</v>
      </c>
      <c r="M2141" s="1934" t="s">
        <v>1521</v>
      </c>
      <c r="N2141" s="1935"/>
      <c r="O2141" s="1935"/>
      <c r="P2141" s="1935"/>
      <c r="Q2141" s="1936"/>
      <c r="R2141" s="726">
        <f>SUM(R2137:R2140)</f>
        <v>0</v>
      </c>
      <c r="S2141" s="1344" t="str">
        <f>L2141</f>
        <v>m</v>
      </c>
      <c r="T2141" s="373"/>
      <c r="U2141" s="486"/>
      <c r="V2141" s="1418">
        <f t="shared" si="218"/>
        <v>0</v>
      </c>
      <c r="AB2141" s="15"/>
    </row>
    <row r="2142" spans="1:36" s="77" customFormat="1" ht="15.6" hidden="1">
      <c r="A2142" s="370"/>
      <c r="B2142" s="499"/>
      <c r="C2142" s="725"/>
      <c r="D2142" s="1937" t="s">
        <v>1522</v>
      </c>
      <c r="E2142" s="1938"/>
      <c r="F2142" s="1938"/>
      <c r="G2142" s="1938"/>
      <c r="H2142" s="1938"/>
      <c r="I2142" s="1939"/>
      <c r="J2142" s="1943">
        <f>R2141/J2141</f>
        <v>0</v>
      </c>
      <c r="K2142" s="1944"/>
      <c r="L2142" s="1947"/>
      <c r="M2142" s="1934" t="s">
        <v>1523</v>
      </c>
      <c r="N2142" s="1935"/>
      <c r="O2142" s="1935"/>
      <c r="P2142" s="1935"/>
      <c r="Q2142" s="1936"/>
      <c r="R2142" s="726">
        <f>VLOOKUP(A2143,'11 - FINANCEIRA'!_xlnm.Print_Area,8,FALSE)</f>
        <v>0</v>
      </c>
      <c r="S2142" s="727" t="str">
        <f>L2141</f>
        <v>m</v>
      </c>
      <c r="T2142" s="373"/>
      <c r="U2142" s="486"/>
      <c r="V2142" s="1418">
        <f t="shared" si="218"/>
        <v>0</v>
      </c>
      <c r="AB2142" s="15"/>
    </row>
    <row r="2143" spans="1:36" s="77" customFormat="1" ht="15.6" hidden="1">
      <c r="A2143" s="364" t="s">
        <v>515</v>
      </c>
      <c r="B2143" s="499"/>
      <c r="C2143" s="37"/>
      <c r="D2143" s="2013"/>
      <c r="E2143" s="2014"/>
      <c r="F2143" s="2014"/>
      <c r="G2143" s="2014"/>
      <c r="H2143" s="2014"/>
      <c r="I2143" s="2015"/>
      <c r="J2143" s="2016"/>
      <c r="K2143" s="2017"/>
      <c r="L2143" s="1962"/>
      <c r="M2143" s="2007" t="s">
        <v>1524</v>
      </c>
      <c r="N2143" s="2008"/>
      <c r="O2143" s="2008"/>
      <c r="P2143" s="2008"/>
      <c r="Q2143" s="2009"/>
      <c r="R2143" s="1345">
        <f>R2141-R2142</f>
        <v>0</v>
      </c>
      <c r="S2143" s="1346" t="str">
        <f>L2141</f>
        <v>m</v>
      </c>
      <c r="T2143" s="373"/>
      <c r="U2143" s="486"/>
      <c r="V2143" s="1418">
        <f>R2143</f>
        <v>0</v>
      </c>
      <c r="AB2143" s="15"/>
    </row>
    <row r="2144" spans="1:36" s="77" customFormat="1" ht="15.6" hidden="1">
      <c r="A2144" s="370"/>
      <c r="B2144" s="1347"/>
      <c r="C2144" s="1348"/>
      <c r="D2144" s="1349"/>
      <c r="E2144" s="1350"/>
      <c r="F2144" s="1349"/>
      <c r="G2144" s="1349"/>
      <c r="H2144" s="1349"/>
      <c r="I2144" s="1349"/>
      <c r="J2144" s="1351"/>
      <c r="K2144" s="1352"/>
      <c r="L2144" s="1353"/>
      <c r="M2144" s="1354"/>
      <c r="N2144" s="1354"/>
      <c r="O2144" s="1354"/>
      <c r="P2144" s="1354"/>
      <c r="Q2144" s="1354"/>
      <c r="R2144" s="1355"/>
      <c r="S2144" s="1356"/>
      <c r="T2144" s="1357"/>
      <c r="U2144" s="1358"/>
      <c r="V2144" s="1420">
        <f>SUM(V2135:V2143)</f>
        <v>0</v>
      </c>
      <c r="AB2144" s="15"/>
    </row>
    <row r="2145" spans="1:36" s="352" customFormat="1" ht="15.6" hidden="1">
      <c r="A2145" s="351"/>
      <c r="B2145" s="1963" t="str">
        <f>VLOOKUP(A2153,'11 - FINANCEIRA'!_xlnm.Print_Area,1,FALSE)</f>
        <v>2.3.11.6</v>
      </c>
      <c r="C2145" s="1965" t="str">
        <f>VLOOKUP(A2153,'11 - FINANCEIRA'!_xlnm.Print_Area,3,FALSE)</f>
        <v>Guarda-corpo de aço galvanizado de 1,10m de altura, montantes tubulares de 1.1/2? espaçados de 1,20m, travessa superior de 2?, gradil formado por barras chatas em ferro de 32x4,8mm, fixado com chumbador mecânico. af_04/2019_p</v>
      </c>
      <c r="D2145" s="1967" t="s">
        <v>1503</v>
      </c>
      <c r="E2145" s="1968"/>
      <c r="F2145" s="1968"/>
      <c r="G2145" s="1968"/>
      <c r="H2145" s="1968"/>
      <c r="I2145" s="1969"/>
      <c r="J2145" s="1914" t="s">
        <v>1504</v>
      </c>
      <c r="K2145" s="1914" t="s">
        <v>1505</v>
      </c>
      <c r="L2145" s="1914" t="s">
        <v>1506</v>
      </c>
      <c r="M2145" s="1914" t="s">
        <v>1507</v>
      </c>
      <c r="N2145" s="1914" t="s">
        <v>1508</v>
      </c>
      <c r="O2145" s="1914" t="s">
        <v>1509</v>
      </c>
      <c r="P2145" s="1341" t="s">
        <v>1510</v>
      </c>
      <c r="Q2145" s="1914" t="s">
        <v>1493</v>
      </c>
      <c r="R2145" s="1916" t="s">
        <v>804</v>
      </c>
      <c r="S2145" s="1914" t="s">
        <v>1511</v>
      </c>
      <c r="T2145" s="1914" t="s">
        <v>1512</v>
      </c>
      <c r="U2145" s="1918" t="s">
        <v>1513</v>
      </c>
      <c r="V2145" s="1418">
        <f t="shared" ref="V2145:V2152" si="219">V2146</f>
        <v>0</v>
      </c>
      <c r="W2145" s="16"/>
      <c r="X2145" s="16"/>
      <c r="Y2145" s="16"/>
      <c r="Z2145" s="17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</row>
    <row r="2146" spans="1:36" s="352" customFormat="1" ht="15.6" hidden="1">
      <c r="A2146" s="351"/>
      <c r="B2146" s="1964" t="e">
        <f>LEFT(#REF!,5)</f>
        <v>#REF!</v>
      </c>
      <c r="C2146" s="1966" t="e">
        <f>VLOOKUP(LEFT(#REF!,5),'11 - FINANCEIRA'!_xlnm.Print_Area,2,FALSE)</f>
        <v>#REF!</v>
      </c>
      <c r="D2146" s="1920" t="s">
        <v>1514</v>
      </c>
      <c r="E2146" s="1921"/>
      <c r="F2146" s="1922"/>
      <c r="G2146" s="1923" t="s">
        <v>1515</v>
      </c>
      <c r="H2146" s="1924"/>
      <c r="I2146" s="1925"/>
      <c r="J2146" s="1915"/>
      <c r="K2146" s="1915"/>
      <c r="L2146" s="1915"/>
      <c r="M2146" s="1915"/>
      <c r="N2146" s="1915"/>
      <c r="O2146" s="1915"/>
      <c r="P2146" s="353" t="s">
        <v>1516</v>
      </c>
      <c r="Q2146" s="1915"/>
      <c r="R2146" s="1917"/>
      <c r="S2146" s="1915"/>
      <c r="T2146" s="1915"/>
      <c r="U2146" s="1919"/>
      <c r="V2146" s="1418">
        <f t="shared" si="219"/>
        <v>0</v>
      </c>
      <c r="W2146" s="16"/>
      <c r="X2146" s="16"/>
      <c r="Y2146" s="16"/>
      <c r="Z2146" s="17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</row>
    <row r="2147" spans="1:36" s="361" customFormat="1" ht="45" hidden="1">
      <c r="A2147" s="354"/>
      <c r="B2147" s="355"/>
      <c r="C2147" s="28" t="s">
        <v>1051</v>
      </c>
      <c r="D2147" s="18"/>
      <c r="E2147" s="19"/>
      <c r="F2147" s="20"/>
      <c r="G2147" s="18"/>
      <c r="H2147" s="19"/>
      <c r="I2147" s="20"/>
      <c r="J2147" s="21"/>
      <c r="K2147" s="22"/>
      <c r="L2147" s="23"/>
      <c r="M2147" s="24"/>
      <c r="N2147" s="728"/>
      <c r="O2147" s="25"/>
      <c r="P2147" s="23"/>
      <c r="Q2147" s="729"/>
      <c r="R2147" s="1109">
        <v>182.48</v>
      </c>
      <c r="S2147" s="730" t="s">
        <v>809</v>
      </c>
      <c r="T2147" s="446" t="s">
        <v>327</v>
      </c>
      <c r="U2147" s="44"/>
      <c r="V2147" s="1418">
        <f t="shared" si="219"/>
        <v>0</v>
      </c>
      <c r="W2147" s="357"/>
      <c r="X2147" s="357"/>
      <c r="Y2147" s="357"/>
      <c r="Z2147" s="358"/>
      <c r="AA2147" s="359"/>
      <c r="AB2147" s="360"/>
    </row>
    <row r="2148" spans="1:36" s="361" customFormat="1" ht="45" hidden="1">
      <c r="A2148" s="354"/>
      <c r="B2148" s="355"/>
      <c r="C2148" s="32" t="s">
        <v>1051</v>
      </c>
      <c r="D2148" s="33"/>
      <c r="E2148" s="34"/>
      <c r="F2148" s="35"/>
      <c r="G2148" s="33"/>
      <c r="H2148" s="34"/>
      <c r="I2148" s="35"/>
      <c r="J2148" s="43"/>
      <c r="K2148" s="42"/>
      <c r="L2148" s="39"/>
      <c r="M2148" s="41"/>
      <c r="N2148" s="356"/>
      <c r="O2148" s="40"/>
      <c r="P2148" s="39"/>
      <c r="Q2148" s="45"/>
      <c r="R2148" s="362">
        <f>J2151-R2147</f>
        <v>37.260000000000019</v>
      </c>
      <c r="S2148" s="363" t="s">
        <v>809</v>
      </c>
      <c r="T2148" s="46" t="s">
        <v>330</v>
      </c>
      <c r="U2148" s="44"/>
      <c r="V2148" s="1418">
        <f t="shared" si="219"/>
        <v>0</v>
      </c>
      <c r="W2148" s="357"/>
      <c r="X2148" s="357"/>
      <c r="Y2148" s="357"/>
      <c r="Z2148" s="358"/>
      <c r="AA2148" s="359"/>
      <c r="AB2148" s="360"/>
      <c r="AD2148" s="1226"/>
    </row>
    <row r="2149" spans="1:36" s="369" customFormat="1" ht="15" hidden="1">
      <c r="A2149" s="364"/>
      <c r="B2149" s="355"/>
      <c r="C2149" s="32"/>
      <c r="D2149" s="33"/>
      <c r="E2149" s="34"/>
      <c r="F2149" s="35"/>
      <c r="G2149" s="33"/>
      <c r="H2149" s="34"/>
      <c r="I2149" s="35"/>
      <c r="J2149" s="43"/>
      <c r="K2149" s="42"/>
      <c r="L2149" s="39"/>
      <c r="M2149" s="41"/>
      <c r="N2149" s="40"/>
      <c r="O2149" s="40"/>
      <c r="P2149" s="39"/>
      <c r="Q2149" s="38"/>
      <c r="R2149" s="365"/>
      <c r="S2149" s="366"/>
      <c r="T2149" s="46"/>
      <c r="U2149" s="44"/>
      <c r="V2149" s="1418">
        <f t="shared" si="219"/>
        <v>0</v>
      </c>
      <c r="W2149" s="367"/>
      <c r="X2149" s="367"/>
      <c r="Y2149" s="367"/>
      <c r="Z2149" s="368"/>
    </row>
    <row r="2150" spans="1:36" s="77" customFormat="1" ht="15" hidden="1">
      <c r="A2150" s="370"/>
      <c r="B2150" s="29"/>
      <c r="C2150" s="30"/>
      <c r="D2150" s="18"/>
      <c r="E2150" s="19"/>
      <c r="F2150" s="20"/>
      <c r="G2150" s="18"/>
      <c r="H2150" s="19"/>
      <c r="I2150" s="20"/>
      <c r="J2150" s="21"/>
      <c r="K2150" s="22"/>
      <c r="L2150" s="23"/>
      <c r="M2150" s="24"/>
      <c r="N2150" s="25"/>
      <c r="O2150" s="25"/>
      <c r="P2150" s="23"/>
      <c r="Q2150" s="26"/>
      <c r="R2150" s="371"/>
      <c r="S2150" s="27"/>
      <c r="T2150" s="372"/>
      <c r="U2150" s="31"/>
      <c r="V2150" s="1418">
        <f t="shared" si="219"/>
        <v>0</v>
      </c>
      <c r="AB2150" s="15"/>
    </row>
    <row r="2151" spans="1:36" s="77" customFormat="1" ht="15.6" hidden="1">
      <c r="A2151" s="370"/>
      <c r="B2151" s="499"/>
      <c r="C2151" s="37"/>
      <c r="D2151" s="1929" t="s">
        <v>1520</v>
      </c>
      <c r="E2151" s="1930"/>
      <c r="F2151" s="1930"/>
      <c r="G2151" s="1930"/>
      <c r="H2151" s="1930"/>
      <c r="I2151" s="1931"/>
      <c r="J2151" s="1932">
        <f>VLOOKUP(A2153,'11 - FINANCEIRA'!_xlnm.Print_Area,6,FALSE)</f>
        <v>219.74</v>
      </c>
      <c r="K2151" s="1933"/>
      <c r="L2151" s="1343" t="str">
        <f>VLOOKUP(A2153,'11 - FINANCEIRA'!_xlnm.Print_Area,4,FALSE)</f>
        <v>m</v>
      </c>
      <c r="M2151" s="1934" t="s">
        <v>1521</v>
      </c>
      <c r="N2151" s="1935"/>
      <c r="O2151" s="1935"/>
      <c r="P2151" s="1935"/>
      <c r="Q2151" s="1936"/>
      <c r="R2151" s="726">
        <f>SUM(R2147:R2150)</f>
        <v>219.74</v>
      </c>
      <c r="S2151" s="1344" t="str">
        <f>L2151</f>
        <v>m</v>
      </c>
      <c r="T2151" s="373"/>
      <c r="U2151" s="486"/>
      <c r="V2151" s="1418">
        <f t="shared" si="219"/>
        <v>0</v>
      </c>
      <c r="AB2151" s="15"/>
    </row>
    <row r="2152" spans="1:36" s="77" customFormat="1" ht="15.6" hidden="1">
      <c r="A2152" s="370"/>
      <c r="B2152" s="499"/>
      <c r="C2152" s="725"/>
      <c r="D2152" s="1937" t="s">
        <v>1522</v>
      </c>
      <c r="E2152" s="1938"/>
      <c r="F2152" s="1938"/>
      <c r="G2152" s="1938"/>
      <c r="H2152" s="1938"/>
      <c r="I2152" s="1939"/>
      <c r="J2152" s="1943">
        <f>R2151/J2151</f>
        <v>1</v>
      </c>
      <c r="K2152" s="1944"/>
      <c r="L2152" s="1947"/>
      <c r="M2152" s="1934" t="s">
        <v>1523</v>
      </c>
      <c r="N2152" s="1935"/>
      <c r="O2152" s="1935"/>
      <c r="P2152" s="1935"/>
      <c r="Q2152" s="1936"/>
      <c r="R2152" s="726">
        <f>VLOOKUP(A2153,'11 - FINANCEIRA'!_xlnm.Print_Area,8,FALSE)</f>
        <v>219.74</v>
      </c>
      <c r="S2152" s="727" t="str">
        <f>L2151</f>
        <v>m</v>
      </c>
      <c r="T2152" s="373"/>
      <c r="U2152" s="486"/>
      <c r="V2152" s="1418">
        <f t="shared" si="219"/>
        <v>0</v>
      </c>
      <c r="AB2152" s="15"/>
    </row>
    <row r="2153" spans="1:36" s="77" customFormat="1" ht="15.6" hidden="1">
      <c r="A2153" s="364" t="s">
        <v>516</v>
      </c>
      <c r="B2153" s="499"/>
      <c r="C2153" s="37"/>
      <c r="D2153" s="2013"/>
      <c r="E2153" s="2014"/>
      <c r="F2153" s="2014"/>
      <c r="G2153" s="2014"/>
      <c r="H2153" s="2014"/>
      <c r="I2153" s="2015"/>
      <c r="J2153" s="2016"/>
      <c r="K2153" s="2017"/>
      <c r="L2153" s="1962"/>
      <c r="M2153" s="2007" t="s">
        <v>1524</v>
      </c>
      <c r="N2153" s="2008"/>
      <c r="O2153" s="2008"/>
      <c r="P2153" s="2008"/>
      <c r="Q2153" s="2009"/>
      <c r="R2153" s="1345">
        <f>R2151-R2152</f>
        <v>0</v>
      </c>
      <c r="S2153" s="1346" t="str">
        <f>L2151</f>
        <v>m</v>
      </c>
      <c r="T2153" s="373"/>
      <c r="U2153" s="486"/>
      <c r="V2153" s="1418">
        <f>R2153</f>
        <v>0</v>
      </c>
      <c r="AB2153" s="15"/>
    </row>
    <row r="2154" spans="1:36" s="77" customFormat="1" ht="15.6" hidden="1">
      <c r="A2154" s="370"/>
      <c r="B2154" s="1347"/>
      <c r="C2154" s="1348"/>
      <c r="D2154" s="1349"/>
      <c r="E2154" s="1350"/>
      <c r="F2154" s="1349"/>
      <c r="G2154" s="1349"/>
      <c r="H2154" s="1349"/>
      <c r="I2154" s="1349"/>
      <c r="J2154" s="1351"/>
      <c r="K2154" s="1352"/>
      <c r="L2154" s="1353"/>
      <c r="M2154" s="1354"/>
      <c r="N2154" s="1354"/>
      <c r="O2154" s="1354"/>
      <c r="P2154" s="1354"/>
      <c r="Q2154" s="1354"/>
      <c r="R2154" s="1355"/>
      <c r="S2154" s="1356"/>
      <c r="T2154" s="1357"/>
      <c r="U2154" s="1358"/>
      <c r="V2154" s="1420">
        <f>SUM(V2145:V2153)</f>
        <v>0</v>
      </c>
      <c r="AB2154" s="15"/>
    </row>
    <row r="2155" spans="1:36" s="352" customFormat="1" ht="15.6" hidden="1">
      <c r="A2155" s="351"/>
      <c r="B2155" s="1963" t="str">
        <f>VLOOKUP(A2163,'11 - FINANCEIRA'!_xlnm.Print_Area,1,FALSE)</f>
        <v>2.3.11.7</v>
      </c>
      <c r="C2155" s="1965" t="str">
        <f>VLOOKUP(A2163,'11 - FINANCEIRA'!_xlnm.Print_Area,3,FALSE)</f>
        <v>Fornecimento e plantio de grama em placas tipo esmeralda ou amendoim (arachis repens), conforme projeto, inclusive fornecimento de terra vegetal</v>
      </c>
      <c r="D2155" s="1967" t="s">
        <v>1503</v>
      </c>
      <c r="E2155" s="1968"/>
      <c r="F2155" s="1968"/>
      <c r="G2155" s="1968"/>
      <c r="H2155" s="1968"/>
      <c r="I2155" s="1969"/>
      <c r="J2155" s="1914" t="s">
        <v>1504</v>
      </c>
      <c r="K2155" s="1914" t="s">
        <v>1505</v>
      </c>
      <c r="L2155" s="1914" t="s">
        <v>1506</v>
      </c>
      <c r="M2155" s="1914" t="s">
        <v>1507</v>
      </c>
      <c r="N2155" s="1914" t="s">
        <v>1508</v>
      </c>
      <c r="O2155" s="1914" t="s">
        <v>1509</v>
      </c>
      <c r="P2155" s="1341" t="s">
        <v>1510</v>
      </c>
      <c r="Q2155" s="1914" t="s">
        <v>1493</v>
      </c>
      <c r="R2155" s="1916" t="s">
        <v>804</v>
      </c>
      <c r="S2155" s="1914" t="s">
        <v>1511</v>
      </c>
      <c r="T2155" s="1914" t="s">
        <v>1512</v>
      </c>
      <c r="U2155" s="1918" t="s">
        <v>1513</v>
      </c>
      <c r="V2155" s="1418">
        <f t="shared" ref="V2155:V2162" si="220">V2156</f>
        <v>0</v>
      </c>
      <c r="W2155" s="16"/>
      <c r="X2155" s="16"/>
      <c r="Y2155" s="16"/>
      <c r="Z2155" s="17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</row>
    <row r="2156" spans="1:36" s="352" customFormat="1" ht="15.6" hidden="1">
      <c r="A2156" s="351"/>
      <c r="B2156" s="1964" t="e">
        <f>LEFT(#REF!,5)</f>
        <v>#REF!</v>
      </c>
      <c r="C2156" s="1966" t="e">
        <f>VLOOKUP(LEFT(#REF!,5),'11 - FINANCEIRA'!_xlnm.Print_Area,2,FALSE)</f>
        <v>#REF!</v>
      </c>
      <c r="D2156" s="1920" t="s">
        <v>1514</v>
      </c>
      <c r="E2156" s="1921"/>
      <c r="F2156" s="1922"/>
      <c r="G2156" s="1923" t="s">
        <v>1515</v>
      </c>
      <c r="H2156" s="1924"/>
      <c r="I2156" s="1925"/>
      <c r="J2156" s="1915"/>
      <c r="K2156" s="1915"/>
      <c r="L2156" s="1915"/>
      <c r="M2156" s="1915"/>
      <c r="N2156" s="1915"/>
      <c r="O2156" s="1915"/>
      <c r="P2156" s="353" t="s">
        <v>1516</v>
      </c>
      <c r="Q2156" s="1915"/>
      <c r="R2156" s="1917"/>
      <c r="S2156" s="1915"/>
      <c r="T2156" s="1915"/>
      <c r="U2156" s="1919"/>
      <c r="V2156" s="1418">
        <f t="shared" si="220"/>
        <v>0</v>
      </c>
      <c r="W2156" s="16"/>
      <c r="X2156" s="16"/>
      <c r="Y2156" s="16"/>
      <c r="Z2156" s="17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</row>
    <row r="2157" spans="1:36" s="361" customFormat="1" ht="30" hidden="1">
      <c r="A2157" s="354"/>
      <c r="B2157" s="355"/>
      <c r="C2157" s="28" t="s">
        <v>1053</v>
      </c>
      <c r="D2157" s="18"/>
      <c r="E2157" s="19"/>
      <c r="F2157" s="20"/>
      <c r="G2157" s="18"/>
      <c r="H2157" s="19"/>
      <c r="I2157" s="20"/>
      <c r="J2157" s="21"/>
      <c r="K2157" s="22"/>
      <c r="L2157" s="23"/>
      <c r="M2157" s="24"/>
      <c r="N2157" s="728"/>
      <c r="O2157" s="25"/>
      <c r="P2157" s="23"/>
      <c r="Q2157" s="729"/>
      <c r="R2157" s="1109">
        <v>1273.82</v>
      </c>
      <c r="S2157" s="730" t="s">
        <v>821</v>
      </c>
      <c r="T2157" s="446" t="s">
        <v>328</v>
      </c>
      <c r="U2157" s="44"/>
      <c r="V2157" s="1418">
        <f t="shared" si="220"/>
        <v>0</v>
      </c>
      <c r="W2157" s="357"/>
      <c r="X2157" s="357"/>
      <c r="Y2157" s="357" t="s">
        <v>1920</v>
      </c>
      <c r="Z2157" s="358"/>
      <c r="AA2157" s="359"/>
      <c r="AB2157" s="360"/>
    </row>
    <row r="2158" spans="1:36" s="361" customFormat="1" ht="30" hidden="1">
      <c r="A2158" s="354"/>
      <c r="B2158" s="355"/>
      <c r="C2158" s="32" t="s">
        <v>1053</v>
      </c>
      <c r="D2158" s="33"/>
      <c r="E2158" s="34"/>
      <c r="F2158" s="35"/>
      <c r="G2158" s="33"/>
      <c r="H2158" s="34"/>
      <c r="I2158" s="35"/>
      <c r="J2158" s="43"/>
      <c r="K2158" s="42"/>
      <c r="L2158" s="39"/>
      <c r="M2158" s="41"/>
      <c r="N2158" s="356"/>
      <c r="O2158" s="40"/>
      <c r="P2158" s="39"/>
      <c r="Q2158" s="45"/>
      <c r="R2158" s="362">
        <f>J2161-R2157</f>
        <v>546.11000000000013</v>
      </c>
      <c r="S2158" s="363" t="s">
        <v>821</v>
      </c>
      <c r="T2158" s="46" t="s">
        <v>330</v>
      </c>
      <c r="U2158" s="44"/>
      <c r="V2158" s="1418">
        <f t="shared" si="220"/>
        <v>0</v>
      </c>
      <c r="W2158" s="357"/>
      <c r="X2158" s="357"/>
      <c r="Y2158" s="357"/>
      <c r="Z2158" s="358"/>
      <c r="AA2158" s="359"/>
      <c r="AB2158" s="360"/>
    </row>
    <row r="2159" spans="1:36" s="369" customFormat="1" ht="15" hidden="1">
      <c r="A2159" s="364"/>
      <c r="B2159" s="355"/>
      <c r="C2159" s="32"/>
      <c r="D2159" s="33"/>
      <c r="E2159" s="34"/>
      <c r="F2159" s="35"/>
      <c r="G2159" s="33"/>
      <c r="H2159" s="34"/>
      <c r="I2159" s="35"/>
      <c r="J2159" s="43"/>
      <c r="K2159" s="42"/>
      <c r="L2159" s="39"/>
      <c r="M2159" s="41"/>
      <c r="N2159" s="40"/>
      <c r="O2159" s="40"/>
      <c r="P2159" s="39"/>
      <c r="Q2159" s="38"/>
      <c r="R2159" s="365"/>
      <c r="S2159" s="366"/>
      <c r="T2159" s="46"/>
      <c r="U2159" s="44"/>
      <c r="V2159" s="1418">
        <f t="shared" si="220"/>
        <v>0</v>
      </c>
      <c r="W2159" s="367"/>
      <c r="X2159" s="367"/>
      <c r="Y2159" s="367"/>
      <c r="Z2159" s="368"/>
    </row>
    <row r="2160" spans="1:36" s="77" customFormat="1" ht="15" hidden="1">
      <c r="A2160" s="370"/>
      <c r="B2160" s="29"/>
      <c r="C2160" s="30"/>
      <c r="D2160" s="18"/>
      <c r="E2160" s="19"/>
      <c r="F2160" s="20"/>
      <c r="G2160" s="18"/>
      <c r="H2160" s="19"/>
      <c r="I2160" s="20"/>
      <c r="J2160" s="21"/>
      <c r="K2160" s="22"/>
      <c r="L2160" s="23"/>
      <c r="M2160" s="24"/>
      <c r="N2160" s="25"/>
      <c r="O2160" s="25"/>
      <c r="P2160" s="23"/>
      <c r="Q2160" s="26"/>
      <c r="R2160" s="371"/>
      <c r="S2160" s="27"/>
      <c r="T2160" s="372"/>
      <c r="U2160" s="31"/>
      <c r="V2160" s="1418">
        <f t="shared" si="220"/>
        <v>0</v>
      </c>
      <c r="AB2160" s="15"/>
    </row>
    <row r="2161" spans="1:36" s="77" customFormat="1" ht="15.6" hidden="1">
      <c r="A2161" s="370"/>
      <c r="B2161" s="499"/>
      <c r="C2161" s="37"/>
      <c r="D2161" s="1929" t="s">
        <v>1520</v>
      </c>
      <c r="E2161" s="1930"/>
      <c r="F2161" s="1930"/>
      <c r="G2161" s="1930"/>
      <c r="H2161" s="1930"/>
      <c r="I2161" s="1931"/>
      <c r="J2161" s="1932">
        <f>VLOOKUP(A2163,'11 - FINANCEIRA'!_xlnm.Print_Area,6,FALSE)</f>
        <v>1819.93</v>
      </c>
      <c r="K2161" s="1933"/>
      <c r="L2161" s="1343" t="str">
        <f>VLOOKUP(A2163,'11 - FINANCEIRA'!_xlnm.Print_Area,4,FALSE)</f>
        <v>m²</v>
      </c>
      <c r="M2161" s="1934" t="s">
        <v>1521</v>
      </c>
      <c r="N2161" s="1935"/>
      <c r="O2161" s="1935"/>
      <c r="P2161" s="1935"/>
      <c r="Q2161" s="1936"/>
      <c r="R2161" s="726">
        <f>SUM(R2157:R2160)</f>
        <v>1819.93</v>
      </c>
      <c r="S2161" s="1344" t="str">
        <f>L2161</f>
        <v>m²</v>
      </c>
      <c r="T2161" s="373"/>
      <c r="U2161" s="486"/>
      <c r="V2161" s="1418">
        <f t="shared" si="220"/>
        <v>0</v>
      </c>
      <c r="AB2161" s="15"/>
    </row>
    <row r="2162" spans="1:36" s="77" customFormat="1" ht="15.6" hidden="1">
      <c r="A2162" s="370"/>
      <c r="B2162" s="499"/>
      <c r="C2162" s="725"/>
      <c r="D2162" s="1937" t="s">
        <v>1522</v>
      </c>
      <c r="E2162" s="1938"/>
      <c r="F2162" s="1938"/>
      <c r="G2162" s="1938"/>
      <c r="H2162" s="1938"/>
      <c r="I2162" s="1939"/>
      <c r="J2162" s="1943">
        <f>R2161/J2161</f>
        <v>1</v>
      </c>
      <c r="K2162" s="1944"/>
      <c r="L2162" s="1947"/>
      <c r="M2162" s="1934" t="s">
        <v>1523</v>
      </c>
      <c r="N2162" s="1935"/>
      <c r="O2162" s="1935"/>
      <c r="P2162" s="1935"/>
      <c r="Q2162" s="1936"/>
      <c r="R2162" s="726">
        <f>VLOOKUP(A2163,'11 - FINANCEIRA'!_xlnm.Print_Area,8,FALSE)</f>
        <v>1819.93</v>
      </c>
      <c r="S2162" s="727" t="str">
        <f>L2161</f>
        <v>m²</v>
      </c>
      <c r="T2162" s="373"/>
      <c r="U2162" s="486"/>
      <c r="V2162" s="1418">
        <f t="shared" si="220"/>
        <v>0</v>
      </c>
      <c r="AB2162" s="15"/>
    </row>
    <row r="2163" spans="1:36" s="77" customFormat="1" ht="15.6" hidden="1">
      <c r="A2163" s="364" t="s">
        <v>517</v>
      </c>
      <c r="B2163" s="499"/>
      <c r="C2163" s="37"/>
      <c r="D2163" s="2013"/>
      <c r="E2163" s="2014"/>
      <c r="F2163" s="2014"/>
      <c r="G2163" s="2014"/>
      <c r="H2163" s="2014"/>
      <c r="I2163" s="2015"/>
      <c r="J2163" s="2016"/>
      <c r="K2163" s="2017"/>
      <c r="L2163" s="1962"/>
      <c r="M2163" s="2007" t="s">
        <v>1524</v>
      </c>
      <c r="N2163" s="2008"/>
      <c r="O2163" s="2008"/>
      <c r="P2163" s="2008"/>
      <c r="Q2163" s="2009"/>
      <c r="R2163" s="1345">
        <f>R2161-R2162</f>
        <v>0</v>
      </c>
      <c r="S2163" s="1346" t="str">
        <f>L2161</f>
        <v>m²</v>
      </c>
      <c r="T2163" s="373"/>
      <c r="U2163" s="486"/>
      <c r="V2163" s="1418">
        <f>R2163</f>
        <v>0</v>
      </c>
      <c r="AB2163" s="15"/>
    </row>
    <row r="2164" spans="1:36" s="77" customFormat="1" ht="15.6" hidden="1">
      <c r="A2164" s="370"/>
      <c r="B2164" s="1347"/>
      <c r="C2164" s="1348"/>
      <c r="D2164" s="1349"/>
      <c r="E2164" s="1350"/>
      <c r="F2164" s="1349"/>
      <c r="G2164" s="1349"/>
      <c r="H2164" s="1349"/>
      <c r="I2164" s="1349"/>
      <c r="J2164" s="1351"/>
      <c r="K2164" s="1352"/>
      <c r="L2164" s="1353"/>
      <c r="M2164" s="1354"/>
      <c r="N2164" s="1354"/>
      <c r="O2164" s="1354"/>
      <c r="P2164" s="1354"/>
      <c r="Q2164" s="1354"/>
      <c r="R2164" s="1355"/>
      <c r="S2164" s="1356"/>
      <c r="T2164" s="1357"/>
      <c r="U2164" s="1358"/>
      <c r="V2164" s="1420">
        <f>SUM(V2155:V2163)</f>
        <v>0</v>
      </c>
      <c r="AB2164" s="15"/>
    </row>
    <row r="2165" spans="1:36" s="352" customFormat="1" ht="15.6" hidden="1">
      <c r="A2165" s="351"/>
      <c r="B2165" s="1963" t="str">
        <f>VLOOKUP(A2173,'11 - FINANCEIRA'!_xlnm.Print_Area,1,FALSE)</f>
        <v>2.3.11.8</v>
      </c>
      <c r="C2165" s="1965" t="str">
        <f>VLOOKUP(A2173,'11 - FINANCEIRA'!_xlnm.Print_Area,3,FALSE)</f>
        <v xml:space="preserve">Assentamento de guia (meio-fio) , confeccionada em concreto pré-fabricado, dpara urbanização de empreendimentos. </v>
      </c>
      <c r="D2165" s="1967" t="s">
        <v>1503</v>
      </c>
      <c r="E2165" s="1968"/>
      <c r="F2165" s="1968"/>
      <c r="G2165" s="1968"/>
      <c r="H2165" s="1968"/>
      <c r="I2165" s="1969"/>
      <c r="J2165" s="1914" t="s">
        <v>1504</v>
      </c>
      <c r="K2165" s="1914" t="s">
        <v>1505</v>
      </c>
      <c r="L2165" s="1914" t="s">
        <v>1506</v>
      </c>
      <c r="M2165" s="1914" t="s">
        <v>1507</v>
      </c>
      <c r="N2165" s="1914" t="s">
        <v>1508</v>
      </c>
      <c r="O2165" s="1914" t="s">
        <v>1509</v>
      </c>
      <c r="P2165" s="1341" t="s">
        <v>1510</v>
      </c>
      <c r="Q2165" s="1914" t="s">
        <v>1493</v>
      </c>
      <c r="R2165" s="1916" t="s">
        <v>804</v>
      </c>
      <c r="S2165" s="1914" t="s">
        <v>1511</v>
      </c>
      <c r="T2165" s="1914" t="s">
        <v>1512</v>
      </c>
      <c r="U2165" s="1918" t="s">
        <v>1513</v>
      </c>
      <c r="V2165" s="1418">
        <f t="shared" ref="V2165:V2172" si="221">V2166</f>
        <v>0</v>
      </c>
      <c r="W2165" s="16"/>
      <c r="X2165" s="16"/>
      <c r="Y2165" s="16"/>
      <c r="Z2165" s="17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</row>
    <row r="2166" spans="1:36" s="352" customFormat="1" ht="15.6" hidden="1">
      <c r="A2166" s="351"/>
      <c r="B2166" s="1964" t="e">
        <f>LEFT(#REF!,5)</f>
        <v>#REF!</v>
      </c>
      <c r="C2166" s="1966" t="e">
        <f>VLOOKUP(LEFT(#REF!,5),'11 - FINANCEIRA'!_xlnm.Print_Area,2,FALSE)</f>
        <v>#REF!</v>
      </c>
      <c r="D2166" s="1920" t="s">
        <v>1514</v>
      </c>
      <c r="E2166" s="1921"/>
      <c r="F2166" s="1922"/>
      <c r="G2166" s="1923" t="s">
        <v>1515</v>
      </c>
      <c r="H2166" s="1924"/>
      <c r="I2166" s="1925"/>
      <c r="J2166" s="1915"/>
      <c r="K2166" s="1915"/>
      <c r="L2166" s="1915"/>
      <c r="M2166" s="1915"/>
      <c r="N2166" s="1915"/>
      <c r="O2166" s="1915"/>
      <c r="P2166" s="353" t="s">
        <v>1516</v>
      </c>
      <c r="Q2166" s="1915"/>
      <c r="R2166" s="1917"/>
      <c r="S2166" s="1915"/>
      <c r="T2166" s="1915"/>
      <c r="U2166" s="1919"/>
      <c r="V2166" s="1418">
        <f t="shared" si="221"/>
        <v>0</v>
      </c>
      <c r="W2166" s="16"/>
      <c r="X2166" s="16"/>
      <c r="Y2166" s="16"/>
      <c r="Z2166" s="17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</row>
    <row r="2167" spans="1:36" s="361" customFormat="1" ht="30" hidden="1">
      <c r="A2167" s="354"/>
      <c r="B2167" s="355"/>
      <c r="C2167" s="28" t="s">
        <v>1055</v>
      </c>
      <c r="D2167" s="18"/>
      <c r="E2167" s="19"/>
      <c r="F2167" s="20"/>
      <c r="G2167" s="18"/>
      <c r="H2167" s="19"/>
      <c r="I2167" s="20"/>
      <c r="J2167" s="21"/>
      <c r="K2167" s="22"/>
      <c r="L2167" s="23"/>
      <c r="M2167" s="24"/>
      <c r="N2167" s="728"/>
      <c r="O2167" s="25"/>
      <c r="P2167" s="23"/>
      <c r="Q2167" s="729"/>
      <c r="R2167" s="1109">
        <v>267.87</v>
      </c>
      <c r="S2167" s="730" t="s">
        <v>809</v>
      </c>
      <c r="T2167" s="446" t="s">
        <v>328</v>
      </c>
      <c r="U2167" s="44"/>
      <c r="V2167" s="1418">
        <f t="shared" si="221"/>
        <v>0</v>
      </c>
      <c r="W2167" s="357"/>
      <c r="X2167" s="357"/>
      <c r="Y2167" s="357" t="s">
        <v>1921</v>
      </c>
      <c r="Z2167" s="358"/>
      <c r="AA2167" s="359"/>
      <c r="AB2167" s="360"/>
      <c r="AE2167" s="1226"/>
    </row>
    <row r="2168" spans="1:36" s="361" customFormat="1" ht="30" hidden="1">
      <c r="A2168" s="354"/>
      <c r="B2168" s="355"/>
      <c r="C2168" s="32" t="s">
        <v>1055</v>
      </c>
      <c r="D2168" s="33"/>
      <c r="E2168" s="34"/>
      <c r="F2168" s="35"/>
      <c r="G2168" s="33"/>
      <c r="H2168" s="34"/>
      <c r="I2168" s="35"/>
      <c r="J2168" s="43"/>
      <c r="K2168" s="42"/>
      <c r="L2168" s="39"/>
      <c r="M2168" s="41"/>
      <c r="N2168" s="356"/>
      <c r="O2168" s="40"/>
      <c r="P2168" s="39"/>
      <c r="Q2168" s="45"/>
      <c r="R2168" s="362">
        <f>J2171-R2167</f>
        <v>91.96999999999997</v>
      </c>
      <c r="S2168" s="363" t="s">
        <v>809</v>
      </c>
      <c r="T2168" s="46" t="s">
        <v>330</v>
      </c>
      <c r="U2168" s="44"/>
      <c r="V2168" s="1418">
        <f t="shared" si="221"/>
        <v>0</v>
      </c>
      <c r="W2168" s="357"/>
      <c r="X2168" s="357"/>
      <c r="Y2168" s="357"/>
      <c r="Z2168" s="358"/>
      <c r="AA2168" s="359"/>
      <c r="AB2168" s="360"/>
    </row>
    <row r="2169" spans="1:36" s="369" customFormat="1" ht="15" hidden="1">
      <c r="A2169" s="364"/>
      <c r="B2169" s="355"/>
      <c r="C2169" s="32"/>
      <c r="D2169" s="33"/>
      <c r="E2169" s="34"/>
      <c r="F2169" s="35"/>
      <c r="G2169" s="33"/>
      <c r="H2169" s="34"/>
      <c r="I2169" s="35"/>
      <c r="J2169" s="43"/>
      <c r="K2169" s="42"/>
      <c r="L2169" s="39"/>
      <c r="M2169" s="41"/>
      <c r="N2169" s="40"/>
      <c r="O2169" s="40"/>
      <c r="P2169" s="39"/>
      <c r="Q2169" s="38"/>
      <c r="R2169" s="365"/>
      <c r="S2169" s="366"/>
      <c r="T2169" s="46"/>
      <c r="U2169" s="44"/>
      <c r="V2169" s="1418">
        <f t="shared" si="221"/>
        <v>0</v>
      </c>
      <c r="W2169" s="367"/>
      <c r="X2169" s="367"/>
      <c r="Y2169" s="367"/>
      <c r="Z2169" s="368"/>
    </row>
    <row r="2170" spans="1:36" s="77" customFormat="1" ht="15" hidden="1">
      <c r="A2170" s="370"/>
      <c r="B2170" s="29"/>
      <c r="C2170" s="30"/>
      <c r="D2170" s="18"/>
      <c r="E2170" s="19"/>
      <c r="F2170" s="20"/>
      <c r="G2170" s="18"/>
      <c r="H2170" s="19"/>
      <c r="I2170" s="20"/>
      <c r="J2170" s="21"/>
      <c r="K2170" s="22"/>
      <c r="L2170" s="23"/>
      <c r="M2170" s="24"/>
      <c r="N2170" s="25"/>
      <c r="O2170" s="25"/>
      <c r="P2170" s="23"/>
      <c r="Q2170" s="26"/>
      <c r="R2170" s="371"/>
      <c r="S2170" s="27"/>
      <c r="T2170" s="372"/>
      <c r="U2170" s="31"/>
      <c r="V2170" s="1418">
        <f t="shared" si="221"/>
        <v>0</v>
      </c>
      <c r="AB2170" s="15"/>
    </row>
    <row r="2171" spans="1:36" s="77" customFormat="1" ht="15.6" hidden="1">
      <c r="A2171" s="370"/>
      <c r="B2171" s="499"/>
      <c r="C2171" s="37"/>
      <c r="D2171" s="1929" t="s">
        <v>1520</v>
      </c>
      <c r="E2171" s="1930"/>
      <c r="F2171" s="1930"/>
      <c r="G2171" s="1930"/>
      <c r="H2171" s="1930"/>
      <c r="I2171" s="1931"/>
      <c r="J2171" s="1932">
        <f>VLOOKUP(A2173,'11 - FINANCEIRA'!_xlnm.Print_Area,6,FALSE)</f>
        <v>359.84</v>
      </c>
      <c r="K2171" s="1933"/>
      <c r="L2171" s="1343" t="str">
        <f>VLOOKUP(A2173,'11 - FINANCEIRA'!_xlnm.Print_Area,4,FALSE)</f>
        <v>m</v>
      </c>
      <c r="M2171" s="1934" t="s">
        <v>1521</v>
      </c>
      <c r="N2171" s="1935"/>
      <c r="O2171" s="1935"/>
      <c r="P2171" s="1935"/>
      <c r="Q2171" s="1936"/>
      <c r="R2171" s="726">
        <f>SUM(R2167:R2170)</f>
        <v>359.84</v>
      </c>
      <c r="S2171" s="1344" t="str">
        <f>L2171</f>
        <v>m</v>
      </c>
      <c r="T2171" s="373"/>
      <c r="U2171" s="486"/>
      <c r="V2171" s="1418">
        <f t="shared" si="221"/>
        <v>0</v>
      </c>
      <c r="AB2171" s="15"/>
    </row>
    <row r="2172" spans="1:36" s="77" customFormat="1" ht="15.6" hidden="1">
      <c r="A2172" s="370"/>
      <c r="B2172" s="499"/>
      <c r="C2172" s="725"/>
      <c r="D2172" s="1937" t="s">
        <v>1522</v>
      </c>
      <c r="E2172" s="1938"/>
      <c r="F2172" s="1938"/>
      <c r="G2172" s="1938"/>
      <c r="H2172" s="1938"/>
      <c r="I2172" s="1939"/>
      <c r="J2172" s="1943">
        <f>R2171/J2171</f>
        <v>1</v>
      </c>
      <c r="K2172" s="1944"/>
      <c r="L2172" s="1947"/>
      <c r="M2172" s="1934" t="s">
        <v>1523</v>
      </c>
      <c r="N2172" s="1935"/>
      <c r="O2172" s="1935"/>
      <c r="P2172" s="1935"/>
      <c r="Q2172" s="1936"/>
      <c r="R2172" s="726">
        <f>VLOOKUP(A2173,'11 - FINANCEIRA'!_xlnm.Print_Area,8,FALSE)</f>
        <v>359.84</v>
      </c>
      <c r="S2172" s="727" t="str">
        <f>L2171</f>
        <v>m</v>
      </c>
      <c r="T2172" s="373"/>
      <c r="U2172" s="486"/>
      <c r="V2172" s="1418">
        <f t="shared" si="221"/>
        <v>0</v>
      </c>
      <c r="AB2172" s="15"/>
    </row>
    <row r="2173" spans="1:36" s="77" customFormat="1" ht="15.6" hidden="1">
      <c r="A2173" s="364" t="s">
        <v>518</v>
      </c>
      <c r="B2173" s="499"/>
      <c r="C2173" s="37"/>
      <c r="D2173" s="2013"/>
      <c r="E2173" s="2014"/>
      <c r="F2173" s="2014"/>
      <c r="G2173" s="2014"/>
      <c r="H2173" s="2014"/>
      <c r="I2173" s="2015"/>
      <c r="J2173" s="2016"/>
      <c r="K2173" s="2017"/>
      <c r="L2173" s="1962"/>
      <c r="M2173" s="2007" t="s">
        <v>1524</v>
      </c>
      <c r="N2173" s="2008"/>
      <c r="O2173" s="2008"/>
      <c r="P2173" s="2008"/>
      <c r="Q2173" s="2009"/>
      <c r="R2173" s="1345">
        <f>R2171-R2172</f>
        <v>0</v>
      </c>
      <c r="S2173" s="1346" t="str">
        <f>L2171</f>
        <v>m</v>
      </c>
      <c r="T2173" s="373"/>
      <c r="U2173" s="486"/>
      <c r="V2173" s="1418">
        <f>R2173</f>
        <v>0</v>
      </c>
      <c r="AB2173" s="15"/>
    </row>
    <row r="2174" spans="1:36" s="77" customFormat="1" ht="15.6" hidden="1">
      <c r="A2174" s="370"/>
      <c r="B2174" s="1347"/>
      <c r="C2174" s="1348"/>
      <c r="D2174" s="1349"/>
      <c r="E2174" s="1350"/>
      <c r="F2174" s="1349"/>
      <c r="G2174" s="1349"/>
      <c r="H2174" s="1349"/>
      <c r="I2174" s="1349"/>
      <c r="J2174" s="1351"/>
      <c r="K2174" s="1352"/>
      <c r="L2174" s="1353"/>
      <c r="M2174" s="1354"/>
      <c r="N2174" s="1354"/>
      <c r="O2174" s="1354"/>
      <c r="P2174" s="1354"/>
      <c r="Q2174" s="1354"/>
      <c r="R2174" s="1355"/>
      <c r="S2174" s="1356"/>
      <c r="T2174" s="1357"/>
      <c r="U2174" s="1358"/>
      <c r="V2174" s="1420">
        <f>SUM(V2165:V2173)</f>
        <v>0</v>
      </c>
      <c r="AB2174" s="15"/>
    </row>
    <row r="2175" spans="1:36" s="352" customFormat="1" ht="15.6" hidden="1">
      <c r="A2175" s="351"/>
      <c r="B2175" s="1963" t="str">
        <f>VLOOKUP(A2183,'11 - FINANCEIRA'!_xlnm.Print_Area,1,FALSE)</f>
        <v>2.3.11.9</v>
      </c>
      <c r="C2175" s="1965" t="str">
        <f>VLOOKUP(A2183,'11 - FINANCEIRA'!_xlnm.Print_Area,3,FALSE)</f>
        <v>Plantio de palmeira com altura de muda menor ou igual a 2,00 m. af_05/2018</v>
      </c>
      <c r="D2175" s="1967" t="s">
        <v>1503</v>
      </c>
      <c r="E2175" s="1968"/>
      <c r="F2175" s="1968"/>
      <c r="G2175" s="1968"/>
      <c r="H2175" s="1968"/>
      <c r="I2175" s="1969"/>
      <c r="J2175" s="1914" t="s">
        <v>1504</v>
      </c>
      <c r="K2175" s="1914" t="s">
        <v>1505</v>
      </c>
      <c r="L2175" s="1914" t="s">
        <v>1506</v>
      </c>
      <c r="M2175" s="1914" t="s">
        <v>1507</v>
      </c>
      <c r="N2175" s="1914" t="s">
        <v>1508</v>
      </c>
      <c r="O2175" s="1914" t="s">
        <v>1509</v>
      </c>
      <c r="P2175" s="1341" t="s">
        <v>1510</v>
      </c>
      <c r="Q2175" s="1914" t="s">
        <v>1493</v>
      </c>
      <c r="R2175" s="1916" t="s">
        <v>804</v>
      </c>
      <c r="S2175" s="1914" t="s">
        <v>1511</v>
      </c>
      <c r="T2175" s="1914" t="s">
        <v>1512</v>
      </c>
      <c r="U2175" s="1918" t="s">
        <v>1513</v>
      </c>
      <c r="V2175" s="1418">
        <f t="shared" ref="V2175:V2182" si="222">V2176</f>
        <v>0</v>
      </c>
      <c r="W2175" s="16"/>
      <c r="X2175" s="16"/>
      <c r="Y2175" s="16"/>
      <c r="Z2175" s="17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</row>
    <row r="2176" spans="1:36" s="352" customFormat="1" ht="15.6" hidden="1">
      <c r="A2176" s="351"/>
      <c r="B2176" s="1964" t="e">
        <f>LEFT(#REF!,5)</f>
        <v>#REF!</v>
      </c>
      <c r="C2176" s="1966" t="e">
        <f>VLOOKUP(LEFT(#REF!,5),'11 - FINANCEIRA'!_xlnm.Print_Area,2,FALSE)</f>
        <v>#REF!</v>
      </c>
      <c r="D2176" s="1920" t="s">
        <v>1514</v>
      </c>
      <c r="E2176" s="1921"/>
      <c r="F2176" s="1922"/>
      <c r="G2176" s="1923" t="s">
        <v>1515</v>
      </c>
      <c r="H2176" s="1924"/>
      <c r="I2176" s="1925"/>
      <c r="J2176" s="1915"/>
      <c r="K2176" s="1915"/>
      <c r="L2176" s="1915"/>
      <c r="M2176" s="1915"/>
      <c r="N2176" s="1915"/>
      <c r="O2176" s="1915"/>
      <c r="P2176" s="353" t="s">
        <v>1516</v>
      </c>
      <c r="Q2176" s="1915"/>
      <c r="R2176" s="1917"/>
      <c r="S2176" s="1915"/>
      <c r="T2176" s="1915"/>
      <c r="U2176" s="1919"/>
      <c r="V2176" s="1418">
        <f t="shared" si="222"/>
        <v>0</v>
      </c>
      <c r="W2176" s="16"/>
      <c r="X2176" s="16"/>
      <c r="Y2176" s="16"/>
      <c r="Z2176" s="17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</row>
    <row r="2177" spans="1:36" s="361" customFormat="1" ht="15" hidden="1" customHeight="1">
      <c r="A2177" s="354"/>
      <c r="B2177" s="355"/>
      <c r="C2177" s="32" t="s">
        <v>1057</v>
      </c>
      <c r="D2177" s="33"/>
      <c r="E2177" s="34"/>
      <c r="F2177" s="35"/>
      <c r="G2177" s="33"/>
      <c r="H2177" s="34"/>
      <c r="I2177" s="35"/>
      <c r="J2177" s="43"/>
      <c r="K2177" s="42"/>
      <c r="L2177" s="39"/>
      <c r="M2177" s="41"/>
      <c r="N2177" s="356"/>
      <c r="O2177" s="40"/>
      <c r="P2177" s="39"/>
      <c r="Q2177" s="45"/>
      <c r="R2177" s="1359">
        <v>3</v>
      </c>
      <c r="S2177" s="1265" t="s">
        <v>816</v>
      </c>
      <c r="T2177" s="46" t="s">
        <v>54</v>
      </c>
      <c r="U2177" s="44"/>
      <c r="V2177" s="1418">
        <f t="shared" si="222"/>
        <v>0</v>
      </c>
      <c r="W2177" s="357"/>
      <c r="X2177" s="357"/>
      <c r="Y2177" s="357"/>
      <c r="Z2177" s="358"/>
      <c r="AA2177" s="359"/>
      <c r="AB2177" s="360"/>
    </row>
    <row r="2178" spans="1:36" s="361" customFormat="1" ht="15" hidden="1" customHeight="1">
      <c r="A2178" s="354"/>
      <c r="B2178" s="355"/>
      <c r="C2178" s="32"/>
      <c r="D2178" s="33"/>
      <c r="E2178" s="34"/>
      <c r="F2178" s="35"/>
      <c r="G2178" s="33"/>
      <c r="H2178" s="34"/>
      <c r="I2178" s="35"/>
      <c r="J2178" s="43"/>
      <c r="K2178" s="42"/>
      <c r="L2178" s="39"/>
      <c r="M2178" s="41"/>
      <c r="N2178" s="356"/>
      <c r="O2178" s="40"/>
      <c r="P2178" s="39"/>
      <c r="Q2178" s="45"/>
      <c r="R2178" s="362"/>
      <c r="S2178" s="363"/>
      <c r="T2178" s="46"/>
      <c r="U2178" s="44"/>
      <c r="V2178" s="1418">
        <f t="shared" si="222"/>
        <v>0</v>
      </c>
      <c r="W2178" s="357"/>
      <c r="X2178" s="357"/>
      <c r="Y2178" s="357"/>
      <c r="Z2178" s="358"/>
      <c r="AA2178" s="359"/>
      <c r="AB2178" s="360"/>
    </row>
    <row r="2179" spans="1:36" s="369" customFormat="1" ht="15" hidden="1">
      <c r="A2179" s="364"/>
      <c r="B2179" s="355"/>
      <c r="C2179" s="32"/>
      <c r="D2179" s="33"/>
      <c r="E2179" s="34"/>
      <c r="F2179" s="35"/>
      <c r="G2179" s="33"/>
      <c r="H2179" s="34"/>
      <c r="I2179" s="35"/>
      <c r="J2179" s="43"/>
      <c r="K2179" s="42"/>
      <c r="L2179" s="39"/>
      <c r="M2179" s="41"/>
      <c r="N2179" s="40"/>
      <c r="O2179" s="40"/>
      <c r="P2179" s="39"/>
      <c r="Q2179" s="38"/>
      <c r="R2179" s="365"/>
      <c r="S2179" s="366"/>
      <c r="T2179" s="46"/>
      <c r="U2179" s="44"/>
      <c r="V2179" s="1418">
        <f t="shared" si="222"/>
        <v>0</v>
      </c>
      <c r="W2179" s="367"/>
      <c r="X2179" s="367"/>
      <c r="Y2179" s="367"/>
      <c r="Z2179" s="368"/>
    </row>
    <row r="2180" spans="1:36" s="77" customFormat="1" ht="15" hidden="1">
      <c r="A2180" s="370"/>
      <c r="B2180" s="29"/>
      <c r="C2180" s="30"/>
      <c r="D2180" s="18"/>
      <c r="E2180" s="19"/>
      <c r="F2180" s="20"/>
      <c r="G2180" s="18"/>
      <c r="H2180" s="19"/>
      <c r="I2180" s="20"/>
      <c r="J2180" s="21"/>
      <c r="K2180" s="22"/>
      <c r="L2180" s="23"/>
      <c r="M2180" s="24"/>
      <c r="N2180" s="25"/>
      <c r="O2180" s="25"/>
      <c r="P2180" s="23"/>
      <c r="Q2180" s="26"/>
      <c r="R2180" s="371"/>
      <c r="S2180" s="27"/>
      <c r="T2180" s="372"/>
      <c r="U2180" s="31"/>
      <c r="V2180" s="1418">
        <f t="shared" si="222"/>
        <v>0</v>
      </c>
      <c r="AB2180" s="15"/>
    </row>
    <row r="2181" spans="1:36" s="77" customFormat="1" ht="15.6" hidden="1">
      <c r="A2181" s="370"/>
      <c r="B2181" s="499"/>
      <c r="C2181" s="37"/>
      <c r="D2181" s="1929" t="s">
        <v>1520</v>
      </c>
      <c r="E2181" s="1930"/>
      <c r="F2181" s="1930"/>
      <c r="G2181" s="1930"/>
      <c r="H2181" s="1930"/>
      <c r="I2181" s="1931"/>
      <c r="J2181" s="1932">
        <f>VLOOKUP(A2183,'11 - FINANCEIRA'!_xlnm.Print_Area,6,FALSE)</f>
        <v>10</v>
      </c>
      <c r="K2181" s="1933"/>
      <c r="L2181" s="1343" t="str">
        <f>VLOOKUP(A2183,'11 - FINANCEIRA'!_xlnm.Print_Area,4,FALSE)</f>
        <v>und</v>
      </c>
      <c r="M2181" s="1934" t="s">
        <v>1521</v>
      </c>
      <c r="N2181" s="1935"/>
      <c r="O2181" s="1935"/>
      <c r="P2181" s="1935"/>
      <c r="Q2181" s="1936"/>
      <c r="R2181" s="726">
        <f>SUM(R2177:R2180)</f>
        <v>3</v>
      </c>
      <c r="S2181" s="1344" t="str">
        <f>L2181</f>
        <v>und</v>
      </c>
      <c r="T2181" s="373"/>
      <c r="U2181" s="486"/>
      <c r="V2181" s="1418">
        <f t="shared" si="222"/>
        <v>0</v>
      </c>
      <c r="AB2181" s="15"/>
    </row>
    <row r="2182" spans="1:36" s="77" customFormat="1" ht="15.6" hidden="1">
      <c r="A2182" s="370"/>
      <c r="B2182" s="499"/>
      <c r="C2182" s="725"/>
      <c r="D2182" s="1937" t="s">
        <v>1522</v>
      </c>
      <c r="E2182" s="1938"/>
      <c r="F2182" s="1938"/>
      <c r="G2182" s="1938"/>
      <c r="H2182" s="1938"/>
      <c r="I2182" s="1939"/>
      <c r="J2182" s="1943">
        <f>R2181/J2181</f>
        <v>0.3</v>
      </c>
      <c r="K2182" s="1944"/>
      <c r="L2182" s="1947"/>
      <c r="M2182" s="1934" t="s">
        <v>1523</v>
      </c>
      <c r="N2182" s="1935"/>
      <c r="O2182" s="1935"/>
      <c r="P2182" s="1935"/>
      <c r="Q2182" s="1936"/>
      <c r="R2182" s="726">
        <f>VLOOKUP(A2183,'11 - FINANCEIRA'!_xlnm.Print_Area,8,FALSE)</f>
        <v>3</v>
      </c>
      <c r="S2182" s="727" t="str">
        <f>L2181</f>
        <v>und</v>
      </c>
      <c r="T2182" s="373"/>
      <c r="U2182" s="486"/>
      <c r="V2182" s="1418">
        <f t="shared" si="222"/>
        <v>0</v>
      </c>
      <c r="AB2182" s="15"/>
    </row>
    <row r="2183" spans="1:36" s="77" customFormat="1" ht="15.6" hidden="1">
      <c r="A2183" s="364" t="s">
        <v>519</v>
      </c>
      <c r="B2183" s="499"/>
      <c r="C2183" s="37"/>
      <c r="D2183" s="2013"/>
      <c r="E2183" s="2014"/>
      <c r="F2183" s="2014"/>
      <c r="G2183" s="2014"/>
      <c r="H2183" s="2014"/>
      <c r="I2183" s="2015"/>
      <c r="J2183" s="2016"/>
      <c r="K2183" s="2017"/>
      <c r="L2183" s="1962"/>
      <c r="M2183" s="2007" t="s">
        <v>1524</v>
      </c>
      <c r="N2183" s="2008"/>
      <c r="O2183" s="2008"/>
      <c r="P2183" s="2008"/>
      <c r="Q2183" s="2009"/>
      <c r="R2183" s="1345">
        <f>R2181-R2182</f>
        <v>0</v>
      </c>
      <c r="S2183" s="1346" t="str">
        <f>L2181</f>
        <v>und</v>
      </c>
      <c r="T2183" s="373"/>
      <c r="U2183" s="486"/>
      <c r="V2183" s="1418">
        <f>R2183</f>
        <v>0</v>
      </c>
      <c r="AB2183" s="15"/>
    </row>
    <row r="2184" spans="1:36" s="77" customFormat="1" ht="15.6" hidden="1">
      <c r="A2184" s="370"/>
      <c r="B2184" s="1347"/>
      <c r="C2184" s="1348"/>
      <c r="D2184" s="1349"/>
      <c r="E2184" s="1350"/>
      <c r="F2184" s="1349"/>
      <c r="G2184" s="1349"/>
      <c r="H2184" s="1349"/>
      <c r="I2184" s="1349"/>
      <c r="J2184" s="1351"/>
      <c r="K2184" s="1352"/>
      <c r="L2184" s="1353"/>
      <c r="M2184" s="1354"/>
      <c r="N2184" s="1354"/>
      <c r="O2184" s="1354"/>
      <c r="P2184" s="1354"/>
      <c r="Q2184" s="1354"/>
      <c r="R2184" s="1355"/>
      <c r="S2184" s="1356"/>
      <c r="T2184" s="1357"/>
      <c r="U2184" s="1358"/>
      <c r="V2184" s="1420">
        <f>SUM(V2175:V2183)</f>
        <v>0</v>
      </c>
      <c r="AB2184" s="15"/>
    </row>
    <row r="2185" spans="1:36" s="352" customFormat="1" ht="15.6" hidden="1">
      <c r="A2185" s="351"/>
      <c r="B2185" s="1963" t="str">
        <f>VLOOKUP(A2193,'11 - FINANCEIRA'!_xlnm.Print_Area,1,FALSE)</f>
        <v>2.3.11.10</v>
      </c>
      <c r="C2185" s="1965" t="str">
        <f>VLOOKUP(A2193,'11 - FINANCEIRA'!_xlnm.Print_Area,3,FALSE)</f>
        <v>Fornecimento e assentamento de ladrilho hidráulico pastilhado, vermelho, dim. 20x20 cm, esp. 1.5cm, assentado com pasta de cimento colante, exclusive regularização e lastro</v>
      </c>
      <c r="D2185" s="1967" t="s">
        <v>1503</v>
      </c>
      <c r="E2185" s="1968"/>
      <c r="F2185" s="1968"/>
      <c r="G2185" s="1968"/>
      <c r="H2185" s="1968"/>
      <c r="I2185" s="1969"/>
      <c r="J2185" s="1914" t="s">
        <v>1504</v>
      </c>
      <c r="K2185" s="1914" t="s">
        <v>1505</v>
      </c>
      <c r="L2185" s="1914" t="s">
        <v>1506</v>
      </c>
      <c r="M2185" s="1914" t="s">
        <v>1507</v>
      </c>
      <c r="N2185" s="1914" t="s">
        <v>1508</v>
      </c>
      <c r="O2185" s="1914" t="s">
        <v>1509</v>
      </c>
      <c r="P2185" s="1341" t="s">
        <v>1510</v>
      </c>
      <c r="Q2185" s="1914" t="s">
        <v>1493</v>
      </c>
      <c r="R2185" s="1916" t="s">
        <v>804</v>
      </c>
      <c r="S2185" s="1914" t="s">
        <v>1511</v>
      </c>
      <c r="T2185" s="1914" t="s">
        <v>1512</v>
      </c>
      <c r="U2185" s="1918" t="s">
        <v>1513</v>
      </c>
      <c r="V2185" s="1418">
        <f t="shared" ref="V2185:V2192" si="223">V2186</f>
        <v>0</v>
      </c>
      <c r="W2185" s="16"/>
      <c r="X2185" s="16"/>
      <c r="Y2185" s="16"/>
      <c r="Z2185" s="17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</row>
    <row r="2186" spans="1:36" s="352" customFormat="1" ht="15.6" hidden="1">
      <c r="A2186" s="351"/>
      <c r="B2186" s="1964" t="e">
        <f>LEFT(#REF!,5)</f>
        <v>#REF!</v>
      </c>
      <c r="C2186" s="1966" t="e">
        <f>VLOOKUP(LEFT(#REF!,5),'11 - FINANCEIRA'!_xlnm.Print_Area,2,FALSE)</f>
        <v>#REF!</v>
      </c>
      <c r="D2186" s="1920" t="s">
        <v>1514</v>
      </c>
      <c r="E2186" s="1921"/>
      <c r="F2186" s="1922"/>
      <c r="G2186" s="1923" t="s">
        <v>1515</v>
      </c>
      <c r="H2186" s="1924"/>
      <c r="I2186" s="1925"/>
      <c r="J2186" s="1915"/>
      <c r="K2186" s="1915"/>
      <c r="L2186" s="1915"/>
      <c r="M2186" s="1915"/>
      <c r="N2186" s="1915"/>
      <c r="O2186" s="1915"/>
      <c r="P2186" s="353" t="s">
        <v>1516</v>
      </c>
      <c r="Q2186" s="1915"/>
      <c r="R2186" s="1917"/>
      <c r="S2186" s="1915"/>
      <c r="T2186" s="1915"/>
      <c r="U2186" s="1919"/>
      <c r="V2186" s="1418">
        <f t="shared" si="223"/>
        <v>0</v>
      </c>
      <c r="W2186" s="16"/>
      <c r="X2186" s="16"/>
      <c r="Y2186" s="16"/>
      <c r="Z2186" s="17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</row>
    <row r="2187" spans="1:36" s="361" customFormat="1" ht="15" hidden="1">
      <c r="A2187" s="354"/>
      <c r="B2187" s="355"/>
      <c r="C2187" s="32"/>
      <c r="D2187" s="33"/>
      <c r="E2187" s="34"/>
      <c r="F2187" s="35"/>
      <c r="G2187" s="33"/>
      <c r="H2187" s="34"/>
      <c r="I2187" s="35"/>
      <c r="J2187" s="43"/>
      <c r="K2187" s="42"/>
      <c r="L2187" s="39"/>
      <c r="M2187" s="41"/>
      <c r="N2187" s="356"/>
      <c r="O2187" s="40"/>
      <c r="P2187" s="39"/>
      <c r="Q2187" s="45"/>
      <c r="R2187" s="1359"/>
      <c r="S2187" s="1265"/>
      <c r="T2187" s="46"/>
      <c r="U2187" s="44"/>
      <c r="V2187" s="1418">
        <f t="shared" si="223"/>
        <v>0</v>
      </c>
      <c r="W2187" s="357"/>
      <c r="X2187" s="357"/>
      <c r="Y2187" s="357"/>
      <c r="Z2187" s="358"/>
      <c r="AA2187" s="359"/>
      <c r="AB2187" s="360"/>
    </row>
    <row r="2188" spans="1:36" s="361" customFormat="1" ht="15" hidden="1">
      <c r="A2188" s="354"/>
      <c r="B2188" s="355"/>
      <c r="C2188" s="32"/>
      <c r="D2188" s="33"/>
      <c r="E2188" s="34"/>
      <c r="F2188" s="35"/>
      <c r="G2188" s="33"/>
      <c r="H2188" s="34"/>
      <c r="I2188" s="35"/>
      <c r="J2188" s="43"/>
      <c r="K2188" s="42"/>
      <c r="L2188" s="39"/>
      <c r="M2188" s="41"/>
      <c r="N2188" s="356"/>
      <c r="O2188" s="40"/>
      <c r="P2188" s="39"/>
      <c r="Q2188" s="45"/>
      <c r="R2188" s="362"/>
      <c r="S2188" s="363"/>
      <c r="T2188" s="46"/>
      <c r="U2188" s="44"/>
      <c r="V2188" s="1418">
        <f t="shared" si="223"/>
        <v>0</v>
      </c>
      <c r="W2188" s="357"/>
      <c r="X2188" s="357"/>
      <c r="Y2188" s="357"/>
      <c r="Z2188" s="358"/>
      <c r="AA2188" s="359"/>
      <c r="AB2188" s="360"/>
    </row>
    <row r="2189" spans="1:36" s="369" customFormat="1" ht="15" hidden="1">
      <c r="A2189" s="364"/>
      <c r="B2189" s="355"/>
      <c r="C2189" s="32"/>
      <c r="D2189" s="33"/>
      <c r="E2189" s="34"/>
      <c r="F2189" s="35"/>
      <c r="G2189" s="33"/>
      <c r="H2189" s="34"/>
      <c r="I2189" s="35"/>
      <c r="J2189" s="43"/>
      <c r="K2189" s="42"/>
      <c r="L2189" s="39"/>
      <c r="M2189" s="41"/>
      <c r="N2189" s="40"/>
      <c r="O2189" s="40"/>
      <c r="P2189" s="39"/>
      <c r="Q2189" s="38"/>
      <c r="R2189" s="365"/>
      <c r="S2189" s="366"/>
      <c r="T2189" s="46"/>
      <c r="U2189" s="44"/>
      <c r="V2189" s="1418">
        <f t="shared" si="223"/>
        <v>0</v>
      </c>
      <c r="W2189" s="367"/>
      <c r="X2189" s="367"/>
      <c r="Y2189" s="367"/>
      <c r="Z2189" s="368"/>
    </row>
    <row r="2190" spans="1:36" s="77" customFormat="1" ht="15" hidden="1">
      <c r="A2190" s="370"/>
      <c r="B2190" s="29"/>
      <c r="C2190" s="30"/>
      <c r="D2190" s="18"/>
      <c r="E2190" s="19"/>
      <c r="F2190" s="20"/>
      <c r="G2190" s="18"/>
      <c r="H2190" s="19"/>
      <c r="I2190" s="20"/>
      <c r="J2190" s="21"/>
      <c r="K2190" s="22"/>
      <c r="L2190" s="23"/>
      <c r="M2190" s="24"/>
      <c r="N2190" s="25"/>
      <c r="O2190" s="25"/>
      <c r="P2190" s="23"/>
      <c r="Q2190" s="26"/>
      <c r="R2190" s="371"/>
      <c r="S2190" s="27"/>
      <c r="T2190" s="372"/>
      <c r="U2190" s="31"/>
      <c r="V2190" s="1418">
        <f t="shared" si="223"/>
        <v>0</v>
      </c>
      <c r="AB2190" s="15"/>
    </row>
    <row r="2191" spans="1:36" s="77" customFormat="1" ht="15.6" hidden="1">
      <c r="A2191" s="370"/>
      <c r="B2191" s="499"/>
      <c r="C2191" s="37"/>
      <c r="D2191" s="1929" t="s">
        <v>1520</v>
      </c>
      <c r="E2191" s="1930"/>
      <c r="F2191" s="1930"/>
      <c r="G2191" s="1930"/>
      <c r="H2191" s="1930"/>
      <c r="I2191" s="1931"/>
      <c r="J2191" s="1932">
        <f>VLOOKUP(A2193,'11 - FINANCEIRA'!_xlnm.Print_Area,6,FALSE)</f>
        <v>30.11</v>
      </c>
      <c r="K2191" s="1933"/>
      <c r="L2191" s="1343" t="str">
        <f>VLOOKUP(A2193,'11 - FINANCEIRA'!_xlnm.Print_Area,4,FALSE)</f>
        <v>m²</v>
      </c>
      <c r="M2191" s="1934" t="s">
        <v>1521</v>
      </c>
      <c r="N2191" s="1935"/>
      <c r="O2191" s="1935"/>
      <c r="P2191" s="1935"/>
      <c r="Q2191" s="1936"/>
      <c r="R2191" s="726">
        <f>SUM(R2187:R2190)</f>
        <v>0</v>
      </c>
      <c r="S2191" s="1344" t="str">
        <f>L2191</f>
        <v>m²</v>
      </c>
      <c r="T2191" s="373"/>
      <c r="U2191" s="486"/>
      <c r="V2191" s="1418">
        <f t="shared" si="223"/>
        <v>0</v>
      </c>
      <c r="AB2191" s="15"/>
    </row>
    <row r="2192" spans="1:36" s="77" customFormat="1" ht="15.6" hidden="1">
      <c r="A2192" s="370"/>
      <c r="B2192" s="499"/>
      <c r="C2192" s="725"/>
      <c r="D2192" s="1937" t="s">
        <v>1522</v>
      </c>
      <c r="E2192" s="1938"/>
      <c r="F2192" s="1938"/>
      <c r="G2192" s="1938"/>
      <c r="H2192" s="1938"/>
      <c r="I2192" s="1939"/>
      <c r="J2192" s="1943">
        <f>R2191/J2191</f>
        <v>0</v>
      </c>
      <c r="K2192" s="1944"/>
      <c r="L2192" s="1947"/>
      <c r="M2192" s="1934" t="s">
        <v>1523</v>
      </c>
      <c r="N2192" s="1935"/>
      <c r="O2192" s="1935"/>
      <c r="P2192" s="1935"/>
      <c r="Q2192" s="1936"/>
      <c r="R2192" s="726">
        <f>VLOOKUP(A2193,'11 - FINANCEIRA'!_xlnm.Print_Area,8,FALSE)</f>
        <v>0</v>
      </c>
      <c r="S2192" s="727" t="str">
        <f>L2191</f>
        <v>m²</v>
      </c>
      <c r="T2192" s="373"/>
      <c r="U2192" s="486"/>
      <c r="V2192" s="1418">
        <f t="shared" si="223"/>
        <v>0</v>
      </c>
      <c r="AB2192" s="15"/>
    </row>
    <row r="2193" spans="1:36" s="77" customFormat="1" ht="15.6" hidden="1">
      <c r="A2193" s="364" t="s">
        <v>520</v>
      </c>
      <c r="B2193" s="499"/>
      <c r="C2193" s="37"/>
      <c r="D2193" s="2013"/>
      <c r="E2193" s="2014"/>
      <c r="F2193" s="2014"/>
      <c r="G2193" s="2014"/>
      <c r="H2193" s="2014"/>
      <c r="I2193" s="2015"/>
      <c r="J2193" s="2016"/>
      <c r="K2193" s="2017"/>
      <c r="L2193" s="1962"/>
      <c r="M2193" s="2007" t="s">
        <v>1524</v>
      </c>
      <c r="N2193" s="2008"/>
      <c r="O2193" s="2008"/>
      <c r="P2193" s="2008"/>
      <c r="Q2193" s="2009"/>
      <c r="R2193" s="1345">
        <f>R2191-R2192</f>
        <v>0</v>
      </c>
      <c r="S2193" s="1346" t="str">
        <f>L2191</f>
        <v>m²</v>
      </c>
      <c r="T2193" s="373"/>
      <c r="U2193" s="486"/>
      <c r="V2193" s="1418">
        <f>R2193</f>
        <v>0</v>
      </c>
      <c r="AB2193" s="15"/>
    </row>
    <row r="2194" spans="1:36" s="77" customFormat="1" ht="15.6" hidden="1">
      <c r="A2194" s="370"/>
      <c r="B2194" s="1347"/>
      <c r="C2194" s="1348"/>
      <c r="D2194" s="1349"/>
      <c r="E2194" s="1350"/>
      <c r="F2194" s="1349"/>
      <c r="G2194" s="1349"/>
      <c r="H2194" s="1349"/>
      <c r="I2194" s="1349"/>
      <c r="J2194" s="1351"/>
      <c r="K2194" s="1352"/>
      <c r="L2194" s="1353"/>
      <c r="M2194" s="1354"/>
      <c r="N2194" s="1354"/>
      <c r="O2194" s="1354"/>
      <c r="P2194" s="1354"/>
      <c r="Q2194" s="1354"/>
      <c r="R2194" s="1355"/>
      <c r="S2194" s="1356"/>
      <c r="T2194" s="1357"/>
      <c r="U2194" s="1358"/>
      <c r="V2194" s="1420">
        <f>SUM(V2185:V2193)</f>
        <v>0</v>
      </c>
      <c r="AB2194" s="15"/>
    </row>
    <row r="2195" spans="1:36" s="352" customFormat="1" ht="15.6" hidden="1">
      <c r="A2195" s="351"/>
      <c r="B2195" s="1963" t="str">
        <f>VLOOKUP(A2203,'11 - FINANCEIRA'!_xlnm.Print_Area,1,FALSE)</f>
        <v>2.3.11.11</v>
      </c>
      <c r="C2195" s="1965" t="str">
        <f>VLOOKUP(A2203,'11 - FINANCEIRA'!_xlnm.Print_Area,3,FALSE)</f>
        <v>Fornecimento e assentamento de ladrilho hidráulico ranhurado, vermelho, dim. 20x20 cm, esp. 1.5cm, assentado com pasta de cimento colante, exclusive regularização e lastro</v>
      </c>
      <c r="D2195" s="1967" t="s">
        <v>1503</v>
      </c>
      <c r="E2195" s="1968"/>
      <c r="F2195" s="1968"/>
      <c r="G2195" s="1968"/>
      <c r="H2195" s="1968"/>
      <c r="I2195" s="1969"/>
      <c r="J2195" s="1914" t="s">
        <v>1504</v>
      </c>
      <c r="K2195" s="1914" t="s">
        <v>1505</v>
      </c>
      <c r="L2195" s="1914" t="s">
        <v>1506</v>
      </c>
      <c r="M2195" s="1914" t="s">
        <v>1507</v>
      </c>
      <c r="N2195" s="1914" t="s">
        <v>1508</v>
      </c>
      <c r="O2195" s="1914" t="s">
        <v>1509</v>
      </c>
      <c r="P2195" s="1341" t="s">
        <v>1510</v>
      </c>
      <c r="Q2195" s="1914" t="s">
        <v>1493</v>
      </c>
      <c r="R2195" s="1916" t="s">
        <v>804</v>
      </c>
      <c r="S2195" s="1914" t="s">
        <v>1511</v>
      </c>
      <c r="T2195" s="1914" t="s">
        <v>1512</v>
      </c>
      <c r="U2195" s="1918" t="s">
        <v>1513</v>
      </c>
      <c r="V2195" s="1418">
        <f t="shared" ref="V2195:V2202" si="224">V2196</f>
        <v>0</v>
      </c>
      <c r="W2195" s="16"/>
      <c r="X2195" s="16"/>
      <c r="Y2195" s="16"/>
      <c r="Z2195" s="17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</row>
    <row r="2196" spans="1:36" s="352" customFormat="1" ht="15.6" hidden="1">
      <c r="A2196" s="351"/>
      <c r="B2196" s="1964" t="e">
        <f>LEFT(#REF!,5)</f>
        <v>#REF!</v>
      </c>
      <c r="C2196" s="1966" t="e">
        <f>VLOOKUP(LEFT(#REF!,5),'11 - FINANCEIRA'!_xlnm.Print_Area,2,FALSE)</f>
        <v>#REF!</v>
      </c>
      <c r="D2196" s="1920" t="s">
        <v>1514</v>
      </c>
      <c r="E2196" s="1921"/>
      <c r="F2196" s="1922"/>
      <c r="G2196" s="1923" t="s">
        <v>1515</v>
      </c>
      <c r="H2196" s="1924"/>
      <c r="I2196" s="1925"/>
      <c r="J2196" s="1915"/>
      <c r="K2196" s="1915"/>
      <c r="L2196" s="1915"/>
      <c r="M2196" s="1915"/>
      <c r="N2196" s="1915"/>
      <c r="O2196" s="1915"/>
      <c r="P2196" s="353" t="s">
        <v>1516</v>
      </c>
      <c r="Q2196" s="1915"/>
      <c r="R2196" s="1917"/>
      <c r="S2196" s="1915"/>
      <c r="T2196" s="1915"/>
      <c r="U2196" s="1919"/>
      <c r="V2196" s="1418">
        <f t="shared" si="224"/>
        <v>0</v>
      </c>
      <c r="W2196" s="16"/>
      <c r="X2196" s="16"/>
      <c r="Y2196" s="16"/>
      <c r="Z2196" s="17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</row>
    <row r="2197" spans="1:36" s="361" customFormat="1" ht="15" hidden="1">
      <c r="A2197" s="354"/>
      <c r="B2197" s="355"/>
      <c r="C2197" s="32"/>
      <c r="D2197" s="33"/>
      <c r="E2197" s="34"/>
      <c r="F2197" s="35"/>
      <c r="G2197" s="33"/>
      <c r="H2197" s="34"/>
      <c r="I2197" s="35"/>
      <c r="J2197" s="43"/>
      <c r="K2197" s="42"/>
      <c r="L2197" s="39"/>
      <c r="M2197" s="41"/>
      <c r="N2197" s="356"/>
      <c r="O2197" s="40"/>
      <c r="P2197" s="39"/>
      <c r="Q2197" s="45"/>
      <c r="R2197" s="1359"/>
      <c r="S2197" s="1265"/>
      <c r="T2197" s="46"/>
      <c r="U2197" s="44"/>
      <c r="V2197" s="1418">
        <f t="shared" si="224"/>
        <v>0</v>
      </c>
      <c r="W2197" s="357"/>
      <c r="X2197" s="357"/>
      <c r="Y2197" s="357"/>
      <c r="Z2197" s="358"/>
      <c r="AA2197" s="359"/>
      <c r="AB2197" s="360"/>
    </row>
    <row r="2198" spans="1:36" s="361" customFormat="1" ht="15" hidden="1">
      <c r="A2198" s="354"/>
      <c r="B2198" s="355"/>
      <c r="C2198" s="32"/>
      <c r="D2198" s="33"/>
      <c r="E2198" s="34"/>
      <c r="F2198" s="35"/>
      <c r="G2198" s="33"/>
      <c r="H2198" s="34"/>
      <c r="I2198" s="35"/>
      <c r="J2198" s="43"/>
      <c r="K2198" s="42"/>
      <c r="L2198" s="39"/>
      <c r="M2198" s="41"/>
      <c r="N2198" s="356"/>
      <c r="O2198" s="40"/>
      <c r="P2198" s="39"/>
      <c r="Q2198" s="45"/>
      <c r="R2198" s="362"/>
      <c r="S2198" s="363"/>
      <c r="T2198" s="46"/>
      <c r="U2198" s="44"/>
      <c r="V2198" s="1418">
        <f t="shared" si="224"/>
        <v>0</v>
      </c>
      <c r="W2198" s="357"/>
      <c r="X2198" s="357"/>
      <c r="Y2198" s="357"/>
      <c r="Z2198" s="358"/>
      <c r="AA2198" s="359"/>
      <c r="AB2198" s="360"/>
    </row>
    <row r="2199" spans="1:36" s="369" customFormat="1" ht="15" hidden="1">
      <c r="A2199" s="364"/>
      <c r="B2199" s="355"/>
      <c r="C2199" s="32"/>
      <c r="D2199" s="33"/>
      <c r="E2199" s="34"/>
      <c r="F2199" s="35"/>
      <c r="G2199" s="33"/>
      <c r="H2199" s="34"/>
      <c r="I2199" s="35"/>
      <c r="J2199" s="43"/>
      <c r="K2199" s="42"/>
      <c r="L2199" s="39"/>
      <c r="M2199" s="41"/>
      <c r="N2199" s="40"/>
      <c r="O2199" s="40"/>
      <c r="P2199" s="39"/>
      <c r="Q2199" s="38"/>
      <c r="R2199" s="365"/>
      <c r="S2199" s="366"/>
      <c r="T2199" s="46"/>
      <c r="U2199" s="44"/>
      <c r="V2199" s="1418">
        <f t="shared" si="224"/>
        <v>0</v>
      </c>
      <c r="W2199" s="367"/>
      <c r="X2199" s="367"/>
      <c r="Y2199" s="367"/>
      <c r="Z2199" s="368"/>
    </row>
    <row r="2200" spans="1:36" s="77" customFormat="1" ht="15" hidden="1">
      <c r="A2200" s="370"/>
      <c r="B2200" s="29"/>
      <c r="C2200" s="30"/>
      <c r="D2200" s="18"/>
      <c r="E2200" s="19"/>
      <c r="F2200" s="20"/>
      <c r="G2200" s="18"/>
      <c r="H2200" s="19"/>
      <c r="I2200" s="20"/>
      <c r="J2200" s="21"/>
      <c r="K2200" s="22"/>
      <c r="L2200" s="23"/>
      <c r="M2200" s="24"/>
      <c r="N2200" s="25"/>
      <c r="O2200" s="25"/>
      <c r="P2200" s="23"/>
      <c r="Q2200" s="26"/>
      <c r="R2200" s="371"/>
      <c r="S2200" s="27"/>
      <c r="T2200" s="372"/>
      <c r="U2200" s="31"/>
      <c r="V2200" s="1418">
        <f t="shared" si="224"/>
        <v>0</v>
      </c>
      <c r="AB2200" s="15"/>
    </row>
    <row r="2201" spans="1:36" s="77" customFormat="1" ht="15.6" hidden="1">
      <c r="A2201" s="370"/>
      <c r="B2201" s="499"/>
      <c r="C2201" s="37"/>
      <c r="D2201" s="1929" t="s">
        <v>1520</v>
      </c>
      <c r="E2201" s="1930"/>
      <c r="F2201" s="1930"/>
      <c r="G2201" s="1930"/>
      <c r="H2201" s="1930"/>
      <c r="I2201" s="1931"/>
      <c r="J2201" s="1932">
        <f>VLOOKUP(A2203,'11 - FINANCEIRA'!_xlnm.Print_Area,6,FALSE)</f>
        <v>0.56000000000000005</v>
      </c>
      <c r="K2201" s="1933"/>
      <c r="L2201" s="1343" t="str">
        <f>VLOOKUP(A2203,'11 - FINANCEIRA'!_xlnm.Print_Area,4,FALSE)</f>
        <v>m²</v>
      </c>
      <c r="M2201" s="1934" t="s">
        <v>1521</v>
      </c>
      <c r="N2201" s="1935"/>
      <c r="O2201" s="1935"/>
      <c r="P2201" s="1935"/>
      <c r="Q2201" s="1936"/>
      <c r="R2201" s="726">
        <f>SUM(R2197:R2200)</f>
        <v>0</v>
      </c>
      <c r="S2201" s="1344" t="str">
        <f>L2201</f>
        <v>m²</v>
      </c>
      <c r="T2201" s="373"/>
      <c r="U2201" s="486"/>
      <c r="V2201" s="1418">
        <f t="shared" si="224"/>
        <v>0</v>
      </c>
      <c r="AB2201" s="15"/>
    </row>
    <row r="2202" spans="1:36" s="77" customFormat="1" ht="15.6" hidden="1">
      <c r="A2202" s="370"/>
      <c r="B2202" s="499"/>
      <c r="C2202" s="725"/>
      <c r="D2202" s="1937" t="s">
        <v>1522</v>
      </c>
      <c r="E2202" s="1938"/>
      <c r="F2202" s="1938"/>
      <c r="G2202" s="1938"/>
      <c r="H2202" s="1938"/>
      <c r="I2202" s="1939"/>
      <c r="J2202" s="1943">
        <f>R2201/J2201</f>
        <v>0</v>
      </c>
      <c r="K2202" s="1944"/>
      <c r="L2202" s="1947"/>
      <c r="M2202" s="1934" t="s">
        <v>1523</v>
      </c>
      <c r="N2202" s="1935"/>
      <c r="O2202" s="1935"/>
      <c r="P2202" s="1935"/>
      <c r="Q2202" s="1936"/>
      <c r="R2202" s="726">
        <f>VLOOKUP(A2203,'11 - FINANCEIRA'!_xlnm.Print_Area,8,FALSE)</f>
        <v>0</v>
      </c>
      <c r="S2202" s="727" t="str">
        <f>L2201</f>
        <v>m²</v>
      </c>
      <c r="T2202" s="373"/>
      <c r="U2202" s="486"/>
      <c r="V2202" s="1418">
        <f t="shared" si="224"/>
        <v>0</v>
      </c>
      <c r="AB2202" s="15"/>
    </row>
    <row r="2203" spans="1:36" s="77" customFormat="1" ht="15.6" hidden="1">
      <c r="A2203" s="364" t="s">
        <v>521</v>
      </c>
      <c r="B2203" s="499"/>
      <c r="C2203" s="37"/>
      <c r="D2203" s="2013"/>
      <c r="E2203" s="2014"/>
      <c r="F2203" s="2014"/>
      <c r="G2203" s="2014"/>
      <c r="H2203" s="2014"/>
      <c r="I2203" s="2015"/>
      <c r="J2203" s="2016"/>
      <c r="K2203" s="2017"/>
      <c r="L2203" s="1962"/>
      <c r="M2203" s="2007" t="s">
        <v>1524</v>
      </c>
      <c r="N2203" s="2008"/>
      <c r="O2203" s="2008"/>
      <c r="P2203" s="2008"/>
      <c r="Q2203" s="2009"/>
      <c r="R2203" s="1345">
        <f>R2201-R2202</f>
        <v>0</v>
      </c>
      <c r="S2203" s="1346" t="str">
        <f>L2201</f>
        <v>m²</v>
      </c>
      <c r="T2203" s="373"/>
      <c r="U2203" s="486"/>
      <c r="V2203" s="1418">
        <f>R2203</f>
        <v>0</v>
      </c>
      <c r="AB2203" s="15"/>
    </row>
    <row r="2204" spans="1:36" s="77" customFormat="1" ht="15.6" hidden="1">
      <c r="A2204" s="370"/>
      <c r="B2204" s="1347"/>
      <c r="C2204" s="1348"/>
      <c r="D2204" s="1349"/>
      <c r="E2204" s="1350"/>
      <c r="F2204" s="1349"/>
      <c r="G2204" s="1349"/>
      <c r="H2204" s="1349"/>
      <c r="I2204" s="1349"/>
      <c r="J2204" s="1351"/>
      <c r="K2204" s="1352"/>
      <c r="L2204" s="1353"/>
      <c r="M2204" s="1354"/>
      <c r="N2204" s="1354"/>
      <c r="O2204" s="1354"/>
      <c r="P2204" s="1354"/>
      <c r="Q2204" s="1354"/>
      <c r="R2204" s="1355"/>
      <c r="S2204" s="1356"/>
      <c r="T2204" s="1357"/>
      <c r="U2204" s="1358"/>
      <c r="V2204" s="1420">
        <f>SUM(V2195:V2203)</f>
        <v>0</v>
      </c>
      <c r="AB2204" s="15"/>
    </row>
    <row r="2205" spans="1:36" s="352" customFormat="1" ht="15.6" hidden="1">
      <c r="A2205" s="351"/>
      <c r="B2205" s="1963" t="str">
        <f>VLOOKUP(A2213,'11 - FINANCEIRA'!_xlnm.Print_Area,1,FALSE)</f>
        <v>2.3.11.12</v>
      </c>
      <c r="C2205" s="1965" t="str">
        <f>VLOOKUP(A2213,'11 - FINANCEIRA'!_xlnm.Print_Area,3,FALSE)</f>
        <v>Execução de pátio/estacionamento em piso intertravado, com bloco retangular cor natural de 20 x 10 cm, espessura 8 cm. af_12/2015</v>
      </c>
      <c r="D2205" s="1967" t="s">
        <v>1503</v>
      </c>
      <c r="E2205" s="1968"/>
      <c r="F2205" s="1968"/>
      <c r="G2205" s="1968"/>
      <c r="H2205" s="1968"/>
      <c r="I2205" s="1969"/>
      <c r="J2205" s="1914" t="s">
        <v>1504</v>
      </c>
      <c r="K2205" s="1914" t="s">
        <v>1505</v>
      </c>
      <c r="L2205" s="1914" t="s">
        <v>1506</v>
      </c>
      <c r="M2205" s="1914" t="s">
        <v>1507</v>
      </c>
      <c r="N2205" s="1914" t="s">
        <v>1508</v>
      </c>
      <c r="O2205" s="1914" t="s">
        <v>1509</v>
      </c>
      <c r="P2205" s="1341" t="s">
        <v>1510</v>
      </c>
      <c r="Q2205" s="1914" t="s">
        <v>1493</v>
      </c>
      <c r="R2205" s="1916" t="s">
        <v>804</v>
      </c>
      <c r="S2205" s="1914" t="s">
        <v>1511</v>
      </c>
      <c r="T2205" s="1914" t="s">
        <v>1512</v>
      </c>
      <c r="U2205" s="1918" t="s">
        <v>1513</v>
      </c>
      <c r="V2205" s="1418">
        <f t="shared" ref="V2205:V2212" si="225">V2206</f>
        <v>0</v>
      </c>
      <c r="W2205" s="16"/>
      <c r="X2205" s="16"/>
      <c r="Y2205" s="16"/>
      <c r="Z2205" s="17"/>
      <c r="AA2205" s="12"/>
      <c r="AB2205" s="12"/>
      <c r="AC2205" s="12"/>
      <c r="AD2205" s="1227"/>
      <c r="AE2205" s="12"/>
      <c r="AF2205" s="12"/>
      <c r="AG2205" s="12"/>
      <c r="AH2205" s="12"/>
      <c r="AI2205" s="12"/>
      <c r="AJ2205" s="12"/>
    </row>
    <row r="2206" spans="1:36" s="352" customFormat="1" ht="15.6" hidden="1">
      <c r="A2206" s="351"/>
      <c r="B2206" s="1964" t="e">
        <f>LEFT(#REF!,5)</f>
        <v>#REF!</v>
      </c>
      <c r="C2206" s="1966" t="e">
        <f>VLOOKUP(LEFT(#REF!,5),'11 - FINANCEIRA'!_xlnm.Print_Area,2,FALSE)</f>
        <v>#REF!</v>
      </c>
      <c r="D2206" s="1920" t="s">
        <v>1514</v>
      </c>
      <c r="E2206" s="1921"/>
      <c r="F2206" s="1922"/>
      <c r="G2206" s="1923" t="s">
        <v>1515</v>
      </c>
      <c r="H2206" s="1924"/>
      <c r="I2206" s="1925"/>
      <c r="J2206" s="1915"/>
      <c r="K2206" s="1915"/>
      <c r="L2206" s="1915"/>
      <c r="M2206" s="1915"/>
      <c r="N2206" s="1915"/>
      <c r="O2206" s="1915"/>
      <c r="P2206" s="353" t="s">
        <v>1516</v>
      </c>
      <c r="Q2206" s="1915"/>
      <c r="R2206" s="1917"/>
      <c r="S2206" s="1915"/>
      <c r="T2206" s="1915"/>
      <c r="U2206" s="1919"/>
      <c r="V2206" s="1418">
        <f t="shared" si="225"/>
        <v>0</v>
      </c>
      <c r="W2206" s="16"/>
      <c r="X2206" s="16"/>
      <c r="Y2206" s="16"/>
      <c r="Z2206" s="17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</row>
    <row r="2207" spans="1:36" s="361" customFormat="1" ht="30" hidden="1">
      <c r="A2207" s="354"/>
      <c r="B2207" s="355"/>
      <c r="C2207" s="28" t="s">
        <v>1063</v>
      </c>
      <c r="D2207" s="18"/>
      <c r="E2207" s="19"/>
      <c r="F2207" s="20"/>
      <c r="G2207" s="18"/>
      <c r="H2207" s="19"/>
      <c r="I2207" s="20"/>
      <c r="J2207" s="21"/>
      <c r="K2207" s="22"/>
      <c r="L2207" s="23"/>
      <c r="M2207" s="24"/>
      <c r="N2207" s="728"/>
      <c r="O2207" s="25"/>
      <c r="P2207" s="23"/>
      <c r="Q2207" s="729"/>
      <c r="R2207" s="1109">
        <v>1117.73</v>
      </c>
      <c r="S2207" s="730" t="s">
        <v>821</v>
      </c>
      <c r="T2207" s="446" t="s">
        <v>328</v>
      </c>
      <c r="U2207" s="44"/>
      <c r="V2207" s="1418">
        <f t="shared" si="225"/>
        <v>0</v>
      </c>
      <c r="W2207" s="357"/>
      <c r="X2207" s="357"/>
      <c r="Y2207" s="357"/>
      <c r="Z2207" s="358" t="s">
        <v>1922</v>
      </c>
      <c r="AA2207" s="359"/>
      <c r="AB2207" s="360"/>
    </row>
    <row r="2208" spans="1:36" s="361" customFormat="1" ht="30" hidden="1">
      <c r="A2208" s="354"/>
      <c r="B2208" s="355"/>
      <c r="C2208" s="32" t="s">
        <v>1063</v>
      </c>
      <c r="D2208" s="33"/>
      <c r="E2208" s="34"/>
      <c r="F2208" s="35"/>
      <c r="G2208" s="33"/>
      <c r="H2208" s="34"/>
      <c r="I2208" s="35"/>
      <c r="J2208" s="43"/>
      <c r="K2208" s="42"/>
      <c r="L2208" s="39"/>
      <c r="M2208" s="41"/>
      <c r="N2208" s="356"/>
      <c r="O2208" s="40"/>
      <c r="P2208" s="39"/>
      <c r="Q2208" s="45"/>
      <c r="R2208" s="362">
        <f>J2211-R2207</f>
        <v>311.94000000000005</v>
      </c>
      <c r="S2208" s="363" t="s">
        <v>821</v>
      </c>
      <c r="T2208" s="46" t="s">
        <v>330</v>
      </c>
      <c r="U2208" s="44"/>
      <c r="V2208" s="1418">
        <f t="shared" si="225"/>
        <v>0</v>
      </c>
      <c r="W2208" s="357"/>
      <c r="X2208" s="357"/>
      <c r="Y2208" s="357"/>
      <c r="Z2208" s="358"/>
      <c r="AA2208" s="359"/>
      <c r="AB2208" s="360"/>
    </row>
    <row r="2209" spans="1:36" s="369" customFormat="1" ht="15" hidden="1">
      <c r="A2209" s="364"/>
      <c r="B2209" s="355"/>
      <c r="C2209" s="32"/>
      <c r="D2209" s="33"/>
      <c r="E2209" s="34"/>
      <c r="F2209" s="35"/>
      <c r="G2209" s="33"/>
      <c r="H2209" s="34"/>
      <c r="I2209" s="35"/>
      <c r="J2209" s="43"/>
      <c r="K2209" s="42"/>
      <c r="L2209" s="39"/>
      <c r="M2209" s="41"/>
      <c r="N2209" s="40"/>
      <c r="O2209" s="40"/>
      <c r="P2209" s="39"/>
      <c r="Q2209" s="38"/>
      <c r="R2209" s="365"/>
      <c r="S2209" s="366"/>
      <c r="T2209" s="46"/>
      <c r="U2209" s="44"/>
      <c r="V2209" s="1418">
        <f t="shared" si="225"/>
        <v>0</v>
      </c>
      <c r="W2209" s="367"/>
      <c r="X2209" s="367"/>
      <c r="Y2209" s="367"/>
      <c r="Z2209" s="368"/>
    </row>
    <row r="2210" spans="1:36" s="77" customFormat="1" ht="15" hidden="1">
      <c r="A2210" s="370"/>
      <c r="B2210" s="29"/>
      <c r="C2210" s="30"/>
      <c r="D2210" s="18"/>
      <c r="E2210" s="19"/>
      <c r="F2210" s="20"/>
      <c r="G2210" s="18"/>
      <c r="H2210" s="19"/>
      <c r="I2210" s="20"/>
      <c r="J2210" s="21"/>
      <c r="K2210" s="22"/>
      <c r="L2210" s="23"/>
      <c r="M2210" s="24"/>
      <c r="N2210" s="25"/>
      <c r="O2210" s="25"/>
      <c r="P2210" s="23"/>
      <c r="Q2210" s="26"/>
      <c r="R2210" s="371"/>
      <c r="S2210" s="27"/>
      <c r="T2210" s="372"/>
      <c r="U2210" s="31"/>
      <c r="V2210" s="1418">
        <f t="shared" si="225"/>
        <v>0</v>
      </c>
      <c r="AB2210" s="15"/>
    </row>
    <row r="2211" spans="1:36" s="77" customFormat="1" ht="15.6" hidden="1">
      <c r="A2211" s="370"/>
      <c r="B2211" s="499"/>
      <c r="C2211" s="37"/>
      <c r="D2211" s="1929" t="s">
        <v>1520</v>
      </c>
      <c r="E2211" s="1930"/>
      <c r="F2211" s="1930"/>
      <c r="G2211" s="1930"/>
      <c r="H2211" s="1930"/>
      <c r="I2211" s="1931"/>
      <c r="J2211" s="1932">
        <f>VLOOKUP(A2213,'11 - FINANCEIRA'!_xlnm.Print_Area,6,FALSE)</f>
        <v>1429.67</v>
      </c>
      <c r="K2211" s="1933"/>
      <c r="L2211" s="1343" t="str">
        <f>VLOOKUP(A2213,'11 - FINANCEIRA'!_xlnm.Print_Area,4,FALSE)</f>
        <v>m²</v>
      </c>
      <c r="M2211" s="1934" t="s">
        <v>1521</v>
      </c>
      <c r="N2211" s="1935"/>
      <c r="O2211" s="1935"/>
      <c r="P2211" s="1935"/>
      <c r="Q2211" s="1936"/>
      <c r="R2211" s="726">
        <f>SUM(R2207:R2210)</f>
        <v>1429.67</v>
      </c>
      <c r="S2211" s="1344" t="str">
        <f>L2211</f>
        <v>m²</v>
      </c>
      <c r="T2211" s="373"/>
      <c r="U2211" s="486"/>
      <c r="V2211" s="1418">
        <f t="shared" si="225"/>
        <v>0</v>
      </c>
      <c r="AB2211" s="15"/>
    </row>
    <row r="2212" spans="1:36" s="77" customFormat="1" ht="15.6" hidden="1">
      <c r="A2212" s="370"/>
      <c r="B2212" s="499"/>
      <c r="C2212" s="725"/>
      <c r="D2212" s="1937" t="s">
        <v>1522</v>
      </c>
      <c r="E2212" s="1938"/>
      <c r="F2212" s="1938"/>
      <c r="G2212" s="1938"/>
      <c r="H2212" s="1938"/>
      <c r="I2212" s="1939"/>
      <c r="J2212" s="1943">
        <f>R2211/J2211</f>
        <v>1</v>
      </c>
      <c r="K2212" s="1944"/>
      <c r="L2212" s="1947"/>
      <c r="M2212" s="1934" t="s">
        <v>1523</v>
      </c>
      <c r="N2212" s="1935"/>
      <c r="O2212" s="1935"/>
      <c r="P2212" s="1935"/>
      <c r="Q2212" s="1936"/>
      <c r="R2212" s="726">
        <f>VLOOKUP(A2213,'11 - FINANCEIRA'!_xlnm.Print_Area,8,FALSE)</f>
        <v>1429.67</v>
      </c>
      <c r="S2212" s="727" t="str">
        <f>L2211</f>
        <v>m²</v>
      </c>
      <c r="T2212" s="373"/>
      <c r="U2212" s="486"/>
      <c r="V2212" s="1418">
        <f t="shared" si="225"/>
        <v>0</v>
      </c>
      <c r="AB2212" s="15"/>
    </row>
    <row r="2213" spans="1:36" s="77" customFormat="1" ht="15.6" hidden="1">
      <c r="A2213" s="364" t="s">
        <v>522</v>
      </c>
      <c r="B2213" s="499"/>
      <c r="C2213" s="37"/>
      <c r="D2213" s="2013"/>
      <c r="E2213" s="2014"/>
      <c r="F2213" s="2014"/>
      <c r="G2213" s="2014"/>
      <c r="H2213" s="2014"/>
      <c r="I2213" s="2015"/>
      <c r="J2213" s="2016"/>
      <c r="K2213" s="2017"/>
      <c r="L2213" s="1962"/>
      <c r="M2213" s="2007" t="s">
        <v>1524</v>
      </c>
      <c r="N2213" s="2008"/>
      <c r="O2213" s="2008"/>
      <c r="P2213" s="2008"/>
      <c r="Q2213" s="2009"/>
      <c r="R2213" s="1345">
        <f>R2211-R2212</f>
        <v>0</v>
      </c>
      <c r="S2213" s="1346" t="str">
        <f>L2211</f>
        <v>m²</v>
      </c>
      <c r="T2213" s="373"/>
      <c r="U2213" s="486"/>
      <c r="V2213" s="1418">
        <f>R2213</f>
        <v>0</v>
      </c>
      <c r="AB2213" s="15"/>
    </row>
    <row r="2214" spans="1:36" s="77" customFormat="1" ht="15.6" hidden="1">
      <c r="A2214" s="370"/>
      <c r="B2214" s="1347"/>
      <c r="C2214" s="1348"/>
      <c r="D2214" s="1349"/>
      <c r="E2214" s="1350"/>
      <c r="F2214" s="1349"/>
      <c r="G2214" s="1349"/>
      <c r="H2214" s="1349"/>
      <c r="I2214" s="1349"/>
      <c r="J2214" s="1351"/>
      <c r="K2214" s="1352"/>
      <c r="L2214" s="1353"/>
      <c r="M2214" s="1354"/>
      <c r="N2214" s="1354"/>
      <c r="O2214" s="1354"/>
      <c r="P2214" s="1354"/>
      <c r="Q2214" s="1354"/>
      <c r="R2214" s="1355"/>
      <c r="S2214" s="1356"/>
      <c r="T2214" s="1357"/>
      <c r="U2214" s="1358"/>
      <c r="V2214" s="1420">
        <f>SUM(V2205:V2213)</f>
        <v>0</v>
      </c>
      <c r="AB2214" s="15"/>
    </row>
    <row r="2215" spans="1:36" s="352" customFormat="1" ht="15.6">
      <c r="A2215" s="351"/>
      <c r="B2215" s="1963" t="str">
        <f>VLOOKUP(A2223,'11 - FINANCEIRA'!_xlnm.Print_Area,1,FALSE)</f>
        <v>2.3.11.13</v>
      </c>
      <c r="C2215" s="1965" t="str">
        <f>VLOOKUP(A2223,'11 - FINANCEIRA'!_xlnm.Print_Area,3,FALSE)</f>
        <v xml:space="preserve">Aterro mecanizado de vala com escavadeira hidráulica </v>
      </c>
      <c r="D2215" s="1967" t="s">
        <v>1503</v>
      </c>
      <c r="E2215" s="1968"/>
      <c r="F2215" s="1968"/>
      <c r="G2215" s="1968"/>
      <c r="H2215" s="1968"/>
      <c r="I2215" s="1969"/>
      <c r="J2215" s="1914" t="s">
        <v>1504</v>
      </c>
      <c r="K2215" s="1914" t="s">
        <v>1505</v>
      </c>
      <c r="L2215" s="1914" t="s">
        <v>1506</v>
      </c>
      <c r="M2215" s="1914" t="s">
        <v>1507</v>
      </c>
      <c r="N2215" s="1914" t="s">
        <v>1508</v>
      </c>
      <c r="O2215" s="1914" t="s">
        <v>1509</v>
      </c>
      <c r="P2215" s="1341" t="s">
        <v>1510</v>
      </c>
      <c r="Q2215" s="1914" t="s">
        <v>1493</v>
      </c>
      <c r="R2215" s="1916" t="s">
        <v>804</v>
      </c>
      <c r="S2215" s="1914" t="s">
        <v>1511</v>
      </c>
      <c r="T2215" s="1914" t="s">
        <v>1512</v>
      </c>
      <c r="U2215" s="1918" t="s">
        <v>1513</v>
      </c>
      <c r="V2215" s="1418">
        <f t="shared" ref="V2215:V2222" si="226">V2216</f>
        <v>50</v>
      </c>
      <c r="W2215" s="16"/>
      <c r="X2215" s="16"/>
      <c r="Y2215" s="16"/>
      <c r="Z2215" s="17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</row>
    <row r="2216" spans="1:36" s="352" customFormat="1" ht="15.6">
      <c r="A2216" s="351"/>
      <c r="B2216" s="1964" t="e">
        <f>LEFT(#REF!,5)</f>
        <v>#REF!</v>
      </c>
      <c r="C2216" s="1966" t="e">
        <f>VLOOKUP(LEFT(#REF!,5),'11 - FINANCEIRA'!_xlnm.Print_Area,2,FALSE)</f>
        <v>#REF!</v>
      </c>
      <c r="D2216" s="1920" t="s">
        <v>1514</v>
      </c>
      <c r="E2216" s="1921"/>
      <c r="F2216" s="1922"/>
      <c r="G2216" s="1923" t="s">
        <v>1515</v>
      </c>
      <c r="H2216" s="1924"/>
      <c r="I2216" s="1925"/>
      <c r="J2216" s="1915"/>
      <c r="K2216" s="1915"/>
      <c r="L2216" s="1915"/>
      <c r="M2216" s="1915"/>
      <c r="N2216" s="1915"/>
      <c r="O2216" s="1915"/>
      <c r="P2216" s="353" t="s">
        <v>1516</v>
      </c>
      <c r="Q2216" s="1915"/>
      <c r="R2216" s="1917"/>
      <c r="S2216" s="1915"/>
      <c r="T2216" s="1915"/>
      <c r="U2216" s="1919"/>
      <c r="V2216" s="1418">
        <f t="shared" si="226"/>
        <v>50</v>
      </c>
      <c r="W2216" s="16"/>
      <c r="X2216" s="16"/>
      <c r="Y2216" s="16"/>
      <c r="Z2216" s="17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</row>
    <row r="2217" spans="1:36" s="361" customFormat="1" ht="15" customHeight="1">
      <c r="A2217" s="354"/>
      <c r="B2217" s="355"/>
      <c r="C2217" s="32" t="s">
        <v>1064</v>
      </c>
      <c r="D2217" s="33"/>
      <c r="E2217" s="34"/>
      <c r="F2217" s="35"/>
      <c r="G2217" s="33"/>
      <c r="H2217" s="34"/>
      <c r="I2217" s="35"/>
      <c r="J2217" s="43"/>
      <c r="K2217" s="42"/>
      <c r="L2217" s="39"/>
      <c r="M2217" s="41"/>
      <c r="N2217" s="356"/>
      <c r="O2217" s="40"/>
      <c r="P2217" s="39"/>
      <c r="Q2217" s="45"/>
      <c r="R2217" s="1359">
        <v>50</v>
      </c>
      <c r="S2217" s="1265" t="s">
        <v>853</v>
      </c>
      <c r="T2217" s="46" t="s">
        <v>332</v>
      </c>
      <c r="U2217" s="44"/>
      <c r="V2217" s="1418">
        <f t="shared" si="226"/>
        <v>50</v>
      </c>
      <c r="W2217" s="357"/>
      <c r="X2217" s="357"/>
      <c r="Y2217" s="357"/>
      <c r="Z2217" s="358"/>
      <c r="AA2217" s="359"/>
      <c r="AB2217" s="360"/>
    </row>
    <row r="2218" spans="1:36" s="361" customFormat="1" ht="15" customHeight="1">
      <c r="A2218" s="354"/>
      <c r="B2218" s="355"/>
      <c r="C2218" s="32"/>
      <c r="D2218" s="33"/>
      <c r="E2218" s="34"/>
      <c r="F2218" s="35"/>
      <c r="G2218" s="33"/>
      <c r="H2218" s="34"/>
      <c r="I2218" s="35"/>
      <c r="J2218" s="43"/>
      <c r="K2218" s="42"/>
      <c r="L2218" s="39"/>
      <c r="M2218" s="41"/>
      <c r="N2218" s="356"/>
      <c r="O2218" s="40"/>
      <c r="P2218" s="39"/>
      <c r="Q2218" s="45"/>
      <c r="R2218" s="362"/>
      <c r="S2218" s="363"/>
      <c r="T2218" s="46"/>
      <c r="U2218" s="44"/>
      <c r="V2218" s="1418">
        <f t="shared" si="226"/>
        <v>50</v>
      </c>
      <c r="W2218" s="357"/>
      <c r="X2218" s="357"/>
      <c r="Y2218" s="357"/>
      <c r="Z2218" s="358"/>
      <c r="AA2218" s="359"/>
      <c r="AB2218" s="360"/>
    </row>
    <row r="2219" spans="1:36" s="369" customFormat="1" ht="15">
      <c r="A2219" s="364"/>
      <c r="B2219" s="355"/>
      <c r="C2219" s="32"/>
      <c r="D2219" s="33"/>
      <c r="E2219" s="34"/>
      <c r="F2219" s="35"/>
      <c r="G2219" s="33"/>
      <c r="H2219" s="34"/>
      <c r="I2219" s="35"/>
      <c r="J2219" s="43"/>
      <c r="K2219" s="42"/>
      <c r="L2219" s="39"/>
      <c r="M2219" s="41"/>
      <c r="N2219" s="40"/>
      <c r="O2219" s="40"/>
      <c r="P2219" s="39"/>
      <c r="Q2219" s="38"/>
      <c r="R2219" s="365"/>
      <c r="S2219" s="366"/>
      <c r="T2219" s="46"/>
      <c r="U2219" s="44"/>
      <c r="V2219" s="1418">
        <f t="shared" si="226"/>
        <v>50</v>
      </c>
      <c r="W2219" s="367"/>
      <c r="X2219" s="367"/>
      <c r="Y2219" s="367"/>
      <c r="Z2219" s="368"/>
    </row>
    <row r="2220" spans="1:36" s="77" customFormat="1" ht="15">
      <c r="A2220" s="370"/>
      <c r="B2220" s="29"/>
      <c r="C2220" s="30"/>
      <c r="D2220" s="18"/>
      <c r="E2220" s="19"/>
      <c r="F2220" s="20"/>
      <c r="G2220" s="18"/>
      <c r="H2220" s="19"/>
      <c r="I2220" s="20"/>
      <c r="J2220" s="21"/>
      <c r="K2220" s="22"/>
      <c r="L2220" s="23"/>
      <c r="M2220" s="24"/>
      <c r="N2220" s="25"/>
      <c r="O2220" s="25"/>
      <c r="P2220" s="23"/>
      <c r="Q2220" s="26"/>
      <c r="R2220" s="371"/>
      <c r="S2220" s="27"/>
      <c r="T2220" s="372"/>
      <c r="U2220" s="31"/>
      <c r="V2220" s="1418">
        <f t="shared" si="226"/>
        <v>50</v>
      </c>
      <c r="AB2220" s="15"/>
    </row>
    <row r="2221" spans="1:36" s="77" customFormat="1" ht="15.6">
      <c r="A2221" s="370"/>
      <c r="B2221" s="499"/>
      <c r="C2221" s="37"/>
      <c r="D2221" s="1929" t="s">
        <v>1520</v>
      </c>
      <c r="E2221" s="1930"/>
      <c r="F2221" s="1930"/>
      <c r="G2221" s="1930"/>
      <c r="H2221" s="1930"/>
      <c r="I2221" s="1931"/>
      <c r="J2221" s="1932">
        <f>VLOOKUP(A2223,'11 - FINANCEIRA'!_xlnm.Print_Area,6,FALSE)</f>
        <v>2617.9299999999998</v>
      </c>
      <c r="K2221" s="1933"/>
      <c r="L2221" s="1343" t="str">
        <f>VLOOKUP(A2223,'11 - FINANCEIRA'!_xlnm.Print_Area,4,FALSE)</f>
        <v>m³</v>
      </c>
      <c r="M2221" s="1934" t="s">
        <v>1521</v>
      </c>
      <c r="N2221" s="1935"/>
      <c r="O2221" s="1935"/>
      <c r="P2221" s="1935"/>
      <c r="Q2221" s="1936"/>
      <c r="R2221" s="726">
        <f>SUM(R2217:R2220)</f>
        <v>50</v>
      </c>
      <c r="S2221" s="1344" t="str">
        <f>L2221</f>
        <v>m³</v>
      </c>
      <c r="T2221" s="373"/>
      <c r="U2221" s="486"/>
      <c r="V2221" s="1418">
        <f t="shared" si="226"/>
        <v>50</v>
      </c>
      <c r="AB2221" s="15"/>
    </row>
    <row r="2222" spans="1:36" s="77" customFormat="1" ht="15.6">
      <c r="A2222" s="370"/>
      <c r="B2222" s="499"/>
      <c r="C2222" s="725"/>
      <c r="D2222" s="1937" t="s">
        <v>1522</v>
      </c>
      <c r="E2222" s="1938"/>
      <c r="F2222" s="1938"/>
      <c r="G2222" s="1938"/>
      <c r="H2222" s="1938"/>
      <c r="I2222" s="1939"/>
      <c r="J2222" s="1943">
        <f>R2221/J2221</f>
        <v>1.9099059180344779E-2</v>
      </c>
      <c r="K2222" s="1944"/>
      <c r="L2222" s="1947"/>
      <c r="M2222" s="1934" t="s">
        <v>1523</v>
      </c>
      <c r="N2222" s="1935"/>
      <c r="O2222" s="1935"/>
      <c r="P2222" s="1935"/>
      <c r="Q2222" s="1936"/>
      <c r="R2222" s="726">
        <f>VLOOKUP(A2223,'11 - FINANCEIRA'!_xlnm.Print_Area,8,FALSE)</f>
        <v>0</v>
      </c>
      <c r="S2222" s="727" t="str">
        <f>L2221</f>
        <v>m³</v>
      </c>
      <c r="T2222" s="373"/>
      <c r="U2222" s="486"/>
      <c r="V2222" s="1418">
        <f t="shared" si="226"/>
        <v>50</v>
      </c>
      <c r="AB2222" s="15"/>
    </row>
    <row r="2223" spans="1:36" s="77" customFormat="1" ht="15.6">
      <c r="A2223" s="364" t="s">
        <v>523</v>
      </c>
      <c r="B2223" s="499"/>
      <c r="C2223" s="37"/>
      <c r="D2223" s="2013"/>
      <c r="E2223" s="2014"/>
      <c r="F2223" s="2014"/>
      <c r="G2223" s="2014"/>
      <c r="H2223" s="2014"/>
      <c r="I2223" s="2015"/>
      <c r="J2223" s="2016"/>
      <c r="K2223" s="2017"/>
      <c r="L2223" s="1962"/>
      <c r="M2223" s="2007" t="s">
        <v>1524</v>
      </c>
      <c r="N2223" s="2008"/>
      <c r="O2223" s="2008"/>
      <c r="P2223" s="2008"/>
      <c r="Q2223" s="2009"/>
      <c r="R2223" s="1345">
        <f>R2221-R2222</f>
        <v>50</v>
      </c>
      <c r="S2223" s="1346" t="str">
        <f>L2221</f>
        <v>m³</v>
      </c>
      <c r="T2223" s="373"/>
      <c r="U2223" s="486"/>
      <c r="V2223" s="1418">
        <f>R2223</f>
        <v>50</v>
      </c>
      <c r="AB2223" s="15"/>
    </row>
    <row r="2224" spans="1:36" s="77" customFormat="1" ht="15.6">
      <c r="A2224" s="370"/>
      <c r="B2224" s="1347"/>
      <c r="C2224" s="1348"/>
      <c r="D2224" s="1349"/>
      <c r="E2224" s="1350"/>
      <c r="F2224" s="1349"/>
      <c r="G2224" s="1349"/>
      <c r="H2224" s="1349"/>
      <c r="I2224" s="1349"/>
      <c r="J2224" s="1351"/>
      <c r="K2224" s="1352"/>
      <c r="L2224" s="1353"/>
      <c r="M2224" s="1354"/>
      <c r="N2224" s="1354"/>
      <c r="O2224" s="1354"/>
      <c r="P2224" s="1354"/>
      <c r="Q2224" s="1354"/>
      <c r="R2224" s="1355"/>
      <c r="S2224" s="1356"/>
      <c r="T2224" s="1357"/>
      <c r="U2224" s="1358"/>
      <c r="V2224" s="1420">
        <f>SUM(V2215:V2223)</f>
        <v>450</v>
      </c>
      <c r="AB2224" s="15"/>
    </row>
    <row r="2225" spans="1:36" s="352" customFormat="1" ht="15.6" hidden="1">
      <c r="A2225" s="351"/>
      <c r="B2225" s="1963" t="str">
        <f>VLOOKUP(A2233,'11 - FINANCEIRA'!_xlnm.Print_Area,1,FALSE)</f>
        <v>2.3.11.14</v>
      </c>
      <c r="C2225" s="1965" t="str">
        <f>VLOOKUP(A2233,'11 - FINANCEIRA'!_xlnm.Print_Area,3,FALSE)</f>
        <v>Laje sobre piso de rampas, escadas e calçadas</v>
      </c>
      <c r="D2225" s="1967" t="s">
        <v>1503</v>
      </c>
      <c r="E2225" s="1968"/>
      <c r="F2225" s="1968"/>
      <c r="G2225" s="1968"/>
      <c r="H2225" s="1968"/>
      <c r="I2225" s="1969"/>
      <c r="J2225" s="1914" t="s">
        <v>1504</v>
      </c>
      <c r="K2225" s="1914" t="s">
        <v>1505</v>
      </c>
      <c r="L2225" s="1914" t="s">
        <v>1506</v>
      </c>
      <c r="M2225" s="1914" t="s">
        <v>1507</v>
      </c>
      <c r="N2225" s="1914" t="s">
        <v>1508</v>
      </c>
      <c r="O2225" s="1914" t="s">
        <v>1509</v>
      </c>
      <c r="P2225" s="1341" t="s">
        <v>1510</v>
      </c>
      <c r="Q2225" s="1914" t="s">
        <v>1493</v>
      </c>
      <c r="R2225" s="1916" t="s">
        <v>804</v>
      </c>
      <c r="S2225" s="1914" t="s">
        <v>1511</v>
      </c>
      <c r="T2225" s="1914" t="s">
        <v>1512</v>
      </c>
      <c r="U2225" s="1918" t="s">
        <v>1513</v>
      </c>
      <c r="V2225" s="1418">
        <f t="shared" ref="V2225:V2232" si="227">V2226</f>
        <v>0</v>
      </c>
      <c r="W2225" s="16"/>
      <c r="X2225" s="16"/>
      <c r="Y2225" s="16"/>
      <c r="Z2225" s="17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</row>
    <row r="2226" spans="1:36" s="352" customFormat="1" ht="15.6" hidden="1">
      <c r="A2226" s="351"/>
      <c r="B2226" s="1964" t="e">
        <f>LEFT(#REF!,5)</f>
        <v>#REF!</v>
      </c>
      <c r="C2226" s="1966" t="e">
        <f>VLOOKUP(LEFT(#REF!,5),'11 - FINANCEIRA'!_xlnm.Print_Area,2,FALSE)</f>
        <v>#REF!</v>
      </c>
      <c r="D2226" s="1920" t="s">
        <v>1514</v>
      </c>
      <c r="E2226" s="1921"/>
      <c r="F2226" s="1922"/>
      <c r="G2226" s="1923" t="s">
        <v>1515</v>
      </c>
      <c r="H2226" s="1924"/>
      <c r="I2226" s="1925"/>
      <c r="J2226" s="1915"/>
      <c r="K2226" s="1915"/>
      <c r="L2226" s="1915"/>
      <c r="M2226" s="1915"/>
      <c r="N2226" s="1915"/>
      <c r="O2226" s="1915"/>
      <c r="P2226" s="353" t="s">
        <v>1516</v>
      </c>
      <c r="Q2226" s="1915"/>
      <c r="R2226" s="1917"/>
      <c r="S2226" s="1915"/>
      <c r="T2226" s="1915"/>
      <c r="U2226" s="1919"/>
      <c r="V2226" s="1418">
        <f t="shared" si="227"/>
        <v>0</v>
      </c>
      <c r="W2226" s="16"/>
      <c r="X2226" s="16"/>
      <c r="Y2226" s="16"/>
      <c r="Z2226" s="17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</row>
    <row r="2227" spans="1:36" s="361" customFormat="1" ht="15" hidden="1">
      <c r="A2227" s="354"/>
      <c r="B2227" s="355"/>
      <c r="C2227" s="32"/>
      <c r="D2227" s="33"/>
      <c r="E2227" s="34"/>
      <c r="F2227" s="35"/>
      <c r="G2227" s="33"/>
      <c r="H2227" s="34"/>
      <c r="I2227" s="35"/>
      <c r="J2227" s="43"/>
      <c r="K2227" s="42"/>
      <c r="L2227" s="39"/>
      <c r="M2227" s="41"/>
      <c r="N2227" s="356"/>
      <c r="O2227" s="40"/>
      <c r="P2227" s="39"/>
      <c r="Q2227" s="45"/>
      <c r="R2227" s="1359"/>
      <c r="S2227" s="1265"/>
      <c r="T2227" s="46"/>
      <c r="U2227" s="44"/>
      <c r="V2227" s="1418">
        <f t="shared" si="227"/>
        <v>0</v>
      </c>
      <c r="W2227" s="357"/>
      <c r="X2227" s="357"/>
      <c r="Y2227" s="357"/>
      <c r="Z2227" s="358"/>
      <c r="AA2227" s="359"/>
      <c r="AB2227" s="360"/>
    </row>
    <row r="2228" spans="1:36" s="361" customFormat="1" ht="15" hidden="1">
      <c r="A2228" s="354"/>
      <c r="B2228" s="355"/>
      <c r="C2228" s="32"/>
      <c r="D2228" s="33"/>
      <c r="E2228" s="34"/>
      <c r="F2228" s="35"/>
      <c r="G2228" s="33"/>
      <c r="H2228" s="34"/>
      <c r="I2228" s="35"/>
      <c r="J2228" s="43"/>
      <c r="K2228" s="42"/>
      <c r="L2228" s="39"/>
      <c r="M2228" s="41"/>
      <c r="N2228" s="356"/>
      <c r="O2228" s="40"/>
      <c r="P2228" s="39"/>
      <c r="Q2228" s="45"/>
      <c r="R2228" s="362"/>
      <c r="S2228" s="363"/>
      <c r="T2228" s="46"/>
      <c r="U2228" s="44"/>
      <c r="V2228" s="1418">
        <f t="shared" si="227"/>
        <v>0</v>
      </c>
      <c r="W2228" s="357"/>
      <c r="X2228" s="357"/>
      <c r="Y2228" s="357"/>
      <c r="Z2228" s="358"/>
      <c r="AA2228" s="359"/>
      <c r="AB2228" s="360"/>
    </row>
    <row r="2229" spans="1:36" s="369" customFormat="1" ht="15" hidden="1">
      <c r="A2229" s="364"/>
      <c r="B2229" s="355"/>
      <c r="C2229" s="32"/>
      <c r="D2229" s="33"/>
      <c r="E2229" s="34"/>
      <c r="F2229" s="35"/>
      <c r="G2229" s="33"/>
      <c r="H2229" s="34"/>
      <c r="I2229" s="35"/>
      <c r="J2229" s="43"/>
      <c r="K2229" s="42"/>
      <c r="L2229" s="39"/>
      <c r="M2229" s="41"/>
      <c r="N2229" s="40"/>
      <c r="O2229" s="40"/>
      <c r="P2229" s="39"/>
      <c r="Q2229" s="38"/>
      <c r="R2229" s="365"/>
      <c r="S2229" s="366"/>
      <c r="T2229" s="46"/>
      <c r="U2229" s="44"/>
      <c r="V2229" s="1418">
        <f t="shared" si="227"/>
        <v>0</v>
      </c>
      <c r="W2229" s="367"/>
      <c r="X2229" s="367"/>
      <c r="Y2229" s="367"/>
      <c r="Z2229" s="368"/>
    </row>
    <row r="2230" spans="1:36" s="77" customFormat="1" ht="15" hidden="1">
      <c r="A2230" s="370"/>
      <c r="B2230" s="29"/>
      <c r="C2230" s="30"/>
      <c r="D2230" s="18"/>
      <c r="E2230" s="19"/>
      <c r="F2230" s="20"/>
      <c r="G2230" s="18"/>
      <c r="H2230" s="19"/>
      <c r="I2230" s="20"/>
      <c r="J2230" s="21"/>
      <c r="K2230" s="22"/>
      <c r="L2230" s="23"/>
      <c r="M2230" s="24"/>
      <c r="N2230" s="25"/>
      <c r="O2230" s="25"/>
      <c r="P2230" s="23"/>
      <c r="Q2230" s="26"/>
      <c r="R2230" s="371"/>
      <c r="S2230" s="27"/>
      <c r="T2230" s="372"/>
      <c r="U2230" s="31"/>
      <c r="V2230" s="1418">
        <f t="shared" si="227"/>
        <v>0</v>
      </c>
      <c r="AB2230" s="15"/>
    </row>
    <row r="2231" spans="1:36" s="77" customFormat="1" ht="15.6" hidden="1">
      <c r="A2231" s="370"/>
      <c r="B2231" s="499"/>
      <c r="C2231" s="37"/>
      <c r="D2231" s="1929" t="s">
        <v>1520</v>
      </c>
      <c r="E2231" s="1930"/>
      <c r="F2231" s="1930"/>
      <c r="G2231" s="1930"/>
      <c r="H2231" s="1930"/>
      <c r="I2231" s="1931"/>
      <c r="J2231" s="1932">
        <f>VLOOKUP(A2233,'11 - FINANCEIRA'!_xlnm.Print_Area,6,FALSE)</f>
        <v>777.98</v>
      </c>
      <c r="K2231" s="1933"/>
      <c r="L2231" s="1343" t="str">
        <f>VLOOKUP(A2233,'11 - FINANCEIRA'!_xlnm.Print_Area,4,FALSE)</f>
        <v>m²</v>
      </c>
      <c r="M2231" s="1934" t="s">
        <v>1521</v>
      </c>
      <c r="N2231" s="1935"/>
      <c r="O2231" s="1935"/>
      <c r="P2231" s="1935"/>
      <c r="Q2231" s="1936"/>
      <c r="R2231" s="726">
        <f>SUM(R2227:R2230)</f>
        <v>0</v>
      </c>
      <c r="S2231" s="1344" t="str">
        <f>L2231</f>
        <v>m²</v>
      </c>
      <c r="T2231" s="373"/>
      <c r="U2231" s="486"/>
      <c r="V2231" s="1418">
        <f t="shared" si="227"/>
        <v>0</v>
      </c>
      <c r="AB2231" s="15"/>
    </row>
    <row r="2232" spans="1:36" s="77" customFormat="1" ht="15.6" hidden="1">
      <c r="A2232" s="370"/>
      <c r="B2232" s="499"/>
      <c r="C2232" s="725"/>
      <c r="D2232" s="1937" t="s">
        <v>1522</v>
      </c>
      <c r="E2232" s="1938"/>
      <c r="F2232" s="1938"/>
      <c r="G2232" s="1938"/>
      <c r="H2232" s="1938"/>
      <c r="I2232" s="1939"/>
      <c r="J2232" s="1943">
        <f>R2231/J2231</f>
        <v>0</v>
      </c>
      <c r="K2232" s="1944"/>
      <c r="L2232" s="1947"/>
      <c r="M2232" s="1934" t="s">
        <v>1523</v>
      </c>
      <c r="N2232" s="1935"/>
      <c r="O2232" s="1935"/>
      <c r="P2232" s="1935"/>
      <c r="Q2232" s="1936"/>
      <c r="R2232" s="726">
        <f>VLOOKUP(A2233,'11 - FINANCEIRA'!_xlnm.Print_Area,8,FALSE)</f>
        <v>0</v>
      </c>
      <c r="S2232" s="727" t="str">
        <f>L2231</f>
        <v>m²</v>
      </c>
      <c r="T2232" s="373"/>
      <c r="U2232" s="486"/>
      <c r="V2232" s="1418">
        <f t="shared" si="227"/>
        <v>0</v>
      </c>
      <c r="AB2232" s="15"/>
    </row>
    <row r="2233" spans="1:36" s="77" customFormat="1" ht="15.6" hidden="1">
      <c r="A2233" s="364" t="s">
        <v>524</v>
      </c>
      <c r="B2233" s="499"/>
      <c r="C2233" s="37"/>
      <c r="D2233" s="2013"/>
      <c r="E2233" s="2014"/>
      <c r="F2233" s="2014"/>
      <c r="G2233" s="2014"/>
      <c r="H2233" s="2014"/>
      <c r="I2233" s="2015"/>
      <c r="J2233" s="2016"/>
      <c r="K2233" s="2017"/>
      <c r="L2233" s="1962"/>
      <c r="M2233" s="2007" t="s">
        <v>1524</v>
      </c>
      <c r="N2233" s="2008"/>
      <c r="O2233" s="2008"/>
      <c r="P2233" s="2008"/>
      <c r="Q2233" s="2009"/>
      <c r="R2233" s="1345">
        <f>R2231-R2232</f>
        <v>0</v>
      </c>
      <c r="S2233" s="1346" t="str">
        <f>L2231</f>
        <v>m²</v>
      </c>
      <c r="T2233" s="373"/>
      <c r="U2233" s="486"/>
      <c r="V2233" s="1418">
        <f>R2233</f>
        <v>0</v>
      </c>
      <c r="AB2233" s="15"/>
    </row>
    <row r="2234" spans="1:36" s="77" customFormat="1" ht="15.6" hidden="1">
      <c r="A2234" s="370"/>
      <c r="B2234" s="1347"/>
      <c r="C2234" s="1348"/>
      <c r="D2234" s="1349"/>
      <c r="E2234" s="1350"/>
      <c r="F2234" s="1349"/>
      <c r="G2234" s="1349"/>
      <c r="H2234" s="1349"/>
      <c r="I2234" s="1349"/>
      <c r="J2234" s="1351"/>
      <c r="K2234" s="1352"/>
      <c r="L2234" s="1353"/>
      <c r="M2234" s="1354"/>
      <c r="N2234" s="1354"/>
      <c r="O2234" s="1354"/>
      <c r="P2234" s="1354"/>
      <c r="Q2234" s="1354"/>
      <c r="R2234" s="1355"/>
      <c r="S2234" s="1356"/>
      <c r="T2234" s="1357"/>
      <c r="U2234" s="1358"/>
      <c r="V2234" s="1420">
        <f>SUM(V2225:V2233)</f>
        <v>0</v>
      </c>
      <c r="AB2234" s="15"/>
    </row>
    <row r="2235" spans="1:36" s="352" customFormat="1" ht="15.6" hidden="1">
      <c r="A2235" s="351"/>
      <c r="B2235" s="1963" t="str">
        <f>VLOOKUP(A2243,'11 - FINANCEIRA'!_xlnm.Print_Area,1,FALSE)</f>
        <v>2.3.11.15</v>
      </c>
      <c r="C2235" s="1965" t="str">
        <f>VLOOKUP(A2243,'11 - FINANCEIRA'!_xlnm.Print_Area,3,FALSE)</f>
        <v>Mureta de proteção</v>
      </c>
      <c r="D2235" s="1967" t="s">
        <v>1503</v>
      </c>
      <c r="E2235" s="1968"/>
      <c r="F2235" s="1968"/>
      <c r="G2235" s="1968"/>
      <c r="H2235" s="1968"/>
      <c r="I2235" s="1969"/>
      <c r="J2235" s="1914" t="s">
        <v>1504</v>
      </c>
      <c r="K2235" s="1914" t="s">
        <v>1505</v>
      </c>
      <c r="L2235" s="1914" t="s">
        <v>1506</v>
      </c>
      <c r="M2235" s="1914" t="s">
        <v>1507</v>
      </c>
      <c r="N2235" s="1914" t="s">
        <v>1508</v>
      </c>
      <c r="O2235" s="1914" t="s">
        <v>1509</v>
      </c>
      <c r="P2235" s="1341" t="s">
        <v>1510</v>
      </c>
      <c r="Q2235" s="1914" t="s">
        <v>1493</v>
      </c>
      <c r="R2235" s="1916" t="s">
        <v>804</v>
      </c>
      <c r="S2235" s="1914" t="s">
        <v>1511</v>
      </c>
      <c r="T2235" s="1914" t="s">
        <v>1512</v>
      </c>
      <c r="U2235" s="1918" t="s">
        <v>1513</v>
      </c>
      <c r="V2235" s="1418">
        <f t="shared" ref="V2235:V2242" si="228">V2236</f>
        <v>0</v>
      </c>
      <c r="W2235" s="16"/>
      <c r="X2235" s="16"/>
      <c r="Y2235" s="16"/>
      <c r="Z2235" s="17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</row>
    <row r="2236" spans="1:36" s="352" customFormat="1" ht="15.6" hidden="1">
      <c r="A2236" s="351"/>
      <c r="B2236" s="1964" t="e">
        <f>LEFT(#REF!,5)</f>
        <v>#REF!</v>
      </c>
      <c r="C2236" s="1966" t="e">
        <f>VLOOKUP(LEFT(#REF!,5),'11 - FINANCEIRA'!_xlnm.Print_Area,2,FALSE)</f>
        <v>#REF!</v>
      </c>
      <c r="D2236" s="1920" t="s">
        <v>1514</v>
      </c>
      <c r="E2236" s="1921"/>
      <c r="F2236" s="1922"/>
      <c r="G2236" s="1923" t="s">
        <v>1515</v>
      </c>
      <c r="H2236" s="1924"/>
      <c r="I2236" s="1925"/>
      <c r="J2236" s="1915"/>
      <c r="K2236" s="1915"/>
      <c r="L2236" s="1915"/>
      <c r="M2236" s="1915"/>
      <c r="N2236" s="1915"/>
      <c r="O2236" s="1915"/>
      <c r="P2236" s="353" t="s">
        <v>1516</v>
      </c>
      <c r="Q2236" s="1915"/>
      <c r="R2236" s="1917"/>
      <c r="S2236" s="1915"/>
      <c r="T2236" s="1915"/>
      <c r="U2236" s="1919"/>
      <c r="V2236" s="1418">
        <f t="shared" si="228"/>
        <v>0</v>
      </c>
      <c r="W2236" s="16"/>
      <c r="X2236" s="16"/>
      <c r="Y2236" s="16"/>
      <c r="Z2236" s="17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</row>
    <row r="2237" spans="1:36" s="361" customFormat="1" ht="15" hidden="1" customHeight="1">
      <c r="A2237" s="354"/>
      <c r="B2237" s="355"/>
      <c r="C2237" s="32" t="s">
        <v>1068</v>
      </c>
      <c r="D2237" s="33"/>
      <c r="E2237" s="34"/>
      <c r="F2237" s="35"/>
      <c r="G2237" s="33"/>
      <c r="H2237" s="34"/>
      <c r="I2237" s="35"/>
      <c r="J2237" s="43"/>
      <c r="K2237" s="42">
        <v>37.26</v>
      </c>
      <c r="L2237" s="39"/>
      <c r="M2237" s="41">
        <v>1.1000000000000001</v>
      </c>
      <c r="N2237" s="356">
        <f>M2237*K2237</f>
        <v>40.986000000000004</v>
      </c>
      <c r="O2237" s="40"/>
      <c r="P2237" s="39"/>
      <c r="Q2237" s="45"/>
      <c r="R2237" s="362">
        <f>N2237</f>
        <v>40.986000000000004</v>
      </c>
      <c r="S2237" s="363" t="s">
        <v>1480</v>
      </c>
      <c r="T2237" s="46" t="s">
        <v>325</v>
      </c>
      <c r="U2237" s="44" t="s">
        <v>1923</v>
      </c>
      <c r="V2237" s="1418">
        <f t="shared" si="228"/>
        <v>0</v>
      </c>
      <c r="W2237" s="357"/>
      <c r="X2237" s="357"/>
      <c r="Y2237" s="357"/>
      <c r="Z2237" s="358"/>
      <c r="AA2237" s="359"/>
      <c r="AB2237" s="360"/>
    </row>
    <row r="2238" spans="1:36" s="361" customFormat="1" ht="15" hidden="1" customHeight="1">
      <c r="A2238" s="354"/>
      <c r="B2238" s="355"/>
      <c r="C2238" s="32" t="s">
        <v>1068</v>
      </c>
      <c r="D2238" s="33"/>
      <c r="E2238" s="34"/>
      <c r="F2238" s="35"/>
      <c r="G2238" s="33"/>
      <c r="H2238" s="34"/>
      <c r="I2238" s="35"/>
      <c r="J2238" s="43"/>
      <c r="K2238" s="42">
        <f>17+53.6</f>
        <v>70.599999999999994</v>
      </c>
      <c r="L2238" s="39"/>
      <c r="M2238" s="41">
        <v>1</v>
      </c>
      <c r="N2238" s="356">
        <f>M2238*K2238</f>
        <v>70.599999999999994</v>
      </c>
      <c r="O2238" s="40"/>
      <c r="P2238" s="39"/>
      <c r="Q2238" s="45"/>
      <c r="R2238" s="362">
        <f>N2238</f>
        <v>70.599999999999994</v>
      </c>
      <c r="S2238" s="363" t="s">
        <v>1480</v>
      </c>
      <c r="T2238" s="46" t="s">
        <v>325</v>
      </c>
      <c r="U2238" s="44" t="s">
        <v>1924</v>
      </c>
      <c r="V2238" s="1418">
        <f t="shared" si="228"/>
        <v>0</v>
      </c>
      <c r="W2238" s="357"/>
      <c r="X2238" s="357"/>
      <c r="Y2238" s="357"/>
      <c r="Z2238" s="358"/>
      <c r="AA2238" s="359"/>
      <c r="AB2238" s="360"/>
    </row>
    <row r="2239" spans="1:36" s="369" customFormat="1" ht="15" hidden="1">
      <c r="A2239" s="364"/>
      <c r="B2239" s="355"/>
      <c r="C2239" s="32" t="s">
        <v>1068</v>
      </c>
      <c r="D2239" s="33"/>
      <c r="E2239" s="34"/>
      <c r="F2239" s="35"/>
      <c r="G2239" s="33"/>
      <c r="H2239" s="34"/>
      <c r="I2239" s="35"/>
      <c r="J2239" s="43"/>
      <c r="K2239" s="42"/>
      <c r="L2239" s="39"/>
      <c r="M2239" s="41"/>
      <c r="N2239" s="40"/>
      <c r="O2239" s="40"/>
      <c r="P2239" s="39"/>
      <c r="Q2239" s="38"/>
      <c r="R2239" s="365">
        <f>J2241-SUM(R2237:R2238)</f>
        <v>185.61399999999998</v>
      </c>
      <c r="S2239" s="363" t="s">
        <v>1480</v>
      </c>
      <c r="T2239" s="46" t="s">
        <v>330</v>
      </c>
      <c r="U2239" s="44"/>
      <c r="V2239" s="1418">
        <f t="shared" si="228"/>
        <v>0</v>
      </c>
      <c r="W2239" s="367"/>
      <c r="X2239" s="367"/>
      <c r="Y2239" s="367"/>
      <c r="Z2239" s="368"/>
    </row>
    <row r="2240" spans="1:36" s="77" customFormat="1" ht="15" hidden="1">
      <c r="A2240" s="370"/>
      <c r="B2240" s="29"/>
      <c r="C2240" s="30"/>
      <c r="D2240" s="18"/>
      <c r="E2240" s="19"/>
      <c r="F2240" s="20"/>
      <c r="G2240" s="18"/>
      <c r="H2240" s="19"/>
      <c r="I2240" s="20"/>
      <c r="J2240" s="21"/>
      <c r="K2240" s="22"/>
      <c r="L2240" s="23"/>
      <c r="M2240" s="24"/>
      <c r="N2240" s="25"/>
      <c r="O2240" s="25"/>
      <c r="P2240" s="23"/>
      <c r="Q2240" s="26"/>
      <c r="R2240" s="371"/>
      <c r="S2240" s="27"/>
      <c r="T2240" s="372"/>
      <c r="U2240" s="31"/>
      <c r="V2240" s="1418">
        <f t="shared" si="228"/>
        <v>0</v>
      </c>
      <c r="AB2240" s="15"/>
    </row>
    <row r="2241" spans="1:36" s="77" customFormat="1" ht="15.6" hidden="1">
      <c r="A2241" s="370"/>
      <c r="B2241" s="499"/>
      <c r="C2241" s="37"/>
      <c r="D2241" s="1929" t="s">
        <v>1520</v>
      </c>
      <c r="E2241" s="1930"/>
      <c r="F2241" s="1930"/>
      <c r="G2241" s="1930"/>
      <c r="H2241" s="1930"/>
      <c r="I2241" s="1931"/>
      <c r="J2241" s="1932">
        <f>VLOOKUP(A2243,'11 - FINANCEIRA'!_xlnm.Print_Area,6,FALSE)</f>
        <v>297.2</v>
      </c>
      <c r="K2241" s="1933"/>
      <c r="L2241" s="1343" t="str">
        <f>VLOOKUP(A2243,'11 - FINANCEIRA'!_xlnm.Print_Area,4,FALSE)</f>
        <v>m²</v>
      </c>
      <c r="M2241" s="1934" t="s">
        <v>1521</v>
      </c>
      <c r="N2241" s="1935"/>
      <c r="O2241" s="1935"/>
      <c r="P2241" s="1935"/>
      <c r="Q2241" s="1936"/>
      <c r="R2241" s="726">
        <f>SUM(R2237:R2240)</f>
        <v>297.2</v>
      </c>
      <c r="S2241" s="1344" t="str">
        <f>L2241</f>
        <v>m²</v>
      </c>
      <c r="T2241" s="373"/>
      <c r="U2241" s="486"/>
      <c r="V2241" s="1418">
        <f t="shared" si="228"/>
        <v>0</v>
      </c>
      <c r="AB2241" s="15"/>
    </row>
    <row r="2242" spans="1:36" s="77" customFormat="1" ht="15.6" hidden="1">
      <c r="A2242" s="370"/>
      <c r="B2242" s="499"/>
      <c r="C2242" s="725"/>
      <c r="D2242" s="1937" t="s">
        <v>1522</v>
      </c>
      <c r="E2242" s="1938"/>
      <c r="F2242" s="1938"/>
      <c r="G2242" s="1938"/>
      <c r="H2242" s="1938"/>
      <c r="I2242" s="1939"/>
      <c r="J2242" s="1943">
        <f>R2241/J2241</f>
        <v>1</v>
      </c>
      <c r="K2242" s="1944"/>
      <c r="L2242" s="1947"/>
      <c r="M2242" s="1934" t="s">
        <v>1523</v>
      </c>
      <c r="N2242" s="1935"/>
      <c r="O2242" s="1935"/>
      <c r="P2242" s="1935"/>
      <c r="Q2242" s="1936"/>
      <c r="R2242" s="726">
        <f>VLOOKUP(A2243,'11 - FINANCEIRA'!_xlnm.Print_Area,8,FALSE)</f>
        <v>297.2</v>
      </c>
      <c r="S2242" s="727" t="str">
        <f>L2241</f>
        <v>m²</v>
      </c>
      <c r="T2242" s="373"/>
      <c r="U2242" s="486"/>
      <c r="V2242" s="1418">
        <f t="shared" si="228"/>
        <v>0</v>
      </c>
      <c r="AB2242" s="15"/>
    </row>
    <row r="2243" spans="1:36" s="77" customFormat="1" ht="15.6" hidden="1">
      <c r="A2243" s="364" t="s">
        <v>525</v>
      </c>
      <c r="B2243" s="499"/>
      <c r="C2243" s="37"/>
      <c r="D2243" s="2013"/>
      <c r="E2243" s="2014"/>
      <c r="F2243" s="2014"/>
      <c r="G2243" s="2014"/>
      <c r="H2243" s="2014"/>
      <c r="I2243" s="2015"/>
      <c r="J2243" s="2016"/>
      <c r="K2243" s="2017"/>
      <c r="L2243" s="1962"/>
      <c r="M2243" s="2007" t="s">
        <v>1524</v>
      </c>
      <c r="N2243" s="2008"/>
      <c r="O2243" s="2008"/>
      <c r="P2243" s="2008"/>
      <c r="Q2243" s="2009"/>
      <c r="R2243" s="1345">
        <f>R2241-R2242</f>
        <v>0</v>
      </c>
      <c r="S2243" s="1346" t="str">
        <f>L2241</f>
        <v>m²</v>
      </c>
      <c r="T2243" s="373"/>
      <c r="U2243" s="486"/>
      <c r="V2243" s="1418">
        <f>R2243</f>
        <v>0</v>
      </c>
      <c r="AB2243" s="15"/>
    </row>
    <row r="2244" spans="1:36" s="77" customFormat="1" ht="15.6" hidden="1">
      <c r="A2244" s="370"/>
      <c r="B2244" s="1347"/>
      <c r="C2244" s="1348"/>
      <c r="D2244" s="1349"/>
      <c r="E2244" s="1350"/>
      <c r="F2244" s="1349"/>
      <c r="G2244" s="1349"/>
      <c r="H2244" s="1349"/>
      <c r="I2244" s="1349"/>
      <c r="J2244" s="1351"/>
      <c r="K2244" s="1352"/>
      <c r="L2244" s="1353"/>
      <c r="M2244" s="1354"/>
      <c r="N2244" s="1354"/>
      <c r="O2244" s="1354"/>
      <c r="P2244" s="1354"/>
      <c r="Q2244" s="1354"/>
      <c r="R2244" s="1355"/>
      <c r="S2244" s="1356"/>
      <c r="T2244" s="1357"/>
      <c r="U2244" s="1358"/>
      <c r="V2244" s="1420">
        <f>SUM(V2235:V2243)</f>
        <v>0</v>
      </c>
      <c r="AB2244" s="15"/>
    </row>
    <row r="2245" spans="1:36" s="632" customFormat="1" ht="15.6" hidden="1">
      <c r="A2245" s="630"/>
      <c r="B2245" s="1333" t="str">
        <f>LEFT(A2254,6)</f>
        <v>2.3.12</v>
      </c>
      <c r="C2245" s="1334" t="str">
        <f>VLOOKUP(LEFT(A2254,6),'11 - FINANCEIRA'!_xlnm.Print_Area,2,FALSE)</f>
        <v>INCÊNDIO</v>
      </c>
      <c r="D2245" s="1334"/>
      <c r="E2245" s="1335"/>
      <c r="F2245" s="1334"/>
      <c r="G2245" s="2071"/>
      <c r="H2245" s="2072"/>
      <c r="I2245" s="2072"/>
      <c r="J2245" s="2072"/>
      <c r="K2245" s="2072"/>
      <c r="L2245" s="2072"/>
      <c r="M2245" s="1338"/>
      <c r="N2245" s="1339"/>
      <c r="O2245" s="1339"/>
      <c r="P2245" s="1339"/>
      <c r="Q2245" s="1339"/>
      <c r="R2245" s="1339"/>
      <c r="S2245" s="1339"/>
      <c r="T2245" s="1339"/>
      <c r="U2245" s="1339"/>
      <c r="V2245" s="631">
        <f>SUM(V2246:V2315)</f>
        <v>0</v>
      </c>
    </row>
    <row r="2246" spans="1:36" s="352" customFormat="1" ht="15.6" hidden="1">
      <c r="A2246" s="351"/>
      <c r="B2246" s="1963" t="str">
        <f>VLOOKUP(A2254,'11 - FINANCEIRA'!_xlnm.Print_Area,1,FALSE)</f>
        <v>2.3.12.1</v>
      </c>
      <c r="C2246" s="1965" t="str">
        <f>VLOOKUP(A2254,'11 - FINANCEIRA'!_xlnm.Print_Area,3,FALSE)</f>
        <v>Placa de sinalizacao de seguranca contra incendio, fotoluminescente, conforme projeto, (simbolos, cores e pictogramas conforme nbr 13434)</v>
      </c>
      <c r="D2246" s="1967" t="s">
        <v>1503</v>
      </c>
      <c r="E2246" s="1968"/>
      <c r="F2246" s="1968"/>
      <c r="G2246" s="1968"/>
      <c r="H2246" s="1968"/>
      <c r="I2246" s="1969"/>
      <c r="J2246" s="1914" t="s">
        <v>1504</v>
      </c>
      <c r="K2246" s="1914" t="s">
        <v>1505</v>
      </c>
      <c r="L2246" s="1914" t="s">
        <v>1506</v>
      </c>
      <c r="M2246" s="1914" t="s">
        <v>1507</v>
      </c>
      <c r="N2246" s="1914" t="s">
        <v>1508</v>
      </c>
      <c r="O2246" s="1914" t="s">
        <v>1509</v>
      </c>
      <c r="P2246" s="1341" t="s">
        <v>1510</v>
      </c>
      <c r="Q2246" s="1914" t="s">
        <v>1493</v>
      </c>
      <c r="R2246" s="1916" t="s">
        <v>804</v>
      </c>
      <c r="S2246" s="1914" t="s">
        <v>1511</v>
      </c>
      <c r="T2246" s="1914" t="s">
        <v>1512</v>
      </c>
      <c r="U2246" s="1918" t="s">
        <v>1513</v>
      </c>
      <c r="V2246" s="1418">
        <f t="shared" ref="V2246:V2253" si="229">V2247</f>
        <v>0</v>
      </c>
      <c r="W2246" s="16"/>
      <c r="X2246" s="16"/>
      <c r="Y2246" s="16"/>
      <c r="Z2246" s="17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</row>
    <row r="2247" spans="1:36" s="352" customFormat="1" ht="15.6" hidden="1">
      <c r="A2247" s="351"/>
      <c r="B2247" s="1964" t="e">
        <f>LEFT(#REF!,5)</f>
        <v>#REF!</v>
      </c>
      <c r="C2247" s="1966" t="e">
        <f>VLOOKUP(LEFT(#REF!,5),'11 - FINANCEIRA'!_xlnm.Print_Area,2,FALSE)</f>
        <v>#REF!</v>
      </c>
      <c r="D2247" s="1920" t="s">
        <v>1514</v>
      </c>
      <c r="E2247" s="1921"/>
      <c r="F2247" s="1922"/>
      <c r="G2247" s="1923" t="s">
        <v>1515</v>
      </c>
      <c r="H2247" s="1924"/>
      <c r="I2247" s="1925"/>
      <c r="J2247" s="1915"/>
      <c r="K2247" s="1915"/>
      <c r="L2247" s="1915"/>
      <c r="M2247" s="1915"/>
      <c r="N2247" s="1915"/>
      <c r="O2247" s="1915"/>
      <c r="P2247" s="353" t="s">
        <v>1516</v>
      </c>
      <c r="Q2247" s="1915"/>
      <c r="R2247" s="1917"/>
      <c r="S2247" s="1915"/>
      <c r="T2247" s="1915"/>
      <c r="U2247" s="1919"/>
      <c r="V2247" s="1418">
        <f t="shared" si="229"/>
        <v>0</v>
      </c>
      <c r="W2247" s="16"/>
      <c r="X2247" s="16"/>
      <c r="Y2247" s="16"/>
      <c r="Z2247" s="17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</row>
    <row r="2248" spans="1:36" s="361" customFormat="1" ht="30" hidden="1">
      <c r="A2248" s="354"/>
      <c r="B2248" s="355"/>
      <c r="C2248" s="32" t="s">
        <v>1071</v>
      </c>
      <c r="D2248" s="33"/>
      <c r="E2248" s="34"/>
      <c r="F2248" s="35"/>
      <c r="G2248" s="33"/>
      <c r="H2248" s="34"/>
      <c r="I2248" s="35"/>
      <c r="J2248" s="43"/>
      <c r="K2248" s="42"/>
      <c r="L2248" s="39"/>
      <c r="M2248" s="41"/>
      <c r="N2248" s="356"/>
      <c r="O2248" s="40"/>
      <c r="P2248" s="39"/>
      <c r="Q2248" s="45"/>
      <c r="R2248" s="1359">
        <v>17</v>
      </c>
      <c r="S2248" s="1265" t="s">
        <v>816</v>
      </c>
      <c r="T2248" s="46" t="s">
        <v>329</v>
      </c>
      <c r="U2248" s="44"/>
      <c r="V2248" s="1418">
        <f t="shared" si="229"/>
        <v>0</v>
      </c>
      <c r="W2248" s="357"/>
      <c r="X2248" s="357"/>
      <c r="Y2248" s="357"/>
      <c r="Z2248" s="358"/>
      <c r="AA2248" s="359"/>
      <c r="AB2248" s="360"/>
    </row>
    <row r="2249" spans="1:36" s="361" customFormat="1" ht="15" hidden="1" customHeight="1">
      <c r="A2249" s="354"/>
      <c r="B2249" s="355"/>
      <c r="C2249" s="32"/>
      <c r="D2249" s="33"/>
      <c r="E2249" s="34"/>
      <c r="F2249" s="35"/>
      <c r="G2249" s="33"/>
      <c r="H2249" s="34"/>
      <c r="I2249" s="35"/>
      <c r="J2249" s="43"/>
      <c r="K2249" s="42"/>
      <c r="L2249" s="39"/>
      <c r="M2249" s="41"/>
      <c r="N2249" s="356"/>
      <c r="O2249" s="40"/>
      <c r="P2249" s="39"/>
      <c r="Q2249" s="45"/>
      <c r="R2249" s="362"/>
      <c r="S2249" s="363"/>
      <c r="T2249" s="46"/>
      <c r="U2249" s="44"/>
      <c r="V2249" s="1418">
        <f t="shared" si="229"/>
        <v>0</v>
      </c>
      <c r="W2249" s="357"/>
      <c r="X2249" s="357"/>
      <c r="Y2249" s="357"/>
      <c r="Z2249" s="358"/>
      <c r="AA2249" s="359"/>
      <c r="AB2249" s="360"/>
    </row>
    <row r="2250" spans="1:36" s="369" customFormat="1" ht="15" hidden="1">
      <c r="A2250" s="364"/>
      <c r="B2250" s="355"/>
      <c r="C2250" s="32"/>
      <c r="D2250" s="33"/>
      <c r="E2250" s="34"/>
      <c r="F2250" s="35"/>
      <c r="G2250" s="33"/>
      <c r="H2250" s="34"/>
      <c r="I2250" s="35"/>
      <c r="J2250" s="43"/>
      <c r="K2250" s="42"/>
      <c r="L2250" s="39"/>
      <c r="M2250" s="41"/>
      <c r="N2250" s="40"/>
      <c r="O2250" s="40"/>
      <c r="P2250" s="39"/>
      <c r="Q2250" s="38"/>
      <c r="R2250" s="365"/>
      <c r="S2250" s="366"/>
      <c r="T2250" s="46"/>
      <c r="U2250" s="44"/>
      <c r="V2250" s="1418">
        <f t="shared" si="229"/>
        <v>0</v>
      </c>
      <c r="W2250" s="367"/>
      <c r="X2250" s="367"/>
      <c r="Y2250" s="367"/>
      <c r="Z2250" s="368"/>
    </row>
    <row r="2251" spans="1:36" s="77" customFormat="1" ht="15" hidden="1">
      <c r="A2251" s="370"/>
      <c r="B2251" s="29"/>
      <c r="C2251" s="30"/>
      <c r="D2251" s="18"/>
      <c r="E2251" s="19"/>
      <c r="F2251" s="20"/>
      <c r="G2251" s="18"/>
      <c r="H2251" s="19"/>
      <c r="I2251" s="20"/>
      <c r="J2251" s="21"/>
      <c r="K2251" s="22"/>
      <c r="L2251" s="23"/>
      <c r="M2251" s="24"/>
      <c r="N2251" s="25"/>
      <c r="O2251" s="25"/>
      <c r="P2251" s="23"/>
      <c r="Q2251" s="26"/>
      <c r="R2251" s="371"/>
      <c r="S2251" s="27"/>
      <c r="T2251" s="372"/>
      <c r="U2251" s="31"/>
      <c r="V2251" s="1418">
        <f t="shared" si="229"/>
        <v>0</v>
      </c>
      <c r="AB2251" s="15"/>
    </row>
    <row r="2252" spans="1:36" s="77" customFormat="1" ht="15.6" hidden="1">
      <c r="A2252" s="370"/>
      <c r="B2252" s="499"/>
      <c r="C2252" s="37"/>
      <c r="D2252" s="1929" t="s">
        <v>1520</v>
      </c>
      <c r="E2252" s="1930"/>
      <c r="F2252" s="1930"/>
      <c r="G2252" s="1930"/>
      <c r="H2252" s="1930"/>
      <c r="I2252" s="1931"/>
      <c r="J2252" s="1932">
        <f>VLOOKUP(A2254,'11 - FINANCEIRA'!_xlnm.Print_Area,6,FALSE)</f>
        <v>17</v>
      </c>
      <c r="K2252" s="1933"/>
      <c r="L2252" s="1343" t="str">
        <f>VLOOKUP(A2254,'11 - FINANCEIRA'!_xlnm.Print_Area,4,FALSE)</f>
        <v>und</v>
      </c>
      <c r="M2252" s="1934" t="s">
        <v>1521</v>
      </c>
      <c r="N2252" s="1935"/>
      <c r="O2252" s="1935"/>
      <c r="P2252" s="1935"/>
      <c r="Q2252" s="1936"/>
      <c r="R2252" s="726">
        <f>SUM(R2248:R2251)</f>
        <v>17</v>
      </c>
      <c r="S2252" s="1344" t="str">
        <f>L2252</f>
        <v>und</v>
      </c>
      <c r="T2252" s="373"/>
      <c r="U2252" s="486"/>
      <c r="V2252" s="1418">
        <f t="shared" si="229"/>
        <v>0</v>
      </c>
      <c r="AB2252" s="15"/>
    </row>
    <row r="2253" spans="1:36" s="77" customFormat="1" ht="15.6" hidden="1">
      <c r="A2253" s="370"/>
      <c r="B2253" s="499"/>
      <c r="C2253" s="725"/>
      <c r="D2253" s="1937" t="s">
        <v>1522</v>
      </c>
      <c r="E2253" s="1938"/>
      <c r="F2253" s="1938"/>
      <c r="G2253" s="1938"/>
      <c r="H2253" s="1938"/>
      <c r="I2253" s="1939"/>
      <c r="J2253" s="1943">
        <f>R2252/J2252</f>
        <v>1</v>
      </c>
      <c r="K2253" s="1944"/>
      <c r="L2253" s="1947"/>
      <c r="M2253" s="1934" t="s">
        <v>1523</v>
      </c>
      <c r="N2253" s="1935"/>
      <c r="O2253" s="1935"/>
      <c r="P2253" s="1935"/>
      <c r="Q2253" s="1936"/>
      <c r="R2253" s="726">
        <f>VLOOKUP(A2254,'11 - FINANCEIRA'!_xlnm.Print_Area,8,FALSE)</f>
        <v>17</v>
      </c>
      <c r="S2253" s="727" t="str">
        <f>L2252</f>
        <v>und</v>
      </c>
      <c r="T2253" s="373"/>
      <c r="U2253" s="486"/>
      <c r="V2253" s="1418">
        <f t="shared" si="229"/>
        <v>0</v>
      </c>
      <c r="AB2253" s="15"/>
    </row>
    <row r="2254" spans="1:36" s="77" customFormat="1" ht="15.6" hidden="1">
      <c r="A2254" s="364" t="s">
        <v>527</v>
      </c>
      <c r="B2254" s="499"/>
      <c r="C2254" s="37"/>
      <c r="D2254" s="2013"/>
      <c r="E2254" s="2014"/>
      <c r="F2254" s="2014"/>
      <c r="G2254" s="2014"/>
      <c r="H2254" s="2014"/>
      <c r="I2254" s="2015"/>
      <c r="J2254" s="2016"/>
      <c r="K2254" s="2017"/>
      <c r="L2254" s="1962"/>
      <c r="M2254" s="2007" t="s">
        <v>1524</v>
      </c>
      <c r="N2254" s="2008"/>
      <c r="O2254" s="2008"/>
      <c r="P2254" s="2008"/>
      <c r="Q2254" s="2009"/>
      <c r="R2254" s="1345">
        <f>R2252-R2253</f>
        <v>0</v>
      </c>
      <c r="S2254" s="1346" t="str">
        <f>L2252</f>
        <v>und</v>
      </c>
      <c r="T2254" s="373"/>
      <c r="U2254" s="486"/>
      <c r="V2254" s="1418">
        <f>R2254</f>
        <v>0</v>
      </c>
      <c r="AB2254" s="15"/>
    </row>
    <row r="2255" spans="1:36" s="77" customFormat="1" ht="15.6" hidden="1">
      <c r="A2255" s="370"/>
      <c r="B2255" s="1347"/>
      <c r="C2255" s="1348"/>
      <c r="D2255" s="1349"/>
      <c r="E2255" s="1350"/>
      <c r="F2255" s="1349"/>
      <c r="G2255" s="1349"/>
      <c r="H2255" s="1349"/>
      <c r="I2255" s="1349"/>
      <c r="J2255" s="1351"/>
      <c r="K2255" s="1352"/>
      <c r="L2255" s="1353"/>
      <c r="M2255" s="1354"/>
      <c r="N2255" s="1354"/>
      <c r="O2255" s="1354"/>
      <c r="P2255" s="1354"/>
      <c r="Q2255" s="1354"/>
      <c r="R2255" s="1355"/>
      <c r="S2255" s="1356"/>
      <c r="T2255" s="1357"/>
      <c r="U2255" s="1358"/>
      <c r="V2255" s="1420">
        <f>SUM(V2246:V2254)</f>
        <v>0</v>
      </c>
      <c r="AB2255" s="15"/>
    </row>
    <row r="2256" spans="1:36" s="352" customFormat="1" ht="15.6" hidden="1">
      <c r="A2256" s="351"/>
      <c r="B2256" s="1963" t="str">
        <f>VLOOKUP(A2264,'11 - FINANCEIRA'!_xlnm.Print_Area,1,FALSE)</f>
        <v>2.3.12.2</v>
      </c>
      <c r="C2256" s="1965" t="str">
        <f>VLOOKUP(A2264,'11 - FINANCEIRA'!_xlnm.Print_Area,3,FALSE)</f>
        <v>Extintor de co2 6kg - fornecimento e instalacao</v>
      </c>
      <c r="D2256" s="1967" t="s">
        <v>1503</v>
      </c>
      <c r="E2256" s="1968"/>
      <c r="F2256" s="1968"/>
      <c r="G2256" s="1968"/>
      <c r="H2256" s="1968"/>
      <c r="I2256" s="1969"/>
      <c r="J2256" s="1914" t="s">
        <v>1504</v>
      </c>
      <c r="K2256" s="1914" t="s">
        <v>1505</v>
      </c>
      <c r="L2256" s="1914" t="s">
        <v>1506</v>
      </c>
      <c r="M2256" s="1914" t="s">
        <v>1507</v>
      </c>
      <c r="N2256" s="1914" t="s">
        <v>1508</v>
      </c>
      <c r="O2256" s="1914" t="s">
        <v>1509</v>
      </c>
      <c r="P2256" s="1341" t="s">
        <v>1510</v>
      </c>
      <c r="Q2256" s="1914" t="s">
        <v>1493</v>
      </c>
      <c r="R2256" s="1916" t="s">
        <v>804</v>
      </c>
      <c r="S2256" s="1914" t="s">
        <v>1511</v>
      </c>
      <c r="T2256" s="1914" t="s">
        <v>1512</v>
      </c>
      <c r="U2256" s="1918" t="s">
        <v>1513</v>
      </c>
      <c r="V2256" s="1418">
        <f t="shared" ref="V2256:V2263" si="230">V2257</f>
        <v>0</v>
      </c>
      <c r="W2256" s="16"/>
      <c r="X2256" s="16"/>
      <c r="Y2256" s="16"/>
      <c r="Z2256" s="17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</row>
    <row r="2257" spans="1:36" s="352" customFormat="1" ht="15.6" hidden="1">
      <c r="A2257" s="351"/>
      <c r="B2257" s="1964" t="e">
        <f>LEFT(#REF!,5)</f>
        <v>#REF!</v>
      </c>
      <c r="C2257" s="1966" t="e">
        <f>VLOOKUP(LEFT(#REF!,5),'11 - FINANCEIRA'!_xlnm.Print_Area,2,FALSE)</f>
        <v>#REF!</v>
      </c>
      <c r="D2257" s="1920" t="s">
        <v>1514</v>
      </c>
      <c r="E2257" s="1921"/>
      <c r="F2257" s="1922"/>
      <c r="G2257" s="1923" t="s">
        <v>1515</v>
      </c>
      <c r="H2257" s="1924"/>
      <c r="I2257" s="1925"/>
      <c r="J2257" s="1915"/>
      <c r="K2257" s="1915"/>
      <c r="L2257" s="1915"/>
      <c r="M2257" s="1915"/>
      <c r="N2257" s="1915"/>
      <c r="O2257" s="1915"/>
      <c r="P2257" s="353" t="s">
        <v>1516</v>
      </c>
      <c r="Q2257" s="1915"/>
      <c r="R2257" s="1917"/>
      <c r="S2257" s="1915"/>
      <c r="T2257" s="1915"/>
      <c r="U2257" s="1919"/>
      <c r="V2257" s="1418">
        <f t="shared" si="230"/>
        <v>0</v>
      </c>
      <c r="W2257" s="16"/>
      <c r="X2257" s="16"/>
      <c r="Y2257" s="16"/>
      <c r="Z2257" s="17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</row>
    <row r="2258" spans="1:36" s="361" customFormat="1" ht="15" hidden="1" customHeight="1">
      <c r="A2258" s="354"/>
      <c r="B2258" s="355"/>
      <c r="C2258" s="32" t="s">
        <v>1073</v>
      </c>
      <c r="D2258" s="33"/>
      <c r="E2258" s="34"/>
      <c r="F2258" s="35"/>
      <c r="G2258" s="33"/>
      <c r="H2258" s="34"/>
      <c r="I2258" s="35"/>
      <c r="J2258" s="43"/>
      <c r="K2258" s="42"/>
      <c r="L2258" s="39"/>
      <c r="M2258" s="41"/>
      <c r="N2258" s="356"/>
      <c r="O2258" s="40"/>
      <c r="P2258" s="39"/>
      <c r="Q2258" s="45"/>
      <c r="R2258" s="1359">
        <v>1</v>
      </c>
      <c r="S2258" s="1265" t="s">
        <v>816</v>
      </c>
      <c r="T2258" s="46" t="s">
        <v>329</v>
      </c>
      <c r="U2258" s="44"/>
      <c r="V2258" s="1418">
        <f t="shared" si="230"/>
        <v>0</v>
      </c>
      <c r="W2258" s="357"/>
      <c r="X2258" s="357"/>
      <c r="Y2258" s="357"/>
      <c r="Z2258" s="358"/>
      <c r="AA2258" s="359"/>
      <c r="AB2258" s="360"/>
    </row>
    <row r="2259" spans="1:36" s="361" customFormat="1" ht="15" hidden="1" customHeight="1">
      <c r="A2259" s="354"/>
      <c r="B2259" s="355"/>
      <c r="C2259" s="32"/>
      <c r="D2259" s="33"/>
      <c r="E2259" s="34"/>
      <c r="F2259" s="35"/>
      <c r="G2259" s="33"/>
      <c r="H2259" s="34"/>
      <c r="I2259" s="35"/>
      <c r="J2259" s="43"/>
      <c r="K2259" s="42"/>
      <c r="L2259" s="39"/>
      <c r="M2259" s="41"/>
      <c r="N2259" s="356"/>
      <c r="O2259" s="40"/>
      <c r="P2259" s="39"/>
      <c r="Q2259" s="45"/>
      <c r="R2259" s="362"/>
      <c r="S2259" s="363"/>
      <c r="T2259" s="46"/>
      <c r="U2259" s="44"/>
      <c r="V2259" s="1418">
        <f t="shared" si="230"/>
        <v>0</v>
      </c>
      <c r="W2259" s="357"/>
      <c r="X2259" s="357"/>
      <c r="Y2259" s="357"/>
      <c r="Z2259" s="358"/>
      <c r="AA2259" s="359"/>
      <c r="AB2259" s="360"/>
    </row>
    <row r="2260" spans="1:36" s="369" customFormat="1" ht="15" hidden="1">
      <c r="A2260" s="364"/>
      <c r="B2260" s="355"/>
      <c r="C2260" s="32"/>
      <c r="D2260" s="33"/>
      <c r="E2260" s="34"/>
      <c r="F2260" s="35"/>
      <c r="G2260" s="33"/>
      <c r="H2260" s="34"/>
      <c r="I2260" s="35"/>
      <c r="J2260" s="43"/>
      <c r="K2260" s="42"/>
      <c r="L2260" s="39"/>
      <c r="M2260" s="41"/>
      <c r="N2260" s="40"/>
      <c r="O2260" s="40"/>
      <c r="P2260" s="39"/>
      <c r="Q2260" s="38"/>
      <c r="R2260" s="365"/>
      <c r="S2260" s="366"/>
      <c r="T2260" s="46"/>
      <c r="U2260" s="44"/>
      <c r="V2260" s="1418">
        <f t="shared" si="230"/>
        <v>0</v>
      </c>
      <c r="W2260" s="367"/>
      <c r="X2260" s="367"/>
      <c r="Y2260" s="367"/>
      <c r="Z2260" s="368"/>
    </row>
    <row r="2261" spans="1:36" s="77" customFormat="1" ht="15" hidden="1">
      <c r="A2261" s="370"/>
      <c r="B2261" s="29"/>
      <c r="C2261" s="30"/>
      <c r="D2261" s="18"/>
      <c r="E2261" s="19"/>
      <c r="F2261" s="20"/>
      <c r="G2261" s="18"/>
      <c r="H2261" s="19"/>
      <c r="I2261" s="20"/>
      <c r="J2261" s="21"/>
      <c r="K2261" s="22"/>
      <c r="L2261" s="23"/>
      <c r="M2261" s="24"/>
      <c r="N2261" s="25"/>
      <c r="O2261" s="25"/>
      <c r="P2261" s="23"/>
      <c r="Q2261" s="26"/>
      <c r="R2261" s="371"/>
      <c r="S2261" s="27"/>
      <c r="T2261" s="372"/>
      <c r="U2261" s="31"/>
      <c r="V2261" s="1418">
        <f t="shared" si="230"/>
        <v>0</v>
      </c>
      <c r="AB2261" s="15"/>
    </row>
    <row r="2262" spans="1:36" s="77" customFormat="1" ht="15.6" hidden="1">
      <c r="A2262" s="370"/>
      <c r="B2262" s="499"/>
      <c r="C2262" s="37"/>
      <c r="D2262" s="1929" t="s">
        <v>1520</v>
      </c>
      <c r="E2262" s="1930"/>
      <c r="F2262" s="1930"/>
      <c r="G2262" s="1930"/>
      <c r="H2262" s="1930"/>
      <c r="I2262" s="1931"/>
      <c r="J2262" s="1932">
        <f>VLOOKUP(A2264,'11 - FINANCEIRA'!_xlnm.Print_Area,6,FALSE)</f>
        <v>1</v>
      </c>
      <c r="K2262" s="1933"/>
      <c r="L2262" s="1343" t="str">
        <f>VLOOKUP(A2264,'11 - FINANCEIRA'!_xlnm.Print_Area,4,FALSE)</f>
        <v>und</v>
      </c>
      <c r="M2262" s="1934" t="s">
        <v>1521</v>
      </c>
      <c r="N2262" s="1935"/>
      <c r="O2262" s="1935"/>
      <c r="P2262" s="1935"/>
      <c r="Q2262" s="1936"/>
      <c r="R2262" s="726">
        <f>SUM(R2258:R2261)</f>
        <v>1</v>
      </c>
      <c r="S2262" s="1344" t="str">
        <f>L2262</f>
        <v>und</v>
      </c>
      <c r="T2262" s="373"/>
      <c r="U2262" s="486"/>
      <c r="V2262" s="1418">
        <f t="shared" si="230"/>
        <v>0</v>
      </c>
      <c r="AB2262" s="15"/>
    </row>
    <row r="2263" spans="1:36" s="77" customFormat="1" ht="15.6" hidden="1">
      <c r="A2263" s="370"/>
      <c r="B2263" s="499"/>
      <c r="C2263" s="725"/>
      <c r="D2263" s="1937" t="s">
        <v>1522</v>
      </c>
      <c r="E2263" s="1938"/>
      <c r="F2263" s="1938"/>
      <c r="G2263" s="1938"/>
      <c r="H2263" s="1938"/>
      <c r="I2263" s="1939"/>
      <c r="J2263" s="1943">
        <f>R2262/J2262</f>
        <v>1</v>
      </c>
      <c r="K2263" s="1944"/>
      <c r="L2263" s="1947"/>
      <c r="M2263" s="1934" t="s">
        <v>1523</v>
      </c>
      <c r="N2263" s="1935"/>
      <c r="O2263" s="1935"/>
      <c r="P2263" s="1935"/>
      <c r="Q2263" s="1936"/>
      <c r="R2263" s="726">
        <f>VLOOKUP(A2264,'11 - FINANCEIRA'!_xlnm.Print_Area,8,FALSE)</f>
        <v>1</v>
      </c>
      <c r="S2263" s="727" t="str">
        <f>L2262</f>
        <v>und</v>
      </c>
      <c r="T2263" s="373"/>
      <c r="U2263" s="486"/>
      <c r="V2263" s="1418">
        <f t="shared" si="230"/>
        <v>0</v>
      </c>
      <c r="AB2263" s="15"/>
    </row>
    <row r="2264" spans="1:36" s="77" customFormat="1" ht="15.6" hidden="1">
      <c r="A2264" s="364" t="s">
        <v>528</v>
      </c>
      <c r="B2264" s="499"/>
      <c r="C2264" s="37"/>
      <c r="D2264" s="2013"/>
      <c r="E2264" s="2014"/>
      <c r="F2264" s="2014"/>
      <c r="G2264" s="2014"/>
      <c r="H2264" s="2014"/>
      <c r="I2264" s="2015"/>
      <c r="J2264" s="2016"/>
      <c r="K2264" s="2017"/>
      <c r="L2264" s="1962"/>
      <c r="M2264" s="2007" t="s">
        <v>1524</v>
      </c>
      <c r="N2264" s="2008"/>
      <c r="O2264" s="2008"/>
      <c r="P2264" s="2008"/>
      <c r="Q2264" s="2009"/>
      <c r="R2264" s="1345">
        <f>R2262-R2263</f>
        <v>0</v>
      </c>
      <c r="S2264" s="1346" t="str">
        <f>L2262</f>
        <v>und</v>
      </c>
      <c r="T2264" s="373"/>
      <c r="U2264" s="486"/>
      <c r="V2264" s="1418">
        <f>R2264</f>
        <v>0</v>
      </c>
      <c r="AB2264" s="15"/>
    </row>
    <row r="2265" spans="1:36" s="77" customFormat="1" ht="15.6" hidden="1">
      <c r="A2265" s="370"/>
      <c r="B2265" s="1347"/>
      <c r="C2265" s="1348"/>
      <c r="D2265" s="1349"/>
      <c r="E2265" s="1350"/>
      <c r="F2265" s="1349"/>
      <c r="G2265" s="1349"/>
      <c r="H2265" s="1349"/>
      <c r="I2265" s="1349"/>
      <c r="J2265" s="1351"/>
      <c r="K2265" s="1352"/>
      <c r="L2265" s="1353"/>
      <c r="M2265" s="1354"/>
      <c r="N2265" s="1354"/>
      <c r="O2265" s="1354"/>
      <c r="P2265" s="1354"/>
      <c r="Q2265" s="1354"/>
      <c r="R2265" s="1355"/>
      <c r="S2265" s="1356"/>
      <c r="T2265" s="1357"/>
      <c r="U2265" s="1358"/>
      <c r="V2265" s="1420">
        <f>SUM(V2256:V2264)</f>
        <v>0</v>
      </c>
      <c r="AB2265" s="15"/>
    </row>
    <row r="2266" spans="1:36" s="352" customFormat="1" ht="15.6" hidden="1">
      <c r="A2266" s="351"/>
      <c r="B2266" s="1963" t="str">
        <f>VLOOKUP(A2274,'11 - FINANCEIRA'!_xlnm.Print_Area,1,FALSE)</f>
        <v>2.3.12.3</v>
      </c>
      <c r="C2266" s="1965" t="str">
        <f>VLOOKUP(A2274,'11 - FINANCEIRA'!_xlnm.Print_Area,3,FALSE)</f>
        <v>Extintor incendio tp po quimico 6kg - fornecimento e instalacao</v>
      </c>
      <c r="D2266" s="1967" t="s">
        <v>1503</v>
      </c>
      <c r="E2266" s="1968"/>
      <c r="F2266" s="1968"/>
      <c r="G2266" s="1968"/>
      <c r="H2266" s="1968"/>
      <c r="I2266" s="1969"/>
      <c r="J2266" s="1914" t="s">
        <v>1504</v>
      </c>
      <c r="K2266" s="1914" t="s">
        <v>1505</v>
      </c>
      <c r="L2266" s="1914" t="s">
        <v>1506</v>
      </c>
      <c r="M2266" s="1914" t="s">
        <v>1507</v>
      </c>
      <c r="N2266" s="1914" t="s">
        <v>1508</v>
      </c>
      <c r="O2266" s="1914" t="s">
        <v>1509</v>
      </c>
      <c r="P2266" s="1341" t="s">
        <v>1510</v>
      </c>
      <c r="Q2266" s="1914" t="s">
        <v>1493</v>
      </c>
      <c r="R2266" s="1916" t="s">
        <v>804</v>
      </c>
      <c r="S2266" s="1914" t="s">
        <v>1511</v>
      </c>
      <c r="T2266" s="1914" t="s">
        <v>1512</v>
      </c>
      <c r="U2266" s="1918" t="s">
        <v>1513</v>
      </c>
      <c r="V2266" s="1418">
        <f t="shared" ref="V2266:V2273" si="231">V2267</f>
        <v>0</v>
      </c>
      <c r="W2266" s="16"/>
      <c r="X2266" s="16"/>
      <c r="Y2266" s="16"/>
      <c r="Z2266" s="17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</row>
    <row r="2267" spans="1:36" s="352" customFormat="1" ht="15.6" hidden="1">
      <c r="A2267" s="351"/>
      <c r="B2267" s="1964" t="e">
        <f>LEFT(#REF!,5)</f>
        <v>#REF!</v>
      </c>
      <c r="C2267" s="1966" t="e">
        <f>VLOOKUP(LEFT(#REF!,5),'11 - FINANCEIRA'!_xlnm.Print_Area,2,FALSE)</f>
        <v>#REF!</v>
      </c>
      <c r="D2267" s="1920" t="s">
        <v>1514</v>
      </c>
      <c r="E2267" s="1921"/>
      <c r="F2267" s="1922"/>
      <c r="G2267" s="1923" t="s">
        <v>1515</v>
      </c>
      <c r="H2267" s="1924"/>
      <c r="I2267" s="1925"/>
      <c r="J2267" s="1915"/>
      <c r="K2267" s="1915"/>
      <c r="L2267" s="1915"/>
      <c r="M2267" s="1915"/>
      <c r="N2267" s="1915"/>
      <c r="O2267" s="1915"/>
      <c r="P2267" s="353" t="s">
        <v>1516</v>
      </c>
      <c r="Q2267" s="1915"/>
      <c r="R2267" s="1917"/>
      <c r="S2267" s="1915"/>
      <c r="T2267" s="1915"/>
      <c r="U2267" s="1919"/>
      <c r="V2267" s="1418">
        <f t="shared" si="231"/>
        <v>0</v>
      </c>
      <c r="W2267" s="16"/>
      <c r="X2267" s="16"/>
      <c r="Y2267" s="16"/>
      <c r="Z2267" s="17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</row>
    <row r="2268" spans="1:36" s="361" customFormat="1" ht="15" hidden="1" customHeight="1">
      <c r="A2268" s="354"/>
      <c r="B2268" s="355"/>
      <c r="C2268" s="32" t="s">
        <v>1075</v>
      </c>
      <c r="D2268" s="33"/>
      <c r="E2268" s="34"/>
      <c r="F2268" s="35"/>
      <c r="G2268" s="33"/>
      <c r="H2268" s="34"/>
      <c r="I2268" s="35"/>
      <c r="J2268" s="43"/>
      <c r="K2268" s="42"/>
      <c r="L2268" s="39"/>
      <c r="M2268" s="41"/>
      <c r="N2268" s="356"/>
      <c r="O2268" s="40"/>
      <c r="P2268" s="39"/>
      <c r="Q2268" s="45"/>
      <c r="R2268" s="1359">
        <v>2</v>
      </c>
      <c r="S2268" s="1265" t="s">
        <v>816</v>
      </c>
      <c r="T2268" s="46" t="s">
        <v>329</v>
      </c>
      <c r="U2268" s="44"/>
      <c r="V2268" s="1418">
        <f t="shared" si="231"/>
        <v>0</v>
      </c>
      <c r="W2268" s="357"/>
      <c r="X2268" s="357"/>
      <c r="Y2268" s="357"/>
      <c r="Z2268" s="358"/>
      <c r="AA2268" s="359"/>
      <c r="AB2268" s="360"/>
    </row>
    <row r="2269" spans="1:36" s="361" customFormat="1" ht="15" hidden="1" customHeight="1">
      <c r="A2269" s="354"/>
      <c r="B2269" s="355"/>
      <c r="C2269" s="32"/>
      <c r="D2269" s="33"/>
      <c r="E2269" s="34"/>
      <c r="F2269" s="35"/>
      <c r="G2269" s="33"/>
      <c r="H2269" s="34"/>
      <c r="I2269" s="35"/>
      <c r="J2269" s="43"/>
      <c r="K2269" s="42"/>
      <c r="L2269" s="39"/>
      <c r="M2269" s="41"/>
      <c r="N2269" s="356"/>
      <c r="O2269" s="40"/>
      <c r="P2269" s="39"/>
      <c r="Q2269" s="45"/>
      <c r="R2269" s="362"/>
      <c r="S2269" s="363"/>
      <c r="T2269" s="46"/>
      <c r="U2269" s="44"/>
      <c r="V2269" s="1418">
        <f t="shared" si="231"/>
        <v>0</v>
      </c>
      <c r="W2269" s="357"/>
      <c r="X2269" s="357"/>
      <c r="Y2269" s="357"/>
      <c r="Z2269" s="358"/>
      <c r="AA2269" s="359"/>
      <c r="AB2269" s="360"/>
    </row>
    <row r="2270" spans="1:36" s="369" customFormat="1" ht="15" hidden="1">
      <c r="A2270" s="364"/>
      <c r="B2270" s="355"/>
      <c r="C2270" s="32"/>
      <c r="D2270" s="33"/>
      <c r="E2270" s="34"/>
      <c r="F2270" s="35"/>
      <c r="G2270" s="33"/>
      <c r="H2270" s="34"/>
      <c r="I2270" s="35"/>
      <c r="J2270" s="43"/>
      <c r="K2270" s="42"/>
      <c r="L2270" s="39"/>
      <c r="M2270" s="41"/>
      <c r="N2270" s="40"/>
      <c r="O2270" s="40"/>
      <c r="P2270" s="39"/>
      <c r="Q2270" s="38"/>
      <c r="R2270" s="365"/>
      <c r="S2270" s="366"/>
      <c r="T2270" s="46"/>
      <c r="U2270" s="44"/>
      <c r="V2270" s="1418">
        <f t="shared" si="231"/>
        <v>0</v>
      </c>
      <c r="W2270" s="367"/>
      <c r="X2270" s="367"/>
      <c r="Y2270" s="367"/>
      <c r="Z2270" s="368"/>
    </row>
    <row r="2271" spans="1:36" s="77" customFormat="1" ht="15" hidden="1">
      <c r="A2271" s="370"/>
      <c r="B2271" s="29"/>
      <c r="C2271" s="30"/>
      <c r="D2271" s="18"/>
      <c r="E2271" s="19"/>
      <c r="F2271" s="20"/>
      <c r="G2271" s="18"/>
      <c r="H2271" s="19"/>
      <c r="I2271" s="20"/>
      <c r="J2271" s="21"/>
      <c r="K2271" s="22"/>
      <c r="L2271" s="23"/>
      <c r="M2271" s="24"/>
      <c r="N2271" s="25"/>
      <c r="O2271" s="25"/>
      <c r="P2271" s="23"/>
      <c r="Q2271" s="26"/>
      <c r="R2271" s="371"/>
      <c r="S2271" s="27"/>
      <c r="T2271" s="372"/>
      <c r="U2271" s="31"/>
      <c r="V2271" s="1418">
        <f t="shared" si="231"/>
        <v>0</v>
      </c>
      <c r="AB2271" s="15"/>
    </row>
    <row r="2272" spans="1:36" s="77" customFormat="1" ht="15.6" hidden="1">
      <c r="A2272" s="370"/>
      <c r="B2272" s="499"/>
      <c r="C2272" s="37"/>
      <c r="D2272" s="1929" t="s">
        <v>1520</v>
      </c>
      <c r="E2272" s="1930"/>
      <c r="F2272" s="1930"/>
      <c r="G2272" s="1930"/>
      <c r="H2272" s="1930"/>
      <c r="I2272" s="1931"/>
      <c r="J2272" s="1932">
        <f>VLOOKUP(A2274,'11 - FINANCEIRA'!_xlnm.Print_Area,6,FALSE)</f>
        <v>2</v>
      </c>
      <c r="K2272" s="1933"/>
      <c r="L2272" s="1343" t="str">
        <f>VLOOKUP(A2274,'11 - FINANCEIRA'!_xlnm.Print_Area,4,FALSE)</f>
        <v>und</v>
      </c>
      <c r="M2272" s="1934" t="s">
        <v>1521</v>
      </c>
      <c r="N2272" s="1935"/>
      <c r="O2272" s="1935"/>
      <c r="P2272" s="1935"/>
      <c r="Q2272" s="1936"/>
      <c r="R2272" s="726">
        <f>SUM(R2268:R2271)</f>
        <v>2</v>
      </c>
      <c r="S2272" s="1344" t="str">
        <f>L2272</f>
        <v>und</v>
      </c>
      <c r="T2272" s="373"/>
      <c r="U2272" s="486"/>
      <c r="V2272" s="1418">
        <f t="shared" si="231"/>
        <v>0</v>
      </c>
      <c r="AB2272" s="15"/>
    </row>
    <row r="2273" spans="1:36" s="77" customFormat="1" ht="15.6" hidden="1">
      <c r="A2273" s="370"/>
      <c r="B2273" s="499"/>
      <c r="C2273" s="725"/>
      <c r="D2273" s="1937" t="s">
        <v>1522</v>
      </c>
      <c r="E2273" s="1938"/>
      <c r="F2273" s="1938"/>
      <c r="G2273" s="1938"/>
      <c r="H2273" s="1938"/>
      <c r="I2273" s="1939"/>
      <c r="J2273" s="1943">
        <f>R2272/J2272</f>
        <v>1</v>
      </c>
      <c r="K2273" s="1944"/>
      <c r="L2273" s="1947"/>
      <c r="M2273" s="1934" t="s">
        <v>1523</v>
      </c>
      <c r="N2273" s="1935"/>
      <c r="O2273" s="1935"/>
      <c r="P2273" s="1935"/>
      <c r="Q2273" s="1936"/>
      <c r="R2273" s="726">
        <f>VLOOKUP(A2274,'11 - FINANCEIRA'!_xlnm.Print_Area,8,FALSE)</f>
        <v>2</v>
      </c>
      <c r="S2273" s="727" t="str">
        <f>L2272</f>
        <v>und</v>
      </c>
      <c r="T2273" s="373"/>
      <c r="U2273" s="486"/>
      <c r="V2273" s="1418">
        <f t="shared" si="231"/>
        <v>0</v>
      </c>
      <c r="AB2273" s="15"/>
    </row>
    <row r="2274" spans="1:36" s="77" customFormat="1" ht="15.6" hidden="1">
      <c r="A2274" s="364" t="s">
        <v>529</v>
      </c>
      <c r="B2274" s="499"/>
      <c r="C2274" s="37"/>
      <c r="D2274" s="2013"/>
      <c r="E2274" s="2014"/>
      <c r="F2274" s="2014"/>
      <c r="G2274" s="2014"/>
      <c r="H2274" s="2014"/>
      <c r="I2274" s="2015"/>
      <c r="J2274" s="2016"/>
      <c r="K2274" s="2017"/>
      <c r="L2274" s="1962"/>
      <c r="M2274" s="2007" t="s">
        <v>1524</v>
      </c>
      <c r="N2274" s="2008"/>
      <c r="O2274" s="2008"/>
      <c r="P2274" s="2008"/>
      <c r="Q2274" s="2009"/>
      <c r="R2274" s="1345">
        <f>R2272-R2273</f>
        <v>0</v>
      </c>
      <c r="S2274" s="1346" t="str">
        <f>L2272</f>
        <v>und</v>
      </c>
      <c r="T2274" s="373"/>
      <c r="U2274" s="486"/>
      <c r="V2274" s="1418">
        <f>R2274</f>
        <v>0</v>
      </c>
      <c r="AB2274" s="15"/>
    </row>
    <row r="2275" spans="1:36" s="77" customFormat="1" ht="15.6" hidden="1">
      <c r="A2275" s="370"/>
      <c r="B2275" s="1347"/>
      <c r="C2275" s="1348"/>
      <c r="D2275" s="1349"/>
      <c r="E2275" s="1350"/>
      <c r="F2275" s="1349"/>
      <c r="G2275" s="1349"/>
      <c r="H2275" s="1349"/>
      <c r="I2275" s="1349"/>
      <c r="J2275" s="1351"/>
      <c r="K2275" s="1352"/>
      <c r="L2275" s="1353"/>
      <c r="M2275" s="1354"/>
      <c r="N2275" s="1354"/>
      <c r="O2275" s="1354"/>
      <c r="P2275" s="1354"/>
      <c r="Q2275" s="1354"/>
      <c r="R2275" s="1355"/>
      <c r="S2275" s="1356"/>
      <c r="T2275" s="1357"/>
      <c r="U2275" s="1358"/>
      <c r="V2275" s="1420">
        <f>SUM(V2266:V2274)</f>
        <v>0</v>
      </c>
      <c r="AB2275" s="15"/>
    </row>
    <row r="2276" spans="1:36" s="352" customFormat="1" ht="15.6" hidden="1">
      <c r="A2276" s="351"/>
      <c r="B2276" s="1963" t="str">
        <f>VLOOKUP(A2284,'11 - FINANCEIRA'!_xlnm.Print_Area,1,FALSE)</f>
        <v>2.3.12.4</v>
      </c>
      <c r="C2276" s="1965" t="str">
        <f>VLOOKUP(A2284,'11 - FINANCEIRA'!_xlnm.Print_Area,3,FALSE)</f>
        <v>Extintor incendio tp po quimico 8kg - fornecimento e instalacao</v>
      </c>
      <c r="D2276" s="1967" t="s">
        <v>1503</v>
      </c>
      <c r="E2276" s="1968"/>
      <c r="F2276" s="1968"/>
      <c r="G2276" s="1968"/>
      <c r="H2276" s="1968"/>
      <c r="I2276" s="1969"/>
      <c r="J2276" s="1914" t="s">
        <v>1504</v>
      </c>
      <c r="K2276" s="1914" t="s">
        <v>1505</v>
      </c>
      <c r="L2276" s="1914" t="s">
        <v>1506</v>
      </c>
      <c r="M2276" s="1914" t="s">
        <v>1507</v>
      </c>
      <c r="N2276" s="1914" t="s">
        <v>1508</v>
      </c>
      <c r="O2276" s="1914" t="s">
        <v>1509</v>
      </c>
      <c r="P2276" s="1341" t="s">
        <v>1510</v>
      </c>
      <c r="Q2276" s="1914" t="s">
        <v>1493</v>
      </c>
      <c r="R2276" s="1916" t="s">
        <v>804</v>
      </c>
      <c r="S2276" s="1914" t="s">
        <v>1511</v>
      </c>
      <c r="T2276" s="1914" t="s">
        <v>1512</v>
      </c>
      <c r="U2276" s="1918" t="s">
        <v>1513</v>
      </c>
      <c r="V2276" s="1418">
        <f t="shared" ref="V2276:V2283" si="232">V2277</f>
        <v>0</v>
      </c>
      <c r="W2276" s="16"/>
      <c r="X2276" s="16"/>
      <c r="Y2276" s="16"/>
      <c r="Z2276" s="17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</row>
    <row r="2277" spans="1:36" s="352" customFormat="1" ht="15.6" hidden="1">
      <c r="A2277" s="351"/>
      <c r="B2277" s="1964" t="e">
        <f>LEFT(#REF!,5)</f>
        <v>#REF!</v>
      </c>
      <c r="C2277" s="1966" t="e">
        <f>VLOOKUP(LEFT(#REF!,5),'11 - FINANCEIRA'!_xlnm.Print_Area,2,FALSE)</f>
        <v>#REF!</v>
      </c>
      <c r="D2277" s="1920" t="s">
        <v>1514</v>
      </c>
      <c r="E2277" s="1921"/>
      <c r="F2277" s="1922"/>
      <c r="G2277" s="1923" t="s">
        <v>1515</v>
      </c>
      <c r="H2277" s="1924"/>
      <c r="I2277" s="1925"/>
      <c r="J2277" s="1915"/>
      <c r="K2277" s="1915"/>
      <c r="L2277" s="1915"/>
      <c r="M2277" s="1915"/>
      <c r="N2277" s="1915"/>
      <c r="O2277" s="1915"/>
      <c r="P2277" s="353" t="s">
        <v>1516</v>
      </c>
      <c r="Q2277" s="1915"/>
      <c r="R2277" s="1917"/>
      <c r="S2277" s="1915"/>
      <c r="T2277" s="1915"/>
      <c r="U2277" s="1919"/>
      <c r="V2277" s="1418">
        <f t="shared" si="232"/>
        <v>0</v>
      </c>
      <c r="W2277" s="16"/>
      <c r="X2277" s="16"/>
      <c r="Y2277" s="16"/>
      <c r="Z2277" s="17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</row>
    <row r="2278" spans="1:36" s="361" customFormat="1" ht="15" hidden="1" customHeight="1">
      <c r="A2278" s="354"/>
      <c r="B2278" s="355"/>
      <c r="C2278" s="32" t="s">
        <v>1077</v>
      </c>
      <c r="D2278" s="33"/>
      <c r="E2278" s="34"/>
      <c r="F2278" s="35"/>
      <c r="G2278" s="33"/>
      <c r="H2278" s="34"/>
      <c r="I2278" s="35"/>
      <c r="J2278" s="43"/>
      <c r="K2278" s="42"/>
      <c r="L2278" s="39"/>
      <c r="M2278" s="41"/>
      <c r="N2278" s="356"/>
      <c r="O2278" s="40"/>
      <c r="P2278" s="39"/>
      <c r="Q2278" s="45"/>
      <c r="R2278" s="1359">
        <v>2</v>
      </c>
      <c r="S2278" s="1265" t="s">
        <v>816</v>
      </c>
      <c r="T2278" s="46" t="s">
        <v>329</v>
      </c>
      <c r="U2278" s="44"/>
      <c r="V2278" s="1418">
        <f t="shared" si="232"/>
        <v>0</v>
      </c>
      <c r="W2278" s="357"/>
      <c r="X2278" s="357"/>
      <c r="Y2278" s="357"/>
      <c r="Z2278" s="358"/>
      <c r="AA2278" s="359"/>
      <c r="AB2278" s="360"/>
    </row>
    <row r="2279" spans="1:36" s="361" customFormat="1" ht="15" hidden="1" customHeight="1">
      <c r="A2279" s="354"/>
      <c r="B2279" s="355"/>
      <c r="C2279" s="32"/>
      <c r="D2279" s="33"/>
      <c r="E2279" s="34"/>
      <c r="F2279" s="35"/>
      <c r="G2279" s="33"/>
      <c r="H2279" s="34"/>
      <c r="I2279" s="35"/>
      <c r="J2279" s="43"/>
      <c r="K2279" s="42"/>
      <c r="L2279" s="39"/>
      <c r="M2279" s="41"/>
      <c r="N2279" s="356"/>
      <c r="O2279" s="40"/>
      <c r="P2279" s="39"/>
      <c r="Q2279" s="45"/>
      <c r="R2279" s="362"/>
      <c r="S2279" s="363"/>
      <c r="T2279" s="46"/>
      <c r="U2279" s="44"/>
      <c r="V2279" s="1418">
        <f t="shared" si="232"/>
        <v>0</v>
      </c>
      <c r="W2279" s="357"/>
      <c r="X2279" s="357"/>
      <c r="Y2279" s="357"/>
      <c r="Z2279" s="358"/>
      <c r="AA2279" s="359"/>
      <c r="AB2279" s="360"/>
    </row>
    <row r="2280" spans="1:36" s="369" customFormat="1" ht="15" hidden="1">
      <c r="A2280" s="364"/>
      <c r="B2280" s="355"/>
      <c r="C2280" s="32"/>
      <c r="D2280" s="33"/>
      <c r="E2280" s="34"/>
      <c r="F2280" s="35"/>
      <c r="G2280" s="33"/>
      <c r="H2280" s="34"/>
      <c r="I2280" s="35"/>
      <c r="J2280" s="43"/>
      <c r="K2280" s="42"/>
      <c r="L2280" s="39"/>
      <c r="M2280" s="41"/>
      <c r="N2280" s="40"/>
      <c r="O2280" s="40"/>
      <c r="P2280" s="39"/>
      <c r="Q2280" s="38"/>
      <c r="R2280" s="365"/>
      <c r="S2280" s="366"/>
      <c r="T2280" s="46"/>
      <c r="U2280" s="44"/>
      <c r="V2280" s="1418">
        <f t="shared" si="232"/>
        <v>0</v>
      </c>
      <c r="W2280" s="367"/>
      <c r="X2280" s="367"/>
      <c r="Y2280" s="367"/>
      <c r="Z2280" s="368"/>
    </row>
    <row r="2281" spans="1:36" s="77" customFormat="1" ht="15" hidden="1">
      <c r="A2281" s="370"/>
      <c r="B2281" s="29"/>
      <c r="C2281" s="30"/>
      <c r="D2281" s="18"/>
      <c r="E2281" s="19"/>
      <c r="F2281" s="20"/>
      <c r="G2281" s="18"/>
      <c r="H2281" s="19"/>
      <c r="I2281" s="20"/>
      <c r="J2281" s="21"/>
      <c r="K2281" s="22"/>
      <c r="L2281" s="23"/>
      <c r="M2281" s="24"/>
      <c r="N2281" s="25"/>
      <c r="O2281" s="25"/>
      <c r="P2281" s="23"/>
      <c r="Q2281" s="26"/>
      <c r="R2281" s="371"/>
      <c r="S2281" s="27"/>
      <c r="T2281" s="372"/>
      <c r="U2281" s="31"/>
      <c r="V2281" s="1418">
        <f t="shared" si="232"/>
        <v>0</v>
      </c>
      <c r="AB2281" s="15"/>
    </row>
    <row r="2282" spans="1:36" s="77" customFormat="1" ht="15.6" hidden="1">
      <c r="A2282" s="370"/>
      <c r="B2282" s="499"/>
      <c r="C2282" s="37"/>
      <c r="D2282" s="1929" t="s">
        <v>1520</v>
      </c>
      <c r="E2282" s="1930"/>
      <c r="F2282" s="1930"/>
      <c r="G2282" s="1930"/>
      <c r="H2282" s="1930"/>
      <c r="I2282" s="1931"/>
      <c r="J2282" s="1932">
        <f>VLOOKUP(A2284,'11 - FINANCEIRA'!_xlnm.Print_Area,6,FALSE)</f>
        <v>2</v>
      </c>
      <c r="K2282" s="1933"/>
      <c r="L2282" s="1343" t="str">
        <f>VLOOKUP(A2284,'11 - FINANCEIRA'!_xlnm.Print_Area,4,FALSE)</f>
        <v>und</v>
      </c>
      <c r="M2282" s="1934" t="s">
        <v>1521</v>
      </c>
      <c r="N2282" s="1935"/>
      <c r="O2282" s="1935"/>
      <c r="P2282" s="1935"/>
      <c r="Q2282" s="1936"/>
      <c r="R2282" s="726">
        <f>SUM(R2278:R2281)</f>
        <v>2</v>
      </c>
      <c r="S2282" s="1344" t="str">
        <f>L2282</f>
        <v>und</v>
      </c>
      <c r="T2282" s="373"/>
      <c r="U2282" s="486"/>
      <c r="V2282" s="1418">
        <f t="shared" si="232"/>
        <v>0</v>
      </c>
      <c r="AB2282" s="15"/>
    </row>
    <row r="2283" spans="1:36" s="77" customFormat="1" ht="15.6" hidden="1">
      <c r="A2283" s="370"/>
      <c r="B2283" s="499"/>
      <c r="C2283" s="725"/>
      <c r="D2283" s="1937" t="s">
        <v>1522</v>
      </c>
      <c r="E2283" s="1938"/>
      <c r="F2283" s="1938"/>
      <c r="G2283" s="1938"/>
      <c r="H2283" s="1938"/>
      <c r="I2283" s="1939"/>
      <c r="J2283" s="1943">
        <f>R2282/J2282</f>
        <v>1</v>
      </c>
      <c r="K2283" s="1944"/>
      <c r="L2283" s="1947"/>
      <c r="M2283" s="1934" t="s">
        <v>1523</v>
      </c>
      <c r="N2283" s="1935"/>
      <c r="O2283" s="1935"/>
      <c r="P2283" s="1935"/>
      <c r="Q2283" s="1936"/>
      <c r="R2283" s="726">
        <f>VLOOKUP(A2284,'11 - FINANCEIRA'!_xlnm.Print_Area,8,FALSE)</f>
        <v>2</v>
      </c>
      <c r="S2283" s="727" t="str">
        <f>L2282</f>
        <v>und</v>
      </c>
      <c r="T2283" s="373"/>
      <c r="U2283" s="486"/>
      <c r="V2283" s="1418">
        <f t="shared" si="232"/>
        <v>0</v>
      </c>
      <c r="AB2283" s="15"/>
    </row>
    <row r="2284" spans="1:36" s="77" customFormat="1" ht="15.6" hidden="1">
      <c r="A2284" s="364" t="s">
        <v>530</v>
      </c>
      <c r="B2284" s="499"/>
      <c r="C2284" s="37"/>
      <c r="D2284" s="2013"/>
      <c r="E2284" s="2014"/>
      <c r="F2284" s="2014"/>
      <c r="G2284" s="2014"/>
      <c r="H2284" s="2014"/>
      <c r="I2284" s="2015"/>
      <c r="J2284" s="2016"/>
      <c r="K2284" s="2017"/>
      <c r="L2284" s="1962"/>
      <c r="M2284" s="2007" t="s">
        <v>1524</v>
      </c>
      <c r="N2284" s="2008"/>
      <c r="O2284" s="2008"/>
      <c r="P2284" s="2008"/>
      <c r="Q2284" s="2009"/>
      <c r="R2284" s="1345">
        <f>R2282-R2283</f>
        <v>0</v>
      </c>
      <c r="S2284" s="1346" t="str">
        <f>L2282</f>
        <v>und</v>
      </c>
      <c r="T2284" s="373"/>
      <c r="U2284" s="486"/>
      <c r="V2284" s="1418">
        <f>R2284</f>
        <v>0</v>
      </c>
      <c r="AB2284" s="15"/>
    </row>
    <row r="2285" spans="1:36" s="77" customFormat="1" ht="15.6" hidden="1">
      <c r="A2285" s="370"/>
      <c r="B2285" s="1347"/>
      <c r="C2285" s="1348"/>
      <c r="D2285" s="1349"/>
      <c r="E2285" s="1350"/>
      <c r="F2285" s="1349"/>
      <c r="G2285" s="1349"/>
      <c r="H2285" s="1349"/>
      <c r="I2285" s="1349"/>
      <c r="J2285" s="1351"/>
      <c r="K2285" s="1352"/>
      <c r="L2285" s="1353"/>
      <c r="M2285" s="1354"/>
      <c r="N2285" s="1354"/>
      <c r="O2285" s="1354"/>
      <c r="P2285" s="1354"/>
      <c r="Q2285" s="1354"/>
      <c r="R2285" s="1355"/>
      <c r="S2285" s="1356"/>
      <c r="T2285" s="1357"/>
      <c r="U2285" s="1358"/>
      <c r="V2285" s="1420">
        <f>SUM(V2276:V2284)</f>
        <v>0</v>
      </c>
      <c r="AB2285" s="15"/>
    </row>
    <row r="2286" spans="1:36" s="352" customFormat="1" ht="15.6" hidden="1">
      <c r="A2286" s="351"/>
      <c r="B2286" s="1963" t="str">
        <f>VLOOKUP(A2294,'11 - FINANCEIRA'!_xlnm.Print_Area,1,FALSE)</f>
        <v>2.3.12.5</v>
      </c>
      <c r="C2286" s="1965" t="str">
        <f>VLOOKUP(A2294,'11 - FINANCEIRA'!_xlnm.Print_Area,3,FALSE)</f>
        <v>Fornecimento e instalação de extintor de espuma 10 l</v>
      </c>
      <c r="D2286" s="1967" t="s">
        <v>1503</v>
      </c>
      <c r="E2286" s="1968"/>
      <c r="F2286" s="1968"/>
      <c r="G2286" s="1968"/>
      <c r="H2286" s="1968"/>
      <c r="I2286" s="1969"/>
      <c r="J2286" s="1914" t="s">
        <v>1504</v>
      </c>
      <c r="K2286" s="1914" t="s">
        <v>1505</v>
      </c>
      <c r="L2286" s="1914" t="s">
        <v>1506</v>
      </c>
      <c r="M2286" s="1914" t="s">
        <v>1507</v>
      </c>
      <c r="N2286" s="1914" t="s">
        <v>1508</v>
      </c>
      <c r="O2286" s="1914" t="s">
        <v>1509</v>
      </c>
      <c r="P2286" s="1341" t="s">
        <v>1510</v>
      </c>
      <c r="Q2286" s="1914" t="s">
        <v>1493</v>
      </c>
      <c r="R2286" s="1916" t="s">
        <v>804</v>
      </c>
      <c r="S2286" s="1914" t="s">
        <v>1511</v>
      </c>
      <c r="T2286" s="1914" t="s">
        <v>1512</v>
      </c>
      <c r="U2286" s="1918" t="s">
        <v>1513</v>
      </c>
      <c r="V2286" s="1418">
        <f t="shared" ref="V2286:V2293" si="233">V2287</f>
        <v>0</v>
      </c>
      <c r="W2286" s="16"/>
      <c r="X2286" s="16"/>
      <c r="Y2286" s="16"/>
      <c r="Z2286" s="17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</row>
    <row r="2287" spans="1:36" s="352" customFormat="1" ht="15.6" hidden="1">
      <c r="A2287" s="351"/>
      <c r="B2287" s="1964" t="e">
        <f>LEFT(#REF!,5)</f>
        <v>#REF!</v>
      </c>
      <c r="C2287" s="1966" t="e">
        <f>VLOOKUP(LEFT(#REF!,5),'11 - FINANCEIRA'!_xlnm.Print_Area,2,FALSE)</f>
        <v>#REF!</v>
      </c>
      <c r="D2287" s="1920" t="s">
        <v>1514</v>
      </c>
      <c r="E2287" s="1921"/>
      <c r="F2287" s="1922"/>
      <c r="G2287" s="1923" t="s">
        <v>1515</v>
      </c>
      <c r="H2287" s="1924"/>
      <c r="I2287" s="1925"/>
      <c r="J2287" s="1915"/>
      <c r="K2287" s="1915"/>
      <c r="L2287" s="1915"/>
      <c r="M2287" s="1915"/>
      <c r="N2287" s="1915"/>
      <c r="O2287" s="1915"/>
      <c r="P2287" s="353" t="s">
        <v>1516</v>
      </c>
      <c r="Q2287" s="1915"/>
      <c r="R2287" s="1917"/>
      <c r="S2287" s="1915"/>
      <c r="T2287" s="1915"/>
      <c r="U2287" s="1919"/>
      <c r="V2287" s="1418">
        <f t="shared" si="233"/>
        <v>0</v>
      </c>
      <c r="W2287" s="16"/>
      <c r="X2287" s="16"/>
      <c r="Y2287" s="16"/>
      <c r="Z2287" s="17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</row>
    <row r="2288" spans="1:36" s="361" customFormat="1" ht="15" hidden="1" customHeight="1">
      <c r="A2288" s="354"/>
      <c r="B2288" s="355"/>
      <c r="C2288" s="32" t="s">
        <v>1079</v>
      </c>
      <c r="D2288" s="33"/>
      <c r="E2288" s="34"/>
      <c r="F2288" s="35"/>
      <c r="G2288" s="33"/>
      <c r="H2288" s="34"/>
      <c r="I2288" s="35"/>
      <c r="J2288" s="43"/>
      <c r="K2288" s="42"/>
      <c r="L2288" s="39"/>
      <c r="M2288" s="41"/>
      <c r="N2288" s="356"/>
      <c r="O2288" s="40"/>
      <c r="P2288" s="39"/>
      <c r="Q2288" s="45"/>
      <c r="R2288" s="1359">
        <v>1</v>
      </c>
      <c r="S2288" s="1265" t="s">
        <v>816</v>
      </c>
      <c r="T2288" s="46" t="s">
        <v>329</v>
      </c>
      <c r="U2288" s="44"/>
      <c r="V2288" s="1418">
        <f t="shared" si="233"/>
        <v>0</v>
      </c>
      <c r="W2288" s="357"/>
      <c r="X2288" s="357"/>
      <c r="Y2288" s="357"/>
      <c r="Z2288" s="358"/>
      <c r="AA2288" s="359"/>
      <c r="AB2288" s="360"/>
    </row>
    <row r="2289" spans="1:36" s="361" customFormat="1" ht="15" hidden="1" customHeight="1">
      <c r="A2289" s="354"/>
      <c r="B2289" s="355"/>
      <c r="C2289" s="32"/>
      <c r="D2289" s="33"/>
      <c r="E2289" s="34"/>
      <c r="F2289" s="35"/>
      <c r="G2289" s="33"/>
      <c r="H2289" s="34"/>
      <c r="I2289" s="35"/>
      <c r="J2289" s="43"/>
      <c r="K2289" s="42"/>
      <c r="L2289" s="39"/>
      <c r="M2289" s="41"/>
      <c r="N2289" s="356"/>
      <c r="O2289" s="40"/>
      <c r="P2289" s="39"/>
      <c r="Q2289" s="45"/>
      <c r="R2289" s="362"/>
      <c r="S2289" s="363"/>
      <c r="T2289" s="46"/>
      <c r="U2289" s="44"/>
      <c r="V2289" s="1418">
        <f t="shared" si="233"/>
        <v>0</v>
      </c>
      <c r="W2289" s="357"/>
      <c r="X2289" s="357"/>
      <c r="Y2289" s="357"/>
      <c r="Z2289" s="358"/>
      <c r="AA2289" s="359"/>
      <c r="AB2289" s="360"/>
    </row>
    <row r="2290" spans="1:36" s="369" customFormat="1" ht="15" hidden="1">
      <c r="A2290" s="364"/>
      <c r="B2290" s="355"/>
      <c r="C2290" s="32"/>
      <c r="D2290" s="33"/>
      <c r="E2290" s="34"/>
      <c r="F2290" s="35"/>
      <c r="G2290" s="33"/>
      <c r="H2290" s="34"/>
      <c r="I2290" s="35"/>
      <c r="J2290" s="43"/>
      <c r="K2290" s="42"/>
      <c r="L2290" s="39"/>
      <c r="M2290" s="41"/>
      <c r="N2290" s="40"/>
      <c r="O2290" s="40"/>
      <c r="P2290" s="39"/>
      <c r="Q2290" s="38"/>
      <c r="R2290" s="365"/>
      <c r="S2290" s="366"/>
      <c r="T2290" s="46"/>
      <c r="U2290" s="44"/>
      <c r="V2290" s="1418">
        <f t="shared" si="233"/>
        <v>0</v>
      </c>
      <c r="W2290" s="367"/>
      <c r="X2290" s="367"/>
      <c r="Y2290" s="367"/>
      <c r="Z2290" s="368"/>
    </row>
    <row r="2291" spans="1:36" s="77" customFormat="1" ht="15" hidden="1">
      <c r="A2291" s="370"/>
      <c r="B2291" s="29"/>
      <c r="C2291" s="30"/>
      <c r="D2291" s="18"/>
      <c r="E2291" s="19"/>
      <c r="F2291" s="20"/>
      <c r="G2291" s="18"/>
      <c r="H2291" s="19"/>
      <c r="I2291" s="20"/>
      <c r="J2291" s="21"/>
      <c r="K2291" s="22"/>
      <c r="L2291" s="23"/>
      <c r="M2291" s="24"/>
      <c r="N2291" s="25"/>
      <c r="O2291" s="25"/>
      <c r="P2291" s="23"/>
      <c r="Q2291" s="26"/>
      <c r="R2291" s="371"/>
      <c r="S2291" s="27"/>
      <c r="T2291" s="372"/>
      <c r="U2291" s="31"/>
      <c r="V2291" s="1418">
        <f t="shared" si="233"/>
        <v>0</v>
      </c>
      <c r="AB2291" s="15"/>
    </row>
    <row r="2292" spans="1:36" s="77" customFormat="1" ht="15.6" hidden="1">
      <c r="A2292" s="370"/>
      <c r="B2292" s="499"/>
      <c r="C2292" s="37"/>
      <c r="D2292" s="1929" t="s">
        <v>1520</v>
      </c>
      <c r="E2292" s="1930"/>
      <c r="F2292" s="1930"/>
      <c r="G2292" s="1930"/>
      <c r="H2292" s="1930"/>
      <c r="I2292" s="1931"/>
      <c r="J2292" s="1932">
        <f>VLOOKUP(A2294,'11 - FINANCEIRA'!_xlnm.Print_Area,6,FALSE)</f>
        <v>1</v>
      </c>
      <c r="K2292" s="1933"/>
      <c r="L2292" s="1343" t="str">
        <f>VLOOKUP(A2294,'11 - FINANCEIRA'!_xlnm.Print_Area,4,FALSE)</f>
        <v>und</v>
      </c>
      <c r="M2292" s="1934" t="s">
        <v>1521</v>
      </c>
      <c r="N2292" s="1935"/>
      <c r="O2292" s="1935"/>
      <c r="P2292" s="1935"/>
      <c r="Q2292" s="1936"/>
      <c r="R2292" s="726">
        <f>SUM(R2288:R2291)</f>
        <v>1</v>
      </c>
      <c r="S2292" s="1344" t="str">
        <f>L2292</f>
        <v>und</v>
      </c>
      <c r="T2292" s="373"/>
      <c r="U2292" s="486"/>
      <c r="V2292" s="1418">
        <f t="shared" si="233"/>
        <v>0</v>
      </c>
      <c r="AB2292" s="15"/>
    </row>
    <row r="2293" spans="1:36" s="77" customFormat="1" ht="15.6" hidden="1">
      <c r="A2293" s="370"/>
      <c r="B2293" s="499"/>
      <c r="C2293" s="725"/>
      <c r="D2293" s="1937" t="s">
        <v>1522</v>
      </c>
      <c r="E2293" s="1938"/>
      <c r="F2293" s="1938"/>
      <c r="G2293" s="1938"/>
      <c r="H2293" s="1938"/>
      <c r="I2293" s="1939"/>
      <c r="J2293" s="1943">
        <f>R2292/J2292</f>
        <v>1</v>
      </c>
      <c r="K2293" s="1944"/>
      <c r="L2293" s="1947"/>
      <c r="M2293" s="1934" t="s">
        <v>1523</v>
      </c>
      <c r="N2293" s="1935"/>
      <c r="O2293" s="1935"/>
      <c r="P2293" s="1935"/>
      <c r="Q2293" s="1936"/>
      <c r="R2293" s="726">
        <f>VLOOKUP(A2294,'11 - FINANCEIRA'!_xlnm.Print_Area,8,FALSE)</f>
        <v>1</v>
      </c>
      <c r="S2293" s="727" t="str">
        <f>L2292</f>
        <v>und</v>
      </c>
      <c r="T2293" s="373"/>
      <c r="U2293" s="486"/>
      <c r="V2293" s="1418">
        <f t="shared" si="233"/>
        <v>0</v>
      </c>
      <c r="AB2293" s="15"/>
    </row>
    <row r="2294" spans="1:36" s="77" customFormat="1" ht="15.6" hidden="1">
      <c r="A2294" s="364" t="s">
        <v>531</v>
      </c>
      <c r="B2294" s="499"/>
      <c r="C2294" s="37"/>
      <c r="D2294" s="2013"/>
      <c r="E2294" s="2014"/>
      <c r="F2294" s="2014"/>
      <c r="G2294" s="2014"/>
      <c r="H2294" s="2014"/>
      <c r="I2294" s="2015"/>
      <c r="J2294" s="2016"/>
      <c r="K2294" s="2017"/>
      <c r="L2294" s="1962"/>
      <c r="M2294" s="2007" t="s">
        <v>1524</v>
      </c>
      <c r="N2294" s="2008"/>
      <c r="O2294" s="2008"/>
      <c r="P2294" s="2008"/>
      <c r="Q2294" s="2009"/>
      <c r="R2294" s="1345">
        <f>R2292-R2293</f>
        <v>0</v>
      </c>
      <c r="S2294" s="1346" t="str">
        <f>L2292</f>
        <v>und</v>
      </c>
      <c r="T2294" s="373"/>
      <c r="U2294" s="486"/>
      <c r="V2294" s="1418">
        <f>R2294</f>
        <v>0</v>
      </c>
      <c r="AB2294" s="15"/>
    </row>
    <row r="2295" spans="1:36" s="77" customFormat="1" ht="15.6" hidden="1">
      <c r="A2295" s="370"/>
      <c r="B2295" s="1347"/>
      <c r="C2295" s="1348"/>
      <c r="D2295" s="1349"/>
      <c r="E2295" s="1350"/>
      <c r="F2295" s="1349"/>
      <c r="G2295" s="1349"/>
      <c r="H2295" s="1349"/>
      <c r="I2295" s="1349"/>
      <c r="J2295" s="1351"/>
      <c r="K2295" s="1352"/>
      <c r="L2295" s="1353"/>
      <c r="M2295" s="1354"/>
      <c r="N2295" s="1354"/>
      <c r="O2295" s="1354"/>
      <c r="P2295" s="1354"/>
      <c r="Q2295" s="1354"/>
      <c r="R2295" s="1355"/>
      <c r="S2295" s="1356"/>
      <c r="T2295" s="1357"/>
      <c r="U2295" s="1358"/>
      <c r="V2295" s="1420">
        <f>SUM(V2286:V2294)</f>
        <v>0</v>
      </c>
      <c r="AB2295" s="15"/>
    </row>
    <row r="2296" spans="1:36" s="352" customFormat="1" ht="15.6" hidden="1">
      <c r="A2296" s="351"/>
      <c r="B2296" s="1963" t="str">
        <f>VLOOKUP(A2304,'11 - FINANCEIRA'!_xlnm.Print_Area,1,FALSE)</f>
        <v>2.3.12.6</v>
      </c>
      <c r="C2296" s="1965" t="str">
        <f>VLOOKUP(A2304,'11 - FINANCEIRA'!_xlnm.Print_Area,3,FALSE)</f>
        <v xml:space="preserve">Bloco autônomo de iluminação de emergência 30 leds, bivolt, autonomia de 6hrs, potência 2w, fluxo luminoso 110 lm </v>
      </c>
      <c r="D2296" s="1967" t="s">
        <v>1503</v>
      </c>
      <c r="E2296" s="1968"/>
      <c r="F2296" s="1968"/>
      <c r="G2296" s="1968"/>
      <c r="H2296" s="1968"/>
      <c r="I2296" s="1969"/>
      <c r="J2296" s="1914" t="s">
        <v>1504</v>
      </c>
      <c r="K2296" s="1914" t="s">
        <v>1505</v>
      </c>
      <c r="L2296" s="1914" t="s">
        <v>1506</v>
      </c>
      <c r="M2296" s="1914" t="s">
        <v>1507</v>
      </c>
      <c r="N2296" s="1914" t="s">
        <v>1508</v>
      </c>
      <c r="O2296" s="1914" t="s">
        <v>1509</v>
      </c>
      <c r="P2296" s="1341" t="s">
        <v>1510</v>
      </c>
      <c r="Q2296" s="1914" t="s">
        <v>1493</v>
      </c>
      <c r="R2296" s="1916" t="s">
        <v>804</v>
      </c>
      <c r="S2296" s="1914" t="s">
        <v>1511</v>
      </c>
      <c r="T2296" s="1914" t="s">
        <v>1512</v>
      </c>
      <c r="U2296" s="1918" t="s">
        <v>1513</v>
      </c>
      <c r="V2296" s="1418">
        <f t="shared" ref="V2296:V2303" si="234">V2297</f>
        <v>0</v>
      </c>
      <c r="W2296" s="16"/>
      <c r="X2296" s="16"/>
      <c r="Y2296" s="16"/>
      <c r="Z2296" s="17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</row>
    <row r="2297" spans="1:36" s="352" customFormat="1" ht="15.6" hidden="1">
      <c r="A2297" s="351"/>
      <c r="B2297" s="1964" t="e">
        <f>LEFT(#REF!,5)</f>
        <v>#REF!</v>
      </c>
      <c r="C2297" s="1966" t="e">
        <f>VLOOKUP(LEFT(#REF!,5),'11 - FINANCEIRA'!_xlnm.Print_Area,2,FALSE)</f>
        <v>#REF!</v>
      </c>
      <c r="D2297" s="1920" t="s">
        <v>1514</v>
      </c>
      <c r="E2297" s="1921"/>
      <c r="F2297" s="1922"/>
      <c r="G2297" s="1923" t="s">
        <v>1515</v>
      </c>
      <c r="H2297" s="1924"/>
      <c r="I2297" s="1925"/>
      <c r="J2297" s="1915"/>
      <c r="K2297" s="1915"/>
      <c r="L2297" s="1915"/>
      <c r="M2297" s="1915"/>
      <c r="N2297" s="1915"/>
      <c r="O2297" s="1915"/>
      <c r="P2297" s="353" t="s">
        <v>1516</v>
      </c>
      <c r="Q2297" s="1915"/>
      <c r="R2297" s="1917"/>
      <c r="S2297" s="1915"/>
      <c r="T2297" s="1915"/>
      <c r="U2297" s="1919"/>
      <c r="V2297" s="1418">
        <f t="shared" si="234"/>
        <v>0</v>
      </c>
      <c r="W2297" s="16"/>
      <c r="X2297" s="16"/>
      <c r="Y2297" s="16"/>
      <c r="Z2297" s="17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</row>
    <row r="2298" spans="1:36" s="361" customFormat="1" ht="30" hidden="1">
      <c r="A2298" s="354"/>
      <c r="B2298" s="355"/>
      <c r="C2298" s="32" t="s">
        <v>1081</v>
      </c>
      <c r="D2298" s="33"/>
      <c r="E2298" s="34"/>
      <c r="F2298" s="35"/>
      <c r="G2298" s="33"/>
      <c r="H2298" s="34"/>
      <c r="I2298" s="35"/>
      <c r="J2298" s="43"/>
      <c r="K2298" s="42"/>
      <c r="L2298" s="39"/>
      <c r="M2298" s="41"/>
      <c r="N2298" s="356"/>
      <c r="O2298" s="40"/>
      <c r="P2298" s="39"/>
      <c r="Q2298" s="45"/>
      <c r="R2298" s="1359">
        <v>7</v>
      </c>
      <c r="S2298" s="1265" t="s">
        <v>816</v>
      </c>
      <c r="T2298" s="46" t="s">
        <v>329</v>
      </c>
      <c r="U2298" s="44"/>
      <c r="V2298" s="1418">
        <f t="shared" si="234"/>
        <v>0</v>
      </c>
      <c r="W2298" s="357"/>
      <c r="X2298" s="357"/>
      <c r="Y2298" s="357"/>
      <c r="Z2298" s="358"/>
      <c r="AA2298" s="359"/>
      <c r="AB2298" s="360"/>
    </row>
    <row r="2299" spans="1:36" s="361" customFormat="1" ht="15" hidden="1" customHeight="1">
      <c r="A2299" s="354"/>
      <c r="B2299" s="355"/>
      <c r="C2299" s="32"/>
      <c r="D2299" s="33"/>
      <c r="E2299" s="34"/>
      <c r="F2299" s="35"/>
      <c r="G2299" s="33"/>
      <c r="H2299" s="34"/>
      <c r="I2299" s="35"/>
      <c r="J2299" s="43"/>
      <c r="K2299" s="42"/>
      <c r="L2299" s="39"/>
      <c r="M2299" s="41"/>
      <c r="N2299" s="356"/>
      <c r="O2299" s="40"/>
      <c r="P2299" s="39"/>
      <c r="Q2299" s="45"/>
      <c r="R2299" s="362"/>
      <c r="S2299" s="363"/>
      <c r="T2299" s="46"/>
      <c r="U2299" s="44"/>
      <c r="V2299" s="1418">
        <f t="shared" si="234"/>
        <v>0</v>
      </c>
      <c r="W2299" s="357"/>
      <c r="X2299" s="357"/>
      <c r="Y2299" s="357"/>
      <c r="Z2299" s="358"/>
      <c r="AA2299" s="359"/>
      <c r="AB2299" s="360"/>
    </row>
    <row r="2300" spans="1:36" s="369" customFormat="1" ht="15" hidden="1">
      <c r="A2300" s="364"/>
      <c r="B2300" s="355"/>
      <c r="C2300" s="32"/>
      <c r="D2300" s="33"/>
      <c r="E2300" s="34"/>
      <c r="F2300" s="35"/>
      <c r="G2300" s="33"/>
      <c r="H2300" s="34"/>
      <c r="I2300" s="35"/>
      <c r="J2300" s="43"/>
      <c r="K2300" s="42"/>
      <c r="L2300" s="39"/>
      <c r="M2300" s="41"/>
      <c r="N2300" s="40"/>
      <c r="O2300" s="40"/>
      <c r="P2300" s="39"/>
      <c r="Q2300" s="38"/>
      <c r="R2300" s="365"/>
      <c r="S2300" s="366"/>
      <c r="T2300" s="46"/>
      <c r="U2300" s="44"/>
      <c r="V2300" s="1418">
        <f t="shared" si="234"/>
        <v>0</v>
      </c>
      <c r="W2300" s="367"/>
      <c r="X2300" s="367"/>
      <c r="Y2300" s="367"/>
      <c r="Z2300" s="368"/>
    </row>
    <row r="2301" spans="1:36" s="77" customFormat="1" ht="15" hidden="1">
      <c r="A2301" s="370"/>
      <c r="B2301" s="29"/>
      <c r="C2301" s="30"/>
      <c r="D2301" s="18"/>
      <c r="E2301" s="19"/>
      <c r="F2301" s="20"/>
      <c r="G2301" s="18"/>
      <c r="H2301" s="19"/>
      <c r="I2301" s="20"/>
      <c r="J2301" s="21"/>
      <c r="K2301" s="22"/>
      <c r="L2301" s="23"/>
      <c r="M2301" s="24"/>
      <c r="N2301" s="25"/>
      <c r="O2301" s="25"/>
      <c r="P2301" s="23"/>
      <c r="Q2301" s="26"/>
      <c r="R2301" s="371"/>
      <c r="S2301" s="27"/>
      <c r="T2301" s="372"/>
      <c r="U2301" s="31"/>
      <c r="V2301" s="1418">
        <f t="shared" si="234"/>
        <v>0</v>
      </c>
      <c r="AB2301" s="15"/>
    </row>
    <row r="2302" spans="1:36" s="77" customFormat="1" ht="15.6" hidden="1">
      <c r="A2302" s="370"/>
      <c r="B2302" s="499"/>
      <c r="C2302" s="37"/>
      <c r="D2302" s="1929" t="s">
        <v>1520</v>
      </c>
      <c r="E2302" s="1930"/>
      <c r="F2302" s="1930"/>
      <c r="G2302" s="1930"/>
      <c r="H2302" s="1930"/>
      <c r="I2302" s="1931"/>
      <c r="J2302" s="1932">
        <f>VLOOKUP(A2304,'11 - FINANCEIRA'!_xlnm.Print_Area,6,FALSE)</f>
        <v>7</v>
      </c>
      <c r="K2302" s="1933"/>
      <c r="L2302" s="1343" t="str">
        <f>VLOOKUP(A2304,'11 - FINANCEIRA'!_xlnm.Print_Area,4,FALSE)</f>
        <v>und</v>
      </c>
      <c r="M2302" s="1934" t="s">
        <v>1521</v>
      </c>
      <c r="N2302" s="1935"/>
      <c r="O2302" s="1935"/>
      <c r="P2302" s="1935"/>
      <c r="Q2302" s="1936"/>
      <c r="R2302" s="726">
        <f>SUM(R2298:R2301)</f>
        <v>7</v>
      </c>
      <c r="S2302" s="1344" t="str">
        <f>L2302</f>
        <v>und</v>
      </c>
      <c r="T2302" s="373"/>
      <c r="U2302" s="486"/>
      <c r="V2302" s="1418">
        <f t="shared" si="234"/>
        <v>0</v>
      </c>
      <c r="AB2302" s="15"/>
    </row>
    <row r="2303" spans="1:36" s="77" customFormat="1" ht="15.6" hidden="1">
      <c r="A2303" s="370"/>
      <c r="B2303" s="499"/>
      <c r="C2303" s="725"/>
      <c r="D2303" s="1937" t="s">
        <v>1522</v>
      </c>
      <c r="E2303" s="1938"/>
      <c r="F2303" s="1938"/>
      <c r="G2303" s="1938"/>
      <c r="H2303" s="1938"/>
      <c r="I2303" s="1939"/>
      <c r="J2303" s="1943">
        <f>R2302/J2302</f>
        <v>1</v>
      </c>
      <c r="K2303" s="1944"/>
      <c r="L2303" s="1947"/>
      <c r="M2303" s="1934" t="s">
        <v>1523</v>
      </c>
      <c r="N2303" s="1935"/>
      <c r="O2303" s="1935"/>
      <c r="P2303" s="1935"/>
      <c r="Q2303" s="1936"/>
      <c r="R2303" s="726">
        <f>VLOOKUP(A2304,'11 - FINANCEIRA'!_xlnm.Print_Area,8,FALSE)</f>
        <v>7</v>
      </c>
      <c r="S2303" s="727" t="str">
        <f>L2302</f>
        <v>und</v>
      </c>
      <c r="T2303" s="373"/>
      <c r="U2303" s="486"/>
      <c r="V2303" s="1418">
        <f t="shared" si="234"/>
        <v>0</v>
      </c>
      <c r="AB2303" s="15"/>
    </row>
    <row r="2304" spans="1:36" s="77" customFormat="1" ht="15.6" hidden="1">
      <c r="A2304" s="364" t="s">
        <v>532</v>
      </c>
      <c r="B2304" s="499"/>
      <c r="C2304" s="37"/>
      <c r="D2304" s="2013"/>
      <c r="E2304" s="2014"/>
      <c r="F2304" s="2014"/>
      <c r="G2304" s="2014"/>
      <c r="H2304" s="2014"/>
      <c r="I2304" s="2015"/>
      <c r="J2304" s="2016"/>
      <c r="K2304" s="2017"/>
      <c r="L2304" s="1962"/>
      <c r="M2304" s="2007" t="s">
        <v>1524</v>
      </c>
      <c r="N2304" s="2008"/>
      <c r="O2304" s="2008"/>
      <c r="P2304" s="2008"/>
      <c r="Q2304" s="2009"/>
      <c r="R2304" s="1345">
        <f>R2302-R2303</f>
        <v>0</v>
      </c>
      <c r="S2304" s="1346" t="str">
        <f>L2302</f>
        <v>und</v>
      </c>
      <c r="T2304" s="373"/>
      <c r="U2304" s="486"/>
      <c r="V2304" s="1418">
        <f>R2304</f>
        <v>0</v>
      </c>
      <c r="AB2304" s="15"/>
    </row>
    <row r="2305" spans="1:36" s="77" customFormat="1" ht="15.6" hidden="1">
      <c r="A2305" s="370"/>
      <c r="B2305" s="1347"/>
      <c r="C2305" s="1348"/>
      <c r="D2305" s="1349"/>
      <c r="E2305" s="1350"/>
      <c r="F2305" s="1349"/>
      <c r="G2305" s="1349"/>
      <c r="H2305" s="1349"/>
      <c r="I2305" s="1349"/>
      <c r="J2305" s="1351"/>
      <c r="K2305" s="1352"/>
      <c r="L2305" s="1353"/>
      <c r="M2305" s="1354"/>
      <c r="N2305" s="1354"/>
      <c r="O2305" s="1354"/>
      <c r="P2305" s="1354"/>
      <c r="Q2305" s="1354"/>
      <c r="R2305" s="1355"/>
      <c r="S2305" s="1356"/>
      <c r="T2305" s="1357"/>
      <c r="U2305" s="1358"/>
      <c r="V2305" s="1420">
        <f>SUM(V2296:V2304)</f>
        <v>0</v>
      </c>
      <c r="AB2305" s="15"/>
    </row>
    <row r="2306" spans="1:36" s="352" customFormat="1" ht="15.6" hidden="1">
      <c r="A2306" s="351"/>
      <c r="B2306" s="1963" t="str">
        <f>VLOOKUP(A2314,'11 - FINANCEIRA'!_xlnm.Print_Area,1,FALSE)</f>
        <v>2.3.12.7</v>
      </c>
      <c r="C2306" s="1965" t="str">
        <f>VLOOKUP(A2314,'11 - FINANCEIRA'!_xlnm.Print_Area,3,FALSE)</f>
        <v xml:space="preserve">Bloco autônomo p/ iluminação de emergência, c/ faróis de led 15w temp. cor 5000k, autonomia 3 horas, gab. policarb. term. autoextinguível, prot. uv, res. a impacto, bege, mod. bll 2400 led ip66 - aureonlux ou equivalente </v>
      </c>
      <c r="D2306" s="1967" t="s">
        <v>1503</v>
      </c>
      <c r="E2306" s="1968"/>
      <c r="F2306" s="1968"/>
      <c r="G2306" s="1968"/>
      <c r="H2306" s="1968"/>
      <c r="I2306" s="1969"/>
      <c r="J2306" s="1914" t="s">
        <v>1504</v>
      </c>
      <c r="K2306" s="1914" t="s">
        <v>1505</v>
      </c>
      <c r="L2306" s="1914" t="s">
        <v>1506</v>
      </c>
      <c r="M2306" s="1914" t="s">
        <v>1507</v>
      </c>
      <c r="N2306" s="1914" t="s">
        <v>1508</v>
      </c>
      <c r="O2306" s="1914" t="s">
        <v>1509</v>
      </c>
      <c r="P2306" s="1341" t="s">
        <v>1510</v>
      </c>
      <c r="Q2306" s="1914" t="s">
        <v>1493</v>
      </c>
      <c r="R2306" s="1916" t="s">
        <v>804</v>
      </c>
      <c r="S2306" s="1914" t="s">
        <v>1511</v>
      </c>
      <c r="T2306" s="1914" t="s">
        <v>1512</v>
      </c>
      <c r="U2306" s="1918" t="s">
        <v>1513</v>
      </c>
      <c r="V2306" s="1418">
        <f t="shared" ref="V2306:V2313" si="235">V2307</f>
        <v>0</v>
      </c>
      <c r="W2306" s="16"/>
      <c r="X2306" s="16"/>
      <c r="Y2306" s="16"/>
      <c r="Z2306" s="17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</row>
    <row r="2307" spans="1:36" s="352" customFormat="1" ht="15.6" hidden="1">
      <c r="A2307" s="351"/>
      <c r="B2307" s="1964" t="e">
        <f>LEFT(#REF!,5)</f>
        <v>#REF!</v>
      </c>
      <c r="C2307" s="1966" t="e">
        <f>VLOOKUP(LEFT(#REF!,5),'11 - FINANCEIRA'!_xlnm.Print_Area,2,FALSE)</f>
        <v>#REF!</v>
      </c>
      <c r="D2307" s="1920" t="s">
        <v>1514</v>
      </c>
      <c r="E2307" s="1921"/>
      <c r="F2307" s="1922"/>
      <c r="G2307" s="1923" t="s">
        <v>1515</v>
      </c>
      <c r="H2307" s="1924"/>
      <c r="I2307" s="1925"/>
      <c r="J2307" s="1915"/>
      <c r="K2307" s="1915"/>
      <c r="L2307" s="1915"/>
      <c r="M2307" s="1915"/>
      <c r="N2307" s="1915"/>
      <c r="O2307" s="1915"/>
      <c r="P2307" s="353" t="s">
        <v>1516</v>
      </c>
      <c r="Q2307" s="1915"/>
      <c r="R2307" s="1917"/>
      <c r="S2307" s="1915"/>
      <c r="T2307" s="1915"/>
      <c r="U2307" s="1919"/>
      <c r="V2307" s="1418">
        <f t="shared" si="235"/>
        <v>0</v>
      </c>
      <c r="W2307" s="16"/>
      <c r="X2307" s="16"/>
      <c r="Y2307" s="16"/>
      <c r="Z2307" s="17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</row>
    <row r="2308" spans="1:36" s="361" customFormat="1" ht="45" hidden="1">
      <c r="A2308" s="354"/>
      <c r="B2308" s="355"/>
      <c r="C2308" s="32" t="s">
        <v>1083</v>
      </c>
      <c r="D2308" s="33"/>
      <c r="E2308" s="34"/>
      <c r="F2308" s="35"/>
      <c r="G2308" s="33"/>
      <c r="H2308" s="34"/>
      <c r="I2308" s="35"/>
      <c r="J2308" s="43"/>
      <c r="K2308" s="42"/>
      <c r="L2308" s="39"/>
      <c r="M2308" s="41"/>
      <c r="N2308" s="356"/>
      <c r="O2308" s="40"/>
      <c r="P2308" s="39"/>
      <c r="Q2308" s="45"/>
      <c r="R2308" s="1359">
        <v>3</v>
      </c>
      <c r="S2308" s="1265" t="s">
        <v>816</v>
      </c>
      <c r="T2308" s="46" t="s">
        <v>329</v>
      </c>
      <c r="U2308" s="44"/>
      <c r="V2308" s="1418">
        <f t="shared" si="235"/>
        <v>0</v>
      </c>
      <c r="W2308" s="357"/>
      <c r="X2308" s="357"/>
      <c r="Y2308" s="357"/>
      <c r="Z2308" s="358"/>
      <c r="AA2308" s="359"/>
      <c r="AB2308" s="360"/>
    </row>
    <row r="2309" spans="1:36" s="361" customFormat="1" ht="15" hidden="1" customHeight="1">
      <c r="A2309" s="354"/>
      <c r="B2309" s="355"/>
      <c r="C2309" s="32"/>
      <c r="D2309" s="33"/>
      <c r="E2309" s="34"/>
      <c r="F2309" s="35"/>
      <c r="G2309" s="33"/>
      <c r="H2309" s="34"/>
      <c r="I2309" s="35"/>
      <c r="J2309" s="43"/>
      <c r="K2309" s="42"/>
      <c r="L2309" s="39"/>
      <c r="M2309" s="41"/>
      <c r="N2309" s="356"/>
      <c r="O2309" s="40"/>
      <c r="P2309" s="39"/>
      <c r="Q2309" s="45"/>
      <c r="R2309" s="362"/>
      <c r="S2309" s="363"/>
      <c r="T2309" s="46"/>
      <c r="U2309" s="44"/>
      <c r="V2309" s="1418">
        <f t="shared" si="235"/>
        <v>0</v>
      </c>
      <c r="W2309" s="357"/>
      <c r="X2309" s="357"/>
      <c r="Y2309" s="357"/>
      <c r="Z2309" s="358"/>
      <c r="AA2309" s="359"/>
      <c r="AB2309" s="360"/>
    </row>
    <row r="2310" spans="1:36" s="369" customFormat="1" ht="15" hidden="1">
      <c r="A2310" s="364"/>
      <c r="B2310" s="355"/>
      <c r="C2310" s="32"/>
      <c r="D2310" s="33"/>
      <c r="E2310" s="34"/>
      <c r="F2310" s="35"/>
      <c r="G2310" s="33"/>
      <c r="H2310" s="34"/>
      <c r="I2310" s="35"/>
      <c r="J2310" s="43"/>
      <c r="K2310" s="42"/>
      <c r="L2310" s="39"/>
      <c r="M2310" s="41"/>
      <c r="N2310" s="40"/>
      <c r="O2310" s="40"/>
      <c r="P2310" s="39"/>
      <c r="Q2310" s="38"/>
      <c r="R2310" s="365"/>
      <c r="S2310" s="366"/>
      <c r="T2310" s="46"/>
      <c r="U2310" s="44"/>
      <c r="V2310" s="1418">
        <f t="shared" si="235"/>
        <v>0</v>
      </c>
      <c r="W2310" s="367"/>
      <c r="X2310" s="367"/>
      <c r="Y2310" s="367"/>
      <c r="Z2310" s="368"/>
    </row>
    <row r="2311" spans="1:36" s="77" customFormat="1" ht="15" hidden="1">
      <c r="A2311" s="370"/>
      <c r="B2311" s="29"/>
      <c r="C2311" s="30"/>
      <c r="D2311" s="18"/>
      <c r="E2311" s="19"/>
      <c r="F2311" s="20"/>
      <c r="G2311" s="18"/>
      <c r="H2311" s="19"/>
      <c r="I2311" s="20"/>
      <c r="J2311" s="21"/>
      <c r="K2311" s="22"/>
      <c r="L2311" s="23"/>
      <c r="M2311" s="24"/>
      <c r="N2311" s="25"/>
      <c r="O2311" s="25"/>
      <c r="P2311" s="23"/>
      <c r="Q2311" s="26"/>
      <c r="R2311" s="371"/>
      <c r="S2311" s="27"/>
      <c r="T2311" s="372"/>
      <c r="U2311" s="31"/>
      <c r="V2311" s="1418">
        <f t="shared" si="235"/>
        <v>0</v>
      </c>
      <c r="AB2311" s="15"/>
    </row>
    <row r="2312" spans="1:36" s="77" customFormat="1" ht="15.6" hidden="1">
      <c r="A2312" s="370"/>
      <c r="B2312" s="499"/>
      <c r="C2312" s="37"/>
      <c r="D2312" s="1929" t="s">
        <v>1520</v>
      </c>
      <c r="E2312" s="1930"/>
      <c r="F2312" s="1930"/>
      <c r="G2312" s="1930"/>
      <c r="H2312" s="1930"/>
      <c r="I2312" s="1931"/>
      <c r="J2312" s="1932">
        <f>VLOOKUP(A2314,'11 - FINANCEIRA'!_xlnm.Print_Area,6,FALSE)</f>
        <v>3</v>
      </c>
      <c r="K2312" s="1933"/>
      <c r="L2312" s="1343" t="str">
        <f>VLOOKUP(A2314,'11 - FINANCEIRA'!_xlnm.Print_Area,4,FALSE)</f>
        <v>und</v>
      </c>
      <c r="M2312" s="1934" t="s">
        <v>1521</v>
      </c>
      <c r="N2312" s="1935"/>
      <c r="O2312" s="1935"/>
      <c r="P2312" s="1935"/>
      <c r="Q2312" s="1936"/>
      <c r="R2312" s="726">
        <f>SUM(R2308:R2311)</f>
        <v>3</v>
      </c>
      <c r="S2312" s="1344" t="str">
        <f>L2312</f>
        <v>und</v>
      </c>
      <c r="T2312" s="373"/>
      <c r="U2312" s="486"/>
      <c r="V2312" s="1418">
        <f t="shared" si="235"/>
        <v>0</v>
      </c>
      <c r="AB2312" s="15"/>
    </row>
    <row r="2313" spans="1:36" s="77" customFormat="1" ht="15.6" hidden="1">
      <c r="A2313" s="370"/>
      <c r="B2313" s="499"/>
      <c r="C2313" s="725"/>
      <c r="D2313" s="1937" t="s">
        <v>1522</v>
      </c>
      <c r="E2313" s="1938"/>
      <c r="F2313" s="1938"/>
      <c r="G2313" s="1938"/>
      <c r="H2313" s="1938"/>
      <c r="I2313" s="1939"/>
      <c r="J2313" s="1943">
        <f>R2312/J2312</f>
        <v>1</v>
      </c>
      <c r="K2313" s="1944"/>
      <c r="L2313" s="1947"/>
      <c r="M2313" s="1934" t="s">
        <v>1523</v>
      </c>
      <c r="N2313" s="1935"/>
      <c r="O2313" s="1935"/>
      <c r="P2313" s="1935"/>
      <c r="Q2313" s="1936"/>
      <c r="R2313" s="726">
        <f>VLOOKUP(A2314,'11 - FINANCEIRA'!_xlnm.Print_Area,8,FALSE)</f>
        <v>3</v>
      </c>
      <c r="S2313" s="727" t="str">
        <f>L2312</f>
        <v>und</v>
      </c>
      <c r="T2313" s="373"/>
      <c r="U2313" s="486"/>
      <c r="V2313" s="1418">
        <f t="shared" si="235"/>
        <v>0</v>
      </c>
      <c r="AB2313" s="15"/>
    </row>
    <row r="2314" spans="1:36" s="77" customFormat="1" ht="15.6" hidden="1">
      <c r="A2314" s="364" t="s">
        <v>533</v>
      </c>
      <c r="B2314" s="499"/>
      <c r="C2314" s="37"/>
      <c r="D2314" s="2013"/>
      <c r="E2314" s="2014"/>
      <c r="F2314" s="2014"/>
      <c r="G2314" s="2014"/>
      <c r="H2314" s="2014"/>
      <c r="I2314" s="2015"/>
      <c r="J2314" s="2016"/>
      <c r="K2314" s="2017"/>
      <c r="L2314" s="1962"/>
      <c r="M2314" s="2007" t="s">
        <v>1524</v>
      </c>
      <c r="N2314" s="2008"/>
      <c r="O2314" s="2008"/>
      <c r="P2314" s="2008"/>
      <c r="Q2314" s="2009"/>
      <c r="R2314" s="1345">
        <f>R2312-R2313</f>
        <v>0</v>
      </c>
      <c r="S2314" s="1346" t="str">
        <f>L2312</f>
        <v>und</v>
      </c>
      <c r="T2314" s="373"/>
      <c r="U2314" s="486"/>
      <c r="V2314" s="1418">
        <f>R2314</f>
        <v>0</v>
      </c>
      <c r="AB2314" s="15"/>
    </row>
    <row r="2315" spans="1:36" s="77" customFormat="1" ht="15.6" hidden="1">
      <c r="A2315" s="370"/>
      <c r="B2315" s="1347"/>
      <c r="C2315" s="1348"/>
      <c r="D2315" s="1349"/>
      <c r="E2315" s="1350"/>
      <c r="F2315" s="1349"/>
      <c r="G2315" s="1349"/>
      <c r="H2315" s="1349"/>
      <c r="I2315" s="1349"/>
      <c r="J2315" s="1351"/>
      <c r="K2315" s="1352"/>
      <c r="L2315" s="1353"/>
      <c r="M2315" s="1354"/>
      <c r="N2315" s="1354"/>
      <c r="O2315" s="1354"/>
      <c r="P2315" s="1354"/>
      <c r="Q2315" s="1354"/>
      <c r="R2315" s="1355"/>
      <c r="S2315" s="1356"/>
      <c r="T2315" s="1357"/>
      <c r="U2315" s="1358"/>
      <c r="V2315" s="1420">
        <f>SUM(V2306:V2314)</f>
        <v>0</v>
      </c>
      <c r="AB2315" s="15"/>
    </row>
    <row r="2316" spans="1:36" s="632" customFormat="1" ht="15.6" hidden="1">
      <c r="A2316" s="630"/>
      <c r="B2316" s="1333" t="str">
        <f>LEFT(A2325,3)</f>
        <v>2.4</v>
      </c>
      <c r="C2316" s="1334" t="str">
        <f>VLOOKUP(LEFT(A2325,3),'11 - FINANCEIRA'!_xlnm.Print_Area,2,FALSE)</f>
        <v>FIXAÇÃO E PROTEÇÃO DAS MARGENS</v>
      </c>
      <c r="D2316" s="1334"/>
      <c r="E2316" s="1335"/>
      <c r="F2316" s="1334"/>
      <c r="G2316" s="2071"/>
      <c r="H2316" s="2072"/>
      <c r="I2316" s="2072"/>
      <c r="J2316" s="2072"/>
      <c r="K2316" s="2072"/>
      <c r="L2316" s="2072"/>
      <c r="M2316" s="1338"/>
      <c r="N2316" s="1339"/>
      <c r="O2316" s="1338"/>
      <c r="P2316" s="1338"/>
      <c r="Q2316" s="1338"/>
      <c r="R2316" s="1338"/>
      <c r="S2316" s="1338"/>
      <c r="T2316" s="1338"/>
      <c r="U2316" s="1338"/>
      <c r="V2316" s="631">
        <f>SUM(V2317:V2326)</f>
        <v>0</v>
      </c>
    </row>
    <row r="2317" spans="1:36" s="352" customFormat="1" ht="15.6" hidden="1">
      <c r="A2317" s="351"/>
      <c r="B2317" s="1963" t="str">
        <f>VLOOKUP(A2325,'11 - FINANCEIRA'!_xlnm.Print_Area,1,FALSE)</f>
        <v>2.4.1</v>
      </c>
      <c r="C2317" s="1965" t="str">
        <f>VLOOKUP(A2325,'11 - FINANCEIRA'!_xlnm.Print_Area,3,FALSE)</f>
        <v>Enrocamento com pedra, inclusive espalhamento e compactação mecânica - fornecimento e assentamento</v>
      </c>
      <c r="D2317" s="1967" t="s">
        <v>1503</v>
      </c>
      <c r="E2317" s="1968"/>
      <c r="F2317" s="1968"/>
      <c r="G2317" s="1968"/>
      <c r="H2317" s="1968"/>
      <c r="I2317" s="1969"/>
      <c r="J2317" s="1914" t="s">
        <v>1504</v>
      </c>
      <c r="K2317" s="1914" t="s">
        <v>1505</v>
      </c>
      <c r="L2317" s="1914" t="s">
        <v>1506</v>
      </c>
      <c r="M2317" s="1914" t="s">
        <v>1507</v>
      </c>
      <c r="N2317" s="1914" t="s">
        <v>1508</v>
      </c>
      <c r="O2317" s="1914" t="s">
        <v>1925</v>
      </c>
      <c r="P2317" s="1341" t="s">
        <v>1510</v>
      </c>
      <c r="Q2317" s="1914" t="s">
        <v>1493</v>
      </c>
      <c r="R2317" s="1916" t="s">
        <v>804</v>
      </c>
      <c r="S2317" s="1914" t="s">
        <v>1511</v>
      </c>
      <c r="T2317" s="1914" t="s">
        <v>1512</v>
      </c>
      <c r="U2317" s="1918" t="s">
        <v>1513</v>
      </c>
      <c r="V2317" s="1418">
        <f t="shared" ref="V2317:V2324" si="236">V2318</f>
        <v>0</v>
      </c>
      <c r="W2317" s="16"/>
      <c r="X2317" s="16"/>
      <c r="Y2317" s="16"/>
      <c r="Z2317" s="17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</row>
    <row r="2318" spans="1:36" s="352" customFormat="1" ht="15.6" hidden="1">
      <c r="A2318" s="351"/>
      <c r="B2318" s="1964" t="e">
        <f>LEFT(#REF!,5)</f>
        <v>#REF!</v>
      </c>
      <c r="C2318" s="1966" t="e">
        <f>VLOOKUP(LEFT(#REF!,5),'11 - FINANCEIRA'!_xlnm.Print_Area,2,FALSE)</f>
        <v>#REF!</v>
      </c>
      <c r="D2318" s="1920" t="s">
        <v>1514</v>
      </c>
      <c r="E2318" s="1921"/>
      <c r="F2318" s="1922"/>
      <c r="G2318" s="1923" t="s">
        <v>1515</v>
      </c>
      <c r="H2318" s="1924"/>
      <c r="I2318" s="1925"/>
      <c r="J2318" s="1915"/>
      <c r="K2318" s="1915"/>
      <c r="L2318" s="1915"/>
      <c r="M2318" s="1915"/>
      <c r="N2318" s="1915"/>
      <c r="O2318" s="1915"/>
      <c r="P2318" s="353" t="s">
        <v>1516</v>
      </c>
      <c r="Q2318" s="1915"/>
      <c r="R2318" s="1917"/>
      <c r="S2318" s="1915"/>
      <c r="T2318" s="1915"/>
      <c r="U2318" s="1919"/>
      <c r="V2318" s="1418">
        <f t="shared" si="236"/>
        <v>0</v>
      </c>
      <c r="W2318" s="16"/>
      <c r="X2318" s="16"/>
      <c r="Y2318" s="16"/>
      <c r="Z2318" s="17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</row>
    <row r="2319" spans="1:36" s="361" customFormat="1" ht="30" hidden="1">
      <c r="A2319" s="354"/>
      <c r="B2319" s="355"/>
      <c r="C2319" s="32" t="s">
        <v>1085</v>
      </c>
      <c r="D2319" s="33"/>
      <c r="E2319" s="34"/>
      <c r="F2319" s="35"/>
      <c r="G2319" s="33"/>
      <c r="H2319" s="34"/>
      <c r="I2319" s="35"/>
      <c r="J2319" s="43"/>
      <c r="K2319" s="42"/>
      <c r="L2319" s="39"/>
      <c r="M2319" s="41"/>
      <c r="N2319" s="356"/>
      <c r="O2319" s="40">
        <f>30.2+30.72+30.32+31+30.74+31.25</f>
        <v>184.23000000000002</v>
      </c>
      <c r="P2319" s="39">
        <v>1.4</v>
      </c>
      <c r="Q2319" s="45"/>
      <c r="R2319" s="1359">
        <f>O2319/P2319</f>
        <v>131.59285714285716</v>
      </c>
      <c r="S2319" s="1265" t="s">
        <v>853</v>
      </c>
      <c r="T2319" s="46" t="s">
        <v>328</v>
      </c>
      <c r="U2319" s="44"/>
      <c r="V2319" s="1418">
        <f t="shared" si="236"/>
        <v>0</v>
      </c>
      <c r="W2319" s="357"/>
      <c r="X2319" s="357"/>
      <c r="Y2319" s="357"/>
      <c r="Z2319" s="358"/>
      <c r="AA2319" s="359"/>
      <c r="AB2319" s="360"/>
    </row>
    <row r="2320" spans="1:36" s="361" customFormat="1" ht="15" hidden="1" customHeight="1">
      <c r="A2320" s="354"/>
      <c r="B2320" s="355"/>
      <c r="C2320" s="32"/>
      <c r="D2320" s="33"/>
      <c r="E2320" s="34"/>
      <c r="F2320" s="35"/>
      <c r="G2320" s="33"/>
      <c r="H2320" s="34"/>
      <c r="I2320" s="35"/>
      <c r="J2320" s="43"/>
      <c r="K2320" s="42"/>
      <c r="L2320" s="39"/>
      <c r="M2320" s="41"/>
      <c r="N2320" s="356"/>
      <c r="O2320" s="40"/>
      <c r="P2320" s="39"/>
      <c r="Q2320" s="45"/>
      <c r="R2320" s="362"/>
      <c r="S2320" s="363"/>
      <c r="T2320" s="46"/>
      <c r="U2320" s="44"/>
      <c r="V2320" s="1418">
        <f t="shared" si="236"/>
        <v>0</v>
      </c>
      <c r="W2320" s="357"/>
      <c r="X2320" s="357"/>
      <c r="Y2320" s="357"/>
      <c r="Z2320" s="358"/>
      <c r="AA2320" s="359"/>
      <c r="AB2320" s="360"/>
    </row>
    <row r="2321" spans="1:36" s="369" customFormat="1" ht="15" hidden="1">
      <c r="A2321" s="364"/>
      <c r="B2321" s="355"/>
      <c r="C2321" s="32"/>
      <c r="D2321" s="33"/>
      <c r="E2321" s="34"/>
      <c r="F2321" s="35"/>
      <c r="G2321" s="33"/>
      <c r="H2321" s="34"/>
      <c r="I2321" s="35"/>
      <c r="J2321" s="43"/>
      <c r="K2321" s="42"/>
      <c r="L2321" s="39"/>
      <c r="M2321" s="41"/>
      <c r="N2321" s="40"/>
      <c r="O2321" s="40"/>
      <c r="P2321" s="39"/>
      <c r="Q2321" s="38"/>
      <c r="R2321" s="365"/>
      <c r="S2321" s="366"/>
      <c r="T2321" s="46"/>
      <c r="U2321" s="44"/>
      <c r="V2321" s="1418">
        <f t="shared" si="236"/>
        <v>0</v>
      </c>
      <c r="W2321" s="367"/>
      <c r="X2321" s="367"/>
      <c r="Y2321" s="367"/>
      <c r="Z2321" s="368"/>
    </row>
    <row r="2322" spans="1:36" s="77" customFormat="1" ht="15" hidden="1">
      <c r="A2322" s="370"/>
      <c r="B2322" s="29"/>
      <c r="C2322" s="30"/>
      <c r="D2322" s="18"/>
      <c r="E2322" s="19"/>
      <c r="F2322" s="20"/>
      <c r="G2322" s="18"/>
      <c r="H2322" s="19"/>
      <c r="I2322" s="20"/>
      <c r="J2322" s="21"/>
      <c r="K2322" s="22"/>
      <c r="L2322" s="23"/>
      <c r="M2322" s="24"/>
      <c r="N2322" s="25"/>
      <c r="O2322" s="25"/>
      <c r="P2322" s="23"/>
      <c r="Q2322" s="26"/>
      <c r="R2322" s="371"/>
      <c r="S2322" s="27"/>
      <c r="T2322" s="372"/>
      <c r="U2322" s="31"/>
      <c r="V2322" s="1418">
        <f t="shared" si="236"/>
        <v>0</v>
      </c>
      <c r="AB2322" s="15"/>
    </row>
    <row r="2323" spans="1:36" s="77" customFormat="1" ht="15.6" hidden="1">
      <c r="A2323" s="370"/>
      <c r="B2323" s="499"/>
      <c r="C2323" s="37"/>
      <c r="D2323" s="1929" t="s">
        <v>1520</v>
      </c>
      <c r="E2323" s="1930"/>
      <c r="F2323" s="1930"/>
      <c r="G2323" s="1930"/>
      <c r="H2323" s="1930"/>
      <c r="I2323" s="1931"/>
      <c r="J2323" s="1932">
        <f>VLOOKUP(A2325,'11 - FINANCEIRA'!_xlnm.Print_Area,6,FALSE)</f>
        <v>2775.82</v>
      </c>
      <c r="K2323" s="1933"/>
      <c r="L2323" s="1343" t="str">
        <f>VLOOKUP(A2325,'11 - FINANCEIRA'!_xlnm.Print_Area,4,FALSE)</f>
        <v>m³</v>
      </c>
      <c r="M2323" s="1934" t="s">
        <v>1521</v>
      </c>
      <c r="N2323" s="1935"/>
      <c r="O2323" s="1935"/>
      <c r="P2323" s="1935"/>
      <c r="Q2323" s="1936"/>
      <c r="R2323" s="726">
        <f>SUM(R2319:R2322)</f>
        <v>131.59285714285716</v>
      </c>
      <c r="S2323" s="1344" t="str">
        <f>L2323</f>
        <v>m³</v>
      </c>
      <c r="T2323" s="373"/>
      <c r="U2323" s="486"/>
      <c r="V2323" s="1418">
        <f t="shared" si="236"/>
        <v>0</v>
      </c>
      <c r="AB2323" s="15"/>
    </row>
    <row r="2324" spans="1:36" s="77" customFormat="1" ht="15.6" hidden="1">
      <c r="A2324" s="370"/>
      <c r="B2324" s="499"/>
      <c r="C2324" s="725"/>
      <c r="D2324" s="1937" t="s">
        <v>1522</v>
      </c>
      <c r="E2324" s="1938"/>
      <c r="F2324" s="1938"/>
      <c r="G2324" s="1938"/>
      <c r="H2324" s="1938"/>
      <c r="I2324" s="1939"/>
      <c r="J2324" s="1943">
        <f>R2323/J2323</f>
        <v>4.7406840912903987E-2</v>
      </c>
      <c r="K2324" s="1944"/>
      <c r="L2324" s="1947"/>
      <c r="M2324" s="1934" t="s">
        <v>1523</v>
      </c>
      <c r="N2324" s="1935"/>
      <c r="O2324" s="1935"/>
      <c r="P2324" s="1935"/>
      <c r="Q2324" s="1936"/>
      <c r="R2324" s="726">
        <f>VLOOKUP(A2325,'11 - FINANCEIRA'!_xlnm.Print_Area,8,FALSE)</f>
        <v>131.59285714285716</v>
      </c>
      <c r="S2324" s="727" t="str">
        <f>L2323</f>
        <v>m³</v>
      </c>
      <c r="T2324" s="373"/>
      <c r="U2324" s="486"/>
      <c r="V2324" s="1418">
        <f t="shared" si="236"/>
        <v>0</v>
      </c>
      <c r="AB2324" s="15"/>
    </row>
    <row r="2325" spans="1:36" s="77" customFormat="1" ht="15.6" hidden="1">
      <c r="A2325" s="364" t="s">
        <v>534</v>
      </c>
      <c r="B2325" s="499"/>
      <c r="C2325" s="37"/>
      <c r="D2325" s="2013"/>
      <c r="E2325" s="2014"/>
      <c r="F2325" s="2014"/>
      <c r="G2325" s="2014"/>
      <c r="H2325" s="2014"/>
      <c r="I2325" s="2015"/>
      <c r="J2325" s="2016"/>
      <c r="K2325" s="2017"/>
      <c r="L2325" s="1962"/>
      <c r="M2325" s="2007" t="s">
        <v>1524</v>
      </c>
      <c r="N2325" s="2008"/>
      <c r="O2325" s="2008"/>
      <c r="P2325" s="2008"/>
      <c r="Q2325" s="2009"/>
      <c r="R2325" s="1345">
        <f>R2323-R2324</f>
        <v>0</v>
      </c>
      <c r="S2325" s="1346" t="str">
        <f>L2323</f>
        <v>m³</v>
      </c>
      <c r="T2325" s="373"/>
      <c r="U2325" s="486"/>
      <c r="V2325" s="1418">
        <f>R2325</f>
        <v>0</v>
      </c>
      <c r="AB2325" s="15"/>
    </row>
    <row r="2326" spans="1:36" s="77" customFormat="1" ht="15.6" hidden="1">
      <c r="A2326" s="370"/>
      <c r="B2326" s="1347"/>
      <c r="C2326" s="1348"/>
      <c r="D2326" s="1349"/>
      <c r="E2326" s="1350"/>
      <c r="F2326" s="1349"/>
      <c r="G2326" s="1349"/>
      <c r="H2326" s="1349"/>
      <c r="I2326" s="1349"/>
      <c r="J2326" s="1351"/>
      <c r="K2326" s="1352"/>
      <c r="L2326" s="1353"/>
      <c r="M2326" s="1354"/>
      <c r="N2326" s="1354"/>
      <c r="O2326" s="1354"/>
      <c r="P2326" s="1354"/>
      <c r="Q2326" s="1354"/>
      <c r="R2326" s="1355"/>
      <c r="S2326" s="1356"/>
      <c r="T2326" s="1357"/>
      <c r="U2326" s="1358"/>
      <c r="V2326" s="1420">
        <f>SUM(V2317:V2325)</f>
        <v>0</v>
      </c>
      <c r="AB2326" s="15"/>
    </row>
    <row r="2327" spans="1:36" ht="15.6" hidden="1">
      <c r="B2327" s="1333" t="str">
        <f>LEFT(A2337,3)</f>
        <v>2.5</v>
      </c>
      <c r="C2327" s="1334" t="str">
        <f>VLOOKUP(LEFT(A2337,3),'11 - FINANCEIRA'!_xlnm.Print_Area,2,FALSE)</f>
        <v>ELÉTRICA</v>
      </c>
      <c r="D2327" s="1334"/>
      <c r="E2327" s="1335"/>
      <c r="F2327" s="1334"/>
      <c r="G2327" s="2071"/>
      <c r="H2327" s="2072"/>
      <c r="I2327" s="2072"/>
      <c r="J2327" s="2072"/>
      <c r="K2327" s="2072"/>
      <c r="L2327" s="2072"/>
      <c r="M2327" s="1338"/>
      <c r="N2327" s="1339"/>
      <c r="O2327" s="1338"/>
      <c r="P2327" s="1338"/>
      <c r="Q2327" s="1338"/>
      <c r="R2327" s="1338"/>
      <c r="S2327" s="1338"/>
      <c r="T2327" s="1338"/>
      <c r="U2327" s="1338"/>
      <c r="V2327" s="574">
        <f>SUM(V2328:V4130)</f>
        <v>0</v>
      </c>
    </row>
    <row r="2328" spans="1:36" ht="15.6" hidden="1">
      <c r="B2328" s="1333" t="str">
        <f>LEFT(A2337,5)</f>
        <v>2.5.1</v>
      </c>
      <c r="C2328" s="1334" t="str">
        <f>VLOOKUP(LEFT(A2337,5),'11 - FINANCEIRA'!_xlnm.Print_Area,2,FALSE)</f>
        <v>INSTALAÇÕES DE AUTOMAÇÃO E INSTRUMENTAÇÃO</v>
      </c>
      <c r="D2328" s="1334"/>
      <c r="E2328" s="1335"/>
      <c r="F2328" s="1334"/>
      <c r="G2328" s="2071"/>
      <c r="H2328" s="2072"/>
      <c r="I2328" s="2072"/>
      <c r="J2328" s="2072"/>
      <c r="K2328" s="2072"/>
      <c r="L2328" s="2072"/>
      <c r="M2328" s="1338"/>
      <c r="N2328" s="1339"/>
      <c r="O2328" s="1338"/>
      <c r="P2328" s="1338"/>
      <c r="Q2328" s="1338"/>
      <c r="R2328" s="1338"/>
      <c r="S2328" s="1338"/>
      <c r="T2328" s="1338"/>
      <c r="U2328" s="1338"/>
      <c r="V2328" s="574">
        <f>SUM(V2329:V2480)</f>
        <v>0</v>
      </c>
    </row>
    <row r="2329" spans="1:36" s="352" customFormat="1" ht="15.6" hidden="1">
      <c r="A2329" s="351"/>
      <c r="B2329" s="1963" t="str">
        <f>VLOOKUP(A2337,'11 - FINANCEIRA'!_xlnm.Print_Area,1,FALSE)</f>
        <v>2.5.1.1</v>
      </c>
      <c r="C2329" s="1965" t="str">
        <f>VLOOKUP(A2337,'11 - FINANCEIRA'!_xlnm.Print_Area,3,FALSE)</f>
        <v>Instalação de transmissor tipo radar para medição e controle de nível ref: r82 magnetrol ou similar com suporte tipo z para instalação do sensor de nível, dim. 1150x300</v>
      </c>
      <c r="D2329" s="1967" t="s">
        <v>1503</v>
      </c>
      <c r="E2329" s="1968"/>
      <c r="F2329" s="1968"/>
      <c r="G2329" s="1968"/>
      <c r="H2329" s="1968"/>
      <c r="I2329" s="1969"/>
      <c r="J2329" s="1914" t="s">
        <v>1504</v>
      </c>
      <c r="K2329" s="1914" t="s">
        <v>1505</v>
      </c>
      <c r="L2329" s="1914" t="s">
        <v>1506</v>
      </c>
      <c r="M2329" s="1914" t="s">
        <v>1507</v>
      </c>
      <c r="N2329" s="1914" t="s">
        <v>1508</v>
      </c>
      <c r="O2329" s="1914" t="s">
        <v>1509</v>
      </c>
      <c r="P2329" s="1341" t="s">
        <v>1510</v>
      </c>
      <c r="Q2329" s="1914" t="s">
        <v>1493</v>
      </c>
      <c r="R2329" s="1916" t="s">
        <v>804</v>
      </c>
      <c r="S2329" s="1914" t="s">
        <v>1511</v>
      </c>
      <c r="T2329" s="1914" t="s">
        <v>1512</v>
      </c>
      <c r="U2329" s="1918" t="s">
        <v>1513</v>
      </c>
      <c r="V2329" s="1418">
        <f t="shared" ref="V2329:V2336" si="237">V2330</f>
        <v>0</v>
      </c>
      <c r="W2329" s="16"/>
      <c r="X2329" s="16"/>
      <c r="Y2329" s="16"/>
      <c r="Z2329" s="17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</row>
    <row r="2330" spans="1:36" s="352" customFormat="1" ht="15.6" hidden="1">
      <c r="A2330" s="351"/>
      <c r="B2330" s="1964" t="e">
        <f>LEFT(#REF!,5)</f>
        <v>#REF!</v>
      </c>
      <c r="C2330" s="1966" t="e">
        <f>VLOOKUP(LEFT(#REF!,5),'11 - FINANCEIRA'!_xlnm.Print_Area,2,FALSE)</f>
        <v>#REF!</v>
      </c>
      <c r="D2330" s="1920" t="s">
        <v>1514</v>
      </c>
      <c r="E2330" s="1921"/>
      <c r="F2330" s="1922"/>
      <c r="G2330" s="1923" t="s">
        <v>1515</v>
      </c>
      <c r="H2330" s="1924"/>
      <c r="I2330" s="1925"/>
      <c r="J2330" s="1915"/>
      <c r="K2330" s="1915"/>
      <c r="L2330" s="1915"/>
      <c r="M2330" s="1915"/>
      <c r="N2330" s="1915"/>
      <c r="O2330" s="1915"/>
      <c r="P2330" s="353" t="s">
        <v>1516</v>
      </c>
      <c r="Q2330" s="1915"/>
      <c r="R2330" s="1917"/>
      <c r="S2330" s="1915"/>
      <c r="T2330" s="1915"/>
      <c r="U2330" s="1919"/>
      <c r="V2330" s="1418">
        <f t="shared" si="237"/>
        <v>0</v>
      </c>
      <c r="W2330" s="16"/>
      <c r="X2330" s="16"/>
      <c r="Y2330" s="16"/>
      <c r="Z2330" s="17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</row>
    <row r="2331" spans="1:36" s="510" customFormat="1" ht="30" hidden="1">
      <c r="A2331" s="504"/>
      <c r="B2331" s="511"/>
      <c r="C2331" s="28" t="s">
        <v>156</v>
      </c>
      <c r="D2331" s="568"/>
      <c r="E2331" s="19"/>
      <c r="F2331" s="569"/>
      <c r="G2331" s="568"/>
      <c r="H2331" s="19"/>
      <c r="I2331" s="569"/>
      <c r="J2331" s="21"/>
      <c r="K2331" s="22"/>
      <c r="L2331" s="23"/>
      <c r="M2331" s="24"/>
      <c r="N2331" s="728"/>
      <c r="O2331" s="25"/>
      <c r="P2331" s="23"/>
      <c r="Q2331" s="729"/>
      <c r="R2331" s="1109">
        <v>10</v>
      </c>
      <c r="S2331" s="730" t="s">
        <v>1088</v>
      </c>
      <c r="T2331" s="446" t="s">
        <v>324</v>
      </c>
      <c r="U2331" s="512"/>
      <c r="V2331" s="1418">
        <f t="shared" si="237"/>
        <v>0</v>
      </c>
      <c r="W2331" s="506"/>
      <c r="X2331" s="506"/>
      <c r="Y2331" s="506"/>
      <c r="Z2331" s="507"/>
      <c r="AA2331" s="508"/>
      <c r="AB2331" s="509"/>
    </row>
    <row r="2332" spans="1:36" s="478" customFormat="1" ht="17.100000000000001" hidden="1" customHeight="1">
      <c r="A2332" s="465"/>
      <c r="B2332" s="511"/>
      <c r="C2332" s="32" t="s">
        <v>156</v>
      </c>
      <c r="D2332" s="1257"/>
      <c r="E2332" s="34"/>
      <c r="F2332" s="1258"/>
      <c r="G2332" s="1257"/>
      <c r="H2332" s="34"/>
      <c r="I2332" s="1258"/>
      <c r="J2332" s="43"/>
      <c r="K2332" s="42"/>
      <c r="L2332" s="39"/>
      <c r="M2332" s="41"/>
      <c r="N2332" s="40"/>
      <c r="O2332" s="40"/>
      <c r="P2332" s="39"/>
      <c r="Q2332" s="38"/>
      <c r="R2332" s="362">
        <v>2</v>
      </c>
      <c r="S2332" s="39" t="s">
        <v>1926</v>
      </c>
      <c r="T2332" s="46" t="s">
        <v>331</v>
      </c>
      <c r="U2332" s="512"/>
      <c r="V2332" s="1418">
        <f t="shared" si="237"/>
        <v>0</v>
      </c>
      <c r="W2332" s="513"/>
      <c r="X2332" s="513"/>
      <c r="Y2332" s="513"/>
      <c r="Z2332" s="514"/>
    </row>
    <row r="2333" spans="1:36" s="510" customFormat="1" ht="17.100000000000001" hidden="1" customHeight="1">
      <c r="A2333" s="504"/>
      <c r="B2333" s="511"/>
      <c r="C2333" s="467"/>
      <c r="D2333" s="546"/>
      <c r="E2333" s="516"/>
      <c r="F2333" s="547"/>
      <c r="G2333" s="546"/>
      <c r="H2333" s="516"/>
      <c r="I2333" s="547"/>
      <c r="J2333" s="468"/>
      <c r="K2333" s="469"/>
      <c r="L2333" s="470"/>
      <c r="M2333" s="471"/>
      <c r="N2333" s="480"/>
      <c r="O2333" s="472"/>
      <c r="P2333" s="470"/>
      <c r="Q2333" s="536"/>
      <c r="R2333" s="492"/>
      <c r="S2333" s="548"/>
      <c r="T2333" s="493"/>
      <c r="U2333" s="512"/>
      <c r="V2333" s="1418">
        <f t="shared" si="237"/>
        <v>0</v>
      </c>
      <c r="W2333" s="506"/>
      <c r="X2333" s="506"/>
      <c r="Y2333" s="506"/>
      <c r="Z2333" s="507"/>
      <c r="AA2333" s="508"/>
      <c r="AB2333" s="509"/>
    </row>
    <row r="2334" spans="1:36" s="478" customFormat="1" ht="17.100000000000001" hidden="1" customHeight="1">
      <c r="A2334" s="465"/>
      <c r="B2334" s="523"/>
      <c r="C2334" s="502"/>
      <c r="D2334" s="655"/>
      <c r="E2334" s="526"/>
      <c r="F2334" s="656"/>
      <c r="G2334" s="655"/>
      <c r="H2334" s="526"/>
      <c r="I2334" s="527"/>
      <c r="J2334" s="528"/>
      <c r="K2334" s="657"/>
      <c r="L2334" s="530"/>
      <c r="M2334" s="658"/>
      <c r="N2334" s="659"/>
      <c r="O2334" s="659"/>
      <c r="P2334" s="530"/>
      <c r="Q2334" s="660"/>
      <c r="R2334" s="532"/>
      <c r="S2334" s="530"/>
      <c r="T2334" s="476"/>
      <c r="U2334" s="534"/>
      <c r="V2334" s="1418">
        <f t="shared" si="237"/>
        <v>0</v>
      </c>
      <c r="W2334" s="513"/>
      <c r="X2334" s="513"/>
      <c r="Y2334" s="513"/>
      <c r="Z2334" s="514"/>
    </row>
    <row r="2335" spans="1:36" s="77" customFormat="1" ht="15.6" hidden="1">
      <c r="A2335" s="370"/>
      <c r="B2335" s="499"/>
      <c r="C2335" s="37"/>
      <c r="D2335" s="1940" t="s">
        <v>1520</v>
      </c>
      <c r="E2335" s="1941"/>
      <c r="F2335" s="1941"/>
      <c r="G2335" s="1941"/>
      <c r="H2335" s="1941"/>
      <c r="I2335" s="1942"/>
      <c r="J2335" s="1955">
        <f>VLOOKUP(A2337,'11 - FINANCEIRA'!_xlnm.Print_Area,6,FALSE)</f>
        <v>12</v>
      </c>
      <c r="K2335" s="1956"/>
      <c r="L2335" s="483" t="str">
        <f>VLOOKUP(A2337,'11 - FINANCEIRA'!_xlnm.Print_Area,4,FALSE)</f>
        <v>un</v>
      </c>
      <c r="M2335" s="1957" t="s">
        <v>1521</v>
      </c>
      <c r="N2335" s="1958"/>
      <c r="O2335" s="1958"/>
      <c r="P2335" s="1958"/>
      <c r="Q2335" s="1959"/>
      <c r="R2335" s="484">
        <f>SUM(R2331:R2334)</f>
        <v>12</v>
      </c>
      <c r="S2335" s="485" t="str">
        <f>L2335</f>
        <v>un</v>
      </c>
      <c r="T2335" s="373"/>
      <c r="U2335" s="486"/>
      <c r="V2335" s="1418">
        <f t="shared" si="237"/>
        <v>0</v>
      </c>
      <c r="W2335" s="375"/>
      <c r="AB2335" s="15"/>
    </row>
    <row r="2336" spans="1:36" s="77" customFormat="1" ht="15.6" hidden="1">
      <c r="A2336" s="370"/>
      <c r="B2336" s="499"/>
      <c r="C2336" s="725"/>
      <c r="D2336" s="1937" t="s">
        <v>1522</v>
      </c>
      <c r="E2336" s="1938"/>
      <c r="F2336" s="1938"/>
      <c r="G2336" s="1938"/>
      <c r="H2336" s="1938"/>
      <c r="I2336" s="1939"/>
      <c r="J2336" s="1943">
        <f>R2335/J2335</f>
        <v>1</v>
      </c>
      <c r="K2336" s="1944"/>
      <c r="L2336" s="1947"/>
      <c r="M2336" s="1934" t="s">
        <v>1523</v>
      </c>
      <c r="N2336" s="1935"/>
      <c r="O2336" s="1935"/>
      <c r="P2336" s="1935"/>
      <c r="Q2336" s="1936"/>
      <c r="R2336" s="726">
        <f>VLOOKUP(A2337,'11 - FINANCEIRA'!_xlnm.Print_Area,8,FALSE)</f>
        <v>12</v>
      </c>
      <c r="S2336" s="727" t="str">
        <f>L2335</f>
        <v>un</v>
      </c>
      <c r="T2336" s="373"/>
      <c r="U2336" s="486"/>
      <c r="V2336" s="1418">
        <f t="shared" si="237"/>
        <v>0</v>
      </c>
      <c r="AB2336" s="15"/>
    </row>
    <row r="2337" spans="1:36" s="77" customFormat="1" ht="15.6" hidden="1">
      <c r="A2337" s="364" t="s">
        <v>536</v>
      </c>
      <c r="B2337" s="499"/>
      <c r="C2337" s="37"/>
      <c r="D2337" s="2013"/>
      <c r="E2337" s="2014"/>
      <c r="F2337" s="2014"/>
      <c r="G2337" s="2014"/>
      <c r="H2337" s="2014"/>
      <c r="I2337" s="2015"/>
      <c r="J2337" s="2016"/>
      <c r="K2337" s="2017"/>
      <c r="L2337" s="1962"/>
      <c r="M2337" s="2007" t="s">
        <v>1524</v>
      </c>
      <c r="N2337" s="2008"/>
      <c r="O2337" s="2008"/>
      <c r="P2337" s="2008"/>
      <c r="Q2337" s="2009"/>
      <c r="R2337" s="1345">
        <f>R2335-R2336</f>
        <v>0</v>
      </c>
      <c r="S2337" s="1346" t="str">
        <f>L2335</f>
        <v>un</v>
      </c>
      <c r="T2337" s="373"/>
      <c r="U2337" s="486"/>
      <c r="V2337" s="1418">
        <f>R2337</f>
        <v>0</v>
      </c>
      <c r="AB2337" s="15"/>
    </row>
    <row r="2338" spans="1:36" s="77" customFormat="1" ht="15.6" hidden="1">
      <c r="A2338" s="370"/>
      <c r="B2338" s="1347"/>
      <c r="C2338" s="1348"/>
      <c r="D2338" s="1349"/>
      <c r="E2338" s="1350"/>
      <c r="F2338" s="1349"/>
      <c r="G2338" s="1349"/>
      <c r="H2338" s="1349"/>
      <c r="I2338" s="1349"/>
      <c r="J2338" s="1351"/>
      <c r="K2338" s="1352"/>
      <c r="L2338" s="1353"/>
      <c r="M2338" s="1354"/>
      <c r="N2338" s="1354"/>
      <c r="O2338" s="1354"/>
      <c r="P2338" s="1354"/>
      <c r="Q2338" s="1354"/>
      <c r="R2338" s="1355"/>
      <c r="S2338" s="1356"/>
      <c r="T2338" s="1357"/>
      <c r="U2338" s="1358"/>
      <c r="V2338" s="1420">
        <f>SUM(V2329:V2337)</f>
        <v>0</v>
      </c>
      <c r="AB2338" s="15"/>
    </row>
    <row r="2339" spans="1:36" s="352" customFormat="1" ht="15.6" hidden="1">
      <c r="A2339" s="351"/>
      <c r="B2339" s="1963" t="str">
        <f>VLOOKUP(A2347,'11 - FINANCEIRA'!_xlnm.Print_Area,1,FALSE)</f>
        <v>2.5.1.2</v>
      </c>
      <c r="C2339" s="1965" t="str">
        <f>VLOOKUP(A2347,'11 - FINANCEIRA'!_xlnm.Print_Area,3,FALSE)</f>
        <v>Cabo de instrumentação de 2 pares 1,5mm², com blindagem individual e coletiva, isolação em xlpe</v>
      </c>
      <c r="D2339" s="1967" t="s">
        <v>1503</v>
      </c>
      <c r="E2339" s="1968"/>
      <c r="F2339" s="1968"/>
      <c r="G2339" s="1968"/>
      <c r="H2339" s="1968"/>
      <c r="I2339" s="1969"/>
      <c r="J2339" s="1914" t="s">
        <v>1504</v>
      </c>
      <c r="K2339" s="1914" t="s">
        <v>1505</v>
      </c>
      <c r="L2339" s="1914" t="s">
        <v>1506</v>
      </c>
      <c r="M2339" s="1914" t="s">
        <v>1507</v>
      </c>
      <c r="N2339" s="1914" t="s">
        <v>1508</v>
      </c>
      <c r="O2339" s="1914" t="s">
        <v>1509</v>
      </c>
      <c r="P2339" s="1341" t="s">
        <v>1510</v>
      </c>
      <c r="Q2339" s="1914" t="s">
        <v>1493</v>
      </c>
      <c r="R2339" s="1916" t="s">
        <v>804</v>
      </c>
      <c r="S2339" s="1914" t="s">
        <v>1511</v>
      </c>
      <c r="T2339" s="1914" t="s">
        <v>1512</v>
      </c>
      <c r="U2339" s="1918" t="s">
        <v>1513</v>
      </c>
      <c r="V2339" s="1418">
        <f t="shared" ref="V2339:V2346" si="238">V2340</f>
        <v>0</v>
      </c>
      <c r="W2339" s="16"/>
      <c r="X2339" s="16"/>
      <c r="Y2339" s="16"/>
      <c r="Z2339" s="17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</row>
    <row r="2340" spans="1:36" s="352" customFormat="1" ht="15.6" hidden="1">
      <c r="A2340" s="351"/>
      <c r="B2340" s="1964" t="e">
        <f>LEFT(#REF!,5)</f>
        <v>#REF!</v>
      </c>
      <c r="C2340" s="1966" t="e">
        <f>VLOOKUP(LEFT(#REF!,5),'11 - FINANCEIRA'!_xlnm.Print_Area,2,FALSE)</f>
        <v>#REF!</v>
      </c>
      <c r="D2340" s="1920" t="s">
        <v>1514</v>
      </c>
      <c r="E2340" s="1921"/>
      <c r="F2340" s="1922"/>
      <c r="G2340" s="1923" t="s">
        <v>1515</v>
      </c>
      <c r="H2340" s="1924"/>
      <c r="I2340" s="1925"/>
      <c r="J2340" s="1915"/>
      <c r="K2340" s="1915"/>
      <c r="L2340" s="1915"/>
      <c r="M2340" s="1915"/>
      <c r="N2340" s="1915"/>
      <c r="O2340" s="1915"/>
      <c r="P2340" s="353" t="s">
        <v>1516</v>
      </c>
      <c r="Q2340" s="1915"/>
      <c r="R2340" s="1917"/>
      <c r="S2340" s="1915"/>
      <c r="T2340" s="1915"/>
      <c r="U2340" s="1919"/>
      <c r="V2340" s="1418">
        <f t="shared" si="238"/>
        <v>0</v>
      </c>
      <c r="W2340" s="16"/>
      <c r="X2340" s="16"/>
      <c r="Y2340" s="16"/>
      <c r="Z2340" s="17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</row>
    <row r="2341" spans="1:36" s="361" customFormat="1" ht="15" hidden="1" customHeight="1">
      <c r="A2341" s="354"/>
      <c r="B2341" s="355"/>
      <c r="C2341" s="28" t="s">
        <v>1090</v>
      </c>
      <c r="D2341" s="18"/>
      <c r="E2341" s="19"/>
      <c r="F2341" s="20"/>
      <c r="G2341" s="18"/>
      <c r="H2341" s="19"/>
      <c r="I2341" s="20"/>
      <c r="J2341" s="21"/>
      <c r="K2341" s="22"/>
      <c r="L2341" s="23"/>
      <c r="M2341" s="24"/>
      <c r="N2341" s="728"/>
      <c r="O2341" s="25"/>
      <c r="P2341" s="23"/>
      <c r="Q2341" s="729"/>
      <c r="R2341" s="1109">
        <v>1</v>
      </c>
      <c r="S2341" s="730" t="s">
        <v>809</v>
      </c>
      <c r="T2341" s="446" t="s">
        <v>324</v>
      </c>
      <c r="U2341" s="44"/>
      <c r="V2341" s="1418">
        <f t="shared" si="238"/>
        <v>0</v>
      </c>
      <c r="W2341" s="357"/>
      <c r="X2341" s="357"/>
      <c r="Y2341" s="357"/>
      <c r="Z2341" s="358"/>
      <c r="AA2341" s="359"/>
      <c r="AB2341" s="360"/>
    </row>
    <row r="2342" spans="1:36" s="361" customFormat="1" ht="15" hidden="1" customHeight="1">
      <c r="A2342" s="354"/>
      <c r="B2342" s="355"/>
      <c r="C2342" s="32" t="s">
        <v>1090</v>
      </c>
      <c r="D2342" s="33"/>
      <c r="E2342" s="34"/>
      <c r="F2342" s="35"/>
      <c r="G2342" s="33"/>
      <c r="H2342" s="34"/>
      <c r="I2342" s="35"/>
      <c r="J2342" s="43"/>
      <c r="K2342" s="42"/>
      <c r="L2342" s="39"/>
      <c r="M2342" s="41"/>
      <c r="N2342" s="356"/>
      <c r="O2342" s="40"/>
      <c r="P2342" s="39"/>
      <c r="Q2342" s="45"/>
      <c r="R2342" s="362">
        <v>755</v>
      </c>
      <c r="S2342" s="1265" t="s">
        <v>809</v>
      </c>
      <c r="T2342" s="46" t="s">
        <v>325</v>
      </c>
      <c r="U2342" s="44"/>
      <c r="V2342" s="1418">
        <f t="shared" si="238"/>
        <v>0</v>
      </c>
      <c r="W2342" s="357"/>
      <c r="X2342" s="357"/>
      <c r="Y2342" s="357"/>
      <c r="Z2342" s="358"/>
      <c r="AA2342" s="359"/>
      <c r="AB2342" s="360"/>
    </row>
    <row r="2343" spans="1:36" s="369" customFormat="1" ht="15" hidden="1">
      <c r="A2343" s="364"/>
      <c r="B2343" s="355"/>
      <c r="C2343" s="32"/>
      <c r="D2343" s="33"/>
      <c r="E2343" s="34"/>
      <c r="F2343" s="35"/>
      <c r="G2343" s="33"/>
      <c r="H2343" s="34"/>
      <c r="I2343" s="35"/>
      <c r="J2343" s="43"/>
      <c r="K2343" s="42"/>
      <c r="L2343" s="39"/>
      <c r="M2343" s="41"/>
      <c r="N2343" s="40"/>
      <c r="O2343" s="40"/>
      <c r="P2343" s="39"/>
      <c r="Q2343" s="38"/>
      <c r="R2343" s="365"/>
      <c r="S2343" s="366"/>
      <c r="T2343" s="46"/>
      <c r="U2343" s="44"/>
      <c r="V2343" s="1418">
        <f t="shared" si="238"/>
        <v>0</v>
      </c>
      <c r="W2343" s="367"/>
      <c r="X2343" s="367"/>
      <c r="Y2343" s="367"/>
      <c r="Z2343" s="368"/>
    </row>
    <row r="2344" spans="1:36" s="77" customFormat="1" ht="15" hidden="1">
      <c r="A2344" s="370"/>
      <c r="B2344" s="29"/>
      <c r="C2344" s="30"/>
      <c r="D2344" s="18"/>
      <c r="E2344" s="19"/>
      <c r="F2344" s="20"/>
      <c r="G2344" s="18"/>
      <c r="H2344" s="19"/>
      <c r="I2344" s="20"/>
      <c r="J2344" s="21"/>
      <c r="K2344" s="22"/>
      <c r="L2344" s="23"/>
      <c r="M2344" s="24"/>
      <c r="N2344" s="25"/>
      <c r="O2344" s="25"/>
      <c r="P2344" s="23"/>
      <c r="Q2344" s="26"/>
      <c r="R2344" s="371"/>
      <c r="S2344" s="27"/>
      <c r="T2344" s="372"/>
      <c r="U2344" s="31"/>
      <c r="V2344" s="1418">
        <f t="shared" si="238"/>
        <v>0</v>
      </c>
      <c r="AB2344" s="15"/>
    </row>
    <row r="2345" spans="1:36" s="77" customFormat="1" ht="15.6" hidden="1">
      <c r="A2345" s="370"/>
      <c r="B2345" s="499"/>
      <c r="C2345" s="37"/>
      <c r="D2345" s="1929" t="s">
        <v>1520</v>
      </c>
      <c r="E2345" s="1930"/>
      <c r="F2345" s="1930"/>
      <c r="G2345" s="1930"/>
      <c r="H2345" s="1930"/>
      <c r="I2345" s="1931"/>
      <c r="J2345" s="1932">
        <f>VLOOKUP(A2347,'11 - FINANCEIRA'!_xlnm.Print_Area,6,FALSE)</f>
        <v>756</v>
      </c>
      <c r="K2345" s="1933"/>
      <c r="L2345" s="1343" t="str">
        <f>VLOOKUP(A2347,'11 - FINANCEIRA'!_xlnm.Print_Area,4,FALSE)</f>
        <v>m</v>
      </c>
      <c r="M2345" s="1934" t="s">
        <v>1521</v>
      </c>
      <c r="N2345" s="1935"/>
      <c r="O2345" s="1935"/>
      <c r="P2345" s="1935"/>
      <c r="Q2345" s="1936"/>
      <c r="R2345" s="726">
        <f>SUM(R2341:R2344)</f>
        <v>756</v>
      </c>
      <c r="S2345" s="1344" t="str">
        <f>L2345</f>
        <v>m</v>
      </c>
      <c r="T2345" s="373"/>
      <c r="U2345" s="486"/>
      <c r="V2345" s="1418">
        <f t="shared" si="238"/>
        <v>0</v>
      </c>
      <c r="AB2345" s="15"/>
    </row>
    <row r="2346" spans="1:36" s="77" customFormat="1" ht="15.6" hidden="1">
      <c r="A2346" s="370"/>
      <c r="B2346" s="499"/>
      <c r="C2346" s="725"/>
      <c r="D2346" s="1937" t="s">
        <v>1522</v>
      </c>
      <c r="E2346" s="1938"/>
      <c r="F2346" s="1938"/>
      <c r="G2346" s="1938"/>
      <c r="H2346" s="1938"/>
      <c r="I2346" s="1939"/>
      <c r="J2346" s="1943">
        <f>R2345/J2345</f>
        <v>1</v>
      </c>
      <c r="K2346" s="1944"/>
      <c r="L2346" s="1947"/>
      <c r="M2346" s="1934" t="s">
        <v>1523</v>
      </c>
      <c r="N2346" s="1935"/>
      <c r="O2346" s="1935"/>
      <c r="P2346" s="1935"/>
      <c r="Q2346" s="1936"/>
      <c r="R2346" s="726">
        <f>VLOOKUP(A2347,'11 - FINANCEIRA'!_xlnm.Print_Area,8,FALSE)</f>
        <v>756</v>
      </c>
      <c r="S2346" s="727" t="str">
        <f>L2345</f>
        <v>m</v>
      </c>
      <c r="T2346" s="373"/>
      <c r="U2346" s="486"/>
      <c r="V2346" s="1418">
        <f t="shared" si="238"/>
        <v>0</v>
      </c>
      <c r="AB2346" s="15"/>
    </row>
    <row r="2347" spans="1:36" s="77" customFormat="1" ht="15.6" hidden="1">
      <c r="A2347" s="364" t="s">
        <v>537</v>
      </c>
      <c r="B2347" s="499"/>
      <c r="C2347" s="37"/>
      <c r="D2347" s="2013"/>
      <c r="E2347" s="2014"/>
      <c r="F2347" s="2014"/>
      <c r="G2347" s="2014"/>
      <c r="H2347" s="2014"/>
      <c r="I2347" s="2015"/>
      <c r="J2347" s="2016"/>
      <c r="K2347" s="2017"/>
      <c r="L2347" s="1962"/>
      <c r="M2347" s="2007" t="s">
        <v>1524</v>
      </c>
      <c r="N2347" s="2008"/>
      <c r="O2347" s="2008"/>
      <c r="P2347" s="2008"/>
      <c r="Q2347" s="2009"/>
      <c r="R2347" s="1345">
        <f>R2345-R2346</f>
        <v>0</v>
      </c>
      <c r="S2347" s="1346" t="str">
        <f>L2345</f>
        <v>m</v>
      </c>
      <c r="T2347" s="373"/>
      <c r="U2347" s="486"/>
      <c r="V2347" s="1418">
        <f>R2347</f>
        <v>0</v>
      </c>
      <c r="AB2347" s="15"/>
    </row>
    <row r="2348" spans="1:36" s="77" customFormat="1" ht="15.6" hidden="1">
      <c r="A2348" s="370"/>
      <c r="B2348" s="1347"/>
      <c r="C2348" s="1348"/>
      <c r="D2348" s="1349"/>
      <c r="E2348" s="1350"/>
      <c r="F2348" s="1349"/>
      <c r="G2348" s="1349"/>
      <c r="H2348" s="1349"/>
      <c r="I2348" s="1349"/>
      <c r="J2348" s="1351"/>
      <c r="K2348" s="1352"/>
      <c r="L2348" s="1353"/>
      <c r="M2348" s="1354"/>
      <c r="N2348" s="1354"/>
      <c r="O2348" s="1354"/>
      <c r="P2348" s="1354"/>
      <c r="Q2348" s="1354"/>
      <c r="R2348" s="1355"/>
      <c r="S2348" s="1356"/>
      <c r="T2348" s="1357"/>
      <c r="U2348" s="1358"/>
      <c r="V2348" s="1420">
        <f>SUM(V2339:V2347)</f>
        <v>0</v>
      </c>
      <c r="AB2348" s="15"/>
    </row>
    <row r="2349" spans="1:36" s="352" customFormat="1" ht="15.6" hidden="1">
      <c r="A2349" s="351"/>
      <c r="B2349" s="1963" t="str">
        <f>VLOOKUP(A2357,'11 - FINANCEIRA'!_xlnm.Print_Area,1,FALSE)</f>
        <v>2.5.1.3</v>
      </c>
      <c r="C2349" s="1965" t="str">
        <f>VLOOKUP(A2357,'11 - FINANCEIRA'!_xlnm.Print_Area,3,FALSE)</f>
        <v>Cabo de instrumentação de 2 pares 1,5mm², com shield, isolação em xlpe</v>
      </c>
      <c r="D2349" s="1967" t="s">
        <v>1503</v>
      </c>
      <c r="E2349" s="1968"/>
      <c r="F2349" s="1968"/>
      <c r="G2349" s="1968"/>
      <c r="H2349" s="1968"/>
      <c r="I2349" s="1969"/>
      <c r="J2349" s="1914" t="s">
        <v>1504</v>
      </c>
      <c r="K2349" s="1914" t="s">
        <v>1505</v>
      </c>
      <c r="L2349" s="1914" t="s">
        <v>1506</v>
      </c>
      <c r="M2349" s="1914" t="s">
        <v>1507</v>
      </c>
      <c r="N2349" s="1914" t="s">
        <v>1508</v>
      </c>
      <c r="O2349" s="1914" t="s">
        <v>1509</v>
      </c>
      <c r="P2349" s="1341" t="s">
        <v>1510</v>
      </c>
      <c r="Q2349" s="1914" t="s">
        <v>1493</v>
      </c>
      <c r="R2349" s="1916" t="s">
        <v>804</v>
      </c>
      <c r="S2349" s="1914" t="s">
        <v>1511</v>
      </c>
      <c r="T2349" s="1914" t="s">
        <v>1512</v>
      </c>
      <c r="U2349" s="1918" t="s">
        <v>1513</v>
      </c>
      <c r="V2349" s="1418">
        <f t="shared" ref="V2349:V2356" si="239">V2350</f>
        <v>0</v>
      </c>
      <c r="W2349" s="16"/>
      <c r="X2349" s="16"/>
      <c r="Y2349" s="16"/>
      <c r="Z2349" s="17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</row>
    <row r="2350" spans="1:36" s="352" customFormat="1" ht="15.6" hidden="1">
      <c r="A2350" s="351"/>
      <c r="B2350" s="1964" t="e">
        <f>LEFT(#REF!,5)</f>
        <v>#REF!</v>
      </c>
      <c r="C2350" s="1966" t="e">
        <f>VLOOKUP(LEFT(#REF!,5),'11 - FINANCEIRA'!_xlnm.Print_Area,2,FALSE)</f>
        <v>#REF!</v>
      </c>
      <c r="D2350" s="1920" t="s">
        <v>1514</v>
      </c>
      <c r="E2350" s="1921"/>
      <c r="F2350" s="1922"/>
      <c r="G2350" s="1923" t="s">
        <v>1515</v>
      </c>
      <c r="H2350" s="1924"/>
      <c r="I2350" s="1925"/>
      <c r="J2350" s="1915"/>
      <c r="K2350" s="1915"/>
      <c r="L2350" s="1915"/>
      <c r="M2350" s="1915"/>
      <c r="N2350" s="1915"/>
      <c r="O2350" s="1915"/>
      <c r="P2350" s="353" t="s">
        <v>1516</v>
      </c>
      <c r="Q2350" s="1915"/>
      <c r="R2350" s="1917"/>
      <c r="S2350" s="1915"/>
      <c r="T2350" s="1915"/>
      <c r="U2350" s="1919"/>
      <c r="V2350" s="1418">
        <f t="shared" si="239"/>
        <v>0</v>
      </c>
      <c r="W2350" s="16"/>
      <c r="X2350" s="16"/>
      <c r="Y2350" s="16"/>
      <c r="Z2350" s="17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</row>
    <row r="2351" spans="1:36" s="361" customFormat="1" ht="15" hidden="1" customHeight="1">
      <c r="A2351" s="354"/>
      <c r="B2351" s="355"/>
      <c r="C2351" s="32" t="s">
        <v>1092</v>
      </c>
      <c r="D2351" s="33"/>
      <c r="E2351" s="34"/>
      <c r="F2351" s="35"/>
      <c r="G2351" s="33"/>
      <c r="H2351" s="34"/>
      <c r="I2351" s="35"/>
      <c r="J2351" s="43"/>
      <c r="K2351" s="42"/>
      <c r="L2351" s="39"/>
      <c r="M2351" s="41"/>
      <c r="N2351" s="356"/>
      <c r="O2351" s="40"/>
      <c r="P2351" s="39"/>
      <c r="Q2351" s="45"/>
      <c r="R2351" s="1359">
        <v>959</v>
      </c>
      <c r="S2351" s="1265" t="s">
        <v>809</v>
      </c>
      <c r="T2351" s="46" t="s">
        <v>325</v>
      </c>
      <c r="U2351" s="44"/>
      <c r="V2351" s="1418">
        <f t="shared" si="239"/>
        <v>0</v>
      </c>
      <c r="W2351" s="357"/>
      <c r="X2351" s="357"/>
      <c r="Y2351" s="357"/>
      <c r="Z2351" s="358"/>
      <c r="AA2351" s="359"/>
      <c r="AB2351" s="360"/>
    </row>
    <row r="2352" spans="1:36" s="361" customFormat="1" ht="15" hidden="1" customHeight="1">
      <c r="A2352" s="354"/>
      <c r="B2352" s="355"/>
      <c r="C2352" s="32"/>
      <c r="D2352" s="33"/>
      <c r="E2352" s="34"/>
      <c r="F2352" s="35"/>
      <c r="G2352" s="33"/>
      <c r="H2352" s="34"/>
      <c r="I2352" s="35"/>
      <c r="J2352" s="43"/>
      <c r="K2352" s="42"/>
      <c r="L2352" s="39"/>
      <c r="M2352" s="41"/>
      <c r="N2352" s="356"/>
      <c r="O2352" s="40"/>
      <c r="P2352" s="39"/>
      <c r="Q2352" s="45"/>
      <c r="R2352" s="362"/>
      <c r="S2352" s="363"/>
      <c r="T2352" s="46"/>
      <c r="U2352" s="44"/>
      <c r="V2352" s="1418">
        <f t="shared" si="239"/>
        <v>0</v>
      </c>
      <c r="W2352" s="357"/>
      <c r="X2352" s="357"/>
      <c r="Y2352" s="357"/>
      <c r="Z2352" s="358"/>
      <c r="AA2352" s="359"/>
      <c r="AB2352" s="360"/>
    </row>
    <row r="2353" spans="1:36" s="369" customFormat="1" ht="15" hidden="1">
      <c r="A2353" s="364"/>
      <c r="B2353" s="355"/>
      <c r="C2353" s="32"/>
      <c r="D2353" s="33"/>
      <c r="E2353" s="34"/>
      <c r="F2353" s="35"/>
      <c r="G2353" s="33"/>
      <c r="H2353" s="34"/>
      <c r="I2353" s="35"/>
      <c r="J2353" s="43"/>
      <c r="K2353" s="42"/>
      <c r="L2353" s="39"/>
      <c r="M2353" s="41"/>
      <c r="N2353" s="40"/>
      <c r="O2353" s="40"/>
      <c r="P2353" s="39"/>
      <c r="Q2353" s="38"/>
      <c r="R2353" s="365"/>
      <c r="S2353" s="366"/>
      <c r="T2353" s="46"/>
      <c r="U2353" s="44"/>
      <c r="V2353" s="1418">
        <f t="shared" si="239"/>
        <v>0</v>
      </c>
      <c r="W2353" s="367"/>
      <c r="X2353" s="367"/>
      <c r="Y2353" s="367"/>
      <c r="Z2353" s="368"/>
    </row>
    <row r="2354" spans="1:36" s="77" customFormat="1" ht="15" hidden="1">
      <c r="A2354" s="370"/>
      <c r="B2354" s="29"/>
      <c r="C2354" s="30"/>
      <c r="D2354" s="18"/>
      <c r="E2354" s="19"/>
      <c r="F2354" s="20"/>
      <c r="G2354" s="18"/>
      <c r="H2354" s="19"/>
      <c r="I2354" s="20"/>
      <c r="J2354" s="21"/>
      <c r="K2354" s="22"/>
      <c r="L2354" s="23"/>
      <c r="M2354" s="24"/>
      <c r="N2354" s="25"/>
      <c r="O2354" s="25"/>
      <c r="P2354" s="23"/>
      <c r="Q2354" s="26"/>
      <c r="R2354" s="371"/>
      <c r="S2354" s="27"/>
      <c r="T2354" s="372"/>
      <c r="U2354" s="31"/>
      <c r="V2354" s="1418">
        <f t="shared" si="239"/>
        <v>0</v>
      </c>
      <c r="AB2354" s="15"/>
    </row>
    <row r="2355" spans="1:36" s="77" customFormat="1" ht="15.6" hidden="1">
      <c r="A2355" s="370"/>
      <c r="B2355" s="499"/>
      <c r="C2355" s="37"/>
      <c r="D2355" s="1929" t="s">
        <v>1520</v>
      </c>
      <c r="E2355" s="1930"/>
      <c r="F2355" s="1930"/>
      <c r="G2355" s="1930"/>
      <c r="H2355" s="1930"/>
      <c r="I2355" s="1931"/>
      <c r="J2355" s="1932">
        <f>VLOOKUP(A2357,'11 - FINANCEIRA'!_xlnm.Print_Area,6,FALSE)</f>
        <v>959</v>
      </c>
      <c r="K2355" s="1933"/>
      <c r="L2355" s="1343" t="str">
        <f>VLOOKUP(A2357,'11 - FINANCEIRA'!_xlnm.Print_Area,4,FALSE)</f>
        <v>m</v>
      </c>
      <c r="M2355" s="1934" t="s">
        <v>1521</v>
      </c>
      <c r="N2355" s="1935"/>
      <c r="O2355" s="1935"/>
      <c r="P2355" s="1935"/>
      <c r="Q2355" s="1936"/>
      <c r="R2355" s="726">
        <f>SUM(R2351:R2354)</f>
        <v>959</v>
      </c>
      <c r="S2355" s="1344" t="str">
        <f>L2355</f>
        <v>m</v>
      </c>
      <c r="T2355" s="373"/>
      <c r="U2355" s="486"/>
      <c r="V2355" s="1418">
        <f t="shared" si="239"/>
        <v>0</v>
      </c>
      <c r="AB2355" s="15"/>
    </row>
    <row r="2356" spans="1:36" s="77" customFormat="1" ht="15.6" hidden="1">
      <c r="A2356" s="370"/>
      <c r="B2356" s="499"/>
      <c r="C2356" s="725"/>
      <c r="D2356" s="1937" t="s">
        <v>1522</v>
      </c>
      <c r="E2356" s="1938"/>
      <c r="F2356" s="1938"/>
      <c r="G2356" s="1938"/>
      <c r="H2356" s="1938"/>
      <c r="I2356" s="1939"/>
      <c r="J2356" s="1943">
        <f>R2355/J2355</f>
        <v>1</v>
      </c>
      <c r="K2356" s="1944"/>
      <c r="L2356" s="1947"/>
      <c r="M2356" s="1934" t="s">
        <v>1523</v>
      </c>
      <c r="N2356" s="1935"/>
      <c r="O2356" s="1935"/>
      <c r="P2356" s="1935"/>
      <c r="Q2356" s="1936"/>
      <c r="R2356" s="726">
        <f>VLOOKUP(A2357,'11 - FINANCEIRA'!_xlnm.Print_Area,8,FALSE)</f>
        <v>959</v>
      </c>
      <c r="S2356" s="727" t="str">
        <f>L2355</f>
        <v>m</v>
      </c>
      <c r="T2356" s="373"/>
      <c r="U2356" s="486"/>
      <c r="V2356" s="1418">
        <f t="shared" si="239"/>
        <v>0</v>
      </c>
      <c r="AB2356" s="15"/>
    </row>
    <row r="2357" spans="1:36" s="77" customFormat="1" ht="15.6" hidden="1">
      <c r="A2357" s="364" t="s">
        <v>538</v>
      </c>
      <c r="B2357" s="499"/>
      <c r="C2357" s="37"/>
      <c r="D2357" s="2013"/>
      <c r="E2357" s="2014"/>
      <c r="F2357" s="2014"/>
      <c r="G2357" s="2014"/>
      <c r="H2357" s="2014"/>
      <c r="I2357" s="2015"/>
      <c r="J2357" s="2016"/>
      <c r="K2357" s="2017"/>
      <c r="L2357" s="1962"/>
      <c r="M2357" s="2007" t="s">
        <v>1524</v>
      </c>
      <c r="N2357" s="2008"/>
      <c r="O2357" s="2008"/>
      <c r="P2357" s="2008"/>
      <c r="Q2357" s="2009"/>
      <c r="R2357" s="1345">
        <f>R2355-R2356</f>
        <v>0</v>
      </c>
      <c r="S2357" s="1346" t="str">
        <f>L2355</f>
        <v>m</v>
      </c>
      <c r="T2357" s="373"/>
      <c r="U2357" s="486"/>
      <c r="V2357" s="1418">
        <f>R2357</f>
        <v>0</v>
      </c>
      <c r="AB2357" s="15"/>
    </row>
    <row r="2358" spans="1:36" s="77" customFormat="1" ht="15.6" hidden="1">
      <c r="A2358" s="370"/>
      <c r="B2358" s="1347"/>
      <c r="C2358" s="1348"/>
      <c r="D2358" s="1349"/>
      <c r="E2358" s="1350"/>
      <c r="F2358" s="1349"/>
      <c r="G2358" s="1349"/>
      <c r="H2358" s="1349"/>
      <c r="I2358" s="1349"/>
      <c r="J2358" s="1351"/>
      <c r="K2358" s="1352"/>
      <c r="L2358" s="1353"/>
      <c r="M2358" s="1354"/>
      <c r="N2358" s="1354"/>
      <c r="O2358" s="1354"/>
      <c r="P2358" s="1354"/>
      <c r="Q2358" s="1354"/>
      <c r="R2358" s="1355"/>
      <c r="S2358" s="1356"/>
      <c r="T2358" s="1357"/>
      <c r="U2358" s="1358"/>
      <c r="V2358" s="1420">
        <f>SUM(V2349:V2357)</f>
        <v>0</v>
      </c>
      <c r="AB2358" s="15"/>
    </row>
    <row r="2359" spans="1:36" s="352" customFormat="1" ht="15.6" hidden="1">
      <c r="A2359" s="351"/>
      <c r="B2359" s="1963" t="str">
        <f>VLOOKUP(A2367,'11 - FINANCEIRA'!_xlnm.Print_Area,1,FALSE)</f>
        <v>2.5.1.4</v>
      </c>
      <c r="C2359" s="1965" t="str">
        <f>VLOOKUP(A2367,'11 - FINANCEIRA'!_xlnm.Print_Area,3,FALSE)</f>
        <v>Cabo de par trançado blindado (f/utp), categoria 6, ou superior, com condutores de cobre rígidos 24 awg, uso indoor/outdoor ref: furukawa ou similar (m)</v>
      </c>
      <c r="D2359" s="1967" t="s">
        <v>1503</v>
      </c>
      <c r="E2359" s="1968"/>
      <c r="F2359" s="1968"/>
      <c r="G2359" s="1968"/>
      <c r="H2359" s="1968"/>
      <c r="I2359" s="1969"/>
      <c r="J2359" s="1914" t="s">
        <v>1504</v>
      </c>
      <c r="K2359" s="1914" t="s">
        <v>1505</v>
      </c>
      <c r="L2359" s="1914" t="s">
        <v>1506</v>
      </c>
      <c r="M2359" s="1914" t="s">
        <v>1507</v>
      </c>
      <c r="N2359" s="1914" t="s">
        <v>1508</v>
      </c>
      <c r="O2359" s="1914" t="s">
        <v>1509</v>
      </c>
      <c r="P2359" s="1341" t="s">
        <v>1510</v>
      </c>
      <c r="Q2359" s="1914" t="s">
        <v>1493</v>
      </c>
      <c r="R2359" s="1916" t="s">
        <v>804</v>
      </c>
      <c r="S2359" s="1914" t="s">
        <v>1511</v>
      </c>
      <c r="T2359" s="1914" t="s">
        <v>1512</v>
      </c>
      <c r="U2359" s="1918" t="s">
        <v>1513</v>
      </c>
      <c r="V2359" s="1418">
        <f t="shared" ref="V2359:V2366" si="240">V2360</f>
        <v>0</v>
      </c>
      <c r="W2359" s="16"/>
      <c r="X2359" s="16"/>
      <c r="Y2359" s="16"/>
      <c r="Z2359" s="17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</row>
    <row r="2360" spans="1:36" s="352" customFormat="1" ht="15.6" hidden="1">
      <c r="A2360" s="351"/>
      <c r="B2360" s="1964" t="e">
        <f>LEFT(#REF!,5)</f>
        <v>#REF!</v>
      </c>
      <c r="C2360" s="1966" t="e">
        <f>VLOOKUP(LEFT(#REF!,5),'11 - FINANCEIRA'!_xlnm.Print_Area,2,FALSE)</f>
        <v>#REF!</v>
      </c>
      <c r="D2360" s="1920" t="s">
        <v>1514</v>
      </c>
      <c r="E2360" s="1921"/>
      <c r="F2360" s="1922"/>
      <c r="G2360" s="1923" t="s">
        <v>1515</v>
      </c>
      <c r="H2360" s="1924"/>
      <c r="I2360" s="1925"/>
      <c r="J2360" s="1915"/>
      <c r="K2360" s="1915"/>
      <c r="L2360" s="1915"/>
      <c r="M2360" s="1915"/>
      <c r="N2360" s="1915"/>
      <c r="O2360" s="1915"/>
      <c r="P2360" s="353" t="s">
        <v>1516</v>
      </c>
      <c r="Q2360" s="1915"/>
      <c r="R2360" s="1917"/>
      <c r="S2360" s="1915"/>
      <c r="T2360" s="1915"/>
      <c r="U2360" s="1919"/>
      <c r="V2360" s="1418">
        <f t="shared" si="240"/>
        <v>0</v>
      </c>
      <c r="W2360" s="16"/>
      <c r="X2360" s="16"/>
      <c r="Y2360" s="16"/>
      <c r="Z2360" s="17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</row>
    <row r="2361" spans="1:36" s="361" customFormat="1" ht="15" hidden="1" customHeight="1">
      <c r="A2361" s="354"/>
      <c r="B2361" s="355"/>
      <c r="C2361" s="32" t="s">
        <v>1094</v>
      </c>
      <c r="D2361" s="33"/>
      <c r="E2361" s="34"/>
      <c r="F2361" s="35"/>
      <c r="G2361" s="33"/>
      <c r="H2361" s="34"/>
      <c r="I2361" s="35"/>
      <c r="J2361" s="43"/>
      <c r="K2361" s="42"/>
      <c r="L2361" s="39"/>
      <c r="M2361" s="41"/>
      <c r="N2361" s="356"/>
      <c r="O2361" s="40"/>
      <c r="P2361" s="39"/>
      <c r="Q2361" s="45"/>
      <c r="R2361" s="1359">
        <v>35</v>
      </c>
      <c r="S2361" s="1265" t="s">
        <v>809</v>
      </c>
      <c r="T2361" s="46" t="s">
        <v>325</v>
      </c>
      <c r="U2361" s="44"/>
      <c r="V2361" s="1418">
        <f t="shared" si="240"/>
        <v>0</v>
      </c>
      <c r="W2361" s="357"/>
      <c r="X2361" s="357"/>
      <c r="Y2361" s="357"/>
      <c r="Z2361" s="358"/>
      <c r="AA2361" s="359"/>
      <c r="AB2361" s="360"/>
    </row>
    <row r="2362" spans="1:36" s="361" customFormat="1" ht="15" hidden="1" customHeight="1">
      <c r="A2362" s="354"/>
      <c r="B2362" s="355"/>
      <c r="C2362" s="32"/>
      <c r="D2362" s="33"/>
      <c r="E2362" s="34"/>
      <c r="F2362" s="35"/>
      <c r="G2362" s="33"/>
      <c r="H2362" s="34"/>
      <c r="I2362" s="35"/>
      <c r="J2362" s="43"/>
      <c r="K2362" s="42"/>
      <c r="L2362" s="39"/>
      <c r="M2362" s="41"/>
      <c r="N2362" s="356"/>
      <c r="O2362" s="40"/>
      <c r="P2362" s="39"/>
      <c r="Q2362" s="45"/>
      <c r="R2362" s="362"/>
      <c r="S2362" s="363"/>
      <c r="T2362" s="46"/>
      <c r="U2362" s="44"/>
      <c r="V2362" s="1418">
        <f t="shared" si="240"/>
        <v>0</v>
      </c>
      <c r="W2362" s="357"/>
      <c r="X2362" s="357"/>
      <c r="Y2362" s="357"/>
      <c r="Z2362" s="358"/>
      <c r="AA2362" s="359"/>
      <c r="AB2362" s="360"/>
    </row>
    <row r="2363" spans="1:36" s="369" customFormat="1" ht="15" hidden="1" customHeight="1">
      <c r="A2363" s="364"/>
      <c r="B2363" s="355"/>
      <c r="C2363" s="32"/>
      <c r="D2363" s="33"/>
      <c r="E2363" s="34"/>
      <c r="F2363" s="35"/>
      <c r="G2363" s="33"/>
      <c r="H2363" s="34"/>
      <c r="I2363" s="35"/>
      <c r="J2363" s="43"/>
      <c r="K2363" s="42"/>
      <c r="L2363" s="39"/>
      <c r="M2363" s="41"/>
      <c r="N2363" s="40"/>
      <c r="O2363" s="40"/>
      <c r="P2363" s="39"/>
      <c r="Q2363" s="38"/>
      <c r="R2363" s="365"/>
      <c r="S2363" s="366"/>
      <c r="T2363" s="46"/>
      <c r="U2363" s="44"/>
      <c r="V2363" s="1418">
        <f t="shared" si="240"/>
        <v>0</v>
      </c>
      <c r="W2363" s="367"/>
      <c r="X2363" s="367"/>
      <c r="Y2363" s="367"/>
      <c r="Z2363" s="368"/>
    </row>
    <row r="2364" spans="1:36" s="77" customFormat="1" ht="15" hidden="1">
      <c r="A2364" s="370"/>
      <c r="B2364" s="29"/>
      <c r="C2364" s="30"/>
      <c r="D2364" s="18"/>
      <c r="E2364" s="19"/>
      <c r="F2364" s="20"/>
      <c r="G2364" s="18"/>
      <c r="H2364" s="19"/>
      <c r="I2364" s="20"/>
      <c r="J2364" s="21"/>
      <c r="K2364" s="22"/>
      <c r="L2364" s="23"/>
      <c r="M2364" s="24"/>
      <c r="N2364" s="25"/>
      <c r="O2364" s="25"/>
      <c r="P2364" s="23"/>
      <c r="Q2364" s="26"/>
      <c r="R2364" s="371"/>
      <c r="S2364" s="27"/>
      <c r="T2364" s="372"/>
      <c r="U2364" s="31"/>
      <c r="V2364" s="1418">
        <f t="shared" si="240"/>
        <v>0</v>
      </c>
      <c r="AB2364" s="15"/>
    </row>
    <row r="2365" spans="1:36" s="77" customFormat="1" ht="15.6" hidden="1">
      <c r="A2365" s="370"/>
      <c r="B2365" s="499"/>
      <c r="C2365" s="37"/>
      <c r="D2365" s="1929" t="s">
        <v>1520</v>
      </c>
      <c r="E2365" s="1930"/>
      <c r="F2365" s="1930"/>
      <c r="G2365" s="1930"/>
      <c r="H2365" s="1930"/>
      <c r="I2365" s="1931"/>
      <c r="J2365" s="1932">
        <f>VLOOKUP(A2367,'11 - FINANCEIRA'!_xlnm.Print_Area,6,FALSE)</f>
        <v>35</v>
      </c>
      <c r="K2365" s="1933"/>
      <c r="L2365" s="1343" t="str">
        <f>VLOOKUP(A2367,'11 - FINANCEIRA'!_xlnm.Print_Area,4,FALSE)</f>
        <v>m</v>
      </c>
      <c r="M2365" s="1934" t="s">
        <v>1521</v>
      </c>
      <c r="N2365" s="1935"/>
      <c r="O2365" s="1935"/>
      <c r="P2365" s="1935"/>
      <c r="Q2365" s="1936"/>
      <c r="R2365" s="726">
        <f>SUM(R2361:R2364)</f>
        <v>35</v>
      </c>
      <c r="S2365" s="1344" t="str">
        <f>L2365</f>
        <v>m</v>
      </c>
      <c r="T2365" s="373"/>
      <c r="U2365" s="486"/>
      <c r="V2365" s="1418">
        <f t="shared" si="240"/>
        <v>0</v>
      </c>
      <c r="AB2365" s="15"/>
    </row>
    <row r="2366" spans="1:36" s="77" customFormat="1" ht="15.6" hidden="1">
      <c r="A2366" s="370"/>
      <c r="B2366" s="499"/>
      <c r="C2366" s="725"/>
      <c r="D2366" s="1937" t="s">
        <v>1522</v>
      </c>
      <c r="E2366" s="1938"/>
      <c r="F2366" s="1938"/>
      <c r="G2366" s="1938"/>
      <c r="H2366" s="1938"/>
      <c r="I2366" s="1939"/>
      <c r="J2366" s="1943">
        <f>R2365/J2365</f>
        <v>1</v>
      </c>
      <c r="K2366" s="1944"/>
      <c r="L2366" s="1947"/>
      <c r="M2366" s="1934" t="s">
        <v>1523</v>
      </c>
      <c r="N2366" s="1935"/>
      <c r="O2366" s="1935"/>
      <c r="P2366" s="1935"/>
      <c r="Q2366" s="1936"/>
      <c r="R2366" s="726">
        <f>VLOOKUP(A2367,'11 - FINANCEIRA'!_xlnm.Print_Area,8,FALSE)</f>
        <v>35</v>
      </c>
      <c r="S2366" s="727" t="str">
        <f>L2365</f>
        <v>m</v>
      </c>
      <c r="T2366" s="373"/>
      <c r="U2366" s="486"/>
      <c r="V2366" s="1418">
        <f t="shared" si="240"/>
        <v>0</v>
      </c>
      <c r="AB2366" s="15"/>
    </row>
    <row r="2367" spans="1:36" s="77" customFormat="1" ht="15.6" hidden="1">
      <c r="A2367" s="364" t="s">
        <v>539</v>
      </c>
      <c r="B2367" s="499"/>
      <c r="C2367" s="37"/>
      <c r="D2367" s="2013"/>
      <c r="E2367" s="2014"/>
      <c r="F2367" s="2014"/>
      <c r="G2367" s="2014"/>
      <c r="H2367" s="2014"/>
      <c r="I2367" s="2015"/>
      <c r="J2367" s="2016"/>
      <c r="K2367" s="2017"/>
      <c r="L2367" s="1962"/>
      <c r="M2367" s="2007" t="s">
        <v>1524</v>
      </c>
      <c r="N2367" s="2008"/>
      <c r="O2367" s="2008"/>
      <c r="P2367" s="2008"/>
      <c r="Q2367" s="2009"/>
      <c r="R2367" s="1345">
        <f>R2365-R2366</f>
        <v>0</v>
      </c>
      <c r="S2367" s="1346" t="str">
        <f>L2365</f>
        <v>m</v>
      </c>
      <c r="T2367" s="373"/>
      <c r="U2367" s="486"/>
      <c r="V2367" s="1418">
        <f>R2367</f>
        <v>0</v>
      </c>
      <c r="AB2367" s="15"/>
    </row>
    <row r="2368" spans="1:36" s="77" customFormat="1" ht="15.6" hidden="1">
      <c r="A2368" s="370"/>
      <c r="B2368" s="1347"/>
      <c r="C2368" s="1348"/>
      <c r="D2368" s="1349"/>
      <c r="E2368" s="1350"/>
      <c r="F2368" s="1349"/>
      <c r="G2368" s="1349"/>
      <c r="H2368" s="1349"/>
      <c r="I2368" s="1349"/>
      <c r="J2368" s="1351"/>
      <c r="K2368" s="1352"/>
      <c r="L2368" s="1353"/>
      <c r="M2368" s="1354"/>
      <c r="N2368" s="1354"/>
      <c r="O2368" s="1354"/>
      <c r="P2368" s="1354"/>
      <c r="Q2368" s="1354"/>
      <c r="R2368" s="1355"/>
      <c r="S2368" s="1356"/>
      <c r="T2368" s="1357"/>
      <c r="U2368" s="1358"/>
      <c r="V2368" s="1420">
        <f>SUM(V2359:V2367)</f>
        <v>0</v>
      </c>
      <c r="AB2368" s="15"/>
    </row>
    <row r="2369" spans="1:36" s="632" customFormat="1" ht="15.6" hidden="1">
      <c r="A2369" s="630"/>
      <c r="B2369" s="1333" t="str">
        <f>LEFT(A2378,7)</f>
        <v>2.5.1.5</v>
      </c>
      <c r="C2369" s="1334" t="str">
        <f>VLOOKUP(LEFT(A2378,7),'11 - FINANCEIRA'!_xlnm.Print_Area,2,FALSE)</f>
        <v>Calhas e Dutos</v>
      </c>
      <c r="D2369" s="1334"/>
      <c r="E2369" s="1335"/>
      <c r="F2369" s="1334"/>
      <c r="G2369" s="2071"/>
      <c r="H2369" s="2072"/>
      <c r="I2369" s="2072"/>
      <c r="J2369" s="2072"/>
      <c r="K2369" s="2072"/>
      <c r="L2369" s="2072"/>
      <c r="M2369" s="1338"/>
      <c r="N2369" s="1339"/>
      <c r="O2369" s="1338"/>
      <c r="P2369" s="1338"/>
      <c r="Q2369" s="1338"/>
      <c r="R2369" s="1338"/>
      <c r="S2369" s="1338"/>
      <c r="T2369" s="1338"/>
      <c r="U2369" s="1338"/>
      <c r="V2369" s="631">
        <f>SUM(V2370:V2459)</f>
        <v>0</v>
      </c>
    </row>
    <row r="2370" spans="1:36" s="352" customFormat="1" ht="15.6" hidden="1">
      <c r="A2370" s="351"/>
      <c r="B2370" s="1963" t="str">
        <f>VLOOKUP(A2378,'11 - FINANCEIRA'!_xlnm.Print_Area,1,FALSE)</f>
        <v>2.5.1.5.1</v>
      </c>
      <c r="C2370" s="1965" t="str">
        <f>VLOOKUP(A2378,'11 - FINANCEIRA'!_xlnm.Print_Area,3,FALSE)</f>
        <v>Eletrocalha perfurada galvanizada eletrolítica chapa 14 - 100 x 50 mm com tampa, inclusive conexão e suporte.</v>
      </c>
      <c r="D2370" s="1967" t="s">
        <v>1503</v>
      </c>
      <c r="E2370" s="1968"/>
      <c r="F2370" s="1968"/>
      <c r="G2370" s="1968"/>
      <c r="H2370" s="1968"/>
      <c r="I2370" s="1969"/>
      <c r="J2370" s="1914" t="s">
        <v>1504</v>
      </c>
      <c r="K2370" s="1914" t="s">
        <v>1505</v>
      </c>
      <c r="L2370" s="1914" t="s">
        <v>1506</v>
      </c>
      <c r="M2370" s="1914" t="s">
        <v>1507</v>
      </c>
      <c r="N2370" s="1914" t="s">
        <v>1508</v>
      </c>
      <c r="O2370" s="1914" t="s">
        <v>1509</v>
      </c>
      <c r="P2370" s="1341" t="s">
        <v>1510</v>
      </c>
      <c r="Q2370" s="1914" t="s">
        <v>1493</v>
      </c>
      <c r="R2370" s="1916" t="s">
        <v>804</v>
      </c>
      <c r="S2370" s="1914" t="s">
        <v>1511</v>
      </c>
      <c r="T2370" s="1914" t="s">
        <v>1512</v>
      </c>
      <c r="U2370" s="1918" t="s">
        <v>1513</v>
      </c>
      <c r="V2370" s="1418">
        <f t="shared" ref="V2370:V2377" si="241">V2371</f>
        <v>0</v>
      </c>
      <c r="W2370" s="16"/>
      <c r="X2370" s="16"/>
      <c r="Y2370" s="16"/>
      <c r="Z2370" s="17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</row>
    <row r="2371" spans="1:36" s="352" customFormat="1" ht="15.6" hidden="1">
      <c r="A2371" s="351"/>
      <c r="B2371" s="1964" t="e">
        <f>LEFT(#REF!,5)</f>
        <v>#REF!</v>
      </c>
      <c r="C2371" s="1966" t="e">
        <f>VLOOKUP(LEFT(#REF!,5),'11 - FINANCEIRA'!_xlnm.Print_Area,2,FALSE)</f>
        <v>#REF!</v>
      </c>
      <c r="D2371" s="1920" t="s">
        <v>1514</v>
      </c>
      <c r="E2371" s="1921"/>
      <c r="F2371" s="1922"/>
      <c r="G2371" s="1923" t="s">
        <v>1515</v>
      </c>
      <c r="H2371" s="1924"/>
      <c r="I2371" s="1925"/>
      <c r="J2371" s="1915"/>
      <c r="K2371" s="1915"/>
      <c r="L2371" s="1915"/>
      <c r="M2371" s="1915"/>
      <c r="N2371" s="1915"/>
      <c r="O2371" s="1915"/>
      <c r="P2371" s="353" t="s">
        <v>1516</v>
      </c>
      <c r="Q2371" s="1915"/>
      <c r="R2371" s="1917"/>
      <c r="S2371" s="1915"/>
      <c r="T2371" s="1915"/>
      <c r="U2371" s="1919"/>
      <c r="V2371" s="1418">
        <f t="shared" si="241"/>
        <v>0</v>
      </c>
      <c r="W2371" s="16"/>
      <c r="X2371" s="16"/>
      <c r="Y2371" s="16"/>
      <c r="Z2371" s="17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</row>
    <row r="2372" spans="1:36" s="361" customFormat="1" ht="30" hidden="1">
      <c r="A2372" s="354"/>
      <c r="B2372" s="355"/>
      <c r="C2372" s="28" t="s">
        <v>1097</v>
      </c>
      <c r="D2372" s="18"/>
      <c r="E2372" s="19"/>
      <c r="F2372" s="20"/>
      <c r="G2372" s="18"/>
      <c r="H2372" s="19"/>
      <c r="I2372" s="20"/>
      <c r="J2372" s="21"/>
      <c r="K2372" s="22"/>
      <c r="L2372" s="23"/>
      <c r="M2372" s="24"/>
      <c r="N2372" s="728"/>
      <c r="O2372" s="25"/>
      <c r="P2372" s="23"/>
      <c r="Q2372" s="729"/>
      <c r="R2372" s="1109">
        <v>64</v>
      </c>
      <c r="S2372" s="730" t="s">
        <v>809</v>
      </c>
      <c r="T2372" s="446" t="s">
        <v>324</v>
      </c>
      <c r="U2372" s="44"/>
      <c r="V2372" s="1418">
        <f t="shared" si="241"/>
        <v>0</v>
      </c>
      <c r="W2372" s="357"/>
      <c r="X2372" s="357"/>
      <c r="Y2372" s="357"/>
      <c r="Z2372" s="358"/>
      <c r="AA2372" s="359"/>
      <c r="AB2372" s="360"/>
    </row>
    <row r="2373" spans="1:36" s="361" customFormat="1" ht="15" hidden="1" customHeight="1">
      <c r="A2373" s="354"/>
      <c r="B2373" s="355"/>
      <c r="C2373" s="32"/>
      <c r="D2373" s="33"/>
      <c r="E2373" s="34"/>
      <c r="F2373" s="35"/>
      <c r="G2373" s="33"/>
      <c r="H2373" s="34"/>
      <c r="I2373" s="35"/>
      <c r="J2373" s="43"/>
      <c r="K2373" s="42"/>
      <c r="L2373" s="39"/>
      <c r="M2373" s="41"/>
      <c r="N2373" s="356"/>
      <c r="O2373" s="40"/>
      <c r="P2373" s="39"/>
      <c r="Q2373" s="45"/>
      <c r="R2373" s="362"/>
      <c r="S2373" s="363"/>
      <c r="T2373" s="46"/>
      <c r="U2373" s="44"/>
      <c r="V2373" s="1418">
        <f t="shared" si="241"/>
        <v>0</v>
      </c>
      <c r="W2373" s="357"/>
      <c r="X2373" s="357"/>
      <c r="Y2373" s="357"/>
      <c r="Z2373" s="358"/>
      <c r="AA2373" s="359"/>
      <c r="AB2373" s="360"/>
    </row>
    <row r="2374" spans="1:36" s="369" customFormat="1" ht="15" hidden="1">
      <c r="A2374" s="364"/>
      <c r="B2374" s="355"/>
      <c r="C2374" s="32"/>
      <c r="D2374" s="33"/>
      <c r="E2374" s="34"/>
      <c r="F2374" s="35"/>
      <c r="G2374" s="33"/>
      <c r="H2374" s="34"/>
      <c r="I2374" s="35"/>
      <c r="J2374" s="43"/>
      <c r="K2374" s="42"/>
      <c r="L2374" s="39"/>
      <c r="M2374" s="41"/>
      <c r="N2374" s="40"/>
      <c r="O2374" s="40"/>
      <c r="P2374" s="39"/>
      <c r="Q2374" s="38"/>
      <c r="R2374" s="365"/>
      <c r="S2374" s="366"/>
      <c r="T2374" s="46"/>
      <c r="U2374" s="44"/>
      <c r="V2374" s="1418">
        <f t="shared" si="241"/>
        <v>0</v>
      </c>
      <c r="W2374" s="367"/>
      <c r="X2374" s="367"/>
      <c r="Y2374" s="367"/>
      <c r="Z2374" s="368"/>
    </row>
    <row r="2375" spans="1:36" s="77" customFormat="1" ht="15" hidden="1">
      <c r="A2375" s="370"/>
      <c r="B2375" s="29"/>
      <c r="C2375" s="30"/>
      <c r="D2375" s="18"/>
      <c r="E2375" s="19"/>
      <c r="F2375" s="20"/>
      <c r="G2375" s="18"/>
      <c r="H2375" s="19"/>
      <c r="I2375" s="20"/>
      <c r="J2375" s="21"/>
      <c r="K2375" s="22"/>
      <c r="L2375" s="23"/>
      <c r="M2375" s="24"/>
      <c r="N2375" s="25"/>
      <c r="O2375" s="25"/>
      <c r="P2375" s="23"/>
      <c r="Q2375" s="26"/>
      <c r="R2375" s="371"/>
      <c r="S2375" s="27"/>
      <c r="T2375" s="372"/>
      <c r="U2375" s="31"/>
      <c r="V2375" s="1418">
        <f t="shared" si="241"/>
        <v>0</v>
      </c>
      <c r="AB2375" s="15"/>
    </row>
    <row r="2376" spans="1:36" s="77" customFormat="1" ht="15.6" hidden="1">
      <c r="A2376" s="370"/>
      <c r="B2376" s="499"/>
      <c r="C2376" s="37"/>
      <c r="D2376" s="1929" t="s">
        <v>1520</v>
      </c>
      <c r="E2376" s="1930"/>
      <c r="F2376" s="1930"/>
      <c r="G2376" s="1930"/>
      <c r="H2376" s="1930"/>
      <c r="I2376" s="1931"/>
      <c r="J2376" s="1932">
        <f>VLOOKUP(A2378,'11 - FINANCEIRA'!_xlnm.Print_Area,6,FALSE)</f>
        <v>64</v>
      </c>
      <c r="K2376" s="1933"/>
      <c r="L2376" s="1343" t="str">
        <f>VLOOKUP(A2378,'11 - FINANCEIRA'!_xlnm.Print_Area,4,FALSE)</f>
        <v>m</v>
      </c>
      <c r="M2376" s="1934" t="s">
        <v>1521</v>
      </c>
      <c r="N2376" s="1935"/>
      <c r="O2376" s="1935"/>
      <c r="P2376" s="1935"/>
      <c r="Q2376" s="1936"/>
      <c r="R2376" s="726">
        <f>SUM(R2372:R2375)</f>
        <v>64</v>
      </c>
      <c r="S2376" s="1344" t="str">
        <f>L2376</f>
        <v>m</v>
      </c>
      <c r="T2376" s="373"/>
      <c r="U2376" s="486"/>
      <c r="V2376" s="1418">
        <f t="shared" si="241"/>
        <v>0</v>
      </c>
      <c r="AB2376" s="15"/>
    </row>
    <row r="2377" spans="1:36" s="77" customFormat="1" ht="15.6" hidden="1">
      <c r="A2377" s="370"/>
      <c r="B2377" s="499"/>
      <c r="C2377" s="725"/>
      <c r="D2377" s="1937" t="s">
        <v>1522</v>
      </c>
      <c r="E2377" s="1938"/>
      <c r="F2377" s="1938"/>
      <c r="G2377" s="1938"/>
      <c r="H2377" s="1938"/>
      <c r="I2377" s="1939"/>
      <c r="J2377" s="1943">
        <f>R2376/J2376</f>
        <v>1</v>
      </c>
      <c r="K2377" s="1944"/>
      <c r="L2377" s="1947"/>
      <c r="M2377" s="1934" t="s">
        <v>1523</v>
      </c>
      <c r="N2377" s="1935"/>
      <c r="O2377" s="1935"/>
      <c r="P2377" s="1935"/>
      <c r="Q2377" s="1936"/>
      <c r="R2377" s="726">
        <f>VLOOKUP(A2378,'11 - FINANCEIRA'!_xlnm.Print_Area,8,FALSE)</f>
        <v>64</v>
      </c>
      <c r="S2377" s="727" t="str">
        <f>L2376</f>
        <v>m</v>
      </c>
      <c r="T2377" s="373"/>
      <c r="U2377" s="486"/>
      <c r="V2377" s="1418">
        <f t="shared" si="241"/>
        <v>0</v>
      </c>
      <c r="AB2377" s="15"/>
    </row>
    <row r="2378" spans="1:36" s="77" customFormat="1" ht="15.6" hidden="1">
      <c r="A2378" s="364" t="s">
        <v>541</v>
      </c>
      <c r="B2378" s="499"/>
      <c r="C2378" s="37"/>
      <c r="D2378" s="2013"/>
      <c r="E2378" s="2014"/>
      <c r="F2378" s="2014"/>
      <c r="G2378" s="2014"/>
      <c r="H2378" s="2014"/>
      <c r="I2378" s="2015"/>
      <c r="J2378" s="2016"/>
      <c r="K2378" s="2017"/>
      <c r="L2378" s="1962"/>
      <c r="M2378" s="2007" t="s">
        <v>1524</v>
      </c>
      <c r="N2378" s="2008"/>
      <c r="O2378" s="2008"/>
      <c r="P2378" s="2008"/>
      <c r="Q2378" s="2009"/>
      <c r="R2378" s="1345">
        <f>R2376-R2377</f>
        <v>0</v>
      </c>
      <c r="S2378" s="1346" t="str">
        <f>L2376</f>
        <v>m</v>
      </c>
      <c r="T2378" s="373"/>
      <c r="U2378" s="486"/>
      <c r="V2378" s="1418">
        <f>R2378</f>
        <v>0</v>
      </c>
      <c r="AB2378" s="15"/>
    </row>
    <row r="2379" spans="1:36" s="77" customFormat="1" ht="15.6" hidden="1">
      <c r="A2379" s="370"/>
      <c r="B2379" s="1347"/>
      <c r="C2379" s="1348"/>
      <c r="D2379" s="1349"/>
      <c r="E2379" s="1350"/>
      <c r="F2379" s="1349"/>
      <c r="G2379" s="1349"/>
      <c r="H2379" s="1349"/>
      <c r="I2379" s="1349"/>
      <c r="J2379" s="1351"/>
      <c r="K2379" s="1352"/>
      <c r="L2379" s="1353"/>
      <c r="M2379" s="1354"/>
      <c r="N2379" s="1354"/>
      <c r="O2379" s="1354"/>
      <c r="P2379" s="1354"/>
      <c r="Q2379" s="1354"/>
      <c r="R2379" s="1355"/>
      <c r="S2379" s="1356"/>
      <c r="T2379" s="1357"/>
      <c r="U2379" s="1358"/>
      <c r="V2379" s="1420">
        <f>SUM(V2370:V2378)</f>
        <v>0</v>
      </c>
      <c r="AB2379" s="15"/>
    </row>
    <row r="2380" spans="1:36" s="352" customFormat="1" ht="15.6" hidden="1">
      <c r="A2380" s="351"/>
      <c r="B2380" s="1963" t="str">
        <f>VLOOKUP(A2388,'11 - FINANCEIRA'!_xlnm.Print_Area,1,FALSE)</f>
        <v>2.5.1.5.2</v>
      </c>
      <c r="C2380" s="1965" t="str">
        <f>VLOOKUP(A2388,'11 - FINANCEIRA'!_xlnm.Print_Area,3,FALSE)</f>
        <v>Saída horizontal para eletroduto de 1"</v>
      </c>
      <c r="D2380" s="1967" t="s">
        <v>1503</v>
      </c>
      <c r="E2380" s="1968"/>
      <c r="F2380" s="1968"/>
      <c r="G2380" s="1968"/>
      <c r="H2380" s="1968"/>
      <c r="I2380" s="1969"/>
      <c r="J2380" s="1914" t="s">
        <v>1504</v>
      </c>
      <c r="K2380" s="1914" t="s">
        <v>1505</v>
      </c>
      <c r="L2380" s="1914" t="s">
        <v>1506</v>
      </c>
      <c r="M2380" s="1914" t="s">
        <v>1507</v>
      </c>
      <c r="N2380" s="1914" t="s">
        <v>1508</v>
      </c>
      <c r="O2380" s="1914" t="s">
        <v>1509</v>
      </c>
      <c r="P2380" s="1341" t="s">
        <v>1510</v>
      </c>
      <c r="Q2380" s="1914" t="s">
        <v>1493</v>
      </c>
      <c r="R2380" s="1916" t="s">
        <v>804</v>
      </c>
      <c r="S2380" s="1914" t="s">
        <v>1511</v>
      </c>
      <c r="T2380" s="1914" t="s">
        <v>1512</v>
      </c>
      <c r="U2380" s="1918" t="s">
        <v>1513</v>
      </c>
      <c r="V2380" s="1418">
        <f t="shared" ref="V2380:V2387" si="242">V2381</f>
        <v>0</v>
      </c>
      <c r="W2380" s="16"/>
      <c r="X2380" s="16"/>
      <c r="Y2380" s="16"/>
      <c r="Z2380" s="17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</row>
    <row r="2381" spans="1:36" s="352" customFormat="1" ht="15.6" hidden="1">
      <c r="A2381" s="351"/>
      <c r="B2381" s="1964" t="e">
        <f>LEFT(#REF!,5)</f>
        <v>#REF!</v>
      </c>
      <c r="C2381" s="1966" t="e">
        <f>VLOOKUP(LEFT(#REF!,5),'11 - FINANCEIRA'!_xlnm.Print_Area,2,FALSE)</f>
        <v>#REF!</v>
      </c>
      <c r="D2381" s="1920" t="s">
        <v>1514</v>
      </c>
      <c r="E2381" s="1921"/>
      <c r="F2381" s="1922"/>
      <c r="G2381" s="1923" t="s">
        <v>1515</v>
      </c>
      <c r="H2381" s="1924"/>
      <c r="I2381" s="1925"/>
      <c r="J2381" s="1915"/>
      <c r="K2381" s="1915"/>
      <c r="L2381" s="1915"/>
      <c r="M2381" s="1915"/>
      <c r="N2381" s="1915"/>
      <c r="O2381" s="1915"/>
      <c r="P2381" s="353" t="s">
        <v>1516</v>
      </c>
      <c r="Q2381" s="1915"/>
      <c r="R2381" s="1917"/>
      <c r="S2381" s="1915"/>
      <c r="T2381" s="1915"/>
      <c r="U2381" s="1919"/>
      <c r="V2381" s="1418">
        <f t="shared" si="242"/>
        <v>0</v>
      </c>
      <c r="W2381" s="16"/>
      <c r="X2381" s="16"/>
      <c r="Y2381" s="16"/>
      <c r="Z2381" s="17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</row>
    <row r="2382" spans="1:36" s="361" customFormat="1" ht="15" hidden="1" customHeight="1">
      <c r="A2382" s="354"/>
      <c r="B2382" s="355"/>
      <c r="C2382" s="32" t="s">
        <v>1099</v>
      </c>
      <c r="D2382" s="33"/>
      <c r="E2382" s="34"/>
      <c r="F2382" s="35"/>
      <c r="G2382" s="33"/>
      <c r="H2382" s="34"/>
      <c r="I2382" s="35"/>
      <c r="J2382" s="43"/>
      <c r="K2382" s="42"/>
      <c r="L2382" s="39"/>
      <c r="M2382" s="41"/>
      <c r="N2382" s="356"/>
      <c r="O2382" s="40"/>
      <c r="P2382" s="39"/>
      <c r="Q2382" s="45"/>
      <c r="R2382" s="1359">
        <v>20</v>
      </c>
      <c r="S2382" s="1265" t="s">
        <v>816</v>
      </c>
      <c r="T2382" s="46" t="s">
        <v>325</v>
      </c>
      <c r="U2382" s="44"/>
      <c r="V2382" s="1418">
        <f t="shared" si="242"/>
        <v>0</v>
      </c>
      <c r="W2382" s="357"/>
      <c r="X2382" s="357"/>
      <c r="Y2382" s="357"/>
      <c r="Z2382" s="358"/>
      <c r="AA2382" s="359"/>
      <c r="AB2382" s="360"/>
    </row>
    <row r="2383" spans="1:36" s="361" customFormat="1" ht="15" hidden="1" customHeight="1">
      <c r="A2383" s="354"/>
      <c r="B2383" s="355"/>
      <c r="C2383" s="32"/>
      <c r="D2383" s="33"/>
      <c r="E2383" s="34"/>
      <c r="F2383" s="35"/>
      <c r="G2383" s="33"/>
      <c r="H2383" s="34"/>
      <c r="I2383" s="35"/>
      <c r="J2383" s="43"/>
      <c r="K2383" s="42"/>
      <c r="L2383" s="39"/>
      <c r="M2383" s="41"/>
      <c r="N2383" s="356"/>
      <c r="O2383" s="40"/>
      <c r="P2383" s="39"/>
      <c r="Q2383" s="45"/>
      <c r="R2383" s="362"/>
      <c r="S2383" s="363"/>
      <c r="T2383" s="46"/>
      <c r="U2383" s="44"/>
      <c r="V2383" s="1418">
        <f t="shared" si="242"/>
        <v>0</v>
      </c>
      <c r="W2383" s="357"/>
      <c r="X2383" s="357"/>
      <c r="Y2383" s="357"/>
      <c r="Z2383" s="358"/>
      <c r="AA2383" s="359"/>
      <c r="AB2383" s="360"/>
    </row>
    <row r="2384" spans="1:36" s="369" customFormat="1" ht="15" hidden="1">
      <c r="A2384" s="364"/>
      <c r="B2384" s="355"/>
      <c r="C2384" s="32"/>
      <c r="D2384" s="33"/>
      <c r="E2384" s="34"/>
      <c r="F2384" s="35"/>
      <c r="G2384" s="33"/>
      <c r="H2384" s="34"/>
      <c r="I2384" s="35"/>
      <c r="J2384" s="43"/>
      <c r="K2384" s="42"/>
      <c r="L2384" s="39"/>
      <c r="M2384" s="41"/>
      <c r="N2384" s="40"/>
      <c r="O2384" s="40"/>
      <c r="P2384" s="39"/>
      <c r="Q2384" s="38"/>
      <c r="R2384" s="365"/>
      <c r="S2384" s="366"/>
      <c r="T2384" s="46"/>
      <c r="U2384" s="44"/>
      <c r="V2384" s="1418">
        <f t="shared" si="242"/>
        <v>0</v>
      </c>
      <c r="W2384" s="367"/>
      <c r="X2384" s="367"/>
      <c r="Y2384" s="367"/>
      <c r="Z2384" s="368"/>
    </row>
    <row r="2385" spans="1:36" s="77" customFormat="1" ht="15" hidden="1">
      <c r="A2385" s="370"/>
      <c r="B2385" s="29"/>
      <c r="C2385" s="30"/>
      <c r="D2385" s="18"/>
      <c r="E2385" s="19"/>
      <c r="F2385" s="20"/>
      <c r="G2385" s="18"/>
      <c r="H2385" s="19"/>
      <c r="I2385" s="20"/>
      <c r="J2385" s="21"/>
      <c r="K2385" s="22"/>
      <c r="L2385" s="23"/>
      <c r="M2385" s="24"/>
      <c r="N2385" s="25"/>
      <c r="O2385" s="25"/>
      <c r="P2385" s="23"/>
      <c r="Q2385" s="26"/>
      <c r="R2385" s="371"/>
      <c r="S2385" s="27"/>
      <c r="T2385" s="372"/>
      <c r="U2385" s="31"/>
      <c r="V2385" s="1418">
        <f t="shared" si="242"/>
        <v>0</v>
      </c>
      <c r="AB2385" s="15"/>
    </row>
    <row r="2386" spans="1:36" s="77" customFormat="1" ht="15.6" hidden="1">
      <c r="A2386" s="370"/>
      <c r="B2386" s="499"/>
      <c r="C2386" s="37"/>
      <c r="D2386" s="1929" t="s">
        <v>1520</v>
      </c>
      <c r="E2386" s="1930"/>
      <c r="F2386" s="1930"/>
      <c r="G2386" s="1930"/>
      <c r="H2386" s="1930"/>
      <c r="I2386" s="1931"/>
      <c r="J2386" s="1932">
        <f>VLOOKUP(A2388,'11 - FINANCEIRA'!_xlnm.Print_Area,6,FALSE)</f>
        <v>20</v>
      </c>
      <c r="K2386" s="1933"/>
      <c r="L2386" s="1343" t="str">
        <f>VLOOKUP(A2388,'11 - FINANCEIRA'!_xlnm.Print_Area,4,FALSE)</f>
        <v>und</v>
      </c>
      <c r="M2386" s="1934" t="s">
        <v>1521</v>
      </c>
      <c r="N2386" s="1935"/>
      <c r="O2386" s="1935"/>
      <c r="P2386" s="1935"/>
      <c r="Q2386" s="1936"/>
      <c r="R2386" s="726">
        <f>SUM(R2382:R2385)</f>
        <v>20</v>
      </c>
      <c r="S2386" s="1344" t="str">
        <f>L2386</f>
        <v>und</v>
      </c>
      <c r="T2386" s="373"/>
      <c r="U2386" s="486"/>
      <c r="V2386" s="1418">
        <f t="shared" si="242"/>
        <v>0</v>
      </c>
      <c r="AB2386" s="15"/>
    </row>
    <row r="2387" spans="1:36" s="77" customFormat="1" ht="15.6" hidden="1">
      <c r="A2387" s="370"/>
      <c r="B2387" s="499"/>
      <c r="C2387" s="725"/>
      <c r="D2387" s="1937" t="s">
        <v>1522</v>
      </c>
      <c r="E2387" s="1938"/>
      <c r="F2387" s="1938"/>
      <c r="G2387" s="1938"/>
      <c r="H2387" s="1938"/>
      <c r="I2387" s="1939"/>
      <c r="J2387" s="1943">
        <f>R2386/J2386</f>
        <v>1</v>
      </c>
      <c r="K2387" s="1944"/>
      <c r="L2387" s="1947"/>
      <c r="M2387" s="1934" t="s">
        <v>1523</v>
      </c>
      <c r="N2387" s="1935"/>
      <c r="O2387" s="1935"/>
      <c r="P2387" s="1935"/>
      <c r="Q2387" s="1936"/>
      <c r="R2387" s="726">
        <f>VLOOKUP(A2388,'11 - FINANCEIRA'!_xlnm.Print_Area,8,FALSE)</f>
        <v>20</v>
      </c>
      <c r="S2387" s="727" t="str">
        <f>L2386</f>
        <v>und</v>
      </c>
      <c r="T2387" s="373"/>
      <c r="U2387" s="486"/>
      <c r="V2387" s="1418">
        <f t="shared" si="242"/>
        <v>0</v>
      </c>
      <c r="AB2387" s="15"/>
    </row>
    <row r="2388" spans="1:36" s="77" customFormat="1" ht="15.6" hidden="1">
      <c r="A2388" s="364" t="s">
        <v>542</v>
      </c>
      <c r="B2388" s="499"/>
      <c r="C2388" s="37"/>
      <c r="D2388" s="2013"/>
      <c r="E2388" s="2014"/>
      <c r="F2388" s="2014"/>
      <c r="G2388" s="2014"/>
      <c r="H2388" s="2014"/>
      <c r="I2388" s="2015"/>
      <c r="J2388" s="2016"/>
      <c r="K2388" s="2017"/>
      <c r="L2388" s="1962"/>
      <c r="M2388" s="2007" t="s">
        <v>1524</v>
      </c>
      <c r="N2388" s="2008"/>
      <c r="O2388" s="2008"/>
      <c r="P2388" s="2008"/>
      <c r="Q2388" s="2009"/>
      <c r="R2388" s="1345">
        <f>R2386-R2387</f>
        <v>0</v>
      </c>
      <c r="S2388" s="1346" t="str">
        <f>L2386</f>
        <v>und</v>
      </c>
      <c r="T2388" s="373"/>
      <c r="U2388" s="486"/>
      <c r="V2388" s="1418">
        <f>R2388</f>
        <v>0</v>
      </c>
      <c r="AB2388" s="15"/>
    </row>
    <row r="2389" spans="1:36" s="77" customFormat="1" ht="15.6" hidden="1">
      <c r="A2389" s="370"/>
      <c r="B2389" s="1347"/>
      <c r="C2389" s="1348"/>
      <c r="D2389" s="1349"/>
      <c r="E2389" s="1350"/>
      <c r="F2389" s="1349"/>
      <c r="G2389" s="1349"/>
      <c r="H2389" s="1349"/>
      <c r="I2389" s="1349"/>
      <c r="J2389" s="1351"/>
      <c r="K2389" s="1352"/>
      <c r="L2389" s="1353"/>
      <c r="M2389" s="1354"/>
      <c r="N2389" s="1354"/>
      <c r="O2389" s="1354"/>
      <c r="P2389" s="1354"/>
      <c r="Q2389" s="1354"/>
      <c r="R2389" s="1355"/>
      <c r="S2389" s="1356"/>
      <c r="T2389" s="1357"/>
      <c r="U2389" s="1358"/>
      <c r="V2389" s="1420">
        <f>SUM(V2380:V2388)</f>
        <v>0</v>
      </c>
      <c r="AB2389" s="15"/>
    </row>
    <row r="2390" spans="1:36" s="352" customFormat="1" ht="15.6" hidden="1">
      <c r="A2390" s="351"/>
      <c r="B2390" s="1963" t="str">
        <f>VLOOKUP(A2398,'11 - FINANCEIRA'!_xlnm.Print_Area,1,FALSE)</f>
        <v>2.5.1.5.3</v>
      </c>
      <c r="C2390" s="1965" t="str">
        <f>VLOOKUP(A2398,'11 - FINANCEIRA'!_xlnm.Print_Area,3,FALSE)</f>
        <v>Eletroduto rígido roscável, pvc, dn 25 mm (3/4"), para circuitos terminais, instalado em forro - fornecimento e instalação. af_12/2015</v>
      </c>
      <c r="D2390" s="1967" t="s">
        <v>1503</v>
      </c>
      <c r="E2390" s="1968"/>
      <c r="F2390" s="1968"/>
      <c r="G2390" s="1968"/>
      <c r="H2390" s="1968"/>
      <c r="I2390" s="1969"/>
      <c r="J2390" s="1914" t="s">
        <v>1504</v>
      </c>
      <c r="K2390" s="1914" t="s">
        <v>1505</v>
      </c>
      <c r="L2390" s="1914" t="s">
        <v>1506</v>
      </c>
      <c r="M2390" s="1914" t="s">
        <v>1507</v>
      </c>
      <c r="N2390" s="1914" t="s">
        <v>1508</v>
      </c>
      <c r="O2390" s="1914" t="s">
        <v>1509</v>
      </c>
      <c r="P2390" s="1341" t="s">
        <v>1510</v>
      </c>
      <c r="Q2390" s="1914" t="s">
        <v>1493</v>
      </c>
      <c r="R2390" s="1916" t="s">
        <v>804</v>
      </c>
      <c r="S2390" s="1914" t="s">
        <v>1511</v>
      </c>
      <c r="T2390" s="1914" t="s">
        <v>1512</v>
      </c>
      <c r="U2390" s="1918" t="s">
        <v>1513</v>
      </c>
      <c r="V2390" s="1418">
        <f t="shared" ref="V2390:V2397" si="243">V2391</f>
        <v>0</v>
      </c>
      <c r="W2390" s="16"/>
      <c r="X2390" s="16"/>
      <c r="Y2390" s="16"/>
      <c r="Z2390" s="17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</row>
    <row r="2391" spans="1:36" s="352" customFormat="1" ht="15.6" hidden="1">
      <c r="A2391" s="351"/>
      <c r="B2391" s="1964" t="e">
        <f>LEFT(#REF!,5)</f>
        <v>#REF!</v>
      </c>
      <c r="C2391" s="1966" t="e">
        <f>VLOOKUP(LEFT(#REF!,5),'11 - FINANCEIRA'!_xlnm.Print_Area,2,FALSE)</f>
        <v>#REF!</v>
      </c>
      <c r="D2391" s="1920" t="s">
        <v>1514</v>
      </c>
      <c r="E2391" s="1921"/>
      <c r="F2391" s="1922"/>
      <c r="G2391" s="1923" t="s">
        <v>1515</v>
      </c>
      <c r="H2391" s="1924"/>
      <c r="I2391" s="1925"/>
      <c r="J2391" s="1915"/>
      <c r="K2391" s="1915"/>
      <c r="L2391" s="1915"/>
      <c r="M2391" s="1915"/>
      <c r="N2391" s="1915"/>
      <c r="O2391" s="1915"/>
      <c r="P2391" s="353" t="s">
        <v>1516</v>
      </c>
      <c r="Q2391" s="1915"/>
      <c r="R2391" s="1917"/>
      <c r="S2391" s="1915"/>
      <c r="T2391" s="1915"/>
      <c r="U2391" s="1919"/>
      <c r="V2391" s="1418">
        <f t="shared" si="243"/>
        <v>0</v>
      </c>
      <c r="W2391" s="16"/>
      <c r="X2391" s="16"/>
      <c r="Y2391" s="16"/>
      <c r="Z2391" s="17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</row>
    <row r="2392" spans="1:36" s="361" customFormat="1" ht="30" hidden="1">
      <c r="A2392" s="354"/>
      <c r="B2392" s="355"/>
      <c r="C2392" s="32" t="s">
        <v>157</v>
      </c>
      <c r="D2392" s="33"/>
      <c r="E2392" s="34"/>
      <c r="F2392" s="35"/>
      <c r="G2392" s="33"/>
      <c r="H2392" s="34"/>
      <c r="I2392" s="35"/>
      <c r="J2392" s="43"/>
      <c r="K2392" s="42"/>
      <c r="L2392" s="39"/>
      <c r="M2392" s="41"/>
      <c r="N2392" s="356"/>
      <c r="O2392" s="40"/>
      <c r="P2392" s="39"/>
      <c r="Q2392" s="45"/>
      <c r="R2392" s="1359">
        <v>40</v>
      </c>
      <c r="S2392" s="1265" t="s">
        <v>809</v>
      </c>
      <c r="T2392" s="46" t="s">
        <v>331</v>
      </c>
      <c r="U2392" s="44"/>
      <c r="V2392" s="1418">
        <f t="shared" si="243"/>
        <v>0</v>
      </c>
      <c r="W2392" s="357"/>
      <c r="X2392" s="357"/>
      <c r="Y2392" s="357"/>
      <c r="Z2392" s="358"/>
      <c r="AA2392" s="359"/>
      <c r="AB2392" s="360"/>
    </row>
    <row r="2393" spans="1:36" s="361" customFormat="1" ht="15" hidden="1" customHeight="1">
      <c r="A2393" s="354"/>
      <c r="B2393" s="355"/>
      <c r="C2393" s="32"/>
      <c r="D2393" s="33"/>
      <c r="E2393" s="34"/>
      <c r="F2393" s="35"/>
      <c r="G2393" s="33"/>
      <c r="H2393" s="34"/>
      <c r="I2393" s="35"/>
      <c r="J2393" s="43"/>
      <c r="K2393" s="42"/>
      <c r="L2393" s="39"/>
      <c r="M2393" s="41"/>
      <c r="N2393" s="356"/>
      <c r="O2393" s="40"/>
      <c r="P2393" s="39"/>
      <c r="Q2393" s="45"/>
      <c r="R2393" s="362"/>
      <c r="S2393" s="363"/>
      <c r="T2393" s="46"/>
      <c r="U2393" s="44"/>
      <c r="V2393" s="1418">
        <f t="shared" si="243"/>
        <v>0</v>
      </c>
      <c r="W2393" s="357"/>
      <c r="X2393" s="357"/>
      <c r="Y2393" s="357"/>
      <c r="Z2393" s="358"/>
      <c r="AA2393" s="359"/>
      <c r="AB2393" s="360"/>
    </row>
    <row r="2394" spans="1:36" s="369" customFormat="1" ht="15" hidden="1">
      <c r="A2394" s="364"/>
      <c r="B2394" s="355"/>
      <c r="C2394" s="32"/>
      <c r="D2394" s="33"/>
      <c r="E2394" s="34"/>
      <c r="F2394" s="35"/>
      <c r="G2394" s="33"/>
      <c r="H2394" s="34"/>
      <c r="I2394" s="35"/>
      <c r="J2394" s="43"/>
      <c r="K2394" s="42"/>
      <c r="L2394" s="39"/>
      <c r="M2394" s="41"/>
      <c r="N2394" s="40"/>
      <c r="O2394" s="40"/>
      <c r="P2394" s="39"/>
      <c r="Q2394" s="38"/>
      <c r="R2394" s="365"/>
      <c r="S2394" s="366"/>
      <c r="T2394" s="46"/>
      <c r="U2394" s="44"/>
      <c r="V2394" s="1418">
        <f t="shared" si="243"/>
        <v>0</v>
      </c>
      <c r="W2394" s="367"/>
      <c r="X2394" s="367"/>
      <c r="Y2394" s="367"/>
      <c r="Z2394" s="368"/>
    </row>
    <row r="2395" spans="1:36" s="77" customFormat="1" ht="15" hidden="1">
      <c r="A2395" s="370"/>
      <c r="B2395" s="29"/>
      <c r="C2395" s="30"/>
      <c r="D2395" s="18"/>
      <c r="E2395" s="19"/>
      <c r="F2395" s="20"/>
      <c r="G2395" s="18"/>
      <c r="H2395" s="19"/>
      <c r="I2395" s="20"/>
      <c r="J2395" s="21"/>
      <c r="K2395" s="22"/>
      <c r="L2395" s="23"/>
      <c r="M2395" s="24"/>
      <c r="N2395" s="25"/>
      <c r="O2395" s="25"/>
      <c r="P2395" s="23"/>
      <c r="Q2395" s="26"/>
      <c r="R2395" s="371"/>
      <c r="S2395" s="27"/>
      <c r="T2395" s="372"/>
      <c r="U2395" s="31"/>
      <c r="V2395" s="1418">
        <f t="shared" si="243"/>
        <v>0</v>
      </c>
      <c r="AB2395" s="15"/>
    </row>
    <row r="2396" spans="1:36" s="77" customFormat="1" ht="15.6" hidden="1">
      <c r="A2396" s="370"/>
      <c r="B2396" s="499"/>
      <c r="C2396" s="37"/>
      <c r="D2396" s="1929" t="s">
        <v>1520</v>
      </c>
      <c r="E2396" s="1930"/>
      <c r="F2396" s="1930"/>
      <c r="G2396" s="1930"/>
      <c r="H2396" s="1930"/>
      <c r="I2396" s="1931"/>
      <c r="J2396" s="1932">
        <f>VLOOKUP(A2398,'11 - FINANCEIRA'!_xlnm.Print_Area,6,FALSE)</f>
        <v>40</v>
      </c>
      <c r="K2396" s="1933"/>
      <c r="L2396" s="1343" t="str">
        <f>VLOOKUP(A2398,'11 - FINANCEIRA'!_xlnm.Print_Area,4,FALSE)</f>
        <v>m</v>
      </c>
      <c r="M2396" s="1934" t="s">
        <v>1521</v>
      </c>
      <c r="N2396" s="1935"/>
      <c r="O2396" s="1935"/>
      <c r="P2396" s="1935"/>
      <c r="Q2396" s="1936"/>
      <c r="R2396" s="726">
        <f>SUM(R2392:R2395)</f>
        <v>40</v>
      </c>
      <c r="S2396" s="1344" t="str">
        <f>L2396</f>
        <v>m</v>
      </c>
      <c r="T2396" s="373"/>
      <c r="U2396" s="486"/>
      <c r="V2396" s="1418">
        <f t="shared" si="243"/>
        <v>0</v>
      </c>
      <c r="AB2396" s="15"/>
    </row>
    <row r="2397" spans="1:36" s="77" customFormat="1" ht="15.6" hidden="1">
      <c r="A2397" s="370"/>
      <c r="B2397" s="499"/>
      <c r="C2397" s="725"/>
      <c r="D2397" s="1937" t="s">
        <v>1522</v>
      </c>
      <c r="E2397" s="1938"/>
      <c r="F2397" s="1938"/>
      <c r="G2397" s="1938"/>
      <c r="H2397" s="1938"/>
      <c r="I2397" s="1939"/>
      <c r="J2397" s="1943">
        <f>R2396/J2396</f>
        <v>1</v>
      </c>
      <c r="K2397" s="1944"/>
      <c r="L2397" s="1947"/>
      <c r="M2397" s="1934" t="s">
        <v>1523</v>
      </c>
      <c r="N2397" s="1935"/>
      <c r="O2397" s="1935"/>
      <c r="P2397" s="1935"/>
      <c r="Q2397" s="1936"/>
      <c r="R2397" s="726">
        <f>VLOOKUP(A2398,'11 - FINANCEIRA'!_xlnm.Print_Area,8,FALSE)</f>
        <v>40</v>
      </c>
      <c r="S2397" s="727" t="str">
        <f>L2396</f>
        <v>m</v>
      </c>
      <c r="T2397" s="373"/>
      <c r="U2397" s="486"/>
      <c r="V2397" s="1418">
        <f t="shared" si="243"/>
        <v>0</v>
      </c>
      <c r="AB2397" s="15"/>
    </row>
    <row r="2398" spans="1:36" s="77" customFormat="1" ht="15.6" hidden="1">
      <c r="A2398" s="364" t="s">
        <v>543</v>
      </c>
      <c r="B2398" s="499"/>
      <c r="C2398" s="37"/>
      <c r="D2398" s="2013"/>
      <c r="E2398" s="2014"/>
      <c r="F2398" s="2014"/>
      <c r="G2398" s="2014"/>
      <c r="H2398" s="2014"/>
      <c r="I2398" s="2015"/>
      <c r="J2398" s="2016"/>
      <c r="K2398" s="2017"/>
      <c r="L2398" s="1962"/>
      <c r="M2398" s="2007" t="s">
        <v>1524</v>
      </c>
      <c r="N2398" s="2008"/>
      <c r="O2398" s="2008"/>
      <c r="P2398" s="2008"/>
      <c r="Q2398" s="2009"/>
      <c r="R2398" s="1345">
        <f>R2396-R2397</f>
        <v>0</v>
      </c>
      <c r="S2398" s="1346" t="str">
        <f>L2396</f>
        <v>m</v>
      </c>
      <c r="T2398" s="373"/>
      <c r="U2398" s="486"/>
      <c r="V2398" s="1418">
        <f>R2398</f>
        <v>0</v>
      </c>
      <c r="AB2398" s="15"/>
    </row>
    <row r="2399" spans="1:36" s="77" customFormat="1" ht="15.6" hidden="1">
      <c r="A2399" s="370"/>
      <c r="B2399" s="1347"/>
      <c r="C2399" s="1348"/>
      <c r="D2399" s="1349"/>
      <c r="E2399" s="1350"/>
      <c r="F2399" s="1349"/>
      <c r="G2399" s="1349"/>
      <c r="H2399" s="1349"/>
      <c r="I2399" s="1349"/>
      <c r="J2399" s="1351"/>
      <c r="K2399" s="1352"/>
      <c r="L2399" s="1353"/>
      <c r="M2399" s="1354"/>
      <c r="N2399" s="1354"/>
      <c r="O2399" s="1354"/>
      <c r="P2399" s="1354"/>
      <c r="Q2399" s="1354"/>
      <c r="R2399" s="1355"/>
      <c r="S2399" s="1356"/>
      <c r="T2399" s="1357"/>
      <c r="U2399" s="1358"/>
      <c r="V2399" s="1420">
        <f>SUM(V2390:V2398)</f>
        <v>0</v>
      </c>
      <c r="AB2399" s="15"/>
    </row>
    <row r="2400" spans="1:36" s="352" customFormat="1" ht="15.6" hidden="1">
      <c r="A2400" s="351"/>
      <c r="B2400" s="1963" t="str">
        <f>VLOOKUP(A2408,'11 - FINANCEIRA'!_xlnm.Print_Area,1,FALSE)</f>
        <v>2.5.1.5.4</v>
      </c>
      <c r="C2400" s="1965" t="str">
        <f>VLOOKUP(A2408,'11 - FINANCEIRA'!_xlnm.Print_Area,3,FALSE)</f>
        <v>Eletroduto em polietileno de alta densidade (pead) ∅3/4" ref: kanalex ou similar</v>
      </c>
      <c r="D2400" s="1967" t="s">
        <v>1503</v>
      </c>
      <c r="E2400" s="1968"/>
      <c r="F2400" s="1968"/>
      <c r="G2400" s="1968"/>
      <c r="H2400" s="1968"/>
      <c r="I2400" s="1969"/>
      <c r="J2400" s="1914" t="s">
        <v>1504</v>
      </c>
      <c r="K2400" s="1914" t="s">
        <v>1505</v>
      </c>
      <c r="L2400" s="1914" t="s">
        <v>1506</v>
      </c>
      <c r="M2400" s="1914" t="s">
        <v>1507</v>
      </c>
      <c r="N2400" s="1914" t="s">
        <v>1508</v>
      </c>
      <c r="O2400" s="1914" t="s">
        <v>1509</v>
      </c>
      <c r="P2400" s="1341" t="s">
        <v>1510</v>
      </c>
      <c r="Q2400" s="1914" t="s">
        <v>1493</v>
      </c>
      <c r="R2400" s="1916" t="s">
        <v>804</v>
      </c>
      <c r="S2400" s="1914" t="s">
        <v>1511</v>
      </c>
      <c r="T2400" s="1914" t="s">
        <v>1512</v>
      </c>
      <c r="U2400" s="1918" t="s">
        <v>1513</v>
      </c>
      <c r="V2400" s="1418">
        <f t="shared" ref="V2400:V2407" si="244">V2401</f>
        <v>0</v>
      </c>
      <c r="W2400" s="16"/>
      <c r="X2400" s="16"/>
      <c r="Y2400" s="16"/>
      <c r="Z2400" s="17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</row>
    <row r="2401" spans="1:36" s="352" customFormat="1" ht="15.6" hidden="1">
      <c r="A2401" s="351"/>
      <c r="B2401" s="1964" t="e">
        <f>LEFT(#REF!,5)</f>
        <v>#REF!</v>
      </c>
      <c r="C2401" s="1966" t="e">
        <f>VLOOKUP(LEFT(#REF!,5),'11 - FINANCEIRA'!_xlnm.Print_Area,2,FALSE)</f>
        <v>#REF!</v>
      </c>
      <c r="D2401" s="1920" t="s">
        <v>1514</v>
      </c>
      <c r="E2401" s="1921"/>
      <c r="F2401" s="1922"/>
      <c r="G2401" s="1923" t="s">
        <v>1515</v>
      </c>
      <c r="H2401" s="1924"/>
      <c r="I2401" s="1925"/>
      <c r="J2401" s="1915"/>
      <c r="K2401" s="1915"/>
      <c r="L2401" s="1915"/>
      <c r="M2401" s="1915"/>
      <c r="N2401" s="1915"/>
      <c r="O2401" s="1915"/>
      <c r="P2401" s="353" t="s">
        <v>1516</v>
      </c>
      <c r="Q2401" s="1915"/>
      <c r="R2401" s="1917"/>
      <c r="S2401" s="1915"/>
      <c r="T2401" s="1915"/>
      <c r="U2401" s="1919"/>
      <c r="V2401" s="1418">
        <f t="shared" si="244"/>
        <v>0</v>
      </c>
      <c r="W2401" s="16"/>
      <c r="X2401" s="16"/>
      <c r="Y2401" s="16"/>
      <c r="Z2401" s="17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</row>
    <row r="2402" spans="1:36" s="361" customFormat="1" ht="15" hidden="1" customHeight="1">
      <c r="A2402" s="354"/>
      <c r="B2402" s="355"/>
      <c r="C2402" s="32" t="s">
        <v>1102</v>
      </c>
      <c r="D2402" s="33"/>
      <c r="E2402" s="34"/>
      <c r="F2402" s="35"/>
      <c r="G2402" s="33"/>
      <c r="H2402" s="34"/>
      <c r="I2402" s="35"/>
      <c r="J2402" s="43"/>
      <c r="K2402" s="42"/>
      <c r="L2402" s="39"/>
      <c r="M2402" s="41"/>
      <c r="N2402" s="356"/>
      <c r="O2402" s="40"/>
      <c r="P2402" s="39"/>
      <c r="Q2402" s="45"/>
      <c r="R2402" s="1359">
        <v>50</v>
      </c>
      <c r="S2402" s="1265" t="s">
        <v>809</v>
      </c>
      <c r="T2402" s="46" t="s">
        <v>331</v>
      </c>
      <c r="U2402" s="44"/>
      <c r="V2402" s="1418">
        <f t="shared" si="244"/>
        <v>0</v>
      </c>
      <c r="W2402" s="357"/>
      <c r="X2402" s="357"/>
      <c r="Y2402" s="357"/>
      <c r="Z2402" s="358"/>
      <c r="AA2402" s="359"/>
      <c r="AB2402" s="360"/>
    </row>
    <row r="2403" spans="1:36" s="361" customFormat="1" ht="15" hidden="1" customHeight="1">
      <c r="A2403" s="354"/>
      <c r="B2403" s="355"/>
      <c r="C2403" s="32"/>
      <c r="D2403" s="33"/>
      <c r="E2403" s="34"/>
      <c r="F2403" s="35"/>
      <c r="G2403" s="33"/>
      <c r="H2403" s="34"/>
      <c r="I2403" s="35"/>
      <c r="J2403" s="43"/>
      <c r="K2403" s="42"/>
      <c r="L2403" s="39"/>
      <c r="M2403" s="41"/>
      <c r="N2403" s="356"/>
      <c r="O2403" s="40"/>
      <c r="P2403" s="39"/>
      <c r="Q2403" s="45"/>
      <c r="R2403" s="362"/>
      <c r="S2403" s="363"/>
      <c r="T2403" s="46"/>
      <c r="U2403" s="44"/>
      <c r="V2403" s="1418">
        <f t="shared" si="244"/>
        <v>0</v>
      </c>
      <c r="W2403" s="357"/>
      <c r="X2403" s="357"/>
      <c r="Y2403" s="357"/>
      <c r="Z2403" s="358"/>
      <c r="AA2403" s="359"/>
      <c r="AB2403" s="360"/>
    </row>
    <row r="2404" spans="1:36" s="369" customFormat="1" ht="15" hidden="1" customHeight="1">
      <c r="A2404" s="364"/>
      <c r="B2404" s="355"/>
      <c r="C2404" s="32"/>
      <c r="D2404" s="33"/>
      <c r="E2404" s="34"/>
      <c r="F2404" s="35"/>
      <c r="G2404" s="33"/>
      <c r="H2404" s="34"/>
      <c r="I2404" s="35"/>
      <c r="J2404" s="43"/>
      <c r="K2404" s="42"/>
      <c r="L2404" s="39"/>
      <c r="M2404" s="41"/>
      <c r="N2404" s="40"/>
      <c r="O2404" s="40"/>
      <c r="P2404" s="39"/>
      <c r="Q2404" s="38"/>
      <c r="R2404" s="365"/>
      <c r="S2404" s="366"/>
      <c r="T2404" s="46"/>
      <c r="U2404" s="44"/>
      <c r="V2404" s="1418">
        <f t="shared" si="244"/>
        <v>0</v>
      </c>
      <c r="W2404" s="367"/>
      <c r="X2404" s="367"/>
      <c r="Y2404" s="367"/>
      <c r="Z2404" s="368"/>
    </row>
    <row r="2405" spans="1:36" s="77" customFormat="1" ht="15" hidden="1">
      <c r="A2405" s="370"/>
      <c r="B2405" s="29"/>
      <c r="C2405" s="30"/>
      <c r="D2405" s="18"/>
      <c r="E2405" s="19"/>
      <c r="F2405" s="20"/>
      <c r="G2405" s="18"/>
      <c r="H2405" s="19"/>
      <c r="I2405" s="20"/>
      <c r="J2405" s="21"/>
      <c r="K2405" s="22"/>
      <c r="L2405" s="23"/>
      <c r="M2405" s="24"/>
      <c r="N2405" s="25"/>
      <c r="O2405" s="25"/>
      <c r="P2405" s="23"/>
      <c r="Q2405" s="26"/>
      <c r="R2405" s="371"/>
      <c r="S2405" s="27"/>
      <c r="T2405" s="372"/>
      <c r="U2405" s="31"/>
      <c r="V2405" s="1418">
        <f t="shared" si="244"/>
        <v>0</v>
      </c>
      <c r="AB2405" s="15"/>
    </row>
    <row r="2406" spans="1:36" s="77" customFormat="1" ht="15.6" hidden="1">
      <c r="A2406" s="370"/>
      <c r="B2406" s="499"/>
      <c r="C2406" s="37"/>
      <c r="D2406" s="1929" t="s">
        <v>1520</v>
      </c>
      <c r="E2406" s="1930"/>
      <c r="F2406" s="1930"/>
      <c r="G2406" s="1930"/>
      <c r="H2406" s="1930"/>
      <c r="I2406" s="1931"/>
      <c r="J2406" s="1932">
        <f>VLOOKUP(A2408,'11 - FINANCEIRA'!_xlnm.Print_Area,6,FALSE)</f>
        <v>50</v>
      </c>
      <c r="K2406" s="1933"/>
      <c r="L2406" s="1343" t="str">
        <f>VLOOKUP(A2408,'11 - FINANCEIRA'!_xlnm.Print_Area,4,FALSE)</f>
        <v>m</v>
      </c>
      <c r="M2406" s="1934" t="s">
        <v>1521</v>
      </c>
      <c r="N2406" s="1935"/>
      <c r="O2406" s="1935"/>
      <c r="P2406" s="1935"/>
      <c r="Q2406" s="1936"/>
      <c r="R2406" s="726">
        <f>SUM(R2402:R2405)</f>
        <v>50</v>
      </c>
      <c r="S2406" s="1344" t="str">
        <f>L2406</f>
        <v>m</v>
      </c>
      <c r="T2406" s="373"/>
      <c r="U2406" s="486"/>
      <c r="V2406" s="1418">
        <f t="shared" si="244"/>
        <v>0</v>
      </c>
      <c r="AB2406" s="15"/>
    </row>
    <row r="2407" spans="1:36" s="77" customFormat="1" ht="15.6" hidden="1">
      <c r="A2407" s="370"/>
      <c r="B2407" s="499"/>
      <c r="C2407" s="725"/>
      <c r="D2407" s="1937" t="s">
        <v>1522</v>
      </c>
      <c r="E2407" s="1938"/>
      <c r="F2407" s="1938"/>
      <c r="G2407" s="1938"/>
      <c r="H2407" s="1938"/>
      <c r="I2407" s="1939"/>
      <c r="J2407" s="1943">
        <f>R2406/J2406</f>
        <v>1</v>
      </c>
      <c r="K2407" s="1944"/>
      <c r="L2407" s="1947"/>
      <c r="M2407" s="1934" t="s">
        <v>1523</v>
      </c>
      <c r="N2407" s="1935"/>
      <c r="O2407" s="1935"/>
      <c r="P2407" s="1935"/>
      <c r="Q2407" s="1936"/>
      <c r="R2407" s="726">
        <f>VLOOKUP(A2408,'11 - FINANCEIRA'!_xlnm.Print_Area,8,FALSE)</f>
        <v>50</v>
      </c>
      <c r="S2407" s="727" t="str">
        <f>L2406</f>
        <v>m</v>
      </c>
      <c r="T2407" s="373"/>
      <c r="U2407" s="486"/>
      <c r="V2407" s="1418">
        <f t="shared" si="244"/>
        <v>0</v>
      </c>
      <c r="AB2407" s="15"/>
    </row>
    <row r="2408" spans="1:36" s="77" customFormat="1" ht="15.6" hidden="1">
      <c r="A2408" s="364" t="s">
        <v>544</v>
      </c>
      <c r="B2408" s="499"/>
      <c r="C2408" s="37"/>
      <c r="D2408" s="2013"/>
      <c r="E2408" s="2014"/>
      <c r="F2408" s="2014"/>
      <c r="G2408" s="2014"/>
      <c r="H2408" s="2014"/>
      <c r="I2408" s="2015"/>
      <c r="J2408" s="2016"/>
      <c r="K2408" s="2017"/>
      <c r="L2408" s="1962"/>
      <c r="M2408" s="2007" t="s">
        <v>1524</v>
      </c>
      <c r="N2408" s="2008"/>
      <c r="O2408" s="2008"/>
      <c r="P2408" s="2008"/>
      <c r="Q2408" s="2009"/>
      <c r="R2408" s="1345">
        <f>R2406-R2407</f>
        <v>0</v>
      </c>
      <c r="S2408" s="1346" t="str">
        <f>L2406</f>
        <v>m</v>
      </c>
      <c r="T2408" s="373"/>
      <c r="U2408" s="486"/>
      <c r="V2408" s="1418">
        <f>R2408</f>
        <v>0</v>
      </c>
      <c r="AB2408" s="15"/>
    </row>
    <row r="2409" spans="1:36" s="77" customFormat="1" ht="15.6" hidden="1">
      <c r="A2409" s="370"/>
      <c r="B2409" s="1347"/>
      <c r="C2409" s="1348"/>
      <c r="D2409" s="1349"/>
      <c r="E2409" s="1350"/>
      <c r="F2409" s="1349"/>
      <c r="G2409" s="1349"/>
      <c r="H2409" s="1349"/>
      <c r="I2409" s="1349"/>
      <c r="J2409" s="1351"/>
      <c r="K2409" s="1352"/>
      <c r="L2409" s="1353"/>
      <c r="M2409" s="1354"/>
      <c r="N2409" s="1354"/>
      <c r="O2409" s="1354"/>
      <c r="P2409" s="1354"/>
      <c r="Q2409" s="1354"/>
      <c r="R2409" s="1355"/>
      <c r="S2409" s="1356"/>
      <c r="T2409" s="1357"/>
      <c r="U2409" s="1358"/>
      <c r="V2409" s="1420">
        <f>SUM(V2400:V2408)</f>
        <v>0</v>
      </c>
      <c r="AB2409" s="15"/>
    </row>
    <row r="2410" spans="1:36" s="352" customFormat="1" ht="15.6" hidden="1">
      <c r="A2410" s="351"/>
      <c r="B2410" s="1963" t="str">
        <f>VLOOKUP(A2418,'11 - FINANCEIRA'!_xlnm.Print_Area,1,FALSE)</f>
        <v>2.5.1.5.5</v>
      </c>
      <c r="C2410" s="1965" t="str">
        <f>VLOOKUP(A2418,'11 - FINANCEIRA'!_xlnm.Print_Area,3,FALSE)</f>
        <v>Eletroduto pead, cor preta, diam. 2", marca ref. kanaflex ou equivalente</v>
      </c>
      <c r="D2410" s="1967" t="s">
        <v>1503</v>
      </c>
      <c r="E2410" s="1968"/>
      <c r="F2410" s="1968"/>
      <c r="G2410" s="1968"/>
      <c r="H2410" s="1968"/>
      <c r="I2410" s="1969"/>
      <c r="J2410" s="1914" t="s">
        <v>1504</v>
      </c>
      <c r="K2410" s="1914" t="s">
        <v>1505</v>
      </c>
      <c r="L2410" s="1914" t="s">
        <v>1506</v>
      </c>
      <c r="M2410" s="1914" t="s">
        <v>1507</v>
      </c>
      <c r="N2410" s="1914" t="s">
        <v>1508</v>
      </c>
      <c r="O2410" s="1914" t="s">
        <v>1509</v>
      </c>
      <c r="P2410" s="1341" t="s">
        <v>1510</v>
      </c>
      <c r="Q2410" s="1914" t="s">
        <v>1493</v>
      </c>
      <c r="R2410" s="1916" t="s">
        <v>804</v>
      </c>
      <c r="S2410" s="1914" t="s">
        <v>1511</v>
      </c>
      <c r="T2410" s="1914" t="s">
        <v>1512</v>
      </c>
      <c r="U2410" s="1918" t="s">
        <v>1513</v>
      </c>
      <c r="V2410" s="1418">
        <f t="shared" ref="V2410:V2417" si="245">V2411</f>
        <v>0</v>
      </c>
      <c r="W2410" s="16"/>
      <c r="X2410" s="16"/>
      <c r="Y2410" s="16"/>
      <c r="Z2410" s="17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</row>
    <row r="2411" spans="1:36" s="352" customFormat="1" ht="15.6" hidden="1">
      <c r="A2411" s="351"/>
      <c r="B2411" s="1964" t="e">
        <f>LEFT(#REF!,5)</f>
        <v>#REF!</v>
      </c>
      <c r="C2411" s="1966" t="e">
        <f>VLOOKUP(LEFT(#REF!,5),'11 - FINANCEIRA'!_xlnm.Print_Area,2,FALSE)</f>
        <v>#REF!</v>
      </c>
      <c r="D2411" s="1920" t="s">
        <v>1514</v>
      </c>
      <c r="E2411" s="1921"/>
      <c r="F2411" s="1922"/>
      <c r="G2411" s="1923" t="s">
        <v>1515</v>
      </c>
      <c r="H2411" s="1924"/>
      <c r="I2411" s="1925"/>
      <c r="J2411" s="1915"/>
      <c r="K2411" s="1915"/>
      <c r="L2411" s="1915"/>
      <c r="M2411" s="1915"/>
      <c r="N2411" s="1915"/>
      <c r="O2411" s="1915"/>
      <c r="P2411" s="353" t="s">
        <v>1516</v>
      </c>
      <c r="Q2411" s="1915"/>
      <c r="R2411" s="1917"/>
      <c r="S2411" s="1915"/>
      <c r="T2411" s="1915"/>
      <c r="U2411" s="1919"/>
      <c r="V2411" s="1418">
        <f t="shared" si="245"/>
        <v>0</v>
      </c>
      <c r="W2411" s="16"/>
      <c r="X2411" s="16"/>
      <c r="Y2411" s="16"/>
      <c r="Z2411" s="17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</row>
    <row r="2412" spans="1:36" s="361" customFormat="1" ht="15" hidden="1" customHeight="1">
      <c r="A2412" s="354"/>
      <c r="B2412" s="355"/>
      <c r="C2412" s="28" t="s">
        <v>1104</v>
      </c>
      <c r="D2412" s="18"/>
      <c r="E2412" s="19"/>
      <c r="F2412" s="20"/>
      <c r="G2412" s="18"/>
      <c r="H2412" s="19"/>
      <c r="I2412" s="20"/>
      <c r="J2412" s="21"/>
      <c r="K2412" s="22"/>
      <c r="L2412" s="23"/>
      <c r="M2412" s="24"/>
      <c r="N2412" s="728"/>
      <c r="O2412" s="25"/>
      <c r="P2412" s="23"/>
      <c r="Q2412" s="729"/>
      <c r="R2412" s="1109">
        <v>96</v>
      </c>
      <c r="S2412" s="730" t="s">
        <v>809</v>
      </c>
      <c r="T2412" s="446" t="s">
        <v>324</v>
      </c>
      <c r="U2412" s="44"/>
      <c r="V2412" s="1418">
        <f t="shared" si="245"/>
        <v>0</v>
      </c>
      <c r="W2412" s="357"/>
      <c r="X2412" s="357"/>
      <c r="Y2412" s="357"/>
      <c r="Z2412" s="358"/>
      <c r="AA2412" s="359"/>
      <c r="AB2412" s="360"/>
    </row>
    <row r="2413" spans="1:36" s="361" customFormat="1" ht="15" hidden="1" customHeight="1">
      <c r="A2413" s="354"/>
      <c r="B2413" s="355"/>
      <c r="C2413" s="32"/>
      <c r="D2413" s="33"/>
      <c r="E2413" s="34"/>
      <c r="F2413" s="35"/>
      <c r="G2413" s="33"/>
      <c r="H2413" s="34"/>
      <c r="I2413" s="35"/>
      <c r="J2413" s="43"/>
      <c r="K2413" s="42"/>
      <c r="L2413" s="39"/>
      <c r="M2413" s="41"/>
      <c r="N2413" s="356"/>
      <c r="O2413" s="40"/>
      <c r="P2413" s="39"/>
      <c r="Q2413" s="45"/>
      <c r="R2413" s="362"/>
      <c r="S2413" s="363"/>
      <c r="T2413" s="46"/>
      <c r="U2413" s="44"/>
      <c r="V2413" s="1418">
        <f t="shared" si="245"/>
        <v>0</v>
      </c>
      <c r="W2413" s="357"/>
      <c r="X2413" s="357"/>
      <c r="Y2413" s="357"/>
      <c r="Z2413" s="358"/>
      <c r="AA2413" s="359"/>
      <c r="AB2413" s="360"/>
    </row>
    <row r="2414" spans="1:36" s="369" customFormat="1" ht="15" hidden="1">
      <c r="A2414" s="364"/>
      <c r="B2414" s="355"/>
      <c r="C2414" s="32"/>
      <c r="D2414" s="33"/>
      <c r="E2414" s="34"/>
      <c r="F2414" s="35"/>
      <c r="G2414" s="33"/>
      <c r="H2414" s="34"/>
      <c r="I2414" s="35"/>
      <c r="J2414" s="43"/>
      <c r="K2414" s="42"/>
      <c r="L2414" s="39"/>
      <c r="M2414" s="41"/>
      <c r="N2414" s="40"/>
      <c r="O2414" s="40"/>
      <c r="P2414" s="39"/>
      <c r="Q2414" s="38"/>
      <c r="R2414" s="365"/>
      <c r="S2414" s="366"/>
      <c r="T2414" s="46"/>
      <c r="U2414" s="44"/>
      <c r="V2414" s="1418">
        <f t="shared" si="245"/>
        <v>0</v>
      </c>
      <c r="W2414" s="367"/>
      <c r="X2414" s="367"/>
      <c r="Y2414" s="367"/>
      <c r="Z2414" s="368"/>
    </row>
    <row r="2415" spans="1:36" s="77" customFormat="1" ht="15" hidden="1">
      <c r="A2415" s="370"/>
      <c r="B2415" s="29"/>
      <c r="C2415" s="30"/>
      <c r="D2415" s="18"/>
      <c r="E2415" s="19"/>
      <c r="F2415" s="20"/>
      <c r="G2415" s="18"/>
      <c r="H2415" s="19"/>
      <c r="I2415" s="20"/>
      <c r="J2415" s="21"/>
      <c r="K2415" s="22"/>
      <c r="L2415" s="23"/>
      <c r="M2415" s="24"/>
      <c r="N2415" s="25"/>
      <c r="O2415" s="25"/>
      <c r="P2415" s="23"/>
      <c r="Q2415" s="26"/>
      <c r="R2415" s="371"/>
      <c r="S2415" s="27"/>
      <c r="T2415" s="372"/>
      <c r="U2415" s="31"/>
      <c r="V2415" s="1418">
        <f t="shared" si="245"/>
        <v>0</v>
      </c>
      <c r="AB2415" s="15"/>
    </row>
    <row r="2416" spans="1:36" s="77" customFormat="1" ht="15.6" hidden="1">
      <c r="A2416" s="370"/>
      <c r="B2416" s="499"/>
      <c r="C2416" s="37"/>
      <c r="D2416" s="1929" t="s">
        <v>1520</v>
      </c>
      <c r="E2416" s="1930"/>
      <c r="F2416" s="1930"/>
      <c r="G2416" s="1930"/>
      <c r="H2416" s="1930"/>
      <c r="I2416" s="1931"/>
      <c r="J2416" s="1932">
        <f>VLOOKUP(A2418,'11 - FINANCEIRA'!_xlnm.Print_Area,6,FALSE)</f>
        <v>96</v>
      </c>
      <c r="K2416" s="1933"/>
      <c r="L2416" s="1343" t="str">
        <f>VLOOKUP(A2418,'11 - FINANCEIRA'!_xlnm.Print_Area,4,FALSE)</f>
        <v>m</v>
      </c>
      <c r="M2416" s="1934" t="s">
        <v>1521</v>
      </c>
      <c r="N2416" s="1935"/>
      <c r="O2416" s="1935"/>
      <c r="P2416" s="1935"/>
      <c r="Q2416" s="1936"/>
      <c r="R2416" s="726">
        <f>SUM(R2412:R2415)</f>
        <v>96</v>
      </c>
      <c r="S2416" s="1344" t="str">
        <f>L2416</f>
        <v>m</v>
      </c>
      <c r="T2416" s="373"/>
      <c r="U2416" s="486"/>
      <c r="V2416" s="1418">
        <f t="shared" si="245"/>
        <v>0</v>
      </c>
      <c r="AB2416" s="15"/>
    </row>
    <row r="2417" spans="1:36" s="77" customFormat="1" ht="15.6" hidden="1">
      <c r="A2417" s="370"/>
      <c r="B2417" s="499"/>
      <c r="C2417" s="725"/>
      <c r="D2417" s="1937" t="s">
        <v>1522</v>
      </c>
      <c r="E2417" s="1938"/>
      <c r="F2417" s="1938"/>
      <c r="G2417" s="1938"/>
      <c r="H2417" s="1938"/>
      <c r="I2417" s="1939"/>
      <c r="J2417" s="1943">
        <f>R2416/J2416</f>
        <v>1</v>
      </c>
      <c r="K2417" s="1944"/>
      <c r="L2417" s="1947"/>
      <c r="M2417" s="1934" t="s">
        <v>1523</v>
      </c>
      <c r="N2417" s="1935"/>
      <c r="O2417" s="1935"/>
      <c r="P2417" s="1935"/>
      <c r="Q2417" s="1936"/>
      <c r="R2417" s="726">
        <f>VLOOKUP(A2418,'11 - FINANCEIRA'!_xlnm.Print_Area,8,FALSE)</f>
        <v>96</v>
      </c>
      <c r="S2417" s="727" t="str">
        <f>L2416</f>
        <v>m</v>
      </c>
      <c r="T2417" s="373"/>
      <c r="U2417" s="486"/>
      <c r="V2417" s="1418">
        <f t="shared" si="245"/>
        <v>0</v>
      </c>
      <c r="AB2417" s="15"/>
    </row>
    <row r="2418" spans="1:36" s="77" customFormat="1" ht="15.6" hidden="1">
      <c r="A2418" s="364" t="s">
        <v>545</v>
      </c>
      <c r="B2418" s="499"/>
      <c r="C2418" s="37"/>
      <c r="D2418" s="2013"/>
      <c r="E2418" s="2014"/>
      <c r="F2418" s="2014"/>
      <c r="G2418" s="2014"/>
      <c r="H2418" s="2014"/>
      <c r="I2418" s="2015"/>
      <c r="J2418" s="2016"/>
      <c r="K2418" s="2017"/>
      <c r="L2418" s="1962"/>
      <c r="M2418" s="2007" t="s">
        <v>1524</v>
      </c>
      <c r="N2418" s="2008"/>
      <c r="O2418" s="2008"/>
      <c r="P2418" s="2008"/>
      <c r="Q2418" s="2009"/>
      <c r="R2418" s="1345">
        <f>R2416-R2417</f>
        <v>0</v>
      </c>
      <c r="S2418" s="1346" t="str">
        <f>L2416</f>
        <v>m</v>
      </c>
      <c r="T2418" s="373"/>
      <c r="U2418" s="486"/>
      <c r="V2418" s="1418">
        <f>R2418</f>
        <v>0</v>
      </c>
      <c r="AB2418" s="15"/>
    </row>
    <row r="2419" spans="1:36" s="77" customFormat="1" ht="15.6" hidden="1">
      <c r="A2419" s="370"/>
      <c r="B2419" s="1347"/>
      <c r="C2419" s="1348"/>
      <c r="D2419" s="1349"/>
      <c r="E2419" s="1350"/>
      <c r="F2419" s="1349"/>
      <c r="G2419" s="1349"/>
      <c r="H2419" s="1349"/>
      <c r="I2419" s="1349"/>
      <c r="J2419" s="1351"/>
      <c r="K2419" s="1352"/>
      <c r="L2419" s="1353"/>
      <c r="M2419" s="1354"/>
      <c r="N2419" s="1354"/>
      <c r="O2419" s="1354"/>
      <c r="P2419" s="1354"/>
      <c r="Q2419" s="1354"/>
      <c r="R2419" s="1355"/>
      <c r="S2419" s="1356"/>
      <c r="T2419" s="1357"/>
      <c r="U2419" s="1358"/>
      <c r="V2419" s="1420">
        <f>SUM(V2410:V2418)</f>
        <v>0</v>
      </c>
      <c r="AB2419" s="15"/>
    </row>
    <row r="2420" spans="1:36" s="352" customFormat="1" ht="15.6" hidden="1">
      <c r="A2420" s="351"/>
      <c r="B2420" s="1963" t="str">
        <f>VLOOKUP(A2428,'11 - FINANCEIRA'!_xlnm.Print_Area,1,FALSE)</f>
        <v>2.5.1.5.6</v>
      </c>
      <c r="C2420" s="1965" t="str">
        <f>VLOOKUP(A2428,'11 - FINANCEIRA'!_xlnm.Print_Area,3,FALSE)</f>
        <v>Eletroduto pead, cor preta, diam. 3", marca ref. kanaflex ou equivalente</v>
      </c>
      <c r="D2420" s="1967" t="s">
        <v>1503</v>
      </c>
      <c r="E2420" s="1968"/>
      <c r="F2420" s="1968"/>
      <c r="G2420" s="1968"/>
      <c r="H2420" s="1968"/>
      <c r="I2420" s="1969"/>
      <c r="J2420" s="1914" t="s">
        <v>1504</v>
      </c>
      <c r="K2420" s="1914" t="s">
        <v>1505</v>
      </c>
      <c r="L2420" s="1914" t="s">
        <v>1506</v>
      </c>
      <c r="M2420" s="1914" t="s">
        <v>1507</v>
      </c>
      <c r="N2420" s="1914" t="s">
        <v>1508</v>
      </c>
      <c r="O2420" s="1914" t="s">
        <v>1509</v>
      </c>
      <c r="P2420" s="1341" t="s">
        <v>1510</v>
      </c>
      <c r="Q2420" s="1914" t="s">
        <v>1493</v>
      </c>
      <c r="R2420" s="1916" t="s">
        <v>804</v>
      </c>
      <c r="S2420" s="1914" t="s">
        <v>1511</v>
      </c>
      <c r="T2420" s="1914" t="s">
        <v>1512</v>
      </c>
      <c r="U2420" s="1918" t="s">
        <v>1513</v>
      </c>
      <c r="V2420" s="1418">
        <f t="shared" ref="V2420:V2427" si="246">V2421</f>
        <v>0</v>
      </c>
      <c r="W2420" s="16"/>
      <c r="X2420" s="16"/>
      <c r="Y2420" s="16"/>
      <c r="Z2420" s="17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</row>
    <row r="2421" spans="1:36" s="352" customFormat="1" ht="15.6" hidden="1">
      <c r="A2421" s="351"/>
      <c r="B2421" s="1964" t="e">
        <f>LEFT(#REF!,5)</f>
        <v>#REF!</v>
      </c>
      <c r="C2421" s="1966" t="e">
        <f>VLOOKUP(LEFT(#REF!,5),'11 - FINANCEIRA'!_xlnm.Print_Area,2,FALSE)</f>
        <v>#REF!</v>
      </c>
      <c r="D2421" s="1920" t="s">
        <v>1514</v>
      </c>
      <c r="E2421" s="1921"/>
      <c r="F2421" s="1922"/>
      <c r="G2421" s="1923" t="s">
        <v>1515</v>
      </c>
      <c r="H2421" s="1924"/>
      <c r="I2421" s="1925"/>
      <c r="J2421" s="1915"/>
      <c r="K2421" s="1915"/>
      <c r="L2421" s="1915"/>
      <c r="M2421" s="1915"/>
      <c r="N2421" s="1915"/>
      <c r="O2421" s="1915"/>
      <c r="P2421" s="353" t="s">
        <v>1516</v>
      </c>
      <c r="Q2421" s="1915"/>
      <c r="R2421" s="1917"/>
      <c r="S2421" s="1915"/>
      <c r="T2421" s="1915"/>
      <c r="U2421" s="1919"/>
      <c r="V2421" s="1418">
        <f t="shared" si="246"/>
        <v>0</v>
      </c>
      <c r="W2421" s="16"/>
      <c r="X2421" s="16"/>
      <c r="Y2421" s="16"/>
      <c r="Z2421" s="17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</row>
    <row r="2422" spans="1:36" s="361" customFormat="1" ht="15" hidden="1" customHeight="1">
      <c r="A2422" s="354"/>
      <c r="B2422" s="355"/>
      <c r="C2422" s="28" t="s">
        <v>1106</v>
      </c>
      <c r="D2422" s="18"/>
      <c r="E2422" s="19"/>
      <c r="F2422" s="20"/>
      <c r="G2422" s="18"/>
      <c r="H2422" s="19"/>
      <c r="I2422" s="20"/>
      <c r="J2422" s="21"/>
      <c r="K2422" s="22"/>
      <c r="L2422" s="23"/>
      <c r="M2422" s="24"/>
      <c r="N2422" s="728"/>
      <c r="O2422" s="25"/>
      <c r="P2422" s="23"/>
      <c r="Q2422" s="729"/>
      <c r="R2422" s="1109">
        <v>50</v>
      </c>
      <c r="S2422" s="730" t="s">
        <v>809</v>
      </c>
      <c r="T2422" s="446" t="s">
        <v>324</v>
      </c>
      <c r="U2422" s="44"/>
      <c r="V2422" s="1418">
        <f t="shared" si="246"/>
        <v>0</v>
      </c>
      <c r="W2422" s="357"/>
      <c r="X2422" s="357"/>
      <c r="Y2422" s="357"/>
      <c r="Z2422" s="358"/>
      <c r="AA2422" s="359"/>
      <c r="AB2422" s="360"/>
    </row>
    <row r="2423" spans="1:36" s="361" customFormat="1" ht="15" hidden="1" customHeight="1">
      <c r="A2423" s="354"/>
      <c r="B2423" s="355"/>
      <c r="C2423" s="32"/>
      <c r="D2423" s="33"/>
      <c r="E2423" s="34"/>
      <c r="F2423" s="35"/>
      <c r="G2423" s="33"/>
      <c r="H2423" s="34"/>
      <c r="I2423" s="35"/>
      <c r="J2423" s="43"/>
      <c r="K2423" s="42"/>
      <c r="L2423" s="39"/>
      <c r="M2423" s="41"/>
      <c r="N2423" s="356"/>
      <c r="O2423" s="40"/>
      <c r="P2423" s="39"/>
      <c r="Q2423" s="45"/>
      <c r="R2423" s="362"/>
      <c r="S2423" s="363"/>
      <c r="T2423" s="46"/>
      <c r="U2423" s="44"/>
      <c r="V2423" s="1418">
        <f t="shared" si="246"/>
        <v>0</v>
      </c>
      <c r="W2423" s="357"/>
      <c r="X2423" s="357"/>
      <c r="Y2423" s="357"/>
      <c r="Z2423" s="358"/>
      <c r="AA2423" s="359"/>
      <c r="AB2423" s="360"/>
    </row>
    <row r="2424" spans="1:36" s="369" customFormat="1" ht="15" hidden="1">
      <c r="A2424" s="364"/>
      <c r="B2424" s="355"/>
      <c r="C2424" s="32"/>
      <c r="D2424" s="33"/>
      <c r="E2424" s="34"/>
      <c r="F2424" s="35"/>
      <c r="G2424" s="33"/>
      <c r="H2424" s="34"/>
      <c r="I2424" s="35"/>
      <c r="J2424" s="43"/>
      <c r="K2424" s="42"/>
      <c r="L2424" s="39"/>
      <c r="M2424" s="41"/>
      <c r="N2424" s="40"/>
      <c r="O2424" s="40"/>
      <c r="P2424" s="39"/>
      <c r="Q2424" s="38"/>
      <c r="R2424" s="365"/>
      <c r="S2424" s="366"/>
      <c r="T2424" s="46"/>
      <c r="U2424" s="44"/>
      <c r="V2424" s="1418">
        <f t="shared" si="246"/>
        <v>0</v>
      </c>
      <c r="W2424" s="367"/>
      <c r="X2424" s="367"/>
      <c r="Y2424" s="367"/>
      <c r="Z2424" s="368"/>
    </row>
    <row r="2425" spans="1:36" s="77" customFormat="1" ht="15" hidden="1">
      <c r="A2425" s="370"/>
      <c r="B2425" s="29"/>
      <c r="C2425" s="30"/>
      <c r="D2425" s="18"/>
      <c r="E2425" s="19"/>
      <c r="F2425" s="20"/>
      <c r="G2425" s="18"/>
      <c r="H2425" s="19"/>
      <c r="I2425" s="20"/>
      <c r="J2425" s="21"/>
      <c r="K2425" s="22"/>
      <c r="L2425" s="23"/>
      <c r="M2425" s="24"/>
      <c r="N2425" s="25"/>
      <c r="O2425" s="25"/>
      <c r="P2425" s="23"/>
      <c r="Q2425" s="26"/>
      <c r="R2425" s="371"/>
      <c r="S2425" s="27"/>
      <c r="T2425" s="372"/>
      <c r="U2425" s="31"/>
      <c r="V2425" s="1418">
        <f t="shared" si="246"/>
        <v>0</v>
      </c>
      <c r="AB2425" s="15"/>
    </row>
    <row r="2426" spans="1:36" s="77" customFormat="1" ht="15.6" hidden="1">
      <c r="A2426" s="370"/>
      <c r="B2426" s="499"/>
      <c r="C2426" s="37"/>
      <c r="D2426" s="1929" t="s">
        <v>1520</v>
      </c>
      <c r="E2426" s="1930"/>
      <c r="F2426" s="1930"/>
      <c r="G2426" s="1930"/>
      <c r="H2426" s="1930"/>
      <c r="I2426" s="1931"/>
      <c r="J2426" s="1932">
        <f>VLOOKUP(A2428,'11 - FINANCEIRA'!_xlnm.Print_Area,6,FALSE)</f>
        <v>50</v>
      </c>
      <c r="K2426" s="1933"/>
      <c r="L2426" s="1343" t="str">
        <f>VLOOKUP(A2428,'11 - FINANCEIRA'!_xlnm.Print_Area,4,FALSE)</f>
        <v>m</v>
      </c>
      <c r="M2426" s="1934" t="s">
        <v>1521</v>
      </c>
      <c r="N2426" s="1935"/>
      <c r="O2426" s="1935"/>
      <c r="P2426" s="1935"/>
      <c r="Q2426" s="1936"/>
      <c r="R2426" s="726">
        <f>SUM(R2422:R2425)</f>
        <v>50</v>
      </c>
      <c r="S2426" s="1344" t="str">
        <f>L2426</f>
        <v>m</v>
      </c>
      <c r="T2426" s="373"/>
      <c r="U2426" s="486"/>
      <c r="V2426" s="1418">
        <f t="shared" si="246"/>
        <v>0</v>
      </c>
      <c r="AB2426" s="15"/>
    </row>
    <row r="2427" spans="1:36" s="77" customFormat="1" ht="15.6" hidden="1">
      <c r="A2427" s="370"/>
      <c r="B2427" s="499"/>
      <c r="C2427" s="725"/>
      <c r="D2427" s="1937" t="s">
        <v>1522</v>
      </c>
      <c r="E2427" s="1938"/>
      <c r="F2427" s="1938"/>
      <c r="G2427" s="1938"/>
      <c r="H2427" s="1938"/>
      <c r="I2427" s="1939"/>
      <c r="J2427" s="1943">
        <f>R2426/J2426</f>
        <v>1</v>
      </c>
      <c r="K2427" s="1944"/>
      <c r="L2427" s="1947"/>
      <c r="M2427" s="1934" t="s">
        <v>1523</v>
      </c>
      <c r="N2427" s="1935"/>
      <c r="O2427" s="1935"/>
      <c r="P2427" s="1935"/>
      <c r="Q2427" s="1936"/>
      <c r="R2427" s="726">
        <f>VLOOKUP(A2428,'11 - FINANCEIRA'!_xlnm.Print_Area,8,FALSE)</f>
        <v>50</v>
      </c>
      <c r="S2427" s="727" t="str">
        <f>L2426</f>
        <v>m</v>
      </c>
      <c r="T2427" s="373"/>
      <c r="U2427" s="486"/>
      <c r="V2427" s="1418">
        <f t="shared" si="246"/>
        <v>0</v>
      </c>
      <c r="AB2427" s="15"/>
    </row>
    <row r="2428" spans="1:36" s="77" customFormat="1" ht="15.6" hidden="1">
      <c r="A2428" s="364" t="s">
        <v>546</v>
      </c>
      <c r="B2428" s="499"/>
      <c r="C2428" s="37"/>
      <c r="D2428" s="2013"/>
      <c r="E2428" s="2014"/>
      <c r="F2428" s="2014"/>
      <c r="G2428" s="2014"/>
      <c r="H2428" s="2014"/>
      <c r="I2428" s="2015"/>
      <c r="J2428" s="2016"/>
      <c r="K2428" s="2017"/>
      <c r="L2428" s="1962"/>
      <c r="M2428" s="2007" t="s">
        <v>1524</v>
      </c>
      <c r="N2428" s="2008"/>
      <c r="O2428" s="2008"/>
      <c r="P2428" s="2008"/>
      <c r="Q2428" s="2009"/>
      <c r="R2428" s="1345">
        <f>R2426-R2427</f>
        <v>0</v>
      </c>
      <c r="S2428" s="1346" t="str">
        <f>L2426</f>
        <v>m</v>
      </c>
      <c r="T2428" s="373"/>
      <c r="U2428" s="486"/>
      <c r="V2428" s="1418">
        <f>R2428</f>
        <v>0</v>
      </c>
      <c r="AB2428" s="15"/>
    </row>
    <row r="2429" spans="1:36" s="77" customFormat="1" ht="15.6" hidden="1">
      <c r="A2429" s="370"/>
      <c r="B2429" s="1347"/>
      <c r="C2429" s="1348"/>
      <c r="D2429" s="1349"/>
      <c r="E2429" s="1350"/>
      <c r="F2429" s="1349"/>
      <c r="G2429" s="1349"/>
      <c r="H2429" s="1349"/>
      <c r="I2429" s="1349"/>
      <c r="J2429" s="1351"/>
      <c r="K2429" s="1352"/>
      <c r="L2429" s="1353"/>
      <c r="M2429" s="1354"/>
      <c r="N2429" s="1354"/>
      <c r="O2429" s="1354"/>
      <c r="P2429" s="1354"/>
      <c r="Q2429" s="1354"/>
      <c r="R2429" s="1355"/>
      <c r="S2429" s="1356"/>
      <c r="T2429" s="1357"/>
      <c r="U2429" s="1358"/>
      <c r="V2429" s="1420">
        <f>SUM(V2420:V2428)</f>
        <v>0</v>
      </c>
      <c r="AB2429" s="15"/>
    </row>
    <row r="2430" spans="1:36" s="352" customFormat="1" ht="15.6" hidden="1">
      <c r="A2430" s="351"/>
      <c r="B2430" s="1963" t="str">
        <f>VLOOKUP(A2438,'11 - FINANCEIRA'!_xlnm.Print_Area,1,FALSE)</f>
        <v>2.5.1.5.7</v>
      </c>
      <c r="C2430" s="1965" t="str">
        <f>VLOOKUP(A2438,'11 - FINANCEIRA'!_xlnm.Print_Area,3,FALSE)</f>
        <v>Envelopamento de concreto simples com consumo mínimo de cimento de 250kg/m³, inclusive escavação para profundidade mínima do eletroduto de 50 cm, de 25 x 30 cm, para 2 eletrodutos</v>
      </c>
      <c r="D2430" s="1967" t="s">
        <v>1503</v>
      </c>
      <c r="E2430" s="1968"/>
      <c r="F2430" s="1968"/>
      <c r="G2430" s="1968"/>
      <c r="H2430" s="1968"/>
      <c r="I2430" s="1969"/>
      <c r="J2430" s="1914" t="s">
        <v>1504</v>
      </c>
      <c r="K2430" s="1914" t="s">
        <v>1505</v>
      </c>
      <c r="L2430" s="1914" t="s">
        <v>1506</v>
      </c>
      <c r="M2430" s="1914" t="s">
        <v>1507</v>
      </c>
      <c r="N2430" s="1914" t="s">
        <v>1508</v>
      </c>
      <c r="O2430" s="1914" t="s">
        <v>1509</v>
      </c>
      <c r="P2430" s="1341" t="s">
        <v>1510</v>
      </c>
      <c r="Q2430" s="1914" t="s">
        <v>1493</v>
      </c>
      <c r="R2430" s="1916" t="s">
        <v>804</v>
      </c>
      <c r="S2430" s="1914" t="s">
        <v>1511</v>
      </c>
      <c r="T2430" s="1914" t="s">
        <v>1512</v>
      </c>
      <c r="U2430" s="1918" t="s">
        <v>1513</v>
      </c>
      <c r="V2430" s="1418">
        <f t="shared" ref="V2430:V2437" si="247">V2431</f>
        <v>0</v>
      </c>
      <c r="W2430" s="16"/>
      <c r="X2430" s="16"/>
      <c r="Y2430" s="16"/>
      <c r="Z2430" s="17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</row>
    <row r="2431" spans="1:36" s="352" customFormat="1" ht="15.6" hidden="1">
      <c r="A2431" s="351"/>
      <c r="B2431" s="1964" t="e">
        <f>LEFT(#REF!,5)</f>
        <v>#REF!</v>
      </c>
      <c r="C2431" s="1966" t="e">
        <f>VLOOKUP(LEFT(#REF!,5),'11 - FINANCEIRA'!_xlnm.Print_Area,2,FALSE)</f>
        <v>#REF!</v>
      </c>
      <c r="D2431" s="1920" t="s">
        <v>1514</v>
      </c>
      <c r="E2431" s="1921"/>
      <c r="F2431" s="1922"/>
      <c r="G2431" s="1923" t="s">
        <v>1515</v>
      </c>
      <c r="H2431" s="1924"/>
      <c r="I2431" s="1925"/>
      <c r="J2431" s="1915"/>
      <c r="K2431" s="1915"/>
      <c r="L2431" s="1915"/>
      <c r="M2431" s="1915"/>
      <c r="N2431" s="1915"/>
      <c r="O2431" s="1915"/>
      <c r="P2431" s="353" t="s">
        <v>1516</v>
      </c>
      <c r="Q2431" s="1915"/>
      <c r="R2431" s="1917"/>
      <c r="S2431" s="1915"/>
      <c r="T2431" s="1915"/>
      <c r="U2431" s="1919"/>
      <c r="V2431" s="1418">
        <f t="shared" si="247"/>
        <v>0</v>
      </c>
      <c r="W2431" s="16"/>
      <c r="X2431" s="16"/>
      <c r="Y2431" s="16"/>
      <c r="Z2431" s="17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</row>
    <row r="2432" spans="1:36" s="361" customFormat="1" ht="45" hidden="1">
      <c r="A2432" s="354"/>
      <c r="B2432" s="355"/>
      <c r="C2432" s="28" t="s">
        <v>1108</v>
      </c>
      <c r="D2432" s="18"/>
      <c r="E2432" s="19"/>
      <c r="F2432" s="20"/>
      <c r="G2432" s="18"/>
      <c r="H2432" s="19"/>
      <c r="I2432" s="20"/>
      <c r="J2432" s="21"/>
      <c r="K2432" s="22"/>
      <c r="L2432" s="23"/>
      <c r="M2432" s="24"/>
      <c r="N2432" s="728"/>
      <c r="O2432" s="25"/>
      <c r="P2432" s="23"/>
      <c r="Q2432" s="729"/>
      <c r="R2432" s="1109">
        <v>44</v>
      </c>
      <c r="S2432" s="730" t="s">
        <v>809</v>
      </c>
      <c r="T2432" s="446" t="s">
        <v>324</v>
      </c>
      <c r="U2432" s="44"/>
      <c r="V2432" s="1418">
        <f t="shared" si="247"/>
        <v>0</v>
      </c>
      <c r="W2432" s="357"/>
      <c r="X2432" s="357"/>
      <c r="Y2432" s="357"/>
      <c r="Z2432" s="358"/>
      <c r="AA2432" s="359"/>
      <c r="AB2432" s="360"/>
    </row>
    <row r="2433" spans="1:36" s="361" customFormat="1" ht="15" hidden="1" customHeight="1">
      <c r="A2433" s="354"/>
      <c r="B2433" s="355"/>
      <c r="C2433" s="32"/>
      <c r="D2433" s="33"/>
      <c r="E2433" s="34"/>
      <c r="F2433" s="35"/>
      <c r="G2433" s="33"/>
      <c r="H2433" s="34"/>
      <c r="I2433" s="35"/>
      <c r="J2433" s="43"/>
      <c r="K2433" s="42"/>
      <c r="L2433" s="39"/>
      <c r="M2433" s="41"/>
      <c r="N2433" s="356"/>
      <c r="O2433" s="40"/>
      <c r="P2433" s="39"/>
      <c r="Q2433" s="45"/>
      <c r="R2433" s="362"/>
      <c r="S2433" s="363"/>
      <c r="T2433" s="46"/>
      <c r="U2433" s="44"/>
      <c r="V2433" s="1418">
        <f t="shared" si="247"/>
        <v>0</v>
      </c>
      <c r="W2433" s="357"/>
      <c r="X2433" s="357"/>
      <c r="Y2433" s="357"/>
      <c r="Z2433" s="358"/>
      <c r="AA2433" s="359"/>
      <c r="AB2433" s="360"/>
    </row>
    <row r="2434" spans="1:36" s="369" customFormat="1" ht="15" hidden="1">
      <c r="A2434" s="364"/>
      <c r="B2434" s="355"/>
      <c r="C2434" s="32"/>
      <c r="D2434" s="33"/>
      <c r="E2434" s="34"/>
      <c r="F2434" s="35"/>
      <c r="G2434" s="33"/>
      <c r="H2434" s="34"/>
      <c r="I2434" s="35"/>
      <c r="J2434" s="43"/>
      <c r="K2434" s="42"/>
      <c r="L2434" s="39"/>
      <c r="M2434" s="41"/>
      <c r="N2434" s="40"/>
      <c r="O2434" s="40"/>
      <c r="P2434" s="39"/>
      <c r="Q2434" s="38"/>
      <c r="R2434" s="365"/>
      <c r="S2434" s="366"/>
      <c r="T2434" s="46"/>
      <c r="U2434" s="44"/>
      <c r="V2434" s="1418">
        <f t="shared" si="247"/>
        <v>0</v>
      </c>
      <c r="W2434" s="367"/>
      <c r="X2434" s="367"/>
      <c r="Y2434" s="367"/>
      <c r="Z2434" s="368"/>
    </row>
    <row r="2435" spans="1:36" s="77" customFormat="1" ht="15" hidden="1">
      <c r="A2435" s="370"/>
      <c r="B2435" s="29"/>
      <c r="C2435" s="30"/>
      <c r="D2435" s="18"/>
      <c r="E2435" s="19"/>
      <c r="F2435" s="20"/>
      <c r="G2435" s="18"/>
      <c r="H2435" s="19"/>
      <c r="I2435" s="20"/>
      <c r="J2435" s="21"/>
      <c r="K2435" s="22"/>
      <c r="L2435" s="23"/>
      <c r="M2435" s="24"/>
      <c r="N2435" s="25"/>
      <c r="O2435" s="25"/>
      <c r="P2435" s="23"/>
      <c r="Q2435" s="26"/>
      <c r="R2435" s="371"/>
      <c r="S2435" s="27"/>
      <c r="T2435" s="372"/>
      <c r="U2435" s="31"/>
      <c r="V2435" s="1418">
        <f t="shared" si="247"/>
        <v>0</v>
      </c>
      <c r="AB2435" s="15"/>
    </row>
    <row r="2436" spans="1:36" s="77" customFormat="1" ht="15.6" hidden="1">
      <c r="A2436" s="370"/>
      <c r="B2436" s="499"/>
      <c r="C2436" s="37"/>
      <c r="D2436" s="1929" t="s">
        <v>1520</v>
      </c>
      <c r="E2436" s="1930"/>
      <c r="F2436" s="1930"/>
      <c r="G2436" s="1930"/>
      <c r="H2436" s="1930"/>
      <c r="I2436" s="1931"/>
      <c r="J2436" s="1932">
        <f>VLOOKUP(A2438,'11 - FINANCEIRA'!_xlnm.Print_Area,6,FALSE)</f>
        <v>44</v>
      </c>
      <c r="K2436" s="1933"/>
      <c r="L2436" s="1343" t="str">
        <f>VLOOKUP(A2438,'11 - FINANCEIRA'!_xlnm.Print_Area,4,FALSE)</f>
        <v>m</v>
      </c>
      <c r="M2436" s="1934" t="s">
        <v>1521</v>
      </c>
      <c r="N2436" s="1935"/>
      <c r="O2436" s="1935"/>
      <c r="P2436" s="1935"/>
      <c r="Q2436" s="1936"/>
      <c r="R2436" s="726">
        <f>SUM(R2432:R2435)</f>
        <v>44</v>
      </c>
      <c r="S2436" s="1344" t="str">
        <f>L2436</f>
        <v>m</v>
      </c>
      <c r="T2436" s="373"/>
      <c r="U2436" s="486"/>
      <c r="V2436" s="1418">
        <f t="shared" si="247"/>
        <v>0</v>
      </c>
      <c r="AB2436" s="15"/>
    </row>
    <row r="2437" spans="1:36" s="77" customFormat="1" ht="15.6" hidden="1">
      <c r="A2437" s="370"/>
      <c r="B2437" s="499"/>
      <c r="C2437" s="725"/>
      <c r="D2437" s="1937" t="s">
        <v>1522</v>
      </c>
      <c r="E2437" s="1938"/>
      <c r="F2437" s="1938"/>
      <c r="G2437" s="1938"/>
      <c r="H2437" s="1938"/>
      <c r="I2437" s="1939"/>
      <c r="J2437" s="1943">
        <f>R2436/J2436</f>
        <v>1</v>
      </c>
      <c r="K2437" s="1944"/>
      <c r="L2437" s="1947"/>
      <c r="M2437" s="1934" t="s">
        <v>1523</v>
      </c>
      <c r="N2437" s="1935"/>
      <c r="O2437" s="1935"/>
      <c r="P2437" s="1935"/>
      <c r="Q2437" s="1936"/>
      <c r="R2437" s="726">
        <f>VLOOKUP(A2438,'11 - FINANCEIRA'!_xlnm.Print_Area,8,FALSE)</f>
        <v>44</v>
      </c>
      <c r="S2437" s="727" t="str">
        <f>L2436</f>
        <v>m</v>
      </c>
      <c r="T2437" s="373"/>
      <c r="U2437" s="486"/>
      <c r="V2437" s="1418">
        <f t="shared" si="247"/>
        <v>0</v>
      </c>
      <c r="AB2437" s="15"/>
    </row>
    <row r="2438" spans="1:36" s="77" customFormat="1" ht="15.6" hidden="1">
      <c r="A2438" s="364" t="s">
        <v>547</v>
      </c>
      <c r="B2438" s="499"/>
      <c r="C2438" s="37"/>
      <c r="D2438" s="2013"/>
      <c r="E2438" s="2014"/>
      <c r="F2438" s="2014"/>
      <c r="G2438" s="2014"/>
      <c r="H2438" s="2014"/>
      <c r="I2438" s="2015"/>
      <c r="J2438" s="2016"/>
      <c r="K2438" s="2017"/>
      <c r="L2438" s="1962"/>
      <c r="M2438" s="2007" t="s">
        <v>1524</v>
      </c>
      <c r="N2438" s="2008"/>
      <c r="O2438" s="2008"/>
      <c r="P2438" s="2008"/>
      <c r="Q2438" s="2009"/>
      <c r="R2438" s="1345">
        <f>R2436-R2437</f>
        <v>0</v>
      </c>
      <c r="S2438" s="1346" t="str">
        <f>L2436</f>
        <v>m</v>
      </c>
      <c r="T2438" s="373"/>
      <c r="U2438" s="486"/>
      <c r="V2438" s="1418">
        <f>R2438</f>
        <v>0</v>
      </c>
      <c r="AB2438" s="15"/>
    </row>
    <row r="2439" spans="1:36" s="77" customFormat="1" ht="15.6" hidden="1">
      <c r="A2439" s="370"/>
      <c r="B2439" s="1347"/>
      <c r="C2439" s="1348"/>
      <c r="D2439" s="1349"/>
      <c r="E2439" s="1350"/>
      <c r="F2439" s="1349"/>
      <c r="G2439" s="1349"/>
      <c r="H2439" s="1349"/>
      <c r="I2439" s="1349"/>
      <c r="J2439" s="1351"/>
      <c r="K2439" s="1352"/>
      <c r="L2439" s="1353"/>
      <c r="M2439" s="1354"/>
      <c r="N2439" s="1354"/>
      <c r="O2439" s="1354"/>
      <c r="P2439" s="1354"/>
      <c r="Q2439" s="1354"/>
      <c r="R2439" s="1355"/>
      <c r="S2439" s="1356"/>
      <c r="T2439" s="1357"/>
      <c r="U2439" s="1358"/>
      <c r="V2439" s="1420">
        <f>SUM(V2430:V2438)</f>
        <v>0</v>
      </c>
      <c r="AB2439" s="15"/>
    </row>
    <row r="2440" spans="1:36" s="352" customFormat="1" ht="15.6" hidden="1">
      <c r="A2440" s="351"/>
      <c r="B2440" s="1963" t="str">
        <f>VLOOKUP(A2448,'11 - FINANCEIRA'!_xlnm.Print_Area,1,FALSE)</f>
        <v>2.5.1.5.8</v>
      </c>
      <c r="C2440" s="1965" t="str">
        <f>VLOOKUP(A2448,'11 - FINANCEIRA'!_xlnm.Print_Area,3,FALSE)</f>
        <v>Eletroduto rígido roscável, pvc, dn 60 mm (2") - fornecimento e instalação. af_12/2015</v>
      </c>
      <c r="D2440" s="1967" t="s">
        <v>1503</v>
      </c>
      <c r="E2440" s="1968"/>
      <c r="F2440" s="1968"/>
      <c r="G2440" s="1968"/>
      <c r="H2440" s="1968"/>
      <c r="I2440" s="1969"/>
      <c r="J2440" s="1914" t="s">
        <v>1504</v>
      </c>
      <c r="K2440" s="1914" t="s">
        <v>1505</v>
      </c>
      <c r="L2440" s="1914" t="s">
        <v>1506</v>
      </c>
      <c r="M2440" s="1914" t="s">
        <v>1507</v>
      </c>
      <c r="N2440" s="1914" t="s">
        <v>1508</v>
      </c>
      <c r="O2440" s="1914" t="s">
        <v>1509</v>
      </c>
      <c r="P2440" s="1341" t="s">
        <v>1510</v>
      </c>
      <c r="Q2440" s="1914" t="s">
        <v>1493</v>
      </c>
      <c r="R2440" s="1916" t="s">
        <v>804</v>
      </c>
      <c r="S2440" s="1914" t="s">
        <v>1511</v>
      </c>
      <c r="T2440" s="1914" t="s">
        <v>1512</v>
      </c>
      <c r="U2440" s="1918" t="s">
        <v>1513</v>
      </c>
      <c r="V2440" s="1418">
        <f t="shared" ref="V2440:V2447" si="248">V2441</f>
        <v>0</v>
      </c>
      <c r="W2440" s="16"/>
      <c r="X2440" s="16"/>
      <c r="Y2440" s="16"/>
      <c r="Z2440" s="17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</row>
    <row r="2441" spans="1:36" s="352" customFormat="1" ht="15.6" hidden="1">
      <c r="A2441" s="351"/>
      <c r="B2441" s="1964" t="e">
        <f>LEFT(#REF!,5)</f>
        <v>#REF!</v>
      </c>
      <c r="C2441" s="1966" t="e">
        <f>VLOOKUP(LEFT(#REF!,5),'11 - FINANCEIRA'!_xlnm.Print_Area,2,FALSE)</f>
        <v>#REF!</v>
      </c>
      <c r="D2441" s="1920" t="s">
        <v>1514</v>
      </c>
      <c r="E2441" s="1921"/>
      <c r="F2441" s="1922"/>
      <c r="G2441" s="1923" t="s">
        <v>1515</v>
      </c>
      <c r="H2441" s="1924"/>
      <c r="I2441" s="1925"/>
      <c r="J2441" s="1915"/>
      <c r="K2441" s="1915"/>
      <c r="L2441" s="1915"/>
      <c r="M2441" s="1915"/>
      <c r="N2441" s="1915"/>
      <c r="O2441" s="1915"/>
      <c r="P2441" s="353" t="s">
        <v>1516</v>
      </c>
      <c r="Q2441" s="1915"/>
      <c r="R2441" s="1917"/>
      <c r="S2441" s="1915"/>
      <c r="T2441" s="1915"/>
      <c r="U2441" s="1919"/>
      <c r="V2441" s="1418">
        <f t="shared" si="248"/>
        <v>0</v>
      </c>
      <c r="W2441" s="16"/>
      <c r="X2441" s="16"/>
      <c r="Y2441" s="16"/>
      <c r="Z2441" s="17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</row>
    <row r="2442" spans="1:36" s="361" customFormat="1" ht="15" hidden="1" customHeight="1">
      <c r="A2442" s="354"/>
      <c r="B2442" s="355"/>
      <c r="C2442" s="32" t="s">
        <v>1110</v>
      </c>
      <c r="D2442" s="33"/>
      <c r="E2442" s="34"/>
      <c r="F2442" s="35"/>
      <c r="G2442" s="33"/>
      <c r="H2442" s="34"/>
      <c r="I2442" s="35"/>
      <c r="J2442" s="43"/>
      <c r="K2442" s="42"/>
      <c r="L2442" s="39"/>
      <c r="M2442" s="41"/>
      <c r="N2442" s="356"/>
      <c r="O2442" s="40"/>
      <c r="P2442" s="39"/>
      <c r="Q2442" s="45"/>
      <c r="R2442" s="1359">
        <v>60</v>
      </c>
      <c r="S2442" s="1265" t="s">
        <v>809</v>
      </c>
      <c r="T2442" s="46" t="s">
        <v>331</v>
      </c>
      <c r="U2442" s="44"/>
      <c r="V2442" s="1418">
        <f t="shared" si="248"/>
        <v>0</v>
      </c>
      <c r="W2442" s="357"/>
      <c r="X2442" s="357"/>
      <c r="Y2442" s="357"/>
      <c r="Z2442" s="358"/>
      <c r="AA2442" s="359"/>
      <c r="AB2442" s="360"/>
    </row>
    <row r="2443" spans="1:36" s="361" customFormat="1" ht="15" hidden="1" customHeight="1">
      <c r="A2443" s="354"/>
      <c r="B2443" s="355"/>
      <c r="C2443" s="32"/>
      <c r="D2443" s="33"/>
      <c r="E2443" s="34"/>
      <c r="F2443" s="35"/>
      <c r="G2443" s="33"/>
      <c r="H2443" s="34"/>
      <c r="I2443" s="35"/>
      <c r="J2443" s="43"/>
      <c r="K2443" s="42"/>
      <c r="L2443" s="39"/>
      <c r="M2443" s="41"/>
      <c r="N2443" s="356"/>
      <c r="O2443" s="40"/>
      <c r="P2443" s="39"/>
      <c r="Q2443" s="45"/>
      <c r="R2443" s="362"/>
      <c r="S2443" s="363"/>
      <c r="T2443" s="46"/>
      <c r="U2443" s="44"/>
      <c r="V2443" s="1418">
        <f t="shared" si="248"/>
        <v>0</v>
      </c>
      <c r="W2443" s="357"/>
      <c r="X2443" s="357"/>
      <c r="Y2443" s="357"/>
      <c r="Z2443" s="358"/>
      <c r="AA2443" s="359"/>
      <c r="AB2443" s="360"/>
    </row>
    <row r="2444" spans="1:36" s="369" customFormat="1" ht="15" hidden="1">
      <c r="A2444" s="364"/>
      <c r="B2444" s="355"/>
      <c r="C2444" s="32"/>
      <c r="D2444" s="33"/>
      <c r="E2444" s="34"/>
      <c r="F2444" s="35"/>
      <c r="G2444" s="33"/>
      <c r="H2444" s="34"/>
      <c r="I2444" s="35"/>
      <c r="J2444" s="43"/>
      <c r="K2444" s="42"/>
      <c r="L2444" s="39"/>
      <c r="M2444" s="41"/>
      <c r="N2444" s="40"/>
      <c r="O2444" s="40"/>
      <c r="P2444" s="39"/>
      <c r="Q2444" s="38"/>
      <c r="R2444" s="365"/>
      <c r="S2444" s="366"/>
      <c r="T2444" s="46"/>
      <c r="U2444" s="44"/>
      <c r="V2444" s="1418">
        <f t="shared" si="248"/>
        <v>0</v>
      </c>
      <c r="W2444" s="367"/>
      <c r="X2444" s="367"/>
      <c r="Y2444" s="367"/>
      <c r="Z2444" s="368"/>
    </row>
    <row r="2445" spans="1:36" s="77" customFormat="1" ht="15" hidden="1">
      <c r="A2445" s="370"/>
      <c r="B2445" s="29"/>
      <c r="C2445" s="30"/>
      <c r="D2445" s="18"/>
      <c r="E2445" s="19"/>
      <c r="F2445" s="20"/>
      <c r="G2445" s="18"/>
      <c r="H2445" s="19"/>
      <c r="I2445" s="20"/>
      <c r="J2445" s="21"/>
      <c r="K2445" s="22"/>
      <c r="L2445" s="23"/>
      <c r="M2445" s="24"/>
      <c r="N2445" s="25"/>
      <c r="O2445" s="25"/>
      <c r="P2445" s="23"/>
      <c r="Q2445" s="26"/>
      <c r="R2445" s="371"/>
      <c r="S2445" s="27"/>
      <c r="T2445" s="372"/>
      <c r="U2445" s="31"/>
      <c r="V2445" s="1418">
        <f t="shared" si="248"/>
        <v>0</v>
      </c>
      <c r="AB2445" s="15"/>
    </row>
    <row r="2446" spans="1:36" s="77" customFormat="1" ht="15.6" hidden="1">
      <c r="A2446" s="370"/>
      <c r="B2446" s="499"/>
      <c r="C2446" s="37"/>
      <c r="D2446" s="1929" t="s">
        <v>1520</v>
      </c>
      <c r="E2446" s="1930"/>
      <c r="F2446" s="1930"/>
      <c r="G2446" s="1930"/>
      <c r="H2446" s="1930"/>
      <c r="I2446" s="1931"/>
      <c r="J2446" s="1932">
        <f>VLOOKUP(A2448,'11 - FINANCEIRA'!_xlnm.Print_Area,6,FALSE)</f>
        <v>60</v>
      </c>
      <c r="K2446" s="1933"/>
      <c r="L2446" s="1343" t="str">
        <f>VLOOKUP(A2448,'11 - FINANCEIRA'!_xlnm.Print_Area,4,FALSE)</f>
        <v>m</v>
      </c>
      <c r="M2446" s="1934" t="s">
        <v>1521</v>
      </c>
      <c r="N2446" s="1935"/>
      <c r="O2446" s="1935"/>
      <c r="P2446" s="1935"/>
      <c r="Q2446" s="1936"/>
      <c r="R2446" s="726">
        <f>SUM(R2442:R2445)</f>
        <v>60</v>
      </c>
      <c r="S2446" s="1344" t="str">
        <f>L2446</f>
        <v>m</v>
      </c>
      <c r="T2446" s="373"/>
      <c r="U2446" s="486"/>
      <c r="V2446" s="1418">
        <f t="shared" si="248"/>
        <v>0</v>
      </c>
      <c r="AB2446" s="15"/>
    </row>
    <row r="2447" spans="1:36" s="77" customFormat="1" ht="15.6" hidden="1">
      <c r="A2447" s="370"/>
      <c r="B2447" s="499"/>
      <c r="C2447" s="725"/>
      <c r="D2447" s="1937" t="s">
        <v>1522</v>
      </c>
      <c r="E2447" s="1938"/>
      <c r="F2447" s="1938"/>
      <c r="G2447" s="1938"/>
      <c r="H2447" s="1938"/>
      <c r="I2447" s="1939"/>
      <c r="J2447" s="1943">
        <f>R2446/J2446</f>
        <v>1</v>
      </c>
      <c r="K2447" s="1944"/>
      <c r="L2447" s="1947"/>
      <c r="M2447" s="1934" t="s">
        <v>1523</v>
      </c>
      <c r="N2447" s="1935"/>
      <c r="O2447" s="1935"/>
      <c r="P2447" s="1935"/>
      <c r="Q2447" s="1936"/>
      <c r="R2447" s="726">
        <f>VLOOKUP(A2448,'11 - FINANCEIRA'!_xlnm.Print_Area,8,FALSE)</f>
        <v>60</v>
      </c>
      <c r="S2447" s="727" t="str">
        <f>L2446</f>
        <v>m</v>
      </c>
      <c r="T2447" s="373"/>
      <c r="U2447" s="486"/>
      <c r="V2447" s="1418">
        <f t="shared" si="248"/>
        <v>0</v>
      </c>
      <c r="AB2447" s="15"/>
    </row>
    <row r="2448" spans="1:36" s="77" customFormat="1" ht="15.6" hidden="1">
      <c r="A2448" s="364" t="s">
        <v>548</v>
      </c>
      <c r="B2448" s="499"/>
      <c r="C2448" s="37"/>
      <c r="D2448" s="2013"/>
      <c r="E2448" s="2014"/>
      <c r="F2448" s="2014"/>
      <c r="G2448" s="2014"/>
      <c r="H2448" s="2014"/>
      <c r="I2448" s="2015"/>
      <c r="J2448" s="2016"/>
      <c r="K2448" s="2017"/>
      <c r="L2448" s="1962"/>
      <c r="M2448" s="2007" t="s">
        <v>1524</v>
      </c>
      <c r="N2448" s="2008"/>
      <c r="O2448" s="2008"/>
      <c r="P2448" s="2008"/>
      <c r="Q2448" s="2009"/>
      <c r="R2448" s="1345">
        <f>R2446-R2447</f>
        <v>0</v>
      </c>
      <c r="S2448" s="1346" t="str">
        <f>L2446</f>
        <v>m</v>
      </c>
      <c r="T2448" s="373"/>
      <c r="U2448" s="486"/>
      <c r="V2448" s="1418">
        <f>R2448</f>
        <v>0</v>
      </c>
      <c r="AB2448" s="15"/>
    </row>
    <row r="2449" spans="1:36" s="77" customFormat="1" ht="15.6" hidden="1">
      <c r="A2449" s="370"/>
      <c r="B2449" s="1347"/>
      <c r="C2449" s="1348"/>
      <c r="D2449" s="1349"/>
      <c r="E2449" s="1350"/>
      <c r="F2449" s="1349"/>
      <c r="G2449" s="1349"/>
      <c r="H2449" s="1349"/>
      <c r="I2449" s="1349"/>
      <c r="J2449" s="1351"/>
      <c r="K2449" s="1352"/>
      <c r="L2449" s="1353"/>
      <c r="M2449" s="1354"/>
      <c r="N2449" s="1354"/>
      <c r="O2449" s="1354"/>
      <c r="P2449" s="1354"/>
      <c r="Q2449" s="1354"/>
      <c r="R2449" s="1355"/>
      <c r="S2449" s="1356"/>
      <c r="T2449" s="1357"/>
      <c r="U2449" s="1358"/>
      <c r="V2449" s="1420">
        <f>SUM(V2440:V2448)</f>
        <v>0</v>
      </c>
      <c r="AB2449" s="15"/>
    </row>
    <row r="2450" spans="1:36" s="352" customFormat="1" ht="15.6" hidden="1">
      <c r="A2450" s="351"/>
      <c r="B2450" s="1963" t="str">
        <f>VLOOKUP(A2458,'11 - FINANCEIRA'!_xlnm.Print_Area,1,FALSE)</f>
        <v>2.5.1.5.9</v>
      </c>
      <c r="C2450" s="1965" t="str">
        <f>VLOOKUP(A2458,'11 - FINANCEIRA'!_xlnm.Print_Area,3,FALSE)</f>
        <v>Caixa de ligação de alumínio silício, tipo conduletes, sem rosca, no formato lr, inclusive tampa com vedação, diâmetro 3/4"</v>
      </c>
      <c r="D2450" s="1967" t="s">
        <v>1503</v>
      </c>
      <c r="E2450" s="1968"/>
      <c r="F2450" s="1968"/>
      <c r="G2450" s="1968"/>
      <c r="H2450" s="1968"/>
      <c r="I2450" s="1969"/>
      <c r="J2450" s="1914" t="s">
        <v>1504</v>
      </c>
      <c r="K2450" s="1914" t="s">
        <v>1505</v>
      </c>
      <c r="L2450" s="1914" t="s">
        <v>1506</v>
      </c>
      <c r="M2450" s="1914" t="s">
        <v>1507</v>
      </c>
      <c r="N2450" s="1914" t="s">
        <v>1508</v>
      </c>
      <c r="O2450" s="1914" t="s">
        <v>1509</v>
      </c>
      <c r="P2450" s="1341" t="s">
        <v>1510</v>
      </c>
      <c r="Q2450" s="1914" t="s">
        <v>1493</v>
      </c>
      <c r="R2450" s="1916" t="s">
        <v>804</v>
      </c>
      <c r="S2450" s="1914" t="s">
        <v>1511</v>
      </c>
      <c r="T2450" s="1914" t="s">
        <v>1512</v>
      </c>
      <c r="U2450" s="1918" t="s">
        <v>1513</v>
      </c>
      <c r="V2450" s="1418">
        <f t="shared" ref="V2450:V2457" si="249">V2451</f>
        <v>0</v>
      </c>
      <c r="W2450" s="16"/>
      <c r="X2450" s="16"/>
      <c r="Y2450" s="16"/>
      <c r="Z2450" s="17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</row>
    <row r="2451" spans="1:36" s="352" customFormat="1" ht="15.6" hidden="1">
      <c r="A2451" s="351"/>
      <c r="B2451" s="1964" t="e">
        <f>LEFT(#REF!,5)</f>
        <v>#REF!</v>
      </c>
      <c r="C2451" s="1966" t="e">
        <f>VLOOKUP(LEFT(#REF!,5),'11 - FINANCEIRA'!_xlnm.Print_Area,2,FALSE)</f>
        <v>#REF!</v>
      </c>
      <c r="D2451" s="1920" t="s">
        <v>1514</v>
      </c>
      <c r="E2451" s="1921"/>
      <c r="F2451" s="1922"/>
      <c r="G2451" s="1923" t="s">
        <v>1515</v>
      </c>
      <c r="H2451" s="1924"/>
      <c r="I2451" s="1925"/>
      <c r="J2451" s="1915"/>
      <c r="K2451" s="1915"/>
      <c r="L2451" s="1915"/>
      <c r="M2451" s="1915"/>
      <c r="N2451" s="1915"/>
      <c r="O2451" s="1915"/>
      <c r="P2451" s="353" t="s">
        <v>1516</v>
      </c>
      <c r="Q2451" s="1915"/>
      <c r="R2451" s="1917"/>
      <c r="S2451" s="1915"/>
      <c r="T2451" s="1915"/>
      <c r="U2451" s="1919"/>
      <c r="V2451" s="1418">
        <f t="shared" si="249"/>
        <v>0</v>
      </c>
      <c r="W2451" s="16"/>
      <c r="X2451" s="16"/>
      <c r="Y2451" s="16"/>
      <c r="Z2451" s="17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</row>
    <row r="2452" spans="1:36" s="361" customFormat="1" ht="30" hidden="1">
      <c r="A2452" s="354"/>
      <c r="B2452" s="355"/>
      <c r="C2452" s="32" t="s">
        <v>1112</v>
      </c>
      <c r="D2452" s="33"/>
      <c r="E2452" s="34"/>
      <c r="F2452" s="35"/>
      <c r="G2452" s="33"/>
      <c r="H2452" s="34"/>
      <c r="I2452" s="35"/>
      <c r="J2452" s="43"/>
      <c r="K2452" s="42"/>
      <c r="L2452" s="39"/>
      <c r="M2452" s="41"/>
      <c r="N2452" s="356"/>
      <c r="O2452" s="40"/>
      <c r="P2452" s="39"/>
      <c r="Q2452" s="45"/>
      <c r="R2452" s="1359">
        <v>16</v>
      </c>
      <c r="S2452" s="1265" t="s">
        <v>816</v>
      </c>
      <c r="T2452" s="46" t="s">
        <v>331</v>
      </c>
      <c r="U2452" s="44"/>
      <c r="V2452" s="1418">
        <f t="shared" si="249"/>
        <v>0</v>
      </c>
      <c r="W2452" s="357"/>
      <c r="X2452" s="357"/>
      <c r="Y2452" s="357"/>
      <c r="Z2452" s="358"/>
      <c r="AA2452" s="359"/>
      <c r="AB2452" s="360"/>
    </row>
    <row r="2453" spans="1:36" s="361" customFormat="1" ht="15" hidden="1" customHeight="1">
      <c r="A2453" s="354"/>
      <c r="B2453" s="355"/>
      <c r="C2453" s="32"/>
      <c r="D2453" s="33"/>
      <c r="E2453" s="34"/>
      <c r="F2453" s="35"/>
      <c r="G2453" s="33"/>
      <c r="H2453" s="34"/>
      <c r="I2453" s="35"/>
      <c r="J2453" s="43"/>
      <c r="K2453" s="42"/>
      <c r="L2453" s="39"/>
      <c r="M2453" s="41"/>
      <c r="N2453" s="356"/>
      <c r="O2453" s="40"/>
      <c r="P2453" s="39"/>
      <c r="Q2453" s="45"/>
      <c r="R2453" s="362"/>
      <c r="S2453" s="363"/>
      <c r="T2453" s="46"/>
      <c r="U2453" s="44"/>
      <c r="V2453" s="1418">
        <f t="shared" si="249"/>
        <v>0</v>
      </c>
      <c r="W2453" s="357"/>
      <c r="X2453" s="357"/>
      <c r="Y2453" s="357"/>
      <c r="Z2453" s="358"/>
      <c r="AA2453" s="359"/>
      <c r="AB2453" s="360"/>
    </row>
    <row r="2454" spans="1:36" s="369" customFormat="1" ht="15" hidden="1">
      <c r="A2454" s="364"/>
      <c r="B2454" s="355"/>
      <c r="C2454" s="32"/>
      <c r="D2454" s="33"/>
      <c r="E2454" s="34"/>
      <c r="F2454" s="35"/>
      <c r="G2454" s="33"/>
      <c r="H2454" s="34"/>
      <c r="I2454" s="35"/>
      <c r="J2454" s="43"/>
      <c r="K2454" s="42"/>
      <c r="L2454" s="39"/>
      <c r="M2454" s="41"/>
      <c r="N2454" s="40"/>
      <c r="O2454" s="40"/>
      <c r="P2454" s="39"/>
      <c r="Q2454" s="38"/>
      <c r="R2454" s="365"/>
      <c r="S2454" s="366"/>
      <c r="T2454" s="46"/>
      <c r="U2454" s="44"/>
      <c r="V2454" s="1418">
        <f t="shared" si="249"/>
        <v>0</v>
      </c>
      <c r="W2454" s="367"/>
      <c r="X2454" s="367"/>
      <c r="Y2454" s="367"/>
      <c r="Z2454" s="368"/>
    </row>
    <row r="2455" spans="1:36" s="77" customFormat="1" ht="15" hidden="1">
      <c r="A2455" s="370"/>
      <c r="B2455" s="29"/>
      <c r="C2455" s="30"/>
      <c r="D2455" s="18"/>
      <c r="E2455" s="19"/>
      <c r="F2455" s="20"/>
      <c r="G2455" s="18"/>
      <c r="H2455" s="19"/>
      <c r="I2455" s="20"/>
      <c r="J2455" s="21"/>
      <c r="K2455" s="22"/>
      <c r="L2455" s="23"/>
      <c r="M2455" s="24"/>
      <c r="N2455" s="25"/>
      <c r="O2455" s="25"/>
      <c r="P2455" s="23"/>
      <c r="Q2455" s="26"/>
      <c r="R2455" s="371"/>
      <c r="S2455" s="27"/>
      <c r="T2455" s="372"/>
      <c r="U2455" s="31"/>
      <c r="V2455" s="1418">
        <f t="shared" si="249"/>
        <v>0</v>
      </c>
      <c r="AB2455" s="15"/>
    </row>
    <row r="2456" spans="1:36" s="77" customFormat="1" ht="15.6" hidden="1">
      <c r="A2456" s="370"/>
      <c r="B2456" s="499"/>
      <c r="C2456" s="37"/>
      <c r="D2456" s="1929" t="s">
        <v>1520</v>
      </c>
      <c r="E2456" s="1930"/>
      <c r="F2456" s="1930"/>
      <c r="G2456" s="1930"/>
      <c r="H2456" s="1930"/>
      <c r="I2456" s="1931"/>
      <c r="J2456" s="1932">
        <f>VLOOKUP(A2458,'11 - FINANCEIRA'!_xlnm.Print_Area,6,FALSE)</f>
        <v>16</v>
      </c>
      <c r="K2456" s="1933"/>
      <c r="L2456" s="1343" t="str">
        <f>VLOOKUP(A2458,'11 - FINANCEIRA'!_xlnm.Print_Area,4,FALSE)</f>
        <v>und</v>
      </c>
      <c r="M2456" s="1934" t="s">
        <v>1521</v>
      </c>
      <c r="N2456" s="1935"/>
      <c r="O2456" s="1935"/>
      <c r="P2456" s="1935"/>
      <c r="Q2456" s="1936"/>
      <c r="R2456" s="726">
        <f>SUM(R2452:R2455)</f>
        <v>16</v>
      </c>
      <c r="S2456" s="1344" t="str">
        <f>L2456</f>
        <v>und</v>
      </c>
      <c r="T2456" s="373"/>
      <c r="U2456" s="486"/>
      <c r="V2456" s="1418">
        <f t="shared" si="249"/>
        <v>0</v>
      </c>
      <c r="AB2456" s="15"/>
    </row>
    <row r="2457" spans="1:36" s="77" customFormat="1" ht="15.6" hidden="1">
      <c r="A2457" s="370"/>
      <c r="B2457" s="499"/>
      <c r="C2457" s="725"/>
      <c r="D2457" s="1937" t="s">
        <v>1522</v>
      </c>
      <c r="E2457" s="1938"/>
      <c r="F2457" s="1938"/>
      <c r="G2457" s="1938"/>
      <c r="H2457" s="1938"/>
      <c r="I2457" s="1939"/>
      <c r="J2457" s="1943">
        <f>R2456/J2456</f>
        <v>1</v>
      </c>
      <c r="K2457" s="1944"/>
      <c r="L2457" s="1947"/>
      <c r="M2457" s="1934" t="s">
        <v>1523</v>
      </c>
      <c r="N2457" s="1935"/>
      <c r="O2457" s="1935"/>
      <c r="P2457" s="1935"/>
      <c r="Q2457" s="1936"/>
      <c r="R2457" s="726">
        <f>VLOOKUP(A2458,'11 - FINANCEIRA'!_xlnm.Print_Area,8,FALSE)</f>
        <v>16</v>
      </c>
      <c r="S2457" s="727" t="str">
        <f>L2456</f>
        <v>und</v>
      </c>
      <c r="T2457" s="373"/>
      <c r="U2457" s="486"/>
      <c r="V2457" s="1418">
        <f t="shared" si="249"/>
        <v>0</v>
      </c>
      <c r="AB2457" s="15"/>
    </row>
    <row r="2458" spans="1:36" s="77" customFormat="1" ht="15.6" hidden="1">
      <c r="A2458" s="364" t="s">
        <v>549</v>
      </c>
      <c r="B2458" s="499"/>
      <c r="C2458" s="37"/>
      <c r="D2458" s="2013"/>
      <c r="E2458" s="2014"/>
      <c r="F2458" s="2014"/>
      <c r="G2458" s="2014"/>
      <c r="H2458" s="2014"/>
      <c r="I2458" s="2015"/>
      <c r="J2458" s="2016"/>
      <c r="K2458" s="2017"/>
      <c r="L2458" s="1962"/>
      <c r="M2458" s="2007" t="s">
        <v>1524</v>
      </c>
      <c r="N2458" s="2008"/>
      <c r="O2458" s="2008"/>
      <c r="P2458" s="2008"/>
      <c r="Q2458" s="2009"/>
      <c r="R2458" s="1345">
        <f>R2456-R2457</f>
        <v>0</v>
      </c>
      <c r="S2458" s="1346" t="str">
        <f>L2456</f>
        <v>und</v>
      </c>
      <c r="T2458" s="373"/>
      <c r="U2458" s="486"/>
      <c r="V2458" s="1418">
        <f>R2458</f>
        <v>0</v>
      </c>
      <c r="AB2458" s="15"/>
    </row>
    <row r="2459" spans="1:36" s="77" customFormat="1" ht="15.6" hidden="1">
      <c r="A2459" s="370"/>
      <c r="B2459" s="1347"/>
      <c r="C2459" s="1348"/>
      <c r="D2459" s="1349"/>
      <c r="E2459" s="1350"/>
      <c r="F2459" s="1349"/>
      <c r="G2459" s="1349"/>
      <c r="H2459" s="1349"/>
      <c r="I2459" s="1349"/>
      <c r="J2459" s="1351"/>
      <c r="K2459" s="1352"/>
      <c r="L2459" s="1353"/>
      <c r="M2459" s="1354"/>
      <c r="N2459" s="1354"/>
      <c r="O2459" s="1354"/>
      <c r="P2459" s="1354"/>
      <c r="Q2459" s="1354"/>
      <c r="R2459" s="1355"/>
      <c r="S2459" s="1356"/>
      <c r="T2459" s="1357"/>
      <c r="U2459" s="1358"/>
      <c r="V2459" s="1420">
        <f>SUM(V2450:V2458)</f>
        <v>0</v>
      </c>
      <c r="AB2459" s="15"/>
    </row>
    <row r="2460" spans="1:36" s="632" customFormat="1" ht="15.6" hidden="1">
      <c r="A2460" s="630"/>
      <c r="B2460" s="1333" t="str">
        <f>LEFT(A2469,7)</f>
        <v>2.5.1.6</v>
      </c>
      <c r="C2460" s="1334" t="str">
        <f>VLOOKUP(LEFT(A2469,7),'11 - FINANCEIRA'!_xlnm.Print_Area,2,FALSE)</f>
        <v>Caixas de Passagem</v>
      </c>
      <c r="D2460" s="1334"/>
      <c r="E2460" s="1335"/>
      <c r="F2460" s="1334"/>
      <c r="G2460" s="2071"/>
      <c r="H2460" s="2072"/>
      <c r="I2460" s="2072"/>
      <c r="J2460" s="2072"/>
      <c r="K2460" s="2072"/>
      <c r="L2460" s="2072"/>
      <c r="M2460" s="1338"/>
      <c r="N2460" s="1339"/>
      <c r="O2460" s="2072"/>
      <c r="P2460" s="2072"/>
      <c r="Q2460" s="2072"/>
      <c r="R2460" s="2082"/>
      <c r="S2460" s="633"/>
      <c r="V2460" s="631">
        <f>SUM(V2461:V2480)</f>
        <v>0</v>
      </c>
    </row>
    <row r="2461" spans="1:36" s="352" customFormat="1" ht="15.6" hidden="1">
      <c r="A2461" s="351"/>
      <c r="B2461" s="1963" t="str">
        <f>VLOOKUP(A2469,'11 - FINANCEIRA'!_xlnm.Print_Area,1,FALSE)</f>
        <v>2.5.1.6.1</v>
      </c>
      <c r="C2461" s="1965" t="str">
        <f>VLOOKUP(A2469,'11 - FINANCEIRA'!_xlnm.Print_Area,3,FALSE)</f>
        <v>Caixa de passagem de alvenaria de blocos cerâmicos 10 furos 10x20x20cm dimensões de 50x50x50cm, com revestimento interno em chapisco e reboco, tampa de concreto esp.5cm e lastro de brita 5 cm</v>
      </c>
      <c r="D2461" s="1967" t="s">
        <v>1503</v>
      </c>
      <c r="E2461" s="1968"/>
      <c r="F2461" s="1968"/>
      <c r="G2461" s="1968"/>
      <c r="H2461" s="1968"/>
      <c r="I2461" s="1969"/>
      <c r="J2461" s="1914" t="s">
        <v>1504</v>
      </c>
      <c r="K2461" s="1914" t="s">
        <v>1505</v>
      </c>
      <c r="L2461" s="1914" t="s">
        <v>1506</v>
      </c>
      <c r="M2461" s="1914" t="s">
        <v>1507</v>
      </c>
      <c r="N2461" s="1914" t="s">
        <v>1508</v>
      </c>
      <c r="O2461" s="1914" t="s">
        <v>1509</v>
      </c>
      <c r="P2461" s="1341" t="s">
        <v>1510</v>
      </c>
      <c r="Q2461" s="1914" t="s">
        <v>1493</v>
      </c>
      <c r="R2461" s="1916" t="s">
        <v>804</v>
      </c>
      <c r="S2461" s="1914" t="s">
        <v>1511</v>
      </c>
      <c r="T2461" s="1914" t="s">
        <v>1512</v>
      </c>
      <c r="U2461" s="1918" t="s">
        <v>1513</v>
      </c>
      <c r="V2461" s="1418">
        <f t="shared" ref="V2461:V2468" si="250">V2462</f>
        <v>0</v>
      </c>
      <c r="W2461" s="16"/>
      <c r="X2461" s="16"/>
      <c r="Y2461" s="16"/>
      <c r="Z2461" s="17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</row>
    <row r="2462" spans="1:36" s="352" customFormat="1" ht="15.6" hidden="1">
      <c r="A2462" s="351"/>
      <c r="B2462" s="1964" t="e">
        <f>LEFT(#REF!,5)</f>
        <v>#REF!</v>
      </c>
      <c r="C2462" s="1966" t="e">
        <f>VLOOKUP(LEFT(#REF!,5),'11 - FINANCEIRA'!_xlnm.Print_Area,2,FALSE)</f>
        <v>#REF!</v>
      </c>
      <c r="D2462" s="1920" t="s">
        <v>1514</v>
      </c>
      <c r="E2462" s="1921"/>
      <c r="F2462" s="1922"/>
      <c r="G2462" s="1923" t="s">
        <v>1515</v>
      </c>
      <c r="H2462" s="1924"/>
      <c r="I2462" s="1925"/>
      <c r="J2462" s="1915"/>
      <c r="K2462" s="1915"/>
      <c r="L2462" s="1915"/>
      <c r="M2462" s="1915"/>
      <c r="N2462" s="1915"/>
      <c r="O2462" s="1915"/>
      <c r="P2462" s="353" t="s">
        <v>1516</v>
      </c>
      <c r="Q2462" s="1915"/>
      <c r="R2462" s="1917"/>
      <c r="S2462" s="1915"/>
      <c r="T2462" s="1915"/>
      <c r="U2462" s="1919"/>
      <c r="V2462" s="1418">
        <f t="shared" si="250"/>
        <v>0</v>
      </c>
      <c r="W2462" s="16"/>
      <c r="X2462" s="16"/>
      <c r="Y2462" s="16"/>
      <c r="Z2462" s="17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</row>
    <row r="2463" spans="1:36" s="361" customFormat="1" ht="45" hidden="1">
      <c r="A2463" s="354"/>
      <c r="B2463" s="355"/>
      <c r="C2463" s="32" t="s">
        <v>1115</v>
      </c>
      <c r="D2463" s="33"/>
      <c r="E2463" s="34"/>
      <c r="F2463" s="35"/>
      <c r="G2463" s="33"/>
      <c r="H2463" s="34"/>
      <c r="I2463" s="35"/>
      <c r="J2463" s="43"/>
      <c r="K2463" s="42"/>
      <c r="L2463" s="39"/>
      <c r="M2463" s="41"/>
      <c r="N2463" s="356"/>
      <c r="O2463" s="40"/>
      <c r="P2463" s="39"/>
      <c r="Q2463" s="45"/>
      <c r="R2463" s="1359">
        <v>2</v>
      </c>
      <c r="S2463" s="1265" t="s">
        <v>816</v>
      </c>
      <c r="T2463" s="46" t="s">
        <v>325</v>
      </c>
      <c r="U2463" s="44"/>
      <c r="V2463" s="1418">
        <f t="shared" si="250"/>
        <v>0</v>
      </c>
      <c r="W2463" s="357"/>
      <c r="X2463" s="357"/>
      <c r="Y2463" s="357"/>
      <c r="Z2463" s="358"/>
      <c r="AA2463" s="359"/>
      <c r="AB2463" s="360"/>
    </row>
    <row r="2464" spans="1:36" s="361" customFormat="1" ht="15" hidden="1" customHeight="1">
      <c r="A2464" s="354"/>
      <c r="B2464" s="355"/>
      <c r="C2464" s="32"/>
      <c r="D2464" s="33"/>
      <c r="E2464" s="34"/>
      <c r="F2464" s="35"/>
      <c r="G2464" s="33"/>
      <c r="H2464" s="34"/>
      <c r="I2464" s="35"/>
      <c r="J2464" s="43"/>
      <c r="K2464" s="42"/>
      <c r="L2464" s="39"/>
      <c r="M2464" s="41"/>
      <c r="N2464" s="356"/>
      <c r="O2464" s="40"/>
      <c r="P2464" s="39"/>
      <c r="Q2464" s="45"/>
      <c r="R2464" s="362"/>
      <c r="S2464" s="363"/>
      <c r="T2464" s="46"/>
      <c r="U2464" s="44"/>
      <c r="V2464" s="1418">
        <f t="shared" si="250"/>
        <v>0</v>
      </c>
      <c r="W2464" s="357"/>
      <c r="X2464" s="357"/>
      <c r="Y2464" s="357"/>
      <c r="Z2464" s="358"/>
      <c r="AA2464" s="359"/>
      <c r="AB2464" s="360"/>
    </row>
    <row r="2465" spans="1:36" s="369" customFormat="1" ht="15" hidden="1">
      <c r="A2465" s="364"/>
      <c r="B2465" s="355"/>
      <c r="C2465" s="32"/>
      <c r="D2465" s="33"/>
      <c r="E2465" s="34"/>
      <c r="F2465" s="35"/>
      <c r="G2465" s="33"/>
      <c r="H2465" s="34"/>
      <c r="I2465" s="35"/>
      <c r="J2465" s="43"/>
      <c r="K2465" s="42"/>
      <c r="L2465" s="39"/>
      <c r="M2465" s="41"/>
      <c r="N2465" s="40"/>
      <c r="O2465" s="40"/>
      <c r="P2465" s="39"/>
      <c r="Q2465" s="38"/>
      <c r="R2465" s="365"/>
      <c r="S2465" s="366"/>
      <c r="T2465" s="46"/>
      <c r="U2465" s="44"/>
      <c r="V2465" s="1418">
        <f t="shared" si="250"/>
        <v>0</v>
      </c>
      <c r="W2465" s="367"/>
      <c r="X2465" s="367"/>
      <c r="Y2465" s="367"/>
      <c r="Z2465" s="368"/>
    </row>
    <row r="2466" spans="1:36" s="77" customFormat="1" ht="15" hidden="1">
      <c r="A2466" s="370"/>
      <c r="B2466" s="29"/>
      <c r="C2466" s="30"/>
      <c r="D2466" s="18"/>
      <c r="E2466" s="19"/>
      <c r="F2466" s="20"/>
      <c r="G2466" s="18"/>
      <c r="H2466" s="19"/>
      <c r="I2466" s="20"/>
      <c r="J2466" s="21"/>
      <c r="K2466" s="22"/>
      <c r="L2466" s="23"/>
      <c r="M2466" s="24"/>
      <c r="N2466" s="25"/>
      <c r="O2466" s="25"/>
      <c r="P2466" s="23"/>
      <c r="Q2466" s="26"/>
      <c r="R2466" s="371"/>
      <c r="S2466" s="27"/>
      <c r="T2466" s="372"/>
      <c r="U2466" s="31"/>
      <c r="V2466" s="1418">
        <f t="shared" si="250"/>
        <v>0</v>
      </c>
      <c r="AB2466" s="15"/>
    </row>
    <row r="2467" spans="1:36" s="77" customFormat="1" ht="15.6" hidden="1">
      <c r="A2467" s="370"/>
      <c r="B2467" s="499"/>
      <c r="C2467" s="37"/>
      <c r="D2467" s="1929" t="s">
        <v>1520</v>
      </c>
      <c r="E2467" s="1930"/>
      <c r="F2467" s="1930"/>
      <c r="G2467" s="1930"/>
      <c r="H2467" s="1930"/>
      <c r="I2467" s="1931"/>
      <c r="J2467" s="1932">
        <f>VLOOKUP(A2469,'11 - FINANCEIRA'!_xlnm.Print_Area,6,FALSE)</f>
        <v>2</v>
      </c>
      <c r="K2467" s="1933"/>
      <c r="L2467" s="1343" t="str">
        <f>VLOOKUP(A2469,'11 - FINANCEIRA'!_xlnm.Print_Area,4,FALSE)</f>
        <v>und</v>
      </c>
      <c r="M2467" s="1934" t="s">
        <v>1521</v>
      </c>
      <c r="N2467" s="1935"/>
      <c r="O2467" s="1935"/>
      <c r="P2467" s="1935"/>
      <c r="Q2467" s="1936"/>
      <c r="R2467" s="726">
        <f>SUM(R2463:R2466)</f>
        <v>2</v>
      </c>
      <c r="S2467" s="1344" t="str">
        <f>L2467</f>
        <v>und</v>
      </c>
      <c r="T2467" s="373"/>
      <c r="U2467" s="486"/>
      <c r="V2467" s="1418">
        <f t="shared" si="250"/>
        <v>0</v>
      </c>
      <c r="AB2467" s="15"/>
    </row>
    <row r="2468" spans="1:36" s="77" customFormat="1" ht="15.6" hidden="1">
      <c r="A2468" s="370"/>
      <c r="B2468" s="499"/>
      <c r="C2468" s="725"/>
      <c r="D2468" s="1937" t="s">
        <v>1522</v>
      </c>
      <c r="E2468" s="1938"/>
      <c r="F2468" s="1938"/>
      <c r="G2468" s="1938"/>
      <c r="H2468" s="1938"/>
      <c r="I2468" s="1939"/>
      <c r="J2468" s="1943">
        <f>R2467/J2467</f>
        <v>1</v>
      </c>
      <c r="K2468" s="1944"/>
      <c r="L2468" s="1947"/>
      <c r="M2468" s="1934" t="s">
        <v>1523</v>
      </c>
      <c r="N2468" s="1935"/>
      <c r="O2468" s="1935"/>
      <c r="P2468" s="1935"/>
      <c r="Q2468" s="1936"/>
      <c r="R2468" s="726">
        <f>VLOOKUP(A2469,'11 - FINANCEIRA'!_xlnm.Print_Area,8,FALSE)</f>
        <v>2</v>
      </c>
      <c r="S2468" s="727" t="str">
        <f>L2467</f>
        <v>und</v>
      </c>
      <c r="T2468" s="373"/>
      <c r="U2468" s="486"/>
      <c r="V2468" s="1418">
        <f t="shared" si="250"/>
        <v>0</v>
      </c>
      <c r="AB2468" s="15"/>
    </row>
    <row r="2469" spans="1:36" s="77" customFormat="1" ht="15.6" hidden="1">
      <c r="A2469" s="364" t="s">
        <v>551</v>
      </c>
      <c r="B2469" s="499"/>
      <c r="C2469" s="37"/>
      <c r="D2469" s="2013"/>
      <c r="E2469" s="2014"/>
      <c r="F2469" s="2014"/>
      <c r="G2469" s="2014"/>
      <c r="H2469" s="2014"/>
      <c r="I2469" s="2015"/>
      <c r="J2469" s="2016"/>
      <c r="K2469" s="2017"/>
      <c r="L2469" s="1962"/>
      <c r="M2469" s="2007" t="s">
        <v>1524</v>
      </c>
      <c r="N2469" s="2008"/>
      <c r="O2469" s="2008"/>
      <c r="P2469" s="2008"/>
      <c r="Q2469" s="2009"/>
      <c r="R2469" s="1345">
        <f>R2467-R2468</f>
        <v>0</v>
      </c>
      <c r="S2469" s="1346" t="str">
        <f>L2467</f>
        <v>und</v>
      </c>
      <c r="T2469" s="373"/>
      <c r="U2469" s="486"/>
      <c r="V2469" s="1418">
        <f>R2469</f>
        <v>0</v>
      </c>
      <c r="AB2469" s="15"/>
    </row>
    <row r="2470" spans="1:36" s="77" customFormat="1" ht="15.6" hidden="1">
      <c r="A2470" s="370"/>
      <c r="B2470" s="1347"/>
      <c r="C2470" s="1348"/>
      <c r="D2470" s="1349"/>
      <c r="E2470" s="1350"/>
      <c r="F2470" s="1349"/>
      <c r="G2470" s="1349"/>
      <c r="H2470" s="1349"/>
      <c r="I2470" s="1349"/>
      <c r="J2470" s="1351"/>
      <c r="K2470" s="1352"/>
      <c r="L2470" s="1353"/>
      <c r="M2470" s="1354"/>
      <c r="N2470" s="1354"/>
      <c r="O2470" s="1354"/>
      <c r="P2470" s="1354"/>
      <c r="Q2470" s="1354"/>
      <c r="R2470" s="1355"/>
      <c r="S2470" s="1356"/>
      <c r="T2470" s="1357"/>
      <c r="U2470" s="1358"/>
      <c r="V2470" s="1420">
        <f>SUM(V2461:V2469)</f>
        <v>0</v>
      </c>
      <c r="AB2470" s="15"/>
    </row>
    <row r="2471" spans="1:36" s="352" customFormat="1" ht="15.6" hidden="1">
      <c r="A2471" s="351"/>
      <c r="B2471" s="1963" t="str">
        <f>VLOOKUP(A2479,'11 - FINANCEIRA'!_xlnm.Print_Area,1,FALSE)</f>
        <v>2.5.1.6.2</v>
      </c>
      <c r="C2471" s="1965" t="str">
        <f>VLOOKUP(A2479,'11 - FINANCEIRA'!_xlnm.Print_Area,3,FALSE)</f>
        <v>Caixa retangular 4" x 4" média (1,30 m do piso), pvc, instalada em parede - fornecimento e instalação. af_12/2015</v>
      </c>
      <c r="D2471" s="1967" t="s">
        <v>1503</v>
      </c>
      <c r="E2471" s="1968"/>
      <c r="F2471" s="1968"/>
      <c r="G2471" s="1968"/>
      <c r="H2471" s="1968"/>
      <c r="I2471" s="1969"/>
      <c r="J2471" s="1914" t="s">
        <v>1504</v>
      </c>
      <c r="K2471" s="1914" t="s">
        <v>1505</v>
      </c>
      <c r="L2471" s="1914" t="s">
        <v>1506</v>
      </c>
      <c r="M2471" s="1914" t="s">
        <v>1507</v>
      </c>
      <c r="N2471" s="1914" t="s">
        <v>1508</v>
      </c>
      <c r="O2471" s="1914" t="s">
        <v>1509</v>
      </c>
      <c r="P2471" s="1341" t="s">
        <v>1510</v>
      </c>
      <c r="Q2471" s="1914" t="s">
        <v>1493</v>
      </c>
      <c r="R2471" s="1916" t="s">
        <v>804</v>
      </c>
      <c r="S2471" s="1914" t="s">
        <v>1511</v>
      </c>
      <c r="T2471" s="1914" t="s">
        <v>1512</v>
      </c>
      <c r="U2471" s="1918" t="s">
        <v>1513</v>
      </c>
      <c r="V2471" s="1418">
        <f t="shared" ref="V2471:V2478" si="251">V2472</f>
        <v>0</v>
      </c>
      <c r="W2471" s="16"/>
      <c r="X2471" s="16"/>
      <c r="Y2471" s="16"/>
      <c r="Z2471" s="17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</row>
    <row r="2472" spans="1:36" s="352" customFormat="1" ht="15.6" hidden="1">
      <c r="A2472" s="351"/>
      <c r="B2472" s="1964" t="e">
        <f>LEFT(#REF!,5)</f>
        <v>#REF!</v>
      </c>
      <c r="C2472" s="1966" t="e">
        <f>VLOOKUP(LEFT(#REF!,5),'11 - FINANCEIRA'!_xlnm.Print_Area,2,FALSE)</f>
        <v>#REF!</v>
      </c>
      <c r="D2472" s="1920" t="s">
        <v>1514</v>
      </c>
      <c r="E2472" s="1921"/>
      <c r="F2472" s="1922"/>
      <c r="G2472" s="1923" t="s">
        <v>1515</v>
      </c>
      <c r="H2472" s="1924"/>
      <c r="I2472" s="1925"/>
      <c r="J2472" s="1915"/>
      <c r="K2472" s="1915"/>
      <c r="L2472" s="1915"/>
      <c r="M2472" s="1915"/>
      <c r="N2472" s="1915"/>
      <c r="O2472" s="1915"/>
      <c r="P2472" s="353" t="s">
        <v>1516</v>
      </c>
      <c r="Q2472" s="1915"/>
      <c r="R2472" s="1917"/>
      <c r="S2472" s="1915"/>
      <c r="T2472" s="1915"/>
      <c r="U2472" s="1919"/>
      <c r="V2472" s="1418">
        <f t="shared" si="251"/>
        <v>0</v>
      </c>
      <c r="W2472" s="16"/>
      <c r="X2472" s="16"/>
      <c r="Y2472" s="16"/>
      <c r="Z2472" s="17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</row>
    <row r="2473" spans="1:36" s="361" customFormat="1" ht="30" hidden="1">
      <c r="A2473" s="354"/>
      <c r="B2473" s="355"/>
      <c r="C2473" s="32" t="s">
        <v>158</v>
      </c>
      <c r="D2473" s="33"/>
      <c r="E2473" s="34"/>
      <c r="F2473" s="35"/>
      <c r="G2473" s="33"/>
      <c r="H2473" s="34"/>
      <c r="I2473" s="35"/>
      <c r="J2473" s="43"/>
      <c r="K2473" s="42"/>
      <c r="L2473" s="39"/>
      <c r="M2473" s="41"/>
      <c r="N2473" s="356"/>
      <c r="O2473" s="40"/>
      <c r="P2473" s="39"/>
      <c r="Q2473" s="45"/>
      <c r="R2473" s="1359">
        <v>8</v>
      </c>
      <c r="S2473" s="1265" t="s">
        <v>816</v>
      </c>
      <c r="T2473" s="46" t="s">
        <v>331</v>
      </c>
      <c r="U2473" s="44"/>
      <c r="V2473" s="1418">
        <f t="shared" si="251"/>
        <v>0</v>
      </c>
      <c r="W2473" s="357"/>
      <c r="X2473" s="357"/>
      <c r="Y2473" s="357"/>
      <c r="Z2473" s="358"/>
      <c r="AA2473" s="359"/>
      <c r="AB2473" s="360"/>
    </row>
    <row r="2474" spans="1:36" s="361" customFormat="1" ht="15" hidden="1" customHeight="1">
      <c r="A2474" s="354"/>
      <c r="B2474" s="355"/>
      <c r="C2474" s="32"/>
      <c r="D2474" s="33"/>
      <c r="E2474" s="34"/>
      <c r="F2474" s="35"/>
      <c r="G2474" s="33"/>
      <c r="H2474" s="34"/>
      <c r="I2474" s="35"/>
      <c r="J2474" s="43"/>
      <c r="K2474" s="42"/>
      <c r="L2474" s="39"/>
      <c r="M2474" s="41"/>
      <c r="N2474" s="356"/>
      <c r="O2474" s="40"/>
      <c r="P2474" s="39"/>
      <c r="Q2474" s="45"/>
      <c r="R2474" s="362"/>
      <c r="S2474" s="363"/>
      <c r="T2474" s="46"/>
      <c r="U2474" s="44"/>
      <c r="V2474" s="1418">
        <f t="shared" si="251"/>
        <v>0</v>
      </c>
      <c r="W2474" s="357"/>
      <c r="X2474" s="357"/>
      <c r="Y2474" s="357"/>
      <c r="Z2474" s="358"/>
      <c r="AA2474" s="359"/>
      <c r="AB2474" s="360"/>
    </row>
    <row r="2475" spans="1:36" s="369" customFormat="1" ht="15" hidden="1">
      <c r="A2475" s="364"/>
      <c r="B2475" s="355"/>
      <c r="C2475" s="32"/>
      <c r="D2475" s="33"/>
      <c r="E2475" s="34"/>
      <c r="F2475" s="35"/>
      <c r="G2475" s="33"/>
      <c r="H2475" s="34"/>
      <c r="I2475" s="35"/>
      <c r="J2475" s="43"/>
      <c r="K2475" s="42"/>
      <c r="L2475" s="39"/>
      <c r="M2475" s="41"/>
      <c r="N2475" s="40"/>
      <c r="O2475" s="40"/>
      <c r="P2475" s="39"/>
      <c r="Q2475" s="38"/>
      <c r="R2475" s="365"/>
      <c r="S2475" s="366"/>
      <c r="T2475" s="46"/>
      <c r="U2475" s="44"/>
      <c r="V2475" s="1418">
        <f t="shared" si="251"/>
        <v>0</v>
      </c>
      <c r="W2475" s="367"/>
      <c r="X2475" s="367"/>
      <c r="Y2475" s="367"/>
      <c r="Z2475" s="368"/>
    </row>
    <row r="2476" spans="1:36" s="77" customFormat="1" ht="15" hidden="1">
      <c r="A2476" s="370"/>
      <c r="B2476" s="29"/>
      <c r="C2476" s="30"/>
      <c r="D2476" s="18"/>
      <c r="E2476" s="19"/>
      <c r="F2476" s="20"/>
      <c r="G2476" s="18"/>
      <c r="H2476" s="19"/>
      <c r="I2476" s="20"/>
      <c r="J2476" s="21"/>
      <c r="K2476" s="22"/>
      <c r="L2476" s="23"/>
      <c r="M2476" s="24"/>
      <c r="N2476" s="25"/>
      <c r="O2476" s="25"/>
      <c r="P2476" s="23"/>
      <c r="Q2476" s="26"/>
      <c r="R2476" s="371"/>
      <c r="S2476" s="27"/>
      <c r="T2476" s="372"/>
      <c r="U2476" s="31"/>
      <c r="V2476" s="1418">
        <f t="shared" si="251"/>
        <v>0</v>
      </c>
      <c r="AB2476" s="15"/>
    </row>
    <row r="2477" spans="1:36" s="77" customFormat="1" ht="15.6" hidden="1">
      <c r="A2477" s="370"/>
      <c r="B2477" s="499"/>
      <c r="C2477" s="37"/>
      <c r="D2477" s="1929" t="s">
        <v>1520</v>
      </c>
      <c r="E2477" s="1930"/>
      <c r="F2477" s="1930"/>
      <c r="G2477" s="1930"/>
      <c r="H2477" s="1930"/>
      <c r="I2477" s="1931"/>
      <c r="J2477" s="1932">
        <f>VLOOKUP(A2479,'11 - FINANCEIRA'!_xlnm.Print_Area,6,FALSE)</f>
        <v>8</v>
      </c>
      <c r="K2477" s="1933"/>
      <c r="L2477" s="1343" t="str">
        <f>VLOOKUP(A2479,'11 - FINANCEIRA'!_xlnm.Print_Area,4,FALSE)</f>
        <v>und</v>
      </c>
      <c r="M2477" s="1934" t="s">
        <v>1521</v>
      </c>
      <c r="N2477" s="1935"/>
      <c r="O2477" s="1935"/>
      <c r="P2477" s="1935"/>
      <c r="Q2477" s="1936"/>
      <c r="R2477" s="726">
        <f>SUM(R2473:R2476)</f>
        <v>8</v>
      </c>
      <c r="S2477" s="1344" t="str">
        <f>L2477</f>
        <v>und</v>
      </c>
      <c r="T2477" s="373"/>
      <c r="U2477" s="486"/>
      <c r="V2477" s="1418">
        <f t="shared" si="251"/>
        <v>0</v>
      </c>
      <c r="AB2477" s="15"/>
    </row>
    <row r="2478" spans="1:36" s="77" customFormat="1" ht="15.6" hidden="1">
      <c r="A2478" s="370"/>
      <c r="B2478" s="499"/>
      <c r="C2478" s="725"/>
      <c r="D2478" s="1937" t="s">
        <v>1522</v>
      </c>
      <c r="E2478" s="1938"/>
      <c r="F2478" s="1938"/>
      <c r="G2478" s="1938"/>
      <c r="H2478" s="1938"/>
      <c r="I2478" s="1939"/>
      <c r="J2478" s="1943">
        <f>R2477/J2477</f>
        <v>1</v>
      </c>
      <c r="K2478" s="1944"/>
      <c r="L2478" s="1947"/>
      <c r="M2478" s="1934" t="s">
        <v>1523</v>
      </c>
      <c r="N2478" s="1935"/>
      <c r="O2478" s="1935"/>
      <c r="P2478" s="1935"/>
      <c r="Q2478" s="1936"/>
      <c r="R2478" s="726">
        <f>VLOOKUP(A2479,'11 - FINANCEIRA'!_xlnm.Print_Area,8,FALSE)</f>
        <v>8</v>
      </c>
      <c r="S2478" s="727" t="str">
        <f>L2477</f>
        <v>und</v>
      </c>
      <c r="T2478" s="373"/>
      <c r="U2478" s="486"/>
      <c r="V2478" s="1418">
        <f t="shared" si="251"/>
        <v>0</v>
      </c>
      <c r="AB2478" s="15"/>
    </row>
    <row r="2479" spans="1:36" s="77" customFormat="1" ht="15.6" hidden="1">
      <c r="A2479" s="364" t="s">
        <v>552</v>
      </c>
      <c r="B2479" s="499"/>
      <c r="C2479" s="37"/>
      <c r="D2479" s="2013"/>
      <c r="E2479" s="2014"/>
      <c r="F2479" s="2014"/>
      <c r="G2479" s="2014"/>
      <c r="H2479" s="2014"/>
      <c r="I2479" s="2015"/>
      <c r="J2479" s="2016"/>
      <c r="K2479" s="2017"/>
      <c r="L2479" s="1962"/>
      <c r="M2479" s="2007" t="s">
        <v>1524</v>
      </c>
      <c r="N2479" s="2008"/>
      <c r="O2479" s="2008"/>
      <c r="P2479" s="2008"/>
      <c r="Q2479" s="2009"/>
      <c r="R2479" s="1345">
        <f>R2477-R2478</f>
        <v>0</v>
      </c>
      <c r="S2479" s="1346" t="str">
        <f>L2477</f>
        <v>und</v>
      </c>
      <c r="T2479" s="373"/>
      <c r="U2479" s="486"/>
      <c r="V2479" s="1418">
        <f>R2479</f>
        <v>0</v>
      </c>
      <c r="AB2479" s="15"/>
    </row>
    <row r="2480" spans="1:36" s="77" customFormat="1" ht="15.6" hidden="1">
      <c r="A2480" s="370"/>
      <c r="B2480" s="1347"/>
      <c r="C2480" s="1348"/>
      <c r="D2480" s="1349"/>
      <c r="E2480" s="1350"/>
      <c r="F2480" s="1349"/>
      <c r="G2480" s="1349"/>
      <c r="H2480" s="1349"/>
      <c r="I2480" s="1349"/>
      <c r="J2480" s="1351"/>
      <c r="K2480" s="1352"/>
      <c r="L2480" s="1353"/>
      <c r="M2480" s="1354"/>
      <c r="N2480" s="1354"/>
      <c r="O2480" s="1354"/>
      <c r="P2480" s="1354"/>
      <c r="Q2480" s="1354"/>
      <c r="R2480" s="1355"/>
      <c r="S2480" s="1356"/>
      <c r="T2480" s="1357"/>
      <c r="U2480" s="1358"/>
      <c r="V2480" s="1420">
        <f>SUM(V2471:V2479)</f>
        <v>0</v>
      </c>
      <c r="AB2480" s="15"/>
    </row>
    <row r="2481" spans="1:36" s="632" customFormat="1" ht="15.6" hidden="1">
      <c r="A2481" s="630"/>
      <c r="B2481" s="1333" t="str">
        <f>LEFT(A2491,5)</f>
        <v>2.5.2</v>
      </c>
      <c r="C2481" s="1334" t="str">
        <f>VLOOKUP(LEFT(A2491,5),'11 - FINANCEIRA'!_xlnm.Print_Area,2,FALSE)</f>
        <v>INSTALAÇÕES ELÉTRICAS</v>
      </c>
      <c r="D2481" s="1334"/>
      <c r="E2481" s="1335"/>
      <c r="F2481" s="1334"/>
      <c r="G2481" s="2071"/>
      <c r="H2481" s="2072"/>
      <c r="I2481" s="2072"/>
      <c r="J2481" s="2072"/>
      <c r="K2481" s="2072"/>
      <c r="L2481" s="2072"/>
      <c r="M2481" s="1338"/>
      <c r="N2481" s="1339"/>
      <c r="O2481" s="2072"/>
      <c r="P2481" s="2072"/>
      <c r="Q2481" s="2072"/>
      <c r="R2481" s="2082"/>
      <c r="S2481" s="633"/>
      <c r="V2481" s="631">
        <f>SUM(V2482:V2543)</f>
        <v>0</v>
      </c>
    </row>
    <row r="2482" spans="1:36" s="632" customFormat="1" ht="15.6" hidden="1">
      <c r="A2482" s="630"/>
      <c r="B2482" s="1333" t="str">
        <f>LEFT(A2491,7)</f>
        <v>2.5.2.1</v>
      </c>
      <c r="C2482" s="1334" t="str">
        <f>VLOOKUP(LEFT(A2491,7),'11 - FINANCEIRA'!_xlnm.Print_Area,2,FALSE)</f>
        <v>Equipamentos (BDI = 14,02%)</v>
      </c>
      <c r="D2482" s="1334"/>
      <c r="E2482" s="1335"/>
      <c r="F2482" s="1334"/>
      <c r="G2482" s="2071"/>
      <c r="H2482" s="2072"/>
      <c r="I2482" s="2072"/>
      <c r="J2482" s="2072"/>
      <c r="K2482" s="2072"/>
      <c r="L2482" s="2072"/>
      <c r="M2482" s="1338"/>
      <c r="N2482" s="1339"/>
      <c r="O2482" s="2072"/>
      <c r="P2482" s="2072"/>
      <c r="Q2482" s="2072"/>
      <c r="R2482" s="2082"/>
      <c r="S2482" s="633"/>
      <c r="V2482" s="631">
        <f>SUM(V2483:V2512)</f>
        <v>0</v>
      </c>
    </row>
    <row r="2483" spans="1:36" s="352" customFormat="1" ht="15.6" hidden="1">
      <c r="A2483" s="351"/>
      <c r="B2483" s="1963" t="str">
        <f>VLOOKUP(A2491,'11 - FINANCEIRA'!_xlnm.Print_Area,1,FALSE)</f>
        <v>2.5.2.1.1</v>
      </c>
      <c r="C2483" s="1965" t="str">
        <f>VLOOKUP(A2491,'11 - FINANCEIRA'!_xlnm.Print_Area,3,FALSE)</f>
        <v>Fornecimento de sistema de distribuição de energia elétrica em média e baixa tensão da subestação pré-fabricada em estrutura metálica modular e transportável (eletrocentro laranja)(frete incluso) - BDI = 14,02</v>
      </c>
      <c r="D2483" s="1967" t="s">
        <v>1503</v>
      </c>
      <c r="E2483" s="1968"/>
      <c r="F2483" s="1968"/>
      <c r="G2483" s="1968"/>
      <c r="H2483" s="1968"/>
      <c r="I2483" s="1969"/>
      <c r="J2483" s="1914" t="s">
        <v>1927</v>
      </c>
      <c r="K2483" s="1914" t="s">
        <v>1505</v>
      </c>
      <c r="L2483" s="1914" t="s">
        <v>1506</v>
      </c>
      <c r="M2483" s="1914" t="s">
        <v>1507</v>
      </c>
      <c r="N2483" s="1914" t="s">
        <v>1508</v>
      </c>
      <c r="O2483" s="1914" t="s">
        <v>1509</v>
      </c>
      <c r="P2483" s="1341" t="s">
        <v>1510</v>
      </c>
      <c r="Q2483" s="1914" t="s">
        <v>1493</v>
      </c>
      <c r="R2483" s="1916" t="s">
        <v>804</v>
      </c>
      <c r="S2483" s="1914" t="s">
        <v>1511</v>
      </c>
      <c r="T2483" s="1914" t="s">
        <v>1512</v>
      </c>
      <c r="U2483" s="1918" t="s">
        <v>1513</v>
      </c>
      <c r="V2483" s="1418">
        <f t="shared" ref="V2483:V2490" si="252">V2484</f>
        <v>0</v>
      </c>
      <c r="W2483" s="16"/>
      <c r="X2483" s="16"/>
      <c r="Y2483" s="16"/>
      <c r="Z2483" s="17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</row>
    <row r="2484" spans="1:36" s="352" customFormat="1" ht="15.6" hidden="1">
      <c r="A2484" s="351"/>
      <c r="B2484" s="1964" t="e">
        <f>LEFT(#REF!,5)</f>
        <v>#REF!</v>
      </c>
      <c r="C2484" s="1966" t="e">
        <f>VLOOKUP(LEFT(#REF!,5),'11 - FINANCEIRA'!_xlnm.Print_Area,2,FALSE)</f>
        <v>#REF!</v>
      </c>
      <c r="D2484" s="1920" t="s">
        <v>1514</v>
      </c>
      <c r="E2484" s="1921"/>
      <c r="F2484" s="1922"/>
      <c r="G2484" s="1923" t="s">
        <v>1515</v>
      </c>
      <c r="H2484" s="1924"/>
      <c r="I2484" s="1925"/>
      <c r="J2484" s="1915"/>
      <c r="K2484" s="1915"/>
      <c r="L2484" s="1915"/>
      <c r="M2484" s="1915"/>
      <c r="N2484" s="1915"/>
      <c r="O2484" s="1915"/>
      <c r="P2484" s="353" t="s">
        <v>1516</v>
      </c>
      <c r="Q2484" s="1915"/>
      <c r="R2484" s="1917"/>
      <c r="S2484" s="1915"/>
      <c r="T2484" s="1915"/>
      <c r="U2484" s="1919"/>
      <c r="V2484" s="1418">
        <f t="shared" si="252"/>
        <v>0</v>
      </c>
      <c r="W2484" s="16"/>
      <c r="X2484" s="16"/>
      <c r="Y2484" s="16"/>
      <c r="Z2484" s="17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</row>
    <row r="2485" spans="1:36" s="361" customFormat="1" ht="45" hidden="1">
      <c r="A2485" s="354"/>
      <c r="B2485" s="355"/>
      <c r="C2485" s="28" t="s">
        <v>1120</v>
      </c>
      <c r="D2485" s="18"/>
      <c r="E2485" s="19"/>
      <c r="F2485" s="20"/>
      <c r="G2485" s="18"/>
      <c r="H2485" s="19"/>
      <c r="I2485" s="20"/>
      <c r="J2485" s="21"/>
      <c r="K2485" s="22"/>
      <c r="L2485" s="23"/>
      <c r="M2485" s="24"/>
      <c r="N2485" s="728"/>
      <c r="O2485" s="25"/>
      <c r="P2485" s="23"/>
      <c r="Q2485" s="848"/>
      <c r="R2485" s="1109">
        <v>0.8</v>
      </c>
      <c r="S2485" s="730" t="s">
        <v>816</v>
      </c>
      <c r="T2485" s="446" t="s">
        <v>322</v>
      </c>
      <c r="U2485" s="44"/>
      <c r="V2485" s="1418">
        <f t="shared" si="252"/>
        <v>0</v>
      </c>
      <c r="W2485" s="357"/>
      <c r="X2485" s="357"/>
      <c r="Y2485" s="357"/>
      <c r="Z2485" s="358"/>
      <c r="AA2485" s="359"/>
      <c r="AB2485" s="360"/>
    </row>
    <row r="2486" spans="1:36" s="361" customFormat="1" ht="15" hidden="1">
      <c r="A2486" s="354"/>
      <c r="B2486" s="355"/>
      <c r="C2486" s="32"/>
      <c r="D2486" s="33"/>
      <c r="E2486" s="34"/>
      <c r="F2486" s="35"/>
      <c r="G2486" s="33"/>
      <c r="H2486" s="34"/>
      <c r="I2486" s="35"/>
      <c r="J2486" s="43"/>
      <c r="K2486" s="42"/>
      <c r="L2486" s="39"/>
      <c r="M2486" s="41"/>
      <c r="N2486" s="356"/>
      <c r="O2486" s="40"/>
      <c r="P2486" s="39"/>
      <c r="Q2486" s="45"/>
      <c r="R2486" s="362"/>
      <c r="S2486" s="363"/>
      <c r="T2486" s="46"/>
      <c r="U2486" s="44"/>
      <c r="V2486" s="1418">
        <f t="shared" si="252"/>
        <v>0</v>
      </c>
      <c r="W2486" s="357"/>
      <c r="X2486" s="357"/>
      <c r="Y2486" s="357"/>
      <c r="Z2486" s="358"/>
      <c r="AA2486" s="359"/>
      <c r="AB2486" s="360"/>
    </row>
    <row r="2487" spans="1:36" s="369" customFormat="1" ht="15" hidden="1">
      <c r="A2487" s="364"/>
      <c r="B2487" s="355"/>
      <c r="C2487" s="32"/>
      <c r="D2487" s="33"/>
      <c r="E2487" s="34"/>
      <c r="F2487" s="35"/>
      <c r="G2487" s="33"/>
      <c r="H2487" s="34"/>
      <c r="I2487" s="35"/>
      <c r="J2487" s="43"/>
      <c r="K2487" s="42"/>
      <c r="L2487" s="39"/>
      <c r="M2487" s="41"/>
      <c r="N2487" s="40"/>
      <c r="O2487" s="40"/>
      <c r="P2487" s="39"/>
      <c r="Q2487" s="38"/>
      <c r="R2487" s="365"/>
      <c r="S2487" s="366"/>
      <c r="T2487" s="46"/>
      <c r="U2487" s="44"/>
      <c r="V2487" s="1418">
        <f t="shared" si="252"/>
        <v>0</v>
      </c>
      <c r="W2487" s="367"/>
      <c r="X2487" s="367"/>
      <c r="Y2487" s="367"/>
      <c r="Z2487" s="368"/>
    </row>
    <row r="2488" spans="1:36" s="77" customFormat="1" ht="15" hidden="1">
      <c r="A2488" s="370"/>
      <c r="B2488" s="29"/>
      <c r="C2488" s="30"/>
      <c r="D2488" s="18"/>
      <c r="E2488" s="19"/>
      <c r="F2488" s="20"/>
      <c r="G2488" s="18"/>
      <c r="H2488" s="19"/>
      <c r="I2488" s="20"/>
      <c r="J2488" s="21"/>
      <c r="K2488" s="22"/>
      <c r="L2488" s="23"/>
      <c r="M2488" s="24"/>
      <c r="N2488" s="25"/>
      <c r="O2488" s="25"/>
      <c r="P2488" s="23"/>
      <c r="Q2488" s="26"/>
      <c r="R2488" s="371"/>
      <c r="S2488" s="27"/>
      <c r="T2488" s="372"/>
      <c r="U2488" s="31"/>
      <c r="V2488" s="1418">
        <f t="shared" si="252"/>
        <v>0</v>
      </c>
      <c r="AB2488" s="15"/>
    </row>
    <row r="2489" spans="1:36" s="77" customFormat="1" ht="15.6" hidden="1">
      <c r="A2489" s="370"/>
      <c r="B2489" s="499"/>
      <c r="C2489" s="37"/>
      <c r="D2489" s="1929" t="s">
        <v>1520</v>
      </c>
      <c r="E2489" s="1930"/>
      <c r="F2489" s="1930"/>
      <c r="G2489" s="1930"/>
      <c r="H2489" s="1930"/>
      <c r="I2489" s="1931"/>
      <c r="J2489" s="1932">
        <f>VLOOKUP(A2491,'11 - FINANCEIRA'!_xlnm.Print_Area,6,FALSE)</f>
        <v>1</v>
      </c>
      <c r="K2489" s="1933"/>
      <c r="L2489" s="1343" t="str">
        <f>VLOOKUP(A2491,'11 - FINANCEIRA'!_xlnm.Print_Area,4,FALSE)</f>
        <v>und</v>
      </c>
      <c r="M2489" s="1934" t="s">
        <v>1521</v>
      </c>
      <c r="N2489" s="1935"/>
      <c r="O2489" s="1935"/>
      <c r="P2489" s="1935"/>
      <c r="Q2489" s="1936"/>
      <c r="R2489" s="726">
        <f>SUM(R2485:R2488)</f>
        <v>0.8</v>
      </c>
      <c r="S2489" s="1344" t="str">
        <f>L2489</f>
        <v>und</v>
      </c>
      <c r="T2489" s="373"/>
      <c r="U2489" s="486"/>
      <c r="V2489" s="1418">
        <f t="shared" si="252"/>
        <v>0</v>
      </c>
      <c r="AB2489" s="15"/>
    </row>
    <row r="2490" spans="1:36" s="77" customFormat="1" ht="15.6" hidden="1">
      <c r="A2490" s="370"/>
      <c r="B2490" s="499"/>
      <c r="C2490" s="725"/>
      <c r="D2490" s="1937" t="s">
        <v>1522</v>
      </c>
      <c r="E2490" s="1938"/>
      <c r="F2490" s="1938"/>
      <c r="G2490" s="1938"/>
      <c r="H2490" s="1938"/>
      <c r="I2490" s="1939"/>
      <c r="J2490" s="1943">
        <f>R2489/J2489</f>
        <v>0.8</v>
      </c>
      <c r="K2490" s="1944"/>
      <c r="L2490" s="1947"/>
      <c r="M2490" s="1934" t="s">
        <v>1523</v>
      </c>
      <c r="N2490" s="1935"/>
      <c r="O2490" s="1935"/>
      <c r="P2490" s="1935"/>
      <c r="Q2490" s="1936"/>
      <c r="R2490" s="726">
        <f>VLOOKUP(A2491,'11 - FINANCEIRA'!_xlnm.Print_Area,8,FALSE)</f>
        <v>0.8</v>
      </c>
      <c r="S2490" s="727" t="str">
        <f>L2489</f>
        <v>und</v>
      </c>
      <c r="T2490" s="373"/>
      <c r="U2490" s="486"/>
      <c r="V2490" s="1418">
        <f t="shared" si="252"/>
        <v>0</v>
      </c>
      <c r="AB2490" s="15"/>
    </row>
    <row r="2491" spans="1:36" s="77" customFormat="1" ht="15.6" hidden="1">
      <c r="A2491" s="364" t="s">
        <v>555</v>
      </c>
      <c r="B2491" s="499"/>
      <c r="C2491" s="37"/>
      <c r="D2491" s="2013"/>
      <c r="E2491" s="2014"/>
      <c r="F2491" s="2014"/>
      <c r="G2491" s="2014"/>
      <c r="H2491" s="2014"/>
      <c r="I2491" s="2015"/>
      <c r="J2491" s="2016"/>
      <c r="K2491" s="2017"/>
      <c r="L2491" s="1962"/>
      <c r="M2491" s="2007" t="s">
        <v>1524</v>
      </c>
      <c r="N2491" s="2008"/>
      <c r="O2491" s="2008"/>
      <c r="P2491" s="2008"/>
      <c r="Q2491" s="2009"/>
      <c r="R2491" s="1345">
        <f>R2489-R2490</f>
        <v>0</v>
      </c>
      <c r="S2491" s="1346" t="str">
        <f>L2489</f>
        <v>und</v>
      </c>
      <c r="T2491" s="373"/>
      <c r="U2491" s="486"/>
      <c r="V2491" s="1418">
        <f>R2491</f>
        <v>0</v>
      </c>
      <c r="AB2491" s="15"/>
    </row>
    <row r="2492" spans="1:36" s="77" customFormat="1" ht="15.6" hidden="1">
      <c r="A2492" s="370"/>
      <c r="B2492" s="1347"/>
      <c r="C2492" s="1348"/>
      <c r="D2492" s="1349"/>
      <c r="E2492" s="1350"/>
      <c r="F2492" s="1349"/>
      <c r="G2492" s="1349"/>
      <c r="H2492" s="1349"/>
      <c r="I2492" s="1349"/>
      <c r="J2492" s="1351"/>
      <c r="K2492" s="1352"/>
      <c r="L2492" s="1353"/>
      <c r="M2492" s="1354"/>
      <c r="N2492" s="1354"/>
      <c r="O2492" s="1354"/>
      <c r="P2492" s="1354"/>
      <c r="Q2492" s="1354"/>
      <c r="R2492" s="1355"/>
      <c r="S2492" s="1356"/>
      <c r="T2492" s="1357"/>
      <c r="U2492" s="1358"/>
      <c r="V2492" s="1420">
        <f>SUM(V2483:V2491)</f>
        <v>0</v>
      </c>
      <c r="AB2492" s="15"/>
    </row>
    <row r="2493" spans="1:36" s="352" customFormat="1" ht="15.6" hidden="1">
      <c r="A2493" s="351"/>
      <c r="B2493" s="1963" t="str">
        <f>VLOOKUP(A2501,'11 - FINANCEIRA'!_xlnm.Print_Area,1,FALSE)</f>
        <v>2.5.2.1.2</v>
      </c>
      <c r="C2493" s="1965" t="str">
        <f>VLOOKUP(A2501,'11 - FINANCEIRA'!_xlnm.Print_Area,3,FALSE)</f>
        <v>Fornecimento de grupo gerador c18 – em carenagem acústica 82 db (a) @ 1,5 m – 938kva / 750kw – 850kva / 680kw – 440/254v v, com disjuntor de proteção manual e painel de comando emcp 4.2 - BDI = 14,02</v>
      </c>
      <c r="D2493" s="1967" t="s">
        <v>1503</v>
      </c>
      <c r="E2493" s="1968"/>
      <c r="F2493" s="1968"/>
      <c r="G2493" s="1968"/>
      <c r="H2493" s="1968"/>
      <c r="I2493" s="1969"/>
      <c r="J2493" s="1914" t="s">
        <v>1504</v>
      </c>
      <c r="K2493" s="1914" t="s">
        <v>1505</v>
      </c>
      <c r="L2493" s="1914" t="s">
        <v>1506</v>
      </c>
      <c r="M2493" s="1914" t="s">
        <v>1507</v>
      </c>
      <c r="N2493" s="1914" t="s">
        <v>1508</v>
      </c>
      <c r="O2493" s="1914" t="s">
        <v>1509</v>
      </c>
      <c r="P2493" s="1341" t="s">
        <v>1510</v>
      </c>
      <c r="Q2493" s="1914" t="s">
        <v>1493</v>
      </c>
      <c r="R2493" s="1916" t="s">
        <v>804</v>
      </c>
      <c r="S2493" s="1914" t="s">
        <v>1511</v>
      </c>
      <c r="T2493" s="1914" t="s">
        <v>1512</v>
      </c>
      <c r="U2493" s="1918" t="s">
        <v>1513</v>
      </c>
      <c r="V2493" s="1418">
        <f t="shared" ref="V2493:V2500" si="253">V2494</f>
        <v>0</v>
      </c>
      <c r="W2493" s="16"/>
      <c r="X2493" s="16"/>
      <c r="Y2493" s="16"/>
      <c r="Z2493" s="17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</row>
    <row r="2494" spans="1:36" s="352" customFormat="1" ht="15.6" hidden="1">
      <c r="A2494" s="351"/>
      <c r="B2494" s="1964" t="e">
        <f>LEFT(#REF!,5)</f>
        <v>#REF!</v>
      </c>
      <c r="C2494" s="1966" t="e">
        <f>VLOOKUP(LEFT(#REF!,5),'11 - FINANCEIRA'!_xlnm.Print_Area,2,FALSE)</f>
        <v>#REF!</v>
      </c>
      <c r="D2494" s="1920" t="s">
        <v>1514</v>
      </c>
      <c r="E2494" s="1921"/>
      <c r="F2494" s="1922"/>
      <c r="G2494" s="1923" t="s">
        <v>1515</v>
      </c>
      <c r="H2494" s="1924"/>
      <c r="I2494" s="1925"/>
      <c r="J2494" s="1915"/>
      <c r="K2494" s="1915"/>
      <c r="L2494" s="1915"/>
      <c r="M2494" s="1915"/>
      <c r="N2494" s="1915"/>
      <c r="O2494" s="1915"/>
      <c r="P2494" s="353" t="s">
        <v>1516</v>
      </c>
      <c r="Q2494" s="1915"/>
      <c r="R2494" s="1917"/>
      <c r="S2494" s="1915"/>
      <c r="T2494" s="1915"/>
      <c r="U2494" s="1919"/>
      <c r="V2494" s="1418">
        <f t="shared" si="253"/>
        <v>0</v>
      </c>
      <c r="W2494" s="16"/>
      <c r="X2494" s="16"/>
      <c r="Y2494" s="16"/>
      <c r="Z2494" s="17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</row>
    <row r="2495" spans="1:36" s="361" customFormat="1" ht="45" hidden="1">
      <c r="A2495" s="354"/>
      <c r="B2495" s="355"/>
      <c r="C2495" s="28" t="s">
        <v>1122</v>
      </c>
      <c r="D2495" s="18"/>
      <c r="E2495" s="19"/>
      <c r="F2495" s="20"/>
      <c r="G2495" s="18"/>
      <c r="H2495" s="19"/>
      <c r="I2495" s="20"/>
      <c r="J2495" s="21"/>
      <c r="K2495" s="22"/>
      <c r="L2495" s="23"/>
      <c r="M2495" s="24"/>
      <c r="N2495" s="728"/>
      <c r="O2495" s="25"/>
      <c r="P2495" s="23"/>
      <c r="Q2495" s="729"/>
      <c r="R2495" s="1109">
        <v>2</v>
      </c>
      <c r="S2495" s="730" t="s">
        <v>816</v>
      </c>
      <c r="T2495" s="446" t="s">
        <v>322</v>
      </c>
      <c r="U2495" s="793"/>
      <c r="V2495" s="1418">
        <f t="shared" si="253"/>
        <v>0</v>
      </c>
      <c r="W2495" s="357"/>
      <c r="X2495" s="357"/>
      <c r="Y2495" s="357"/>
      <c r="Z2495" s="358"/>
      <c r="AA2495" s="359"/>
      <c r="AB2495" s="360"/>
    </row>
    <row r="2496" spans="1:36" s="361" customFormat="1" ht="15" hidden="1">
      <c r="A2496" s="354"/>
      <c r="B2496" s="355"/>
      <c r="C2496" s="32"/>
      <c r="D2496" s="33"/>
      <c r="E2496" s="34"/>
      <c r="F2496" s="35"/>
      <c r="G2496" s="33"/>
      <c r="H2496" s="34"/>
      <c r="I2496" s="35"/>
      <c r="J2496" s="43"/>
      <c r="K2496" s="42"/>
      <c r="L2496" s="39"/>
      <c r="M2496" s="41"/>
      <c r="N2496" s="356"/>
      <c r="O2496" s="40"/>
      <c r="P2496" s="39"/>
      <c r="Q2496" s="45"/>
      <c r="R2496" s="362"/>
      <c r="S2496" s="363"/>
      <c r="T2496" s="46"/>
      <c r="U2496" s="44"/>
      <c r="V2496" s="1418">
        <f t="shared" si="253"/>
        <v>0</v>
      </c>
      <c r="W2496" s="357"/>
      <c r="X2496" s="357"/>
      <c r="Y2496" s="357"/>
      <c r="Z2496" s="358"/>
      <c r="AA2496" s="359"/>
      <c r="AB2496" s="360"/>
    </row>
    <row r="2497" spans="1:36" s="369" customFormat="1" ht="15" hidden="1">
      <c r="A2497" s="364"/>
      <c r="B2497" s="355"/>
      <c r="C2497" s="32"/>
      <c r="D2497" s="33"/>
      <c r="E2497" s="34"/>
      <c r="F2497" s="35"/>
      <c r="G2497" s="33"/>
      <c r="H2497" s="34"/>
      <c r="I2497" s="35"/>
      <c r="J2497" s="43"/>
      <c r="K2497" s="42"/>
      <c r="L2497" s="39"/>
      <c r="M2497" s="41"/>
      <c r="N2497" s="40"/>
      <c r="O2497" s="40"/>
      <c r="P2497" s="39"/>
      <c r="Q2497" s="38"/>
      <c r="R2497" s="365"/>
      <c r="S2497" s="366"/>
      <c r="T2497" s="46"/>
      <c r="U2497" s="44"/>
      <c r="V2497" s="1418">
        <f t="shared" si="253"/>
        <v>0</v>
      </c>
      <c r="W2497" s="367"/>
      <c r="X2497" s="367"/>
      <c r="Y2497" s="367"/>
      <c r="Z2497" s="368"/>
    </row>
    <row r="2498" spans="1:36" s="77" customFormat="1" ht="15" hidden="1">
      <c r="A2498" s="370"/>
      <c r="B2498" s="29"/>
      <c r="C2498" s="30"/>
      <c r="D2498" s="18"/>
      <c r="E2498" s="19"/>
      <c r="F2498" s="20"/>
      <c r="G2498" s="18"/>
      <c r="H2498" s="19"/>
      <c r="I2498" s="20"/>
      <c r="J2498" s="21"/>
      <c r="K2498" s="22"/>
      <c r="L2498" s="23"/>
      <c r="M2498" s="24"/>
      <c r="N2498" s="25"/>
      <c r="O2498" s="25"/>
      <c r="P2498" s="23"/>
      <c r="Q2498" s="26"/>
      <c r="R2498" s="371"/>
      <c r="S2498" s="27"/>
      <c r="T2498" s="372"/>
      <c r="U2498" s="31"/>
      <c r="V2498" s="1418">
        <f t="shared" si="253"/>
        <v>0</v>
      </c>
      <c r="AB2498" s="15"/>
    </row>
    <row r="2499" spans="1:36" s="77" customFormat="1" ht="15.6" hidden="1">
      <c r="A2499" s="370"/>
      <c r="B2499" s="499"/>
      <c r="C2499" s="37"/>
      <c r="D2499" s="1929" t="s">
        <v>1520</v>
      </c>
      <c r="E2499" s="1930"/>
      <c r="F2499" s="1930"/>
      <c r="G2499" s="1930"/>
      <c r="H2499" s="1930"/>
      <c r="I2499" s="1931"/>
      <c r="J2499" s="1932">
        <f>VLOOKUP(A2501,'11 - FINANCEIRA'!_xlnm.Print_Area,6,FALSE)</f>
        <v>2</v>
      </c>
      <c r="K2499" s="1933"/>
      <c r="L2499" s="1343" t="str">
        <f>VLOOKUP(A2501,'11 - FINANCEIRA'!_xlnm.Print_Area,4,FALSE)</f>
        <v>und</v>
      </c>
      <c r="M2499" s="1934" t="s">
        <v>1521</v>
      </c>
      <c r="N2499" s="1935"/>
      <c r="O2499" s="1935"/>
      <c r="P2499" s="1935"/>
      <c r="Q2499" s="1936"/>
      <c r="R2499" s="726">
        <f>SUM(R2495:R2498)</f>
        <v>2</v>
      </c>
      <c r="S2499" s="1344" t="str">
        <f>L2499</f>
        <v>und</v>
      </c>
      <c r="T2499" s="373"/>
      <c r="U2499" s="486"/>
      <c r="V2499" s="1418">
        <f t="shared" si="253"/>
        <v>0</v>
      </c>
      <c r="AB2499" s="15"/>
    </row>
    <row r="2500" spans="1:36" s="77" customFormat="1" ht="15.6" hidden="1">
      <c r="A2500" s="370"/>
      <c r="B2500" s="499"/>
      <c r="C2500" s="725"/>
      <c r="D2500" s="1937" t="s">
        <v>1522</v>
      </c>
      <c r="E2500" s="1938"/>
      <c r="F2500" s="1938"/>
      <c r="G2500" s="1938"/>
      <c r="H2500" s="1938"/>
      <c r="I2500" s="1939"/>
      <c r="J2500" s="1943">
        <f>R2499/J2499</f>
        <v>1</v>
      </c>
      <c r="K2500" s="1944"/>
      <c r="L2500" s="1947"/>
      <c r="M2500" s="1934" t="s">
        <v>1523</v>
      </c>
      <c r="N2500" s="1935"/>
      <c r="O2500" s="1935"/>
      <c r="P2500" s="1935"/>
      <c r="Q2500" s="1936"/>
      <c r="R2500" s="726">
        <f>VLOOKUP(A2501,'11 - FINANCEIRA'!_xlnm.Print_Area,8,FALSE)</f>
        <v>2</v>
      </c>
      <c r="S2500" s="727" t="str">
        <f>L2499</f>
        <v>und</v>
      </c>
      <c r="T2500" s="373"/>
      <c r="U2500" s="486"/>
      <c r="V2500" s="1418">
        <f t="shared" si="253"/>
        <v>0</v>
      </c>
      <c r="AB2500" s="15"/>
    </row>
    <row r="2501" spans="1:36" s="77" customFormat="1" ht="15.6" hidden="1">
      <c r="A2501" s="364" t="s">
        <v>556</v>
      </c>
      <c r="B2501" s="499"/>
      <c r="C2501" s="37"/>
      <c r="D2501" s="2013"/>
      <c r="E2501" s="2014"/>
      <c r="F2501" s="2014"/>
      <c r="G2501" s="2014"/>
      <c r="H2501" s="2014"/>
      <c r="I2501" s="2015"/>
      <c r="J2501" s="2016"/>
      <c r="K2501" s="2017"/>
      <c r="L2501" s="1962"/>
      <c r="M2501" s="2007" t="s">
        <v>1524</v>
      </c>
      <c r="N2501" s="2008"/>
      <c r="O2501" s="2008"/>
      <c r="P2501" s="2008"/>
      <c r="Q2501" s="2009"/>
      <c r="R2501" s="1345">
        <f>R2499-R2500</f>
        <v>0</v>
      </c>
      <c r="S2501" s="1346" t="str">
        <f>L2499</f>
        <v>und</v>
      </c>
      <c r="T2501" s="373"/>
      <c r="U2501" s="486"/>
      <c r="V2501" s="1418">
        <f>R2501</f>
        <v>0</v>
      </c>
      <c r="AB2501" s="15"/>
    </row>
    <row r="2502" spans="1:36" s="77" customFormat="1" ht="15.6" hidden="1">
      <c r="A2502" s="370"/>
      <c r="B2502" s="1347"/>
      <c r="C2502" s="1348"/>
      <c r="D2502" s="1349"/>
      <c r="E2502" s="1350"/>
      <c r="F2502" s="1349"/>
      <c r="G2502" s="1349"/>
      <c r="H2502" s="1349"/>
      <c r="I2502" s="1349"/>
      <c r="J2502" s="1351"/>
      <c r="K2502" s="1352"/>
      <c r="L2502" s="1353"/>
      <c r="M2502" s="1354"/>
      <c r="N2502" s="1354"/>
      <c r="O2502" s="1354"/>
      <c r="P2502" s="1354"/>
      <c r="Q2502" s="1354"/>
      <c r="R2502" s="1355"/>
      <c r="S2502" s="1356"/>
      <c r="T2502" s="1357"/>
      <c r="U2502" s="1358"/>
      <c r="V2502" s="1420">
        <f>SUM(V2493:V2501)</f>
        <v>0</v>
      </c>
      <c r="AB2502" s="15"/>
    </row>
    <row r="2503" spans="1:36" s="352" customFormat="1" ht="15.6" hidden="1">
      <c r="A2503" s="351"/>
      <c r="B2503" s="1963" t="str">
        <f>VLOOKUP(A2511,'11 - FINANCEIRA'!_xlnm.Print_Area,1,FALSE)</f>
        <v>2.5.2.1.3</v>
      </c>
      <c r="C2503" s="1965" t="str">
        <f>VLOOKUP(A2511,'11 - FINANCEIRA'!_xlnm.Print_Area,3,FALSE)</f>
        <v>Tanque metálico – 3000 l - BDI = 14,02</v>
      </c>
      <c r="D2503" s="1967" t="s">
        <v>1503</v>
      </c>
      <c r="E2503" s="1968"/>
      <c r="F2503" s="1968"/>
      <c r="G2503" s="1968"/>
      <c r="H2503" s="1968"/>
      <c r="I2503" s="1969"/>
      <c r="J2503" s="1914" t="s">
        <v>1504</v>
      </c>
      <c r="K2503" s="1914" t="s">
        <v>1505</v>
      </c>
      <c r="L2503" s="1914" t="s">
        <v>1506</v>
      </c>
      <c r="M2503" s="1914" t="s">
        <v>1507</v>
      </c>
      <c r="N2503" s="1914" t="s">
        <v>1508</v>
      </c>
      <c r="O2503" s="1914" t="s">
        <v>1509</v>
      </c>
      <c r="P2503" s="1341" t="s">
        <v>1510</v>
      </c>
      <c r="Q2503" s="1914" t="s">
        <v>1493</v>
      </c>
      <c r="R2503" s="1916" t="s">
        <v>804</v>
      </c>
      <c r="S2503" s="1914" t="s">
        <v>1511</v>
      </c>
      <c r="T2503" s="1914" t="s">
        <v>1512</v>
      </c>
      <c r="U2503" s="1918" t="s">
        <v>1513</v>
      </c>
      <c r="V2503" s="1418">
        <f t="shared" ref="V2503:V2510" si="254">V2504</f>
        <v>0</v>
      </c>
      <c r="W2503" s="16"/>
      <c r="X2503" s="16"/>
      <c r="Y2503" s="16"/>
      <c r="Z2503" s="17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</row>
    <row r="2504" spans="1:36" s="352" customFormat="1" ht="15.6" hidden="1">
      <c r="A2504" s="351"/>
      <c r="B2504" s="1964" t="e">
        <f>LEFT(#REF!,5)</f>
        <v>#REF!</v>
      </c>
      <c r="C2504" s="1966" t="e">
        <f>VLOOKUP(LEFT(#REF!,5),'11 - FINANCEIRA'!_xlnm.Print_Area,2,FALSE)</f>
        <v>#REF!</v>
      </c>
      <c r="D2504" s="1920" t="s">
        <v>1514</v>
      </c>
      <c r="E2504" s="1921"/>
      <c r="F2504" s="1922"/>
      <c r="G2504" s="1923" t="s">
        <v>1515</v>
      </c>
      <c r="H2504" s="1924"/>
      <c r="I2504" s="1925"/>
      <c r="J2504" s="1915"/>
      <c r="K2504" s="1915"/>
      <c r="L2504" s="1915"/>
      <c r="M2504" s="1915"/>
      <c r="N2504" s="1915"/>
      <c r="O2504" s="1915"/>
      <c r="P2504" s="353" t="s">
        <v>1516</v>
      </c>
      <c r="Q2504" s="1915"/>
      <c r="R2504" s="1917"/>
      <c r="S2504" s="1915"/>
      <c r="T2504" s="1915"/>
      <c r="U2504" s="1919"/>
      <c r="V2504" s="1418">
        <f t="shared" si="254"/>
        <v>0</v>
      </c>
      <c r="W2504" s="16"/>
      <c r="X2504" s="16"/>
      <c r="Y2504" s="16"/>
      <c r="Z2504" s="17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</row>
    <row r="2505" spans="1:36" s="361" customFormat="1" ht="15" hidden="1" customHeight="1">
      <c r="A2505" s="354"/>
      <c r="B2505" s="355"/>
      <c r="C2505" s="32" t="s">
        <v>1124</v>
      </c>
      <c r="D2505" s="33"/>
      <c r="E2505" s="34"/>
      <c r="F2505" s="35"/>
      <c r="G2505" s="33"/>
      <c r="H2505" s="34"/>
      <c r="I2505" s="35"/>
      <c r="J2505" s="43"/>
      <c r="K2505" s="42"/>
      <c r="L2505" s="39"/>
      <c r="M2505" s="41"/>
      <c r="N2505" s="356"/>
      <c r="O2505" s="40"/>
      <c r="P2505" s="39"/>
      <c r="Q2505" s="45"/>
      <c r="R2505" s="1359">
        <v>1</v>
      </c>
      <c r="S2505" s="1265" t="s">
        <v>816</v>
      </c>
      <c r="T2505" s="46" t="s">
        <v>325</v>
      </c>
      <c r="U2505" s="44"/>
      <c r="V2505" s="1418">
        <f t="shared" si="254"/>
        <v>0</v>
      </c>
      <c r="W2505" s="357"/>
      <c r="X2505" s="357"/>
      <c r="Y2505" s="357"/>
      <c r="Z2505" s="358"/>
      <c r="AA2505" s="359"/>
      <c r="AB2505" s="360"/>
    </row>
    <row r="2506" spans="1:36" s="361" customFormat="1" ht="15" hidden="1" customHeight="1">
      <c r="A2506" s="354"/>
      <c r="B2506" s="355"/>
      <c r="C2506" s="32"/>
      <c r="D2506" s="33"/>
      <c r="E2506" s="34"/>
      <c r="F2506" s="35"/>
      <c r="G2506" s="33"/>
      <c r="H2506" s="34"/>
      <c r="I2506" s="35"/>
      <c r="J2506" s="43"/>
      <c r="K2506" s="42"/>
      <c r="L2506" s="39"/>
      <c r="M2506" s="41"/>
      <c r="N2506" s="356"/>
      <c r="O2506" s="40"/>
      <c r="P2506" s="39"/>
      <c r="Q2506" s="45"/>
      <c r="R2506" s="362"/>
      <c r="S2506" s="363"/>
      <c r="T2506" s="46"/>
      <c r="U2506" s="44"/>
      <c r="V2506" s="1418">
        <f t="shared" si="254"/>
        <v>0</v>
      </c>
      <c r="W2506" s="357"/>
      <c r="X2506" s="357"/>
      <c r="Y2506" s="357"/>
      <c r="Z2506" s="358"/>
      <c r="AA2506" s="359"/>
      <c r="AB2506" s="360"/>
    </row>
    <row r="2507" spans="1:36" s="369" customFormat="1" ht="15" hidden="1">
      <c r="A2507" s="364"/>
      <c r="B2507" s="355"/>
      <c r="C2507" s="32"/>
      <c r="D2507" s="33"/>
      <c r="E2507" s="34"/>
      <c r="F2507" s="35"/>
      <c r="G2507" s="33"/>
      <c r="H2507" s="34"/>
      <c r="I2507" s="35"/>
      <c r="J2507" s="43"/>
      <c r="K2507" s="42"/>
      <c r="L2507" s="39"/>
      <c r="M2507" s="41"/>
      <c r="N2507" s="40"/>
      <c r="O2507" s="40"/>
      <c r="P2507" s="39"/>
      <c r="Q2507" s="38"/>
      <c r="R2507" s="365"/>
      <c r="S2507" s="366"/>
      <c r="T2507" s="46"/>
      <c r="U2507" s="44"/>
      <c r="V2507" s="1418">
        <f t="shared" si="254"/>
        <v>0</v>
      </c>
      <c r="W2507" s="367"/>
      <c r="X2507" s="367"/>
      <c r="Y2507" s="367"/>
      <c r="Z2507" s="368"/>
    </row>
    <row r="2508" spans="1:36" s="77" customFormat="1" ht="15" hidden="1">
      <c r="A2508" s="370"/>
      <c r="B2508" s="29"/>
      <c r="C2508" s="30"/>
      <c r="D2508" s="18"/>
      <c r="E2508" s="19"/>
      <c r="F2508" s="20"/>
      <c r="G2508" s="18"/>
      <c r="H2508" s="19"/>
      <c r="I2508" s="20"/>
      <c r="J2508" s="21"/>
      <c r="K2508" s="22"/>
      <c r="L2508" s="23"/>
      <c r="M2508" s="24"/>
      <c r="N2508" s="25"/>
      <c r="O2508" s="25"/>
      <c r="P2508" s="23"/>
      <c r="Q2508" s="26"/>
      <c r="R2508" s="371"/>
      <c r="S2508" s="27"/>
      <c r="T2508" s="372"/>
      <c r="U2508" s="31"/>
      <c r="V2508" s="1418">
        <f t="shared" si="254"/>
        <v>0</v>
      </c>
      <c r="AB2508" s="15"/>
    </row>
    <row r="2509" spans="1:36" s="77" customFormat="1" ht="15.6" hidden="1">
      <c r="A2509" s="370"/>
      <c r="B2509" s="499"/>
      <c r="C2509" s="37"/>
      <c r="D2509" s="1929" t="s">
        <v>1520</v>
      </c>
      <c r="E2509" s="1930"/>
      <c r="F2509" s="1930"/>
      <c r="G2509" s="1930"/>
      <c r="H2509" s="1930"/>
      <c r="I2509" s="1931"/>
      <c r="J2509" s="1932">
        <f>VLOOKUP(A2511,'11 - FINANCEIRA'!_xlnm.Print_Area,6,FALSE)</f>
        <v>1</v>
      </c>
      <c r="K2509" s="1933"/>
      <c r="L2509" s="1343" t="str">
        <f>VLOOKUP(A2511,'11 - FINANCEIRA'!_xlnm.Print_Area,4,FALSE)</f>
        <v>und</v>
      </c>
      <c r="M2509" s="1934" t="s">
        <v>1521</v>
      </c>
      <c r="N2509" s="1935"/>
      <c r="O2509" s="1935"/>
      <c r="P2509" s="1935"/>
      <c r="Q2509" s="1936"/>
      <c r="R2509" s="726">
        <f>SUM(R2505:R2508)</f>
        <v>1</v>
      </c>
      <c r="S2509" s="1344" t="str">
        <f>L2509</f>
        <v>und</v>
      </c>
      <c r="T2509" s="373"/>
      <c r="U2509" s="486"/>
      <c r="V2509" s="1418">
        <f t="shared" si="254"/>
        <v>0</v>
      </c>
      <c r="AB2509" s="15"/>
    </row>
    <row r="2510" spans="1:36" s="77" customFormat="1" ht="15.6" hidden="1">
      <c r="A2510" s="370"/>
      <c r="B2510" s="499"/>
      <c r="C2510" s="725"/>
      <c r="D2510" s="1937" t="s">
        <v>1522</v>
      </c>
      <c r="E2510" s="1938"/>
      <c r="F2510" s="1938"/>
      <c r="G2510" s="1938"/>
      <c r="H2510" s="1938"/>
      <c r="I2510" s="1939"/>
      <c r="J2510" s="1943">
        <f>R2509/J2509</f>
        <v>1</v>
      </c>
      <c r="K2510" s="1944"/>
      <c r="L2510" s="1947"/>
      <c r="M2510" s="1934" t="s">
        <v>1523</v>
      </c>
      <c r="N2510" s="1935"/>
      <c r="O2510" s="1935"/>
      <c r="P2510" s="1935"/>
      <c r="Q2510" s="1936"/>
      <c r="R2510" s="726">
        <f>VLOOKUP(A2511,'11 - FINANCEIRA'!_xlnm.Print_Area,8,FALSE)</f>
        <v>1</v>
      </c>
      <c r="S2510" s="727" t="str">
        <f>L2509</f>
        <v>und</v>
      </c>
      <c r="T2510" s="373"/>
      <c r="U2510" s="486"/>
      <c r="V2510" s="1418">
        <f t="shared" si="254"/>
        <v>0</v>
      </c>
      <c r="AB2510" s="15"/>
    </row>
    <row r="2511" spans="1:36" s="77" customFormat="1" ht="15.6" hidden="1">
      <c r="A2511" s="364" t="s">
        <v>557</v>
      </c>
      <c r="B2511" s="499"/>
      <c r="C2511" s="37"/>
      <c r="D2511" s="2013"/>
      <c r="E2511" s="2014"/>
      <c r="F2511" s="2014"/>
      <c r="G2511" s="2014"/>
      <c r="H2511" s="2014"/>
      <c r="I2511" s="2015"/>
      <c r="J2511" s="2016"/>
      <c r="K2511" s="2017"/>
      <c r="L2511" s="1962"/>
      <c r="M2511" s="2007" t="s">
        <v>1524</v>
      </c>
      <c r="N2511" s="2008"/>
      <c r="O2511" s="2008"/>
      <c r="P2511" s="2008"/>
      <c r="Q2511" s="2009"/>
      <c r="R2511" s="1345">
        <f>R2509-R2510</f>
        <v>0</v>
      </c>
      <c r="S2511" s="1346" t="str">
        <f>L2509</f>
        <v>und</v>
      </c>
      <c r="T2511" s="373"/>
      <c r="U2511" s="486"/>
      <c r="V2511" s="1418">
        <f>R2511</f>
        <v>0</v>
      </c>
      <c r="AB2511" s="15"/>
    </row>
    <row r="2512" spans="1:36" s="77" customFormat="1" ht="15.6" hidden="1">
      <c r="A2512" s="370"/>
      <c r="B2512" s="1347"/>
      <c r="C2512" s="1348"/>
      <c r="D2512" s="1349"/>
      <c r="E2512" s="1350"/>
      <c r="F2512" s="1349"/>
      <c r="G2512" s="1349"/>
      <c r="H2512" s="1349"/>
      <c r="I2512" s="1349"/>
      <c r="J2512" s="1351"/>
      <c r="K2512" s="1352"/>
      <c r="L2512" s="1353"/>
      <c r="M2512" s="1354"/>
      <c r="N2512" s="1354"/>
      <c r="O2512" s="1354"/>
      <c r="P2512" s="1354"/>
      <c r="Q2512" s="1354"/>
      <c r="R2512" s="1355"/>
      <c r="S2512" s="1356"/>
      <c r="T2512" s="1357"/>
      <c r="U2512" s="1358"/>
      <c r="V2512" s="1420">
        <f>SUM(V2503:V2511)</f>
        <v>0</v>
      </c>
      <c r="AB2512" s="15"/>
    </row>
    <row r="2513" spans="1:36" s="632" customFormat="1" ht="15.6" hidden="1">
      <c r="A2513" s="630"/>
      <c r="B2513" s="1333" t="str">
        <f>LEFT(A2522,7)</f>
        <v>2.5.2.2</v>
      </c>
      <c r="C2513" s="1334" t="str">
        <f>VLOOKUP(LEFT(A2522,7),'11 - FINANCEIRA'!_xlnm.Print_Area,2,FALSE)</f>
        <v>Instalação de Equipamentos (BDI = 14,02%)</v>
      </c>
      <c r="D2513" s="1334"/>
      <c r="E2513" s="1335"/>
      <c r="F2513" s="1334"/>
      <c r="G2513" s="2071"/>
      <c r="H2513" s="2072"/>
      <c r="I2513" s="2072"/>
      <c r="J2513" s="2072"/>
      <c r="K2513" s="2072"/>
      <c r="L2513" s="2072"/>
      <c r="M2513" s="1338"/>
      <c r="N2513" s="1339"/>
      <c r="O2513" s="2072"/>
      <c r="P2513" s="2072"/>
      <c r="Q2513" s="2072"/>
      <c r="R2513" s="2082"/>
      <c r="S2513" s="633"/>
      <c r="V2513" s="631">
        <f>SUM(V2514:V2543)</f>
        <v>0</v>
      </c>
    </row>
    <row r="2514" spans="1:36" s="352" customFormat="1" ht="15.6" hidden="1">
      <c r="A2514" s="351"/>
      <c r="B2514" s="1963" t="str">
        <f>VLOOKUP(A2522,'11 - FINANCEIRA'!_xlnm.Print_Area,1,FALSE)</f>
        <v>2.5.2.2.1</v>
      </c>
      <c r="C2514" s="1965" t="str">
        <f>VLOOKUP(A2522,'11 - FINANCEIRA'!_xlnm.Print_Area,3,FALSE)</f>
        <v>Instalação de sistema de distribuição de energia elétrica em média e baixa tensão da subestação pré-fabricada em estrutura metálica modular e transportável (eletrocentro)tudo incluso (mão de obra, materiais, serviços, testes, entre outros)</v>
      </c>
      <c r="D2514" s="1967" t="s">
        <v>1503</v>
      </c>
      <c r="E2514" s="1968"/>
      <c r="F2514" s="1968"/>
      <c r="G2514" s="1968"/>
      <c r="H2514" s="1968"/>
      <c r="I2514" s="1969"/>
      <c r="J2514" s="1914" t="s">
        <v>1504</v>
      </c>
      <c r="K2514" s="1914" t="s">
        <v>1505</v>
      </c>
      <c r="L2514" s="1914" t="s">
        <v>1506</v>
      </c>
      <c r="M2514" s="1914" t="s">
        <v>1507</v>
      </c>
      <c r="N2514" s="1914" t="s">
        <v>1508</v>
      </c>
      <c r="O2514" s="1914" t="s">
        <v>1509</v>
      </c>
      <c r="P2514" s="1341" t="s">
        <v>1510</v>
      </c>
      <c r="Q2514" s="1914" t="s">
        <v>1493</v>
      </c>
      <c r="R2514" s="1916" t="s">
        <v>804</v>
      </c>
      <c r="S2514" s="1914" t="s">
        <v>1511</v>
      </c>
      <c r="T2514" s="1914" t="s">
        <v>1512</v>
      </c>
      <c r="U2514" s="1918" t="s">
        <v>1513</v>
      </c>
      <c r="V2514" s="1418">
        <f t="shared" ref="V2514:V2521" si="255">V2515</f>
        <v>0</v>
      </c>
      <c r="W2514" s="16"/>
      <c r="X2514" s="16"/>
      <c r="Y2514" s="16"/>
      <c r="Z2514" s="17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</row>
    <row r="2515" spans="1:36" s="352" customFormat="1" ht="15.6" hidden="1">
      <c r="A2515" s="351"/>
      <c r="B2515" s="1964" t="e">
        <f>LEFT(#REF!,5)</f>
        <v>#REF!</v>
      </c>
      <c r="C2515" s="1966" t="e">
        <f>VLOOKUP(LEFT(#REF!,5),'11 - FINANCEIRA'!_xlnm.Print_Area,2,FALSE)</f>
        <v>#REF!</v>
      </c>
      <c r="D2515" s="1920" t="s">
        <v>1514</v>
      </c>
      <c r="E2515" s="1921"/>
      <c r="F2515" s="1922"/>
      <c r="G2515" s="1923" t="s">
        <v>1515</v>
      </c>
      <c r="H2515" s="1924"/>
      <c r="I2515" s="1925"/>
      <c r="J2515" s="1915"/>
      <c r="K2515" s="1915"/>
      <c r="L2515" s="1915"/>
      <c r="M2515" s="1915"/>
      <c r="N2515" s="1915"/>
      <c r="O2515" s="1915"/>
      <c r="P2515" s="353" t="s">
        <v>1516</v>
      </c>
      <c r="Q2515" s="1915"/>
      <c r="R2515" s="1917"/>
      <c r="S2515" s="1915"/>
      <c r="T2515" s="1915"/>
      <c r="U2515" s="1919"/>
      <c r="V2515" s="1418">
        <f t="shared" si="255"/>
        <v>0</v>
      </c>
      <c r="W2515" s="16"/>
      <c r="X2515" s="16"/>
      <c r="Y2515" s="16"/>
      <c r="Z2515" s="17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</row>
    <row r="2516" spans="1:36" s="361" customFormat="1" ht="45" hidden="1">
      <c r="A2516" s="354"/>
      <c r="B2516" s="355"/>
      <c r="C2516" s="28" t="s">
        <v>1127</v>
      </c>
      <c r="D2516" s="18"/>
      <c r="E2516" s="19"/>
      <c r="F2516" s="20"/>
      <c r="G2516" s="18"/>
      <c r="H2516" s="19"/>
      <c r="I2516" s="20"/>
      <c r="J2516" s="21"/>
      <c r="K2516" s="22"/>
      <c r="L2516" s="23"/>
      <c r="M2516" s="24"/>
      <c r="N2516" s="728"/>
      <c r="O2516" s="25"/>
      <c r="P2516" s="23"/>
      <c r="Q2516" s="729"/>
      <c r="R2516" s="1109">
        <v>1</v>
      </c>
      <c r="S2516" s="730" t="s">
        <v>816</v>
      </c>
      <c r="T2516" s="446" t="s">
        <v>322</v>
      </c>
      <c r="U2516" s="44"/>
      <c r="V2516" s="1418">
        <f t="shared" si="255"/>
        <v>0</v>
      </c>
      <c r="W2516" s="357"/>
      <c r="X2516" s="357"/>
      <c r="Y2516" s="357"/>
      <c r="Z2516" s="358"/>
      <c r="AA2516" s="359"/>
      <c r="AB2516" s="360"/>
    </row>
    <row r="2517" spans="1:36" s="361" customFormat="1" ht="15" hidden="1" customHeight="1">
      <c r="A2517" s="354"/>
      <c r="B2517" s="355"/>
      <c r="C2517" s="32"/>
      <c r="D2517" s="33"/>
      <c r="E2517" s="34"/>
      <c r="F2517" s="35"/>
      <c r="G2517" s="33"/>
      <c r="H2517" s="34"/>
      <c r="I2517" s="35"/>
      <c r="J2517" s="43"/>
      <c r="K2517" s="42"/>
      <c r="L2517" s="39"/>
      <c r="M2517" s="41"/>
      <c r="N2517" s="356"/>
      <c r="O2517" s="40"/>
      <c r="P2517" s="39"/>
      <c r="Q2517" s="45"/>
      <c r="R2517" s="362"/>
      <c r="S2517" s="363"/>
      <c r="T2517" s="46"/>
      <c r="U2517" s="44"/>
      <c r="V2517" s="1418">
        <f t="shared" si="255"/>
        <v>0</v>
      </c>
      <c r="W2517" s="357"/>
      <c r="X2517" s="357"/>
      <c r="Y2517" s="357"/>
      <c r="Z2517" s="358"/>
      <c r="AA2517" s="359"/>
      <c r="AB2517" s="360"/>
    </row>
    <row r="2518" spans="1:36" s="369" customFormat="1" ht="15" hidden="1">
      <c r="A2518" s="364"/>
      <c r="B2518" s="355"/>
      <c r="C2518" s="32"/>
      <c r="D2518" s="33"/>
      <c r="E2518" s="34"/>
      <c r="F2518" s="35"/>
      <c r="G2518" s="33"/>
      <c r="H2518" s="34"/>
      <c r="I2518" s="35"/>
      <c r="J2518" s="43"/>
      <c r="K2518" s="42"/>
      <c r="L2518" s="39"/>
      <c r="M2518" s="41"/>
      <c r="N2518" s="40"/>
      <c r="O2518" s="40"/>
      <c r="P2518" s="39"/>
      <c r="Q2518" s="38"/>
      <c r="R2518" s="365"/>
      <c r="S2518" s="366"/>
      <c r="T2518" s="46"/>
      <c r="U2518" s="44"/>
      <c r="V2518" s="1418">
        <f t="shared" si="255"/>
        <v>0</v>
      </c>
      <c r="W2518" s="367"/>
      <c r="X2518" s="367"/>
      <c r="Y2518" s="367"/>
      <c r="Z2518" s="368"/>
    </row>
    <row r="2519" spans="1:36" s="77" customFormat="1" ht="15" hidden="1">
      <c r="A2519" s="370"/>
      <c r="B2519" s="29"/>
      <c r="C2519" s="30"/>
      <c r="D2519" s="18"/>
      <c r="E2519" s="19"/>
      <c r="F2519" s="20"/>
      <c r="G2519" s="18"/>
      <c r="H2519" s="19"/>
      <c r="I2519" s="20"/>
      <c r="J2519" s="21"/>
      <c r="K2519" s="22"/>
      <c r="L2519" s="23"/>
      <c r="M2519" s="24"/>
      <c r="N2519" s="25"/>
      <c r="O2519" s="25"/>
      <c r="P2519" s="23"/>
      <c r="Q2519" s="26"/>
      <c r="R2519" s="371"/>
      <c r="S2519" s="27"/>
      <c r="T2519" s="372"/>
      <c r="U2519" s="31"/>
      <c r="V2519" s="1418">
        <f t="shared" si="255"/>
        <v>0</v>
      </c>
      <c r="AB2519" s="15"/>
    </row>
    <row r="2520" spans="1:36" s="77" customFormat="1" ht="15.6" hidden="1">
      <c r="A2520" s="370"/>
      <c r="B2520" s="499"/>
      <c r="C2520" s="37"/>
      <c r="D2520" s="1929" t="s">
        <v>1520</v>
      </c>
      <c r="E2520" s="1930"/>
      <c r="F2520" s="1930"/>
      <c r="G2520" s="1930"/>
      <c r="H2520" s="1930"/>
      <c r="I2520" s="1931"/>
      <c r="J2520" s="1932">
        <f>VLOOKUP(A2522,'11 - FINANCEIRA'!_xlnm.Print_Area,6,FALSE)</f>
        <v>1</v>
      </c>
      <c r="K2520" s="1933"/>
      <c r="L2520" s="1343" t="str">
        <f>VLOOKUP(A2522,'11 - FINANCEIRA'!_xlnm.Print_Area,4,FALSE)</f>
        <v>und</v>
      </c>
      <c r="M2520" s="1934" t="s">
        <v>1521</v>
      </c>
      <c r="N2520" s="1935"/>
      <c r="O2520" s="1935"/>
      <c r="P2520" s="1935"/>
      <c r="Q2520" s="1936"/>
      <c r="R2520" s="726">
        <f>SUM(R2516:R2519)</f>
        <v>1</v>
      </c>
      <c r="S2520" s="1344" t="str">
        <f>L2520</f>
        <v>und</v>
      </c>
      <c r="T2520" s="373"/>
      <c r="U2520" s="486"/>
      <c r="V2520" s="1418">
        <f t="shared" si="255"/>
        <v>0</v>
      </c>
      <c r="AB2520" s="15"/>
    </row>
    <row r="2521" spans="1:36" s="77" customFormat="1" ht="15.6" hidden="1">
      <c r="A2521" s="370"/>
      <c r="B2521" s="499"/>
      <c r="C2521" s="725"/>
      <c r="D2521" s="1937" t="s">
        <v>1522</v>
      </c>
      <c r="E2521" s="1938"/>
      <c r="F2521" s="1938"/>
      <c r="G2521" s="1938"/>
      <c r="H2521" s="1938"/>
      <c r="I2521" s="1939"/>
      <c r="J2521" s="1943">
        <f>R2520/J2520</f>
        <v>1</v>
      </c>
      <c r="K2521" s="1944"/>
      <c r="L2521" s="1947"/>
      <c r="M2521" s="1934" t="s">
        <v>1523</v>
      </c>
      <c r="N2521" s="1935"/>
      <c r="O2521" s="1935"/>
      <c r="P2521" s="1935"/>
      <c r="Q2521" s="1936"/>
      <c r="R2521" s="726">
        <f>VLOOKUP(A2522,'11 - FINANCEIRA'!_xlnm.Print_Area,8,FALSE)</f>
        <v>1</v>
      </c>
      <c r="S2521" s="727" t="str">
        <f>L2520</f>
        <v>und</v>
      </c>
      <c r="T2521" s="373"/>
      <c r="U2521" s="486"/>
      <c r="V2521" s="1418">
        <f t="shared" si="255"/>
        <v>0</v>
      </c>
      <c r="AB2521" s="15"/>
    </row>
    <row r="2522" spans="1:36" s="77" customFormat="1" ht="15.6" hidden="1">
      <c r="A2522" s="364" t="s">
        <v>559</v>
      </c>
      <c r="B2522" s="499"/>
      <c r="C2522" s="37"/>
      <c r="D2522" s="2013"/>
      <c r="E2522" s="2014"/>
      <c r="F2522" s="2014"/>
      <c r="G2522" s="2014"/>
      <c r="H2522" s="2014"/>
      <c r="I2522" s="2015"/>
      <c r="J2522" s="2016"/>
      <c r="K2522" s="2017"/>
      <c r="L2522" s="1962"/>
      <c r="M2522" s="2007" t="s">
        <v>1524</v>
      </c>
      <c r="N2522" s="2008"/>
      <c r="O2522" s="2008"/>
      <c r="P2522" s="2008"/>
      <c r="Q2522" s="2009"/>
      <c r="R2522" s="1345">
        <f>R2520-R2521</f>
        <v>0</v>
      </c>
      <c r="S2522" s="1346" t="str">
        <f>L2520</f>
        <v>und</v>
      </c>
      <c r="T2522" s="373"/>
      <c r="U2522" s="486"/>
      <c r="V2522" s="1418">
        <f>R2522</f>
        <v>0</v>
      </c>
      <c r="AB2522" s="15"/>
    </row>
    <row r="2523" spans="1:36" s="77" customFormat="1" ht="15.6" hidden="1">
      <c r="A2523" s="370"/>
      <c r="B2523" s="1347"/>
      <c r="C2523" s="1348"/>
      <c r="D2523" s="1349"/>
      <c r="E2523" s="1350"/>
      <c r="F2523" s="1349"/>
      <c r="G2523" s="1349"/>
      <c r="H2523" s="1349"/>
      <c r="I2523" s="1349"/>
      <c r="J2523" s="1351"/>
      <c r="K2523" s="1352"/>
      <c r="L2523" s="1353"/>
      <c r="M2523" s="1354"/>
      <c r="N2523" s="1354"/>
      <c r="O2523" s="1354"/>
      <c r="P2523" s="1354"/>
      <c r="Q2523" s="1354"/>
      <c r="R2523" s="1355"/>
      <c r="S2523" s="1356"/>
      <c r="T2523" s="1357"/>
      <c r="U2523" s="1358"/>
      <c r="V2523" s="1420">
        <f>SUM(V2514:V2522)</f>
        <v>0</v>
      </c>
      <c r="AB2523" s="15"/>
    </row>
    <row r="2524" spans="1:36" s="352" customFormat="1" ht="15.6" hidden="1">
      <c r="A2524" s="351"/>
      <c r="B2524" s="1963" t="str">
        <f>VLOOKUP(A2532,'11 - FINANCEIRA'!_xlnm.Print_Area,1,FALSE)</f>
        <v>2.5.2.2.2</v>
      </c>
      <c r="C2524" s="1965" t="str">
        <f>VLOOKUP(A2532,'11 - FINANCEIRA'!_xlnm.Print_Area,3,FALSE)</f>
        <v>Transporte de grupo gerador a diesel – em carenagem acústica 82 db (a) @ 1,5 m – 938kva / 750kw – 850kva / 680kw –
440/254v v, com disjuntor de proteção manual e painel de comando emcp 4. ref c18</v>
      </c>
      <c r="D2524" s="1967" t="s">
        <v>1503</v>
      </c>
      <c r="E2524" s="1968"/>
      <c r="F2524" s="1968"/>
      <c r="G2524" s="1968"/>
      <c r="H2524" s="1968"/>
      <c r="I2524" s="1969"/>
      <c r="J2524" s="1914" t="s">
        <v>1504</v>
      </c>
      <c r="K2524" s="1914" t="s">
        <v>1505</v>
      </c>
      <c r="L2524" s="1914" t="s">
        <v>1506</v>
      </c>
      <c r="M2524" s="1914" t="s">
        <v>1507</v>
      </c>
      <c r="N2524" s="1914" t="s">
        <v>1508</v>
      </c>
      <c r="O2524" s="1914" t="s">
        <v>1509</v>
      </c>
      <c r="P2524" s="1341" t="s">
        <v>1510</v>
      </c>
      <c r="Q2524" s="1914" t="s">
        <v>1493</v>
      </c>
      <c r="R2524" s="1916" t="s">
        <v>804</v>
      </c>
      <c r="S2524" s="1914" t="s">
        <v>1511</v>
      </c>
      <c r="T2524" s="1914" t="s">
        <v>1512</v>
      </c>
      <c r="U2524" s="1918" t="s">
        <v>1513</v>
      </c>
      <c r="V2524" s="1418">
        <f t="shared" ref="V2524:V2531" si="256">V2525</f>
        <v>0</v>
      </c>
      <c r="W2524" s="16"/>
      <c r="X2524" s="16"/>
      <c r="Y2524" s="16"/>
      <c r="Z2524" s="17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</row>
    <row r="2525" spans="1:36" s="352" customFormat="1" ht="15.6" hidden="1">
      <c r="A2525" s="351"/>
      <c r="B2525" s="1964" t="e">
        <f>LEFT(#REF!,5)</f>
        <v>#REF!</v>
      </c>
      <c r="C2525" s="1966" t="e">
        <f>VLOOKUP(LEFT(#REF!,5),'11 - FINANCEIRA'!_xlnm.Print_Area,2,FALSE)</f>
        <v>#REF!</v>
      </c>
      <c r="D2525" s="1920" t="s">
        <v>1514</v>
      </c>
      <c r="E2525" s="1921"/>
      <c r="F2525" s="1922"/>
      <c r="G2525" s="1923" t="s">
        <v>1515</v>
      </c>
      <c r="H2525" s="1924"/>
      <c r="I2525" s="1925"/>
      <c r="J2525" s="1915"/>
      <c r="K2525" s="1915"/>
      <c r="L2525" s="1915"/>
      <c r="M2525" s="1915"/>
      <c r="N2525" s="1915"/>
      <c r="O2525" s="1915"/>
      <c r="P2525" s="353" t="s">
        <v>1516</v>
      </c>
      <c r="Q2525" s="1915"/>
      <c r="R2525" s="1917"/>
      <c r="S2525" s="1915"/>
      <c r="T2525" s="1915"/>
      <c r="U2525" s="1919"/>
      <c r="V2525" s="1418">
        <f t="shared" si="256"/>
        <v>0</v>
      </c>
      <c r="W2525" s="16"/>
      <c r="X2525" s="16"/>
      <c r="Y2525" s="16"/>
      <c r="Z2525" s="17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</row>
    <row r="2526" spans="1:36" s="361" customFormat="1" ht="60" hidden="1">
      <c r="A2526" s="354"/>
      <c r="B2526" s="355"/>
      <c r="C2526" s="28" t="s">
        <v>1928</v>
      </c>
      <c r="D2526" s="18"/>
      <c r="E2526" s="19"/>
      <c r="F2526" s="20"/>
      <c r="G2526" s="18"/>
      <c r="H2526" s="19"/>
      <c r="I2526" s="20"/>
      <c r="J2526" s="21"/>
      <c r="K2526" s="22"/>
      <c r="L2526" s="23"/>
      <c r="M2526" s="24"/>
      <c r="N2526" s="728"/>
      <c r="O2526" s="25"/>
      <c r="P2526" s="23"/>
      <c r="Q2526" s="729"/>
      <c r="R2526" s="1109">
        <v>1</v>
      </c>
      <c r="S2526" s="730" t="s">
        <v>816</v>
      </c>
      <c r="T2526" s="446" t="s">
        <v>321</v>
      </c>
      <c r="U2526" s="44"/>
      <c r="V2526" s="1418">
        <f t="shared" si="256"/>
        <v>0</v>
      </c>
      <c r="W2526" s="357"/>
      <c r="X2526" s="357"/>
      <c r="Y2526" s="357"/>
      <c r="Z2526" s="358"/>
      <c r="AA2526" s="359"/>
      <c r="AB2526" s="360"/>
    </row>
    <row r="2527" spans="1:36" s="361" customFormat="1" ht="15" hidden="1">
      <c r="A2527" s="354"/>
      <c r="B2527" s="355"/>
      <c r="C2527" s="32"/>
      <c r="D2527" s="33"/>
      <c r="E2527" s="34"/>
      <c r="F2527" s="35"/>
      <c r="G2527" s="33"/>
      <c r="H2527" s="34"/>
      <c r="I2527" s="35"/>
      <c r="J2527" s="43"/>
      <c r="K2527" s="42"/>
      <c r="L2527" s="39"/>
      <c r="M2527" s="41"/>
      <c r="N2527" s="356"/>
      <c r="O2527" s="40"/>
      <c r="P2527" s="39"/>
      <c r="Q2527" s="45"/>
      <c r="R2527" s="362"/>
      <c r="S2527" s="363"/>
      <c r="T2527" s="46"/>
      <c r="U2527" s="44"/>
      <c r="V2527" s="1418">
        <f t="shared" si="256"/>
        <v>0</v>
      </c>
      <c r="W2527" s="357"/>
      <c r="X2527" s="357"/>
      <c r="Y2527" s="357"/>
      <c r="Z2527" s="358"/>
      <c r="AA2527" s="359"/>
      <c r="AB2527" s="360"/>
    </row>
    <row r="2528" spans="1:36" s="369" customFormat="1" ht="15" hidden="1">
      <c r="A2528" s="364"/>
      <c r="B2528" s="355"/>
      <c r="C2528" s="32"/>
      <c r="D2528" s="33"/>
      <c r="E2528" s="34"/>
      <c r="F2528" s="35"/>
      <c r="G2528" s="33"/>
      <c r="H2528" s="34"/>
      <c r="I2528" s="35"/>
      <c r="J2528" s="43"/>
      <c r="K2528" s="42"/>
      <c r="L2528" s="39"/>
      <c r="M2528" s="41"/>
      <c r="N2528" s="40"/>
      <c r="O2528" s="40"/>
      <c r="P2528" s="39"/>
      <c r="Q2528" s="38"/>
      <c r="R2528" s="365"/>
      <c r="S2528" s="366"/>
      <c r="T2528" s="46"/>
      <c r="U2528" s="44"/>
      <c r="V2528" s="1418">
        <f t="shared" si="256"/>
        <v>0</v>
      </c>
      <c r="W2528" s="367"/>
      <c r="X2528" s="367"/>
      <c r="Y2528" s="367"/>
      <c r="Z2528" s="368"/>
    </row>
    <row r="2529" spans="1:36" s="77" customFormat="1" ht="15" hidden="1">
      <c r="A2529" s="370"/>
      <c r="B2529" s="29"/>
      <c r="C2529" s="30"/>
      <c r="D2529" s="18"/>
      <c r="E2529" s="19"/>
      <c r="F2529" s="20"/>
      <c r="G2529" s="18"/>
      <c r="H2529" s="19"/>
      <c r="I2529" s="20"/>
      <c r="J2529" s="21"/>
      <c r="K2529" s="22"/>
      <c r="L2529" s="23"/>
      <c r="M2529" s="24"/>
      <c r="N2529" s="25"/>
      <c r="O2529" s="25"/>
      <c r="P2529" s="23"/>
      <c r="Q2529" s="26"/>
      <c r="R2529" s="371"/>
      <c r="S2529" s="27"/>
      <c r="T2529" s="372"/>
      <c r="U2529" s="31"/>
      <c r="V2529" s="1418">
        <f t="shared" si="256"/>
        <v>0</v>
      </c>
      <c r="AB2529" s="15"/>
    </row>
    <row r="2530" spans="1:36" s="77" customFormat="1" ht="15.6" hidden="1">
      <c r="A2530" s="370"/>
      <c r="B2530" s="499"/>
      <c r="C2530" s="37"/>
      <c r="D2530" s="1929" t="s">
        <v>1520</v>
      </c>
      <c r="E2530" s="1930"/>
      <c r="F2530" s="1930"/>
      <c r="G2530" s="1930"/>
      <c r="H2530" s="1930"/>
      <c r="I2530" s="1931"/>
      <c r="J2530" s="1932">
        <f>VLOOKUP(A2532,'11 - FINANCEIRA'!_xlnm.Print_Area,6,FALSE)</f>
        <v>1</v>
      </c>
      <c r="K2530" s="1933"/>
      <c r="L2530" s="1343" t="str">
        <f>VLOOKUP(A2532,'11 - FINANCEIRA'!_xlnm.Print_Area,4,FALSE)</f>
        <v>und</v>
      </c>
      <c r="M2530" s="1934" t="s">
        <v>1521</v>
      </c>
      <c r="N2530" s="1935"/>
      <c r="O2530" s="1935"/>
      <c r="P2530" s="1935"/>
      <c r="Q2530" s="1936"/>
      <c r="R2530" s="726">
        <f>SUM(R2526:R2529)</f>
        <v>1</v>
      </c>
      <c r="S2530" s="1344" t="str">
        <f>L2530</f>
        <v>und</v>
      </c>
      <c r="T2530" s="373"/>
      <c r="U2530" s="486"/>
      <c r="V2530" s="1418">
        <f t="shared" si="256"/>
        <v>0</v>
      </c>
      <c r="AB2530" s="15"/>
    </row>
    <row r="2531" spans="1:36" s="77" customFormat="1" ht="15.6" hidden="1">
      <c r="A2531" s="370"/>
      <c r="B2531" s="499"/>
      <c r="C2531" s="725"/>
      <c r="D2531" s="1937" t="s">
        <v>1522</v>
      </c>
      <c r="E2531" s="1938"/>
      <c r="F2531" s="1938"/>
      <c r="G2531" s="1938"/>
      <c r="H2531" s="1938"/>
      <c r="I2531" s="1939"/>
      <c r="J2531" s="1943">
        <f>R2530/J2530</f>
        <v>1</v>
      </c>
      <c r="K2531" s="1944"/>
      <c r="L2531" s="1947"/>
      <c r="M2531" s="1934" t="s">
        <v>1523</v>
      </c>
      <c r="N2531" s="1935"/>
      <c r="O2531" s="1935"/>
      <c r="P2531" s="1935"/>
      <c r="Q2531" s="1936"/>
      <c r="R2531" s="726">
        <f>VLOOKUP(A2532,'11 - FINANCEIRA'!_xlnm.Print_Area,8,FALSE)</f>
        <v>1</v>
      </c>
      <c r="S2531" s="727" t="str">
        <f>L2530</f>
        <v>und</v>
      </c>
      <c r="T2531" s="373"/>
      <c r="U2531" s="486"/>
      <c r="V2531" s="1418">
        <f t="shared" si="256"/>
        <v>0</v>
      </c>
      <c r="AB2531" s="15"/>
    </row>
    <row r="2532" spans="1:36" s="77" customFormat="1" ht="15.6" hidden="1">
      <c r="A2532" s="364" t="s">
        <v>560</v>
      </c>
      <c r="B2532" s="499"/>
      <c r="C2532" s="37"/>
      <c r="D2532" s="2013"/>
      <c r="E2532" s="2014"/>
      <c r="F2532" s="2014"/>
      <c r="G2532" s="2014"/>
      <c r="H2532" s="2014"/>
      <c r="I2532" s="2015"/>
      <c r="J2532" s="2016"/>
      <c r="K2532" s="2017"/>
      <c r="L2532" s="1962"/>
      <c r="M2532" s="2007" t="s">
        <v>1524</v>
      </c>
      <c r="N2532" s="2008"/>
      <c r="O2532" s="2008"/>
      <c r="P2532" s="2008"/>
      <c r="Q2532" s="2009"/>
      <c r="R2532" s="1345">
        <f>R2530-R2531</f>
        <v>0</v>
      </c>
      <c r="S2532" s="1346" t="str">
        <f>L2530</f>
        <v>und</v>
      </c>
      <c r="T2532" s="373"/>
      <c r="U2532" s="486"/>
      <c r="V2532" s="1418">
        <f>R2532</f>
        <v>0</v>
      </c>
      <c r="AB2532" s="15"/>
    </row>
    <row r="2533" spans="1:36" s="77" customFormat="1" ht="15.6" hidden="1">
      <c r="A2533" s="370"/>
      <c r="B2533" s="1347"/>
      <c r="C2533" s="1348"/>
      <c r="D2533" s="1349"/>
      <c r="E2533" s="1350"/>
      <c r="F2533" s="1349"/>
      <c r="G2533" s="1349"/>
      <c r="H2533" s="1349"/>
      <c r="I2533" s="1349"/>
      <c r="J2533" s="1351"/>
      <c r="K2533" s="1352"/>
      <c r="L2533" s="1353"/>
      <c r="M2533" s="1354"/>
      <c r="N2533" s="1354"/>
      <c r="O2533" s="1354"/>
      <c r="P2533" s="1354"/>
      <c r="Q2533" s="1354"/>
      <c r="R2533" s="1355"/>
      <c r="S2533" s="1356"/>
      <c r="T2533" s="1357"/>
      <c r="U2533" s="1358"/>
      <c r="V2533" s="1420">
        <f>SUM(V2524:V2532)</f>
        <v>0</v>
      </c>
      <c r="AB2533" s="15"/>
    </row>
    <row r="2534" spans="1:36" s="352" customFormat="1" ht="15.6" hidden="1">
      <c r="A2534" s="351"/>
      <c r="B2534" s="1963" t="str">
        <f>VLOOKUP(A2542,'11 - FINANCEIRA'!_xlnm.Print_Area,1,FALSE)</f>
        <v>2.5.2.2.3</v>
      </c>
      <c r="C2534" s="1965" t="str">
        <f>VLOOKUP(A2542,'11 - FINANCEIRA'!_xlnm.Print_Area,3,FALSE)</f>
        <v>Fornecimento e instalação de mangueira ortac 250 - vermelha, para combustíveis, ra classe a</v>
      </c>
      <c r="D2534" s="1967" t="s">
        <v>1503</v>
      </c>
      <c r="E2534" s="1968"/>
      <c r="F2534" s="1968"/>
      <c r="G2534" s="1968"/>
      <c r="H2534" s="1968"/>
      <c r="I2534" s="1969"/>
      <c r="J2534" s="1914" t="s">
        <v>1504</v>
      </c>
      <c r="K2534" s="1914" t="s">
        <v>1505</v>
      </c>
      <c r="L2534" s="1914" t="s">
        <v>1506</v>
      </c>
      <c r="M2534" s="1914" t="s">
        <v>1507</v>
      </c>
      <c r="N2534" s="1914" t="s">
        <v>1508</v>
      </c>
      <c r="O2534" s="1914" t="s">
        <v>1509</v>
      </c>
      <c r="P2534" s="1341" t="s">
        <v>1510</v>
      </c>
      <c r="Q2534" s="1914" t="s">
        <v>1493</v>
      </c>
      <c r="R2534" s="1916" t="s">
        <v>804</v>
      </c>
      <c r="S2534" s="1914" t="s">
        <v>1511</v>
      </c>
      <c r="T2534" s="1914" t="s">
        <v>1512</v>
      </c>
      <c r="U2534" s="1918" t="s">
        <v>1513</v>
      </c>
      <c r="V2534" s="1418">
        <f t="shared" ref="V2534:V2541" si="257">V2535</f>
        <v>0</v>
      </c>
      <c r="W2534" s="16"/>
      <c r="X2534" s="16"/>
      <c r="Y2534" s="16"/>
      <c r="Z2534" s="17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</row>
    <row r="2535" spans="1:36" s="352" customFormat="1" ht="15.6" hidden="1">
      <c r="A2535" s="351"/>
      <c r="B2535" s="1964" t="e">
        <f>LEFT(#REF!,5)</f>
        <v>#REF!</v>
      </c>
      <c r="C2535" s="1966" t="e">
        <f>VLOOKUP(LEFT(#REF!,5),'11 - FINANCEIRA'!_xlnm.Print_Area,2,FALSE)</f>
        <v>#REF!</v>
      </c>
      <c r="D2535" s="1920" t="s">
        <v>1514</v>
      </c>
      <c r="E2535" s="1921"/>
      <c r="F2535" s="1922"/>
      <c r="G2535" s="1923" t="s">
        <v>1515</v>
      </c>
      <c r="H2535" s="1924"/>
      <c r="I2535" s="1925"/>
      <c r="J2535" s="1915"/>
      <c r="K2535" s="1915"/>
      <c r="L2535" s="1915"/>
      <c r="M2535" s="1915"/>
      <c r="N2535" s="1915"/>
      <c r="O2535" s="1915"/>
      <c r="P2535" s="353" t="s">
        <v>1516</v>
      </c>
      <c r="Q2535" s="1915"/>
      <c r="R2535" s="1917"/>
      <c r="S2535" s="1915"/>
      <c r="T2535" s="1915"/>
      <c r="U2535" s="1919"/>
      <c r="V2535" s="1418">
        <f t="shared" si="257"/>
        <v>0</v>
      </c>
      <c r="W2535" s="16"/>
      <c r="X2535" s="16"/>
      <c r="Y2535" s="16"/>
      <c r="Z2535" s="17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</row>
    <row r="2536" spans="1:36" s="361" customFormat="1" ht="30" hidden="1">
      <c r="A2536" s="354"/>
      <c r="B2536" s="355"/>
      <c r="C2536" s="32" t="s">
        <v>155</v>
      </c>
      <c r="D2536" s="33"/>
      <c r="E2536" s="34"/>
      <c r="F2536" s="35"/>
      <c r="G2536" s="33"/>
      <c r="H2536" s="34"/>
      <c r="I2536" s="35"/>
      <c r="J2536" s="43"/>
      <c r="K2536" s="42"/>
      <c r="L2536" s="39"/>
      <c r="M2536" s="41"/>
      <c r="N2536" s="356"/>
      <c r="O2536" s="40"/>
      <c r="P2536" s="39"/>
      <c r="Q2536" s="45"/>
      <c r="R2536" s="1359">
        <v>28</v>
      </c>
      <c r="S2536" s="1265" t="s">
        <v>809</v>
      </c>
      <c r="T2536" s="46" t="s">
        <v>331</v>
      </c>
      <c r="U2536" s="44"/>
      <c r="V2536" s="1418">
        <f t="shared" si="257"/>
        <v>0</v>
      </c>
      <c r="W2536" s="357"/>
      <c r="X2536" s="357"/>
      <c r="Y2536" s="357"/>
      <c r="Z2536" s="358"/>
      <c r="AA2536" s="359"/>
      <c r="AB2536" s="360"/>
    </row>
    <row r="2537" spans="1:36" s="361" customFormat="1" ht="15" hidden="1" customHeight="1">
      <c r="A2537" s="354"/>
      <c r="B2537" s="355"/>
      <c r="C2537" s="32"/>
      <c r="D2537" s="33"/>
      <c r="E2537" s="34"/>
      <c r="F2537" s="35"/>
      <c r="G2537" s="33"/>
      <c r="H2537" s="34"/>
      <c r="I2537" s="35"/>
      <c r="J2537" s="43"/>
      <c r="K2537" s="42"/>
      <c r="L2537" s="39"/>
      <c r="M2537" s="41"/>
      <c r="N2537" s="356"/>
      <c r="O2537" s="40"/>
      <c r="P2537" s="39"/>
      <c r="Q2537" s="45"/>
      <c r="R2537" s="362"/>
      <c r="S2537" s="363"/>
      <c r="T2537" s="46"/>
      <c r="U2537" s="44"/>
      <c r="V2537" s="1418">
        <f t="shared" si="257"/>
        <v>0</v>
      </c>
      <c r="W2537" s="357"/>
      <c r="X2537" s="357"/>
      <c r="Y2537" s="357"/>
      <c r="Z2537" s="358"/>
      <c r="AA2537" s="359"/>
      <c r="AB2537" s="360"/>
    </row>
    <row r="2538" spans="1:36" s="369" customFormat="1" ht="15" hidden="1">
      <c r="A2538" s="364"/>
      <c r="B2538" s="355"/>
      <c r="C2538" s="32"/>
      <c r="D2538" s="33"/>
      <c r="E2538" s="34"/>
      <c r="F2538" s="35"/>
      <c r="G2538" s="33"/>
      <c r="H2538" s="34"/>
      <c r="I2538" s="35"/>
      <c r="J2538" s="43"/>
      <c r="K2538" s="42"/>
      <c r="L2538" s="39"/>
      <c r="M2538" s="41"/>
      <c r="N2538" s="40"/>
      <c r="O2538" s="40"/>
      <c r="P2538" s="39"/>
      <c r="Q2538" s="38"/>
      <c r="R2538" s="365"/>
      <c r="S2538" s="366"/>
      <c r="T2538" s="46"/>
      <c r="U2538" s="44"/>
      <c r="V2538" s="1418">
        <f t="shared" si="257"/>
        <v>0</v>
      </c>
      <c r="W2538" s="367"/>
      <c r="X2538" s="367"/>
      <c r="Y2538" s="367"/>
      <c r="Z2538" s="368"/>
    </row>
    <row r="2539" spans="1:36" s="77" customFormat="1" ht="15" hidden="1">
      <c r="A2539" s="370"/>
      <c r="B2539" s="29"/>
      <c r="C2539" s="30"/>
      <c r="D2539" s="18"/>
      <c r="E2539" s="19"/>
      <c r="F2539" s="20"/>
      <c r="G2539" s="18"/>
      <c r="H2539" s="19"/>
      <c r="I2539" s="20"/>
      <c r="J2539" s="21"/>
      <c r="K2539" s="22"/>
      <c r="L2539" s="23"/>
      <c r="M2539" s="24"/>
      <c r="N2539" s="25"/>
      <c r="O2539" s="25"/>
      <c r="P2539" s="23"/>
      <c r="Q2539" s="26"/>
      <c r="R2539" s="371"/>
      <c r="S2539" s="27"/>
      <c r="T2539" s="372"/>
      <c r="U2539" s="31"/>
      <c r="V2539" s="1418">
        <f t="shared" si="257"/>
        <v>0</v>
      </c>
      <c r="AB2539" s="15"/>
    </row>
    <row r="2540" spans="1:36" s="77" customFormat="1" ht="15.6" hidden="1">
      <c r="A2540" s="370"/>
      <c r="B2540" s="499"/>
      <c r="C2540" s="37"/>
      <c r="D2540" s="1929" t="s">
        <v>1520</v>
      </c>
      <c r="E2540" s="1930"/>
      <c r="F2540" s="1930"/>
      <c r="G2540" s="1930"/>
      <c r="H2540" s="1930"/>
      <c r="I2540" s="1931"/>
      <c r="J2540" s="1932">
        <f>VLOOKUP(A2542,'11 - FINANCEIRA'!_xlnm.Print_Area,6,FALSE)</f>
        <v>28</v>
      </c>
      <c r="K2540" s="1933"/>
      <c r="L2540" s="1343" t="str">
        <f>VLOOKUP(A2542,'11 - FINANCEIRA'!_xlnm.Print_Area,4,FALSE)</f>
        <v>m</v>
      </c>
      <c r="M2540" s="1934" t="s">
        <v>1521</v>
      </c>
      <c r="N2540" s="1935"/>
      <c r="O2540" s="1935"/>
      <c r="P2540" s="1935"/>
      <c r="Q2540" s="1936"/>
      <c r="R2540" s="726">
        <f>SUM(R2536:R2539)</f>
        <v>28</v>
      </c>
      <c r="S2540" s="1344" t="str">
        <f>L2540</f>
        <v>m</v>
      </c>
      <c r="T2540" s="373"/>
      <c r="U2540" s="486"/>
      <c r="V2540" s="1418">
        <f t="shared" si="257"/>
        <v>0</v>
      </c>
      <c r="AB2540" s="15"/>
    </row>
    <row r="2541" spans="1:36" s="77" customFormat="1" ht="15.6" hidden="1">
      <c r="A2541" s="370"/>
      <c r="B2541" s="499"/>
      <c r="C2541" s="725"/>
      <c r="D2541" s="1937" t="s">
        <v>1522</v>
      </c>
      <c r="E2541" s="1938"/>
      <c r="F2541" s="1938"/>
      <c r="G2541" s="1938"/>
      <c r="H2541" s="1938"/>
      <c r="I2541" s="1939"/>
      <c r="J2541" s="1943">
        <f>R2540/J2540</f>
        <v>1</v>
      </c>
      <c r="K2541" s="1944"/>
      <c r="L2541" s="1947"/>
      <c r="M2541" s="1934" t="s">
        <v>1523</v>
      </c>
      <c r="N2541" s="1935"/>
      <c r="O2541" s="1935"/>
      <c r="P2541" s="1935"/>
      <c r="Q2541" s="1936"/>
      <c r="R2541" s="726">
        <f>VLOOKUP(A2542,'11 - FINANCEIRA'!_xlnm.Print_Area,8,FALSE)</f>
        <v>28</v>
      </c>
      <c r="S2541" s="727" t="str">
        <f>L2540</f>
        <v>m</v>
      </c>
      <c r="T2541" s="373"/>
      <c r="U2541" s="486"/>
      <c r="V2541" s="1418">
        <f t="shared" si="257"/>
        <v>0</v>
      </c>
      <c r="AB2541" s="15"/>
    </row>
    <row r="2542" spans="1:36" s="77" customFormat="1" ht="15.6" hidden="1">
      <c r="A2542" s="364" t="s">
        <v>561</v>
      </c>
      <c r="B2542" s="499"/>
      <c r="C2542" s="37"/>
      <c r="D2542" s="2013"/>
      <c r="E2542" s="2014"/>
      <c r="F2542" s="2014"/>
      <c r="G2542" s="2014"/>
      <c r="H2542" s="2014"/>
      <c r="I2542" s="2015"/>
      <c r="J2542" s="2016"/>
      <c r="K2542" s="2017"/>
      <c r="L2542" s="1962"/>
      <c r="M2542" s="2007" t="s">
        <v>1524</v>
      </c>
      <c r="N2542" s="2008"/>
      <c r="O2542" s="2008"/>
      <c r="P2542" s="2008"/>
      <c r="Q2542" s="2009"/>
      <c r="R2542" s="1345">
        <f>R2540-R2541</f>
        <v>0</v>
      </c>
      <c r="S2542" s="1346" t="str">
        <f>L2540</f>
        <v>m</v>
      </c>
      <c r="T2542" s="373"/>
      <c r="U2542" s="486"/>
      <c r="V2542" s="1418">
        <f>R2542</f>
        <v>0</v>
      </c>
      <c r="AB2542" s="15"/>
    </row>
    <row r="2543" spans="1:36" s="77" customFormat="1" ht="15.6" hidden="1">
      <c r="A2543" s="370"/>
      <c r="B2543" s="1347"/>
      <c r="C2543" s="1348"/>
      <c r="D2543" s="1349"/>
      <c r="E2543" s="1350"/>
      <c r="F2543" s="1349"/>
      <c r="G2543" s="1349"/>
      <c r="H2543" s="1349"/>
      <c r="I2543" s="1349"/>
      <c r="J2543" s="1351"/>
      <c r="K2543" s="1352"/>
      <c r="L2543" s="1353"/>
      <c r="M2543" s="1354"/>
      <c r="N2543" s="1354"/>
      <c r="O2543" s="1354"/>
      <c r="P2543" s="1354"/>
      <c r="Q2543" s="1354"/>
      <c r="R2543" s="1355"/>
      <c r="S2543" s="1356"/>
      <c r="T2543" s="1357"/>
      <c r="U2543" s="1358"/>
      <c r="V2543" s="1420">
        <f>SUM(V2534:V2542)</f>
        <v>0</v>
      </c>
      <c r="AB2543" s="15"/>
    </row>
    <row r="2544" spans="1:36" s="632" customFormat="1" ht="15.6" hidden="1">
      <c r="A2544" s="630"/>
      <c r="B2544" s="1333" t="str">
        <f>LEFT(A2553,7)</f>
        <v>2.5.2.3</v>
      </c>
      <c r="C2544" s="1334" t="str">
        <f>VLOOKUP(LEFT(A2553,7),'11 - FINANCEIRA'!_xlnm.Print_Area,2,FALSE)</f>
        <v>Fios e cabos</v>
      </c>
      <c r="D2544" s="1334"/>
      <c r="E2544" s="1335"/>
      <c r="F2544" s="1334"/>
      <c r="G2544" s="2071"/>
      <c r="H2544" s="2072"/>
      <c r="I2544" s="2072"/>
      <c r="J2544" s="2072"/>
      <c r="K2544" s="2072"/>
      <c r="L2544" s="2072"/>
      <c r="M2544" s="1338"/>
      <c r="N2544" s="1339"/>
      <c r="O2544" s="2072"/>
      <c r="P2544" s="2072"/>
      <c r="Q2544" s="2072"/>
      <c r="R2544" s="2082"/>
      <c r="S2544" s="633"/>
      <c r="V2544" s="631">
        <f>SUM(V2545:V2874)</f>
        <v>0</v>
      </c>
    </row>
    <row r="2545" spans="1:36" s="352" customFormat="1" ht="15.6" hidden="1">
      <c r="A2545" s="351"/>
      <c r="B2545" s="1963" t="str">
        <f>VLOOKUP(A2553,'11 - FINANCEIRA'!_xlnm.Print_Area,1,FALSE)</f>
        <v>2.5.2.3.1</v>
      </c>
      <c r="C2545" s="1965" t="str">
        <f>VLOOKUP(A2553,'11 - FINANCEIRA'!_xlnm.Print_Area,3,FALSE)</f>
        <v>Cabo de cobre flexível isolado, 4 mm², anti-chama 0,6/1,0 kv, para circuitos terminais - fornecimento e instalação. af_12/2015 - preto</v>
      </c>
      <c r="D2545" s="1967" t="s">
        <v>1503</v>
      </c>
      <c r="E2545" s="1968"/>
      <c r="F2545" s="1968"/>
      <c r="G2545" s="1968"/>
      <c r="H2545" s="1968"/>
      <c r="I2545" s="1969"/>
      <c r="J2545" s="1914" t="s">
        <v>1504</v>
      </c>
      <c r="K2545" s="1914" t="s">
        <v>1505</v>
      </c>
      <c r="L2545" s="1914" t="s">
        <v>1506</v>
      </c>
      <c r="M2545" s="1914" t="s">
        <v>1507</v>
      </c>
      <c r="N2545" s="1914" t="s">
        <v>1508</v>
      </c>
      <c r="O2545" s="1914" t="s">
        <v>1509</v>
      </c>
      <c r="P2545" s="1341" t="s">
        <v>1510</v>
      </c>
      <c r="Q2545" s="1914" t="s">
        <v>1493</v>
      </c>
      <c r="R2545" s="1916" t="s">
        <v>804</v>
      </c>
      <c r="S2545" s="1914" t="s">
        <v>1511</v>
      </c>
      <c r="T2545" s="1914" t="s">
        <v>1512</v>
      </c>
      <c r="U2545" s="1918" t="s">
        <v>1513</v>
      </c>
      <c r="V2545" s="1418">
        <f t="shared" ref="V2545:V2552" si="258">V2546</f>
        <v>0</v>
      </c>
      <c r="W2545" s="16"/>
      <c r="X2545" s="16"/>
      <c r="Y2545" s="16"/>
      <c r="Z2545" s="17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</row>
    <row r="2546" spans="1:36" s="352" customFormat="1" ht="15.6" hidden="1">
      <c r="A2546" s="351"/>
      <c r="B2546" s="1964" t="e">
        <f>LEFT(#REF!,5)</f>
        <v>#REF!</v>
      </c>
      <c r="C2546" s="1966" t="e">
        <f>VLOOKUP(LEFT(#REF!,5),'11 - FINANCEIRA'!_xlnm.Print_Area,2,FALSE)</f>
        <v>#REF!</v>
      </c>
      <c r="D2546" s="1920" t="s">
        <v>1514</v>
      </c>
      <c r="E2546" s="1921"/>
      <c r="F2546" s="1922"/>
      <c r="G2546" s="1923" t="s">
        <v>1515</v>
      </c>
      <c r="H2546" s="1924"/>
      <c r="I2546" s="1925"/>
      <c r="J2546" s="1915"/>
      <c r="K2546" s="1915"/>
      <c r="L2546" s="1915"/>
      <c r="M2546" s="1915"/>
      <c r="N2546" s="1915"/>
      <c r="O2546" s="1915"/>
      <c r="P2546" s="353" t="s">
        <v>1516</v>
      </c>
      <c r="Q2546" s="1915"/>
      <c r="R2546" s="1917"/>
      <c r="S2546" s="1915"/>
      <c r="T2546" s="1915"/>
      <c r="U2546" s="1919"/>
      <c r="V2546" s="1418">
        <f t="shared" si="258"/>
        <v>0</v>
      </c>
      <c r="W2546" s="16"/>
      <c r="X2546" s="16"/>
      <c r="Y2546" s="16"/>
      <c r="Z2546" s="17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</row>
    <row r="2547" spans="1:36" s="361" customFormat="1" ht="30" hidden="1">
      <c r="A2547" s="354"/>
      <c r="B2547" s="355"/>
      <c r="C2547" s="32" t="s">
        <v>1133</v>
      </c>
      <c r="D2547" s="33"/>
      <c r="E2547" s="34"/>
      <c r="F2547" s="35"/>
      <c r="G2547" s="33"/>
      <c r="H2547" s="34"/>
      <c r="I2547" s="35"/>
      <c r="J2547" s="43"/>
      <c r="K2547" s="42"/>
      <c r="L2547" s="39"/>
      <c r="M2547" s="41"/>
      <c r="N2547" s="356"/>
      <c r="O2547" s="40"/>
      <c r="P2547" s="39"/>
      <c r="Q2547" s="45"/>
      <c r="R2547" s="1359">
        <v>540</v>
      </c>
      <c r="S2547" s="1265" t="s">
        <v>809</v>
      </c>
      <c r="T2547" s="46" t="s">
        <v>326</v>
      </c>
      <c r="U2547" s="44"/>
      <c r="V2547" s="1418">
        <f t="shared" si="258"/>
        <v>0</v>
      </c>
      <c r="W2547" s="357"/>
      <c r="X2547" s="357"/>
      <c r="Y2547" s="357"/>
      <c r="Z2547" s="358"/>
      <c r="AA2547" s="359"/>
      <c r="AB2547" s="360"/>
    </row>
    <row r="2548" spans="1:36" s="361" customFormat="1" ht="15" hidden="1">
      <c r="A2548" s="354"/>
      <c r="B2548" s="355"/>
      <c r="C2548" s="32"/>
      <c r="D2548" s="33"/>
      <c r="E2548" s="34"/>
      <c r="F2548" s="35"/>
      <c r="G2548" s="33"/>
      <c r="H2548" s="34"/>
      <c r="I2548" s="35"/>
      <c r="J2548" s="43"/>
      <c r="K2548" s="42"/>
      <c r="L2548" s="39"/>
      <c r="M2548" s="41"/>
      <c r="N2548" s="356"/>
      <c r="O2548" s="40"/>
      <c r="P2548" s="39"/>
      <c r="Q2548" s="45"/>
      <c r="R2548" s="362"/>
      <c r="S2548" s="363"/>
      <c r="T2548" s="46"/>
      <c r="U2548" s="44"/>
      <c r="V2548" s="1418">
        <f t="shared" si="258"/>
        <v>0</v>
      </c>
      <c r="W2548" s="357"/>
      <c r="X2548" s="357"/>
      <c r="Y2548" s="357"/>
      <c r="Z2548" s="358"/>
      <c r="AA2548" s="359"/>
      <c r="AB2548" s="360"/>
    </row>
    <row r="2549" spans="1:36" s="369" customFormat="1" ht="15" hidden="1">
      <c r="A2549" s="364"/>
      <c r="B2549" s="355"/>
      <c r="C2549" s="32"/>
      <c r="D2549" s="33"/>
      <c r="E2549" s="34"/>
      <c r="F2549" s="35"/>
      <c r="G2549" s="33"/>
      <c r="H2549" s="34"/>
      <c r="I2549" s="35"/>
      <c r="J2549" s="43"/>
      <c r="K2549" s="42"/>
      <c r="L2549" s="39"/>
      <c r="M2549" s="41"/>
      <c r="N2549" s="40"/>
      <c r="O2549" s="40"/>
      <c r="P2549" s="39"/>
      <c r="Q2549" s="38"/>
      <c r="R2549" s="365"/>
      <c r="S2549" s="366"/>
      <c r="T2549" s="46"/>
      <c r="U2549" s="44"/>
      <c r="V2549" s="1418">
        <f t="shared" si="258"/>
        <v>0</v>
      </c>
      <c r="W2549" s="367"/>
      <c r="X2549" s="367"/>
      <c r="Y2549" s="367"/>
      <c r="Z2549" s="368"/>
    </row>
    <row r="2550" spans="1:36" s="77" customFormat="1" ht="15" hidden="1">
      <c r="A2550" s="370"/>
      <c r="B2550" s="29"/>
      <c r="C2550" s="30"/>
      <c r="D2550" s="18"/>
      <c r="E2550" s="19"/>
      <c r="F2550" s="20"/>
      <c r="G2550" s="18"/>
      <c r="H2550" s="19"/>
      <c r="I2550" s="20"/>
      <c r="J2550" s="21"/>
      <c r="K2550" s="22"/>
      <c r="L2550" s="23"/>
      <c r="M2550" s="24"/>
      <c r="N2550" s="25"/>
      <c r="O2550" s="25"/>
      <c r="P2550" s="23"/>
      <c r="Q2550" s="26"/>
      <c r="R2550" s="371"/>
      <c r="S2550" s="27"/>
      <c r="T2550" s="372"/>
      <c r="U2550" s="31"/>
      <c r="V2550" s="1418">
        <f t="shared" si="258"/>
        <v>0</v>
      </c>
      <c r="AB2550" s="15"/>
    </row>
    <row r="2551" spans="1:36" s="77" customFormat="1" ht="15.6" hidden="1">
      <c r="A2551" s="370"/>
      <c r="B2551" s="499"/>
      <c r="C2551" s="37"/>
      <c r="D2551" s="1929" t="s">
        <v>1520</v>
      </c>
      <c r="E2551" s="1930"/>
      <c r="F2551" s="1930"/>
      <c r="G2551" s="1930"/>
      <c r="H2551" s="1930"/>
      <c r="I2551" s="1931"/>
      <c r="J2551" s="1932">
        <f>VLOOKUP(A2553,'11 - FINANCEIRA'!_xlnm.Print_Area,6,FALSE)</f>
        <v>540</v>
      </c>
      <c r="K2551" s="1933"/>
      <c r="L2551" s="1343" t="str">
        <f>VLOOKUP(A2553,'11 - FINANCEIRA'!_xlnm.Print_Area,4,FALSE)</f>
        <v>m</v>
      </c>
      <c r="M2551" s="1934" t="s">
        <v>1521</v>
      </c>
      <c r="N2551" s="1935"/>
      <c r="O2551" s="1935"/>
      <c r="P2551" s="1935"/>
      <c r="Q2551" s="1936"/>
      <c r="R2551" s="726">
        <f>SUM(R2547:R2550)</f>
        <v>540</v>
      </c>
      <c r="S2551" s="1344" t="str">
        <f>L2551</f>
        <v>m</v>
      </c>
      <c r="T2551" s="373"/>
      <c r="U2551" s="486"/>
      <c r="V2551" s="1418">
        <f t="shared" si="258"/>
        <v>0</v>
      </c>
      <c r="AB2551" s="15"/>
    </row>
    <row r="2552" spans="1:36" s="77" customFormat="1" ht="15.6" hidden="1">
      <c r="A2552" s="370"/>
      <c r="B2552" s="499"/>
      <c r="C2552" s="725"/>
      <c r="D2552" s="1937" t="s">
        <v>1522</v>
      </c>
      <c r="E2552" s="1938"/>
      <c r="F2552" s="1938"/>
      <c r="G2552" s="1938"/>
      <c r="H2552" s="1938"/>
      <c r="I2552" s="1939"/>
      <c r="J2552" s="1943">
        <f>R2551/J2551</f>
        <v>1</v>
      </c>
      <c r="K2552" s="1944"/>
      <c r="L2552" s="1947"/>
      <c r="M2552" s="1934" t="s">
        <v>1523</v>
      </c>
      <c r="N2552" s="1935"/>
      <c r="O2552" s="1935"/>
      <c r="P2552" s="1935"/>
      <c r="Q2552" s="1936"/>
      <c r="R2552" s="726">
        <f>VLOOKUP(A2553,'11 - FINANCEIRA'!_xlnm.Print_Area,8,FALSE)</f>
        <v>540</v>
      </c>
      <c r="S2552" s="727" t="str">
        <f>L2551</f>
        <v>m</v>
      </c>
      <c r="T2552" s="373"/>
      <c r="U2552" s="486"/>
      <c r="V2552" s="1418">
        <f t="shared" si="258"/>
        <v>0</v>
      </c>
      <c r="AB2552" s="15"/>
    </row>
    <row r="2553" spans="1:36" s="77" customFormat="1" ht="15.6" hidden="1">
      <c r="A2553" s="364" t="s">
        <v>563</v>
      </c>
      <c r="B2553" s="499"/>
      <c r="C2553" s="37"/>
      <c r="D2553" s="2013"/>
      <c r="E2553" s="2014"/>
      <c r="F2553" s="2014"/>
      <c r="G2553" s="2014"/>
      <c r="H2553" s="2014"/>
      <c r="I2553" s="2015"/>
      <c r="J2553" s="2016"/>
      <c r="K2553" s="2017"/>
      <c r="L2553" s="1962"/>
      <c r="M2553" s="2007" t="s">
        <v>1524</v>
      </c>
      <c r="N2553" s="2008"/>
      <c r="O2553" s="2008"/>
      <c r="P2553" s="2008"/>
      <c r="Q2553" s="2009"/>
      <c r="R2553" s="1345">
        <f>R2551-R2552</f>
        <v>0</v>
      </c>
      <c r="S2553" s="1346" t="str">
        <f>L2551</f>
        <v>m</v>
      </c>
      <c r="T2553" s="373"/>
      <c r="U2553" s="486"/>
      <c r="V2553" s="1418">
        <f>R2553</f>
        <v>0</v>
      </c>
      <c r="AB2553" s="15"/>
    </row>
    <row r="2554" spans="1:36" s="77" customFormat="1" ht="15.6" hidden="1">
      <c r="A2554" s="370"/>
      <c r="B2554" s="1347"/>
      <c r="C2554" s="1348"/>
      <c r="D2554" s="1349"/>
      <c r="E2554" s="1350"/>
      <c r="F2554" s="1349"/>
      <c r="G2554" s="1349"/>
      <c r="H2554" s="1349"/>
      <c r="I2554" s="1349"/>
      <c r="J2554" s="1351"/>
      <c r="K2554" s="1352"/>
      <c r="L2554" s="1353"/>
      <c r="M2554" s="1354"/>
      <c r="N2554" s="1354"/>
      <c r="O2554" s="1354"/>
      <c r="P2554" s="1354"/>
      <c r="Q2554" s="1354"/>
      <c r="R2554" s="1355"/>
      <c r="S2554" s="1356"/>
      <c r="T2554" s="1357"/>
      <c r="U2554" s="1358"/>
      <c r="V2554" s="1420">
        <f>SUM(V2545:V2553)</f>
        <v>0</v>
      </c>
      <c r="AB2554" s="15"/>
    </row>
    <row r="2555" spans="1:36" s="352" customFormat="1" ht="15.6" hidden="1">
      <c r="A2555" s="351"/>
      <c r="B2555" s="1963" t="str">
        <f>VLOOKUP(A2563,'11 - FINANCEIRA'!_xlnm.Print_Area,1,FALSE)</f>
        <v>2.5.2.3.2</v>
      </c>
      <c r="C2555" s="1965" t="str">
        <f>VLOOKUP(A2563,'11 - FINANCEIRA'!_xlnm.Print_Area,3,FALSE)</f>
        <v>Cabo de cobre flexível isolado, 4 mm², anti-chama 0,6/1,0 kv, para circuitos terminais - fornecimento e instalação. af_12/2015 - azul</v>
      </c>
      <c r="D2555" s="1967" t="s">
        <v>1503</v>
      </c>
      <c r="E2555" s="1968"/>
      <c r="F2555" s="1968"/>
      <c r="G2555" s="1968"/>
      <c r="H2555" s="1968"/>
      <c r="I2555" s="1969"/>
      <c r="J2555" s="1914" t="s">
        <v>1504</v>
      </c>
      <c r="K2555" s="1914" t="s">
        <v>1505</v>
      </c>
      <c r="L2555" s="1914" t="s">
        <v>1506</v>
      </c>
      <c r="M2555" s="1914" t="s">
        <v>1507</v>
      </c>
      <c r="N2555" s="1914" t="s">
        <v>1508</v>
      </c>
      <c r="O2555" s="1914" t="s">
        <v>1509</v>
      </c>
      <c r="P2555" s="1341" t="s">
        <v>1510</v>
      </c>
      <c r="Q2555" s="1914" t="s">
        <v>1493</v>
      </c>
      <c r="R2555" s="1916" t="s">
        <v>804</v>
      </c>
      <c r="S2555" s="1914" t="s">
        <v>1511</v>
      </c>
      <c r="T2555" s="1914" t="s">
        <v>1512</v>
      </c>
      <c r="U2555" s="1918" t="s">
        <v>1513</v>
      </c>
      <c r="V2555" s="1418">
        <f t="shared" ref="V2555:V2562" si="259">V2556</f>
        <v>0</v>
      </c>
      <c r="W2555" s="16"/>
      <c r="X2555" s="16"/>
      <c r="Y2555" s="16"/>
      <c r="Z2555" s="17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</row>
    <row r="2556" spans="1:36" s="352" customFormat="1" ht="15.6" hidden="1">
      <c r="A2556" s="351"/>
      <c r="B2556" s="1964" t="e">
        <f>LEFT(#REF!,5)</f>
        <v>#REF!</v>
      </c>
      <c r="C2556" s="1966" t="e">
        <f>VLOOKUP(LEFT(#REF!,5),'11 - FINANCEIRA'!_xlnm.Print_Area,2,FALSE)</f>
        <v>#REF!</v>
      </c>
      <c r="D2556" s="1920" t="s">
        <v>1514</v>
      </c>
      <c r="E2556" s="1921"/>
      <c r="F2556" s="1922"/>
      <c r="G2556" s="1923" t="s">
        <v>1515</v>
      </c>
      <c r="H2556" s="1924"/>
      <c r="I2556" s="1925"/>
      <c r="J2556" s="1915"/>
      <c r="K2556" s="1915"/>
      <c r="L2556" s="1915"/>
      <c r="M2556" s="1915"/>
      <c r="N2556" s="1915"/>
      <c r="O2556" s="1915"/>
      <c r="P2556" s="353" t="s">
        <v>1516</v>
      </c>
      <c r="Q2556" s="1915"/>
      <c r="R2556" s="1917"/>
      <c r="S2556" s="1915"/>
      <c r="T2556" s="1915"/>
      <c r="U2556" s="1919"/>
      <c r="V2556" s="1418">
        <f t="shared" si="259"/>
        <v>0</v>
      </c>
      <c r="W2556" s="16"/>
      <c r="X2556" s="16"/>
      <c r="Y2556" s="16"/>
      <c r="Z2556" s="17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</row>
    <row r="2557" spans="1:36" s="361" customFormat="1" ht="30" hidden="1">
      <c r="A2557" s="354"/>
      <c r="B2557" s="355"/>
      <c r="C2557" s="32" t="s">
        <v>1134</v>
      </c>
      <c r="D2557" s="33"/>
      <c r="E2557" s="34"/>
      <c r="F2557" s="35"/>
      <c r="G2557" s="33"/>
      <c r="H2557" s="34"/>
      <c r="I2557" s="35"/>
      <c r="J2557" s="43"/>
      <c r="K2557" s="42"/>
      <c r="L2557" s="39"/>
      <c r="M2557" s="41"/>
      <c r="N2557" s="356"/>
      <c r="O2557" s="40"/>
      <c r="P2557" s="39"/>
      <c r="Q2557" s="45"/>
      <c r="R2557" s="1359">
        <v>540</v>
      </c>
      <c r="S2557" s="1265" t="s">
        <v>809</v>
      </c>
      <c r="T2557" s="46" t="s">
        <v>326</v>
      </c>
      <c r="U2557" s="44"/>
      <c r="V2557" s="1418">
        <f t="shared" si="259"/>
        <v>0</v>
      </c>
      <c r="W2557" s="357"/>
      <c r="X2557" s="357"/>
      <c r="Y2557" s="357"/>
      <c r="Z2557" s="358"/>
      <c r="AA2557" s="359"/>
      <c r="AB2557" s="360"/>
    </row>
    <row r="2558" spans="1:36" s="361" customFormat="1" ht="15" hidden="1" customHeight="1">
      <c r="A2558" s="354"/>
      <c r="B2558" s="355"/>
      <c r="C2558" s="32"/>
      <c r="D2558" s="33"/>
      <c r="E2558" s="34"/>
      <c r="F2558" s="35"/>
      <c r="G2558" s="33"/>
      <c r="H2558" s="34"/>
      <c r="I2558" s="35"/>
      <c r="J2558" s="43"/>
      <c r="K2558" s="42"/>
      <c r="L2558" s="39"/>
      <c r="M2558" s="41"/>
      <c r="N2558" s="356"/>
      <c r="O2558" s="40"/>
      <c r="P2558" s="39"/>
      <c r="Q2558" s="45"/>
      <c r="R2558" s="362"/>
      <c r="S2558" s="363"/>
      <c r="T2558" s="46"/>
      <c r="U2558" s="44"/>
      <c r="V2558" s="1418">
        <f t="shared" si="259"/>
        <v>0</v>
      </c>
      <c r="W2558" s="357"/>
      <c r="X2558" s="357"/>
      <c r="Y2558" s="357"/>
      <c r="Z2558" s="358"/>
      <c r="AA2558" s="359"/>
      <c r="AB2558" s="360"/>
    </row>
    <row r="2559" spans="1:36" s="369" customFormat="1" ht="15" hidden="1">
      <c r="A2559" s="364"/>
      <c r="B2559" s="355"/>
      <c r="C2559" s="32"/>
      <c r="D2559" s="33"/>
      <c r="E2559" s="34"/>
      <c r="F2559" s="35"/>
      <c r="G2559" s="33"/>
      <c r="H2559" s="34"/>
      <c r="I2559" s="35"/>
      <c r="J2559" s="43"/>
      <c r="K2559" s="42"/>
      <c r="L2559" s="39"/>
      <c r="M2559" s="41"/>
      <c r="N2559" s="40"/>
      <c r="O2559" s="40"/>
      <c r="P2559" s="39"/>
      <c r="Q2559" s="38"/>
      <c r="R2559" s="365"/>
      <c r="S2559" s="366"/>
      <c r="T2559" s="46"/>
      <c r="U2559" s="44"/>
      <c r="V2559" s="1418">
        <f t="shared" si="259"/>
        <v>0</v>
      </c>
      <c r="W2559" s="367"/>
      <c r="X2559" s="367"/>
      <c r="Y2559" s="367"/>
      <c r="Z2559" s="368"/>
    </row>
    <row r="2560" spans="1:36" s="77" customFormat="1" ht="15" hidden="1">
      <c r="A2560" s="370"/>
      <c r="B2560" s="29"/>
      <c r="C2560" s="30"/>
      <c r="D2560" s="18"/>
      <c r="E2560" s="19"/>
      <c r="F2560" s="20"/>
      <c r="G2560" s="18"/>
      <c r="H2560" s="19"/>
      <c r="I2560" s="20"/>
      <c r="J2560" s="21"/>
      <c r="K2560" s="22"/>
      <c r="L2560" s="23"/>
      <c r="M2560" s="24"/>
      <c r="N2560" s="25"/>
      <c r="O2560" s="25"/>
      <c r="P2560" s="23"/>
      <c r="Q2560" s="26"/>
      <c r="R2560" s="371"/>
      <c r="S2560" s="27"/>
      <c r="T2560" s="372"/>
      <c r="U2560" s="31"/>
      <c r="V2560" s="1418">
        <f t="shared" si="259"/>
        <v>0</v>
      </c>
      <c r="AB2560" s="15"/>
    </row>
    <row r="2561" spans="1:36" s="77" customFormat="1" ht="15.6" hidden="1">
      <c r="A2561" s="370"/>
      <c r="B2561" s="499"/>
      <c r="C2561" s="37"/>
      <c r="D2561" s="1929" t="s">
        <v>1520</v>
      </c>
      <c r="E2561" s="1930"/>
      <c r="F2561" s="1930"/>
      <c r="G2561" s="1930"/>
      <c r="H2561" s="1930"/>
      <c r="I2561" s="1931"/>
      <c r="J2561" s="1932">
        <f>VLOOKUP(A2563,'11 - FINANCEIRA'!_xlnm.Print_Area,6,FALSE)</f>
        <v>540</v>
      </c>
      <c r="K2561" s="1933"/>
      <c r="L2561" s="1343" t="str">
        <f>VLOOKUP(A2563,'11 - FINANCEIRA'!_xlnm.Print_Area,4,FALSE)</f>
        <v>m</v>
      </c>
      <c r="M2561" s="1934" t="s">
        <v>1521</v>
      </c>
      <c r="N2561" s="1935"/>
      <c r="O2561" s="1935"/>
      <c r="P2561" s="1935"/>
      <c r="Q2561" s="1936"/>
      <c r="R2561" s="726">
        <f>SUM(R2557:R2560)</f>
        <v>540</v>
      </c>
      <c r="S2561" s="1344" t="str">
        <f>L2561</f>
        <v>m</v>
      </c>
      <c r="T2561" s="373"/>
      <c r="U2561" s="486"/>
      <c r="V2561" s="1418">
        <f t="shared" si="259"/>
        <v>0</v>
      </c>
      <c r="AB2561" s="15"/>
    </row>
    <row r="2562" spans="1:36" s="77" customFormat="1" ht="15.6" hidden="1">
      <c r="A2562" s="370"/>
      <c r="B2562" s="499"/>
      <c r="C2562" s="725"/>
      <c r="D2562" s="1937" t="s">
        <v>1522</v>
      </c>
      <c r="E2562" s="1938"/>
      <c r="F2562" s="1938"/>
      <c r="G2562" s="1938"/>
      <c r="H2562" s="1938"/>
      <c r="I2562" s="1939"/>
      <c r="J2562" s="1943">
        <f>R2561/J2561</f>
        <v>1</v>
      </c>
      <c r="K2562" s="1944"/>
      <c r="L2562" s="1947"/>
      <c r="M2562" s="1934" t="s">
        <v>1523</v>
      </c>
      <c r="N2562" s="1935"/>
      <c r="O2562" s="1935"/>
      <c r="P2562" s="1935"/>
      <c r="Q2562" s="1936"/>
      <c r="R2562" s="726">
        <f>VLOOKUP(A2563,'11 - FINANCEIRA'!_xlnm.Print_Area,8,FALSE)</f>
        <v>540</v>
      </c>
      <c r="S2562" s="727" t="str">
        <f>L2561</f>
        <v>m</v>
      </c>
      <c r="T2562" s="373"/>
      <c r="U2562" s="486"/>
      <c r="V2562" s="1418">
        <f t="shared" si="259"/>
        <v>0</v>
      </c>
      <c r="AB2562" s="15"/>
    </row>
    <row r="2563" spans="1:36" s="77" customFormat="1" ht="15.6" hidden="1">
      <c r="A2563" s="364" t="s">
        <v>564</v>
      </c>
      <c r="B2563" s="499"/>
      <c r="C2563" s="37"/>
      <c r="D2563" s="2013"/>
      <c r="E2563" s="2014"/>
      <c r="F2563" s="2014"/>
      <c r="G2563" s="2014"/>
      <c r="H2563" s="2014"/>
      <c r="I2563" s="2015"/>
      <c r="J2563" s="2016"/>
      <c r="K2563" s="2017"/>
      <c r="L2563" s="1962"/>
      <c r="M2563" s="2007" t="s">
        <v>1524</v>
      </c>
      <c r="N2563" s="2008"/>
      <c r="O2563" s="2008"/>
      <c r="P2563" s="2008"/>
      <c r="Q2563" s="2009"/>
      <c r="R2563" s="1345">
        <f>R2561-R2562</f>
        <v>0</v>
      </c>
      <c r="S2563" s="1346" t="str">
        <f>L2561</f>
        <v>m</v>
      </c>
      <c r="T2563" s="373"/>
      <c r="U2563" s="486"/>
      <c r="V2563" s="1418">
        <f>R2563</f>
        <v>0</v>
      </c>
      <c r="AB2563" s="15"/>
    </row>
    <row r="2564" spans="1:36" s="77" customFormat="1" ht="15.6" hidden="1">
      <c r="A2564" s="370"/>
      <c r="B2564" s="1347"/>
      <c r="C2564" s="1348"/>
      <c r="D2564" s="1349"/>
      <c r="E2564" s="1350"/>
      <c r="F2564" s="1349"/>
      <c r="G2564" s="1349"/>
      <c r="H2564" s="1349"/>
      <c r="I2564" s="1349"/>
      <c r="J2564" s="1351"/>
      <c r="K2564" s="1352"/>
      <c r="L2564" s="1353"/>
      <c r="M2564" s="1354"/>
      <c r="N2564" s="1354"/>
      <c r="O2564" s="1354"/>
      <c r="P2564" s="1354"/>
      <c r="Q2564" s="1354"/>
      <c r="R2564" s="1355"/>
      <c r="S2564" s="1356"/>
      <c r="T2564" s="1357"/>
      <c r="U2564" s="1358"/>
      <c r="V2564" s="1420">
        <f>SUM(V2555:V2563)</f>
        <v>0</v>
      </c>
      <c r="AB2564" s="15"/>
    </row>
    <row r="2565" spans="1:36" s="352" customFormat="1" ht="15.6" hidden="1">
      <c r="A2565" s="351"/>
      <c r="B2565" s="1963" t="str">
        <f>VLOOKUP(A2573,'11 - FINANCEIRA'!_xlnm.Print_Area,1,FALSE)</f>
        <v>2.5.2.3.3</v>
      </c>
      <c r="C2565" s="1965" t="str">
        <f>VLOOKUP(A2573,'11 - FINANCEIRA'!_xlnm.Print_Area,3,FALSE)</f>
        <v>Cabo de cobre flexível isolado, 4 mm², anti-chama 0,6/1,0 kv, para circuitos terminais - fornecimento e instalação. af_12/2015 - verde</v>
      </c>
      <c r="D2565" s="1967" t="s">
        <v>1503</v>
      </c>
      <c r="E2565" s="1968"/>
      <c r="F2565" s="1968"/>
      <c r="G2565" s="1968"/>
      <c r="H2565" s="1968"/>
      <c r="I2565" s="1969"/>
      <c r="J2565" s="1914" t="s">
        <v>1504</v>
      </c>
      <c r="K2565" s="1914" t="s">
        <v>1505</v>
      </c>
      <c r="L2565" s="1914" t="s">
        <v>1506</v>
      </c>
      <c r="M2565" s="1914" t="s">
        <v>1507</v>
      </c>
      <c r="N2565" s="1914" t="s">
        <v>1508</v>
      </c>
      <c r="O2565" s="1914" t="s">
        <v>1509</v>
      </c>
      <c r="P2565" s="1341" t="s">
        <v>1510</v>
      </c>
      <c r="Q2565" s="1914" t="s">
        <v>1493</v>
      </c>
      <c r="R2565" s="1916" t="s">
        <v>804</v>
      </c>
      <c r="S2565" s="1914" t="s">
        <v>1511</v>
      </c>
      <c r="T2565" s="1914" t="s">
        <v>1512</v>
      </c>
      <c r="U2565" s="1918" t="s">
        <v>1513</v>
      </c>
      <c r="V2565" s="1418">
        <f t="shared" ref="V2565:V2572" si="260">V2566</f>
        <v>0</v>
      </c>
      <c r="W2565" s="16"/>
      <c r="X2565" s="16"/>
      <c r="Y2565" s="16"/>
      <c r="Z2565" s="17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</row>
    <row r="2566" spans="1:36" s="352" customFormat="1" ht="15.6" hidden="1">
      <c r="A2566" s="351"/>
      <c r="B2566" s="1964" t="e">
        <f>LEFT(#REF!,5)</f>
        <v>#REF!</v>
      </c>
      <c r="C2566" s="1966" t="e">
        <f>VLOOKUP(LEFT(#REF!,5),'11 - FINANCEIRA'!_xlnm.Print_Area,2,FALSE)</f>
        <v>#REF!</v>
      </c>
      <c r="D2566" s="1920" t="s">
        <v>1514</v>
      </c>
      <c r="E2566" s="1921"/>
      <c r="F2566" s="1922"/>
      <c r="G2566" s="1923" t="s">
        <v>1515</v>
      </c>
      <c r="H2566" s="1924"/>
      <c r="I2566" s="1925"/>
      <c r="J2566" s="1915"/>
      <c r="K2566" s="1915"/>
      <c r="L2566" s="1915"/>
      <c r="M2566" s="1915"/>
      <c r="N2566" s="1915"/>
      <c r="O2566" s="1915"/>
      <c r="P2566" s="353" t="s">
        <v>1516</v>
      </c>
      <c r="Q2566" s="1915"/>
      <c r="R2566" s="1917"/>
      <c r="S2566" s="1915"/>
      <c r="T2566" s="1915"/>
      <c r="U2566" s="1919"/>
      <c r="V2566" s="1418">
        <f t="shared" si="260"/>
        <v>0</v>
      </c>
      <c r="W2566" s="16"/>
      <c r="X2566" s="16"/>
      <c r="Y2566" s="16"/>
      <c r="Z2566" s="17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</row>
    <row r="2567" spans="1:36" s="361" customFormat="1" ht="30" hidden="1">
      <c r="A2567" s="354"/>
      <c r="B2567" s="355"/>
      <c r="C2567" s="32" t="s">
        <v>1135</v>
      </c>
      <c r="D2567" s="33"/>
      <c r="E2567" s="34"/>
      <c r="F2567" s="35"/>
      <c r="G2567" s="33"/>
      <c r="H2567" s="34"/>
      <c r="I2567" s="35"/>
      <c r="J2567" s="43"/>
      <c r="K2567" s="42"/>
      <c r="L2567" s="39"/>
      <c r="M2567" s="41"/>
      <c r="N2567" s="356"/>
      <c r="O2567" s="40"/>
      <c r="P2567" s="39"/>
      <c r="Q2567" s="45"/>
      <c r="R2567" s="1359">
        <v>540</v>
      </c>
      <c r="S2567" s="1265" t="s">
        <v>809</v>
      </c>
      <c r="T2567" s="46" t="s">
        <v>326</v>
      </c>
      <c r="U2567" s="44"/>
      <c r="V2567" s="1418">
        <f t="shared" si="260"/>
        <v>0</v>
      </c>
      <c r="W2567" s="357"/>
      <c r="X2567" s="357"/>
      <c r="Y2567" s="357"/>
      <c r="Z2567" s="358"/>
      <c r="AA2567" s="359"/>
      <c r="AB2567" s="360"/>
    </row>
    <row r="2568" spans="1:36" s="361" customFormat="1" ht="15" hidden="1" customHeight="1">
      <c r="A2568" s="354"/>
      <c r="B2568" s="355"/>
      <c r="C2568" s="32"/>
      <c r="D2568" s="33"/>
      <c r="E2568" s="34"/>
      <c r="F2568" s="35"/>
      <c r="G2568" s="33"/>
      <c r="H2568" s="34"/>
      <c r="I2568" s="35"/>
      <c r="J2568" s="43"/>
      <c r="K2568" s="42"/>
      <c r="L2568" s="39"/>
      <c r="M2568" s="41"/>
      <c r="N2568" s="356"/>
      <c r="O2568" s="40"/>
      <c r="P2568" s="39"/>
      <c r="Q2568" s="45"/>
      <c r="R2568" s="362"/>
      <c r="S2568" s="363"/>
      <c r="T2568" s="46"/>
      <c r="U2568" s="44"/>
      <c r="V2568" s="1418">
        <f t="shared" si="260"/>
        <v>0</v>
      </c>
      <c r="W2568" s="357"/>
      <c r="X2568" s="357"/>
      <c r="Y2568" s="357"/>
      <c r="Z2568" s="358"/>
      <c r="AA2568" s="359"/>
      <c r="AB2568" s="360"/>
    </row>
    <row r="2569" spans="1:36" s="369" customFormat="1" ht="15" hidden="1">
      <c r="A2569" s="364"/>
      <c r="B2569" s="355"/>
      <c r="C2569" s="32"/>
      <c r="D2569" s="33"/>
      <c r="E2569" s="34"/>
      <c r="F2569" s="35"/>
      <c r="G2569" s="33"/>
      <c r="H2569" s="34"/>
      <c r="I2569" s="35"/>
      <c r="J2569" s="43"/>
      <c r="K2569" s="42"/>
      <c r="L2569" s="39"/>
      <c r="M2569" s="41"/>
      <c r="N2569" s="40"/>
      <c r="O2569" s="40"/>
      <c r="P2569" s="39"/>
      <c r="Q2569" s="38"/>
      <c r="R2569" s="365"/>
      <c r="S2569" s="366"/>
      <c r="T2569" s="46"/>
      <c r="U2569" s="44"/>
      <c r="V2569" s="1418">
        <f t="shared" si="260"/>
        <v>0</v>
      </c>
      <c r="W2569" s="367"/>
      <c r="X2569" s="367"/>
      <c r="Y2569" s="367"/>
      <c r="Z2569" s="368"/>
    </row>
    <row r="2570" spans="1:36" s="77" customFormat="1" ht="15" hidden="1">
      <c r="A2570" s="370"/>
      <c r="B2570" s="29"/>
      <c r="C2570" s="30"/>
      <c r="D2570" s="18"/>
      <c r="E2570" s="19"/>
      <c r="F2570" s="20"/>
      <c r="G2570" s="18"/>
      <c r="H2570" s="19"/>
      <c r="I2570" s="20"/>
      <c r="J2570" s="21"/>
      <c r="K2570" s="22"/>
      <c r="L2570" s="23"/>
      <c r="M2570" s="24"/>
      <c r="N2570" s="25"/>
      <c r="O2570" s="25"/>
      <c r="P2570" s="23"/>
      <c r="Q2570" s="26"/>
      <c r="R2570" s="371"/>
      <c r="S2570" s="27"/>
      <c r="T2570" s="372"/>
      <c r="U2570" s="31"/>
      <c r="V2570" s="1418">
        <f t="shared" si="260"/>
        <v>0</v>
      </c>
      <c r="AB2570" s="15"/>
    </row>
    <row r="2571" spans="1:36" s="77" customFormat="1" ht="15.6" hidden="1">
      <c r="A2571" s="370"/>
      <c r="B2571" s="499"/>
      <c r="C2571" s="37"/>
      <c r="D2571" s="1929" t="s">
        <v>1520</v>
      </c>
      <c r="E2571" s="1930"/>
      <c r="F2571" s="1930"/>
      <c r="G2571" s="1930"/>
      <c r="H2571" s="1930"/>
      <c r="I2571" s="1931"/>
      <c r="J2571" s="1932">
        <f>VLOOKUP(A2573,'11 - FINANCEIRA'!_xlnm.Print_Area,6,FALSE)</f>
        <v>540</v>
      </c>
      <c r="K2571" s="1933"/>
      <c r="L2571" s="1343" t="str">
        <f>VLOOKUP(A2573,'11 - FINANCEIRA'!_xlnm.Print_Area,4,FALSE)</f>
        <v>m</v>
      </c>
      <c r="M2571" s="1934" t="s">
        <v>1521</v>
      </c>
      <c r="N2571" s="1935"/>
      <c r="O2571" s="1935"/>
      <c r="P2571" s="1935"/>
      <c r="Q2571" s="1936"/>
      <c r="R2571" s="726">
        <f>SUM(R2567:R2570)</f>
        <v>540</v>
      </c>
      <c r="S2571" s="1344" t="str">
        <f>L2571</f>
        <v>m</v>
      </c>
      <c r="T2571" s="373"/>
      <c r="U2571" s="486"/>
      <c r="V2571" s="1418">
        <f t="shared" si="260"/>
        <v>0</v>
      </c>
      <c r="AB2571" s="15"/>
    </row>
    <row r="2572" spans="1:36" s="77" customFormat="1" ht="15.6" hidden="1">
      <c r="A2572" s="370"/>
      <c r="B2572" s="499"/>
      <c r="C2572" s="725"/>
      <c r="D2572" s="1937" t="s">
        <v>1522</v>
      </c>
      <c r="E2572" s="1938"/>
      <c r="F2572" s="1938"/>
      <c r="G2572" s="1938"/>
      <c r="H2572" s="1938"/>
      <c r="I2572" s="1939"/>
      <c r="J2572" s="1943">
        <f>R2571/J2571</f>
        <v>1</v>
      </c>
      <c r="K2572" s="1944"/>
      <c r="L2572" s="1947"/>
      <c r="M2572" s="1934" t="s">
        <v>1523</v>
      </c>
      <c r="N2572" s="1935"/>
      <c r="O2572" s="1935"/>
      <c r="P2572" s="1935"/>
      <c r="Q2572" s="1936"/>
      <c r="R2572" s="726">
        <f>VLOOKUP(A2573,'11 - FINANCEIRA'!_xlnm.Print_Area,8,FALSE)</f>
        <v>540</v>
      </c>
      <c r="S2572" s="727" t="str">
        <f>L2571</f>
        <v>m</v>
      </c>
      <c r="T2572" s="373"/>
      <c r="U2572" s="486"/>
      <c r="V2572" s="1418">
        <f t="shared" si="260"/>
        <v>0</v>
      </c>
      <c r="AB2572" s="15"/>
    </row>
    <row r="2573" spans="1:36" s="77" customFormat="1" ht="15.6" hidden="1">
      <c r="A2573" s="364" t="s">
        <v>565</v>
      </c>
      <c r="B2573" s="499"/>
      <c r="C2573" s="37"/>
      <c r="D2573" s="2013"/>
      <c r="E2573" s="2014"/>
      <c r="F2573" s="2014"/>
      <c r="G2573" s="2014"/>
      <c r="H2573" s="2014"/>
      <c r="I2573" s="2015"/>
      <c r="J2573" s="2016"/>
      <c r="K2573" s="2017"/>
      <c r="L2573" s="1962"/>
      <c r="M2573" s="2007" t="s">
        <v>1524</v>
      </c>
      <c r="N2573" s="2008"/>
      <c r="O2573" s="2008"/>
      <c r="P2573" s="2008"/>
      <c r="Q2573" s="2009"/>
      <c r="R2573" s="1345">
        <f>R2571-R2572</f>
        <v>0</v>
      </c>
      <c r="S2573" s="1346" t="str">
        <f>L2571</f>
        <v>m</v>
      </c>
      <c r="T2573" s="373"/>
      <c r="U2573" s="486"/>
      <c r="V2573" s="1418">
        <f>R2573</f>
        <v>0</v>
      </c>
      <c r="AB2573" s="15"/>
    </row>
    <row r="2574" spans="1:36" s="77" customFormat="1" ht="15.6" hidden="1">
      <c r="A2574" s="370"/>
      <c r="B2574" s="1347"/>
      <c r="C2574" s="1348"/>
      <c r="D2574" s="1349"/>
      <c r="E2574" s="1350"/>
      <c r="F2574" s="1349"/>
      <c r="G2574" s="1349"/>
      <c r="H2574" s="1349"/>
      <c r="I2574" s="1349"/>
      <c r="J2574" s="1351"/>
      <c r="K2574" s="1352"/>
      <c r="L2574" s="1353"/>
      <c r="M2574" s="1354"/>
      <c r="N2574" s="1354"/>
      <c r="O2574" s="1354"/>
      <c r="P2574" s="1354"/>
      <c r="Q2574" s="1354"/>
      <c r="R2574" s="1355"/>
      <c r="S2574" s="1356"/>
      <c r="T2574" s="1357"/>
      <c r="U2574" s="1358"/>
      <c r="V2574" s="1420">
        <f>SUM(V2565:V2573)</f>
        <v>0</v>
      </c>
      <c r="AB2574" s="15"/>
    </row>
    <row r="2575" spans="1:36" s="352" customFormat="1" ht="15.6" hidden="1">
      <c r="A2575" s="351"/>
      <c r="B2575" s="1963" t="str">
        <f>VLOOKUP(A2583,'11 - FINANCEIRA'!_xlnm.Print_Area,1,FALSE)</f>
        <v>2.5.2.3.4</v>
      </c>
      <c r="C2575" s="1965" t="str">
        <f>VLOOKUP(A2583,'11 - FINANCEIRA'!_xlnm.Print_Area,3,FALSE)</f>
        <v>Cabo de cobre flexível isolado, 10 mm², anti-chama 0,6/1,0 kv, para distribuição - fornecimento e instalação. af_12/2015 - preto</v>
      </c>
      <c r="D2575" s="1967" t="s">
        <v>1503</v>
      </c>
      <c r="E2575" s="1968"/>
      <c r="F2575" s="1968"/>
      <c r="G2575" s="1968"/>
      <c r="H2575" s="1968"/>
      <c r="I2575" s="1969"/>
      <c r="J2575" s="1914" t="s">
        <v>1504</v>
      </c>
      <c r="K2575" s="1914" t="s">
        <v>1505</v>
      </c>
      <c r="L2575" s="1914" t="s">
        <v>1506</v>
      </c>
      <c r="M2575" s="1914" t="s">
        <v>1507</v>
      </c>
      <c r="N2575" s="1914" t="s">
        <v>1508</v>
      </c>
      <c r="O2575" s="1914" t="s">
        <v>1509</v>
      </c>
      <c r="P2575" s="1341" t="s">
        <v>1510</v>
      </c>
      <c r="Q2575" s="1914" t="s">
        <v>1493</v>
      </c>
      <c r="R2575" s="1916" t="s">
        <v>804</v>
      </c>
      <c r="S2575" s="1914" t="s">
        <v>1511</v>
      </c>
      <c r="T2575" s="1914" t="s">
        <v>1512</v>
      </c>
      <c r="U2575" s="1918" t="s">
        <v>1513</v>
      </c>
      <c r="V2575" s="1418">
        <f t="shared" ref="V2575:V2582" si="261">V2576</f>
        <v>0</v>
      </c>
      <c r="W2575" s="16"/>
      <c r="X2575" s="16"/>
      <c r="Y2575" s="16"/>
      <c r="Z2575" s="17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</row>
    <row r="2576" spans="1:36" s="352" customFormat="1" ht="15.6" hidden="1">
      <c r="A2576" s="351"/>
      <c r="B2576" s="1964" t="e">
        <f>LEFT(#REF!,5)</f>
        <v>#REF!</v>
      </c>
      <c r="C2576" s="1966" t="e">
        <f>VLOOKUP(LEFT(#REF!,5),'11 - FINANCEIRA'!_xlnm.Print_Area,2,FALSE)</f>
        <v>#REF!</v>
      </c>
      <c r="D2576" s="1920" t="s">
        <v>1514</v>
      </c>
      <c r="E2576" s="1921"/>
      <c r="F2576" s="1922"/>
      <c r="G2576" s="1923" t="s">
        <v>1515</v>
      </c>
      <c r="H2576" s="1924"/>
      <c r="I2576" s="1925"/>
      <c r="J2576" s="1915"/>
      <c r="K2576" s="1915"/>
      <c r="L2576" s="1915"/>
      <c r="M2576" s="1915"/>
      <c r="N2576" s="1915"/>
      <c r="O2576" s="1915"/>
      <c r="P2576" s="353" t="s">
        <v>1516</v>
      </c>
      <c r="Q2576" s="1915"/>
      <c r="R2576" s="1917"/>
      <c r="S2576" s="1915"/>
      <c r="T2576" s="1915"/>
      <c r="U2576" s="1919"/>
      <c r="V2576" s="1418">
        <f t="shared" si="261"/>
        <v>0</v>
      </c>
      <c r="W2576" s="16"/>
      <c r="X2576" s="16"/>
      <c r="Y2576" s="16"/>
      <c r="Z2576" s="17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</row>
    <row r="2577" spans="1:36" s="361" customFormat="1" ht="30" hidden="1">
      <c r="A2577" s="354"/>
      <c r="B2577" s="355"/>
      <c r="C2577" s="28" t="s">
        <v>1137</v>
      </c>
      <c r="D2577" s="33"/>
      <c r="E2577" s="34"/>
      <c r="F2577" s="35"/>
      <c r="G2577" s="33"/>
      <c r="H2577" s="34"/>
      <c r="I2577" s="35"/>
      <c r="J2577" s="43"/>
      <c r="K2577" s="42"/>
      <c r="L2577" s="39"/>
      <c r="M2577" s="41"/>
      <c r="N2577" s="356"/>
      <c r="O2577" s="40"/>
      <c r="P2577" s="39"/>
      <c r="Q2577" s="45"/>
      <c r="R2577" s="1109">
        <v>270</v>
      </c>
      <c r="S2577" s="730" t="s">
        <v>809</v>
      </c>
      <c r="T2577" s="446" t="s">
        <v>325</v>
      </c>
      <c r="U2577" s="44"/>
      <c r="V2577" s="1418">
        <f t="shared" si="261"/>
        <v>0</v>
      </c>
      <c r="W2577" s="357"/>
      <c r="X2577" s="357"/>
      <c r="Y2577" s="357"/>
      <c r="Z2577" s="358"/>
      <c r="AA2577" s="359"/>
      <c r="AB2577" s="360"/>
    </row>
    <row r="2578" spans="1:36" s="361" customFormat="1" ht="15" hidden="1" customHeight="1">
      <c r="A2578" s="354"/>
      <c r="B2578" s="355"/>
      <c r="C2578" s="32"/>
      <c r="D2578" s="33"/>
      <c r="E2578" s="34"/>
      <c r="F2578" s="35"/>
      <c r="G2578" s="33"/>
      <c r="H2578" s="34"/>
      <c r="I2578" s="35"/>
      <c r="J2578" s="43"/>
      <c r="K2578" s="42"/>
      <c r="L2578" s="39"/>
      <c r="M2578" s="41"/>
      <c r="N2578" s="356"/>
      <c r="O2578" s="40"/>
      <c r="P2578" s="39"/>
      <c r="Q2578" s="45"/>
      <c r="R2578" s="362"/>
      <c r="S2578" s="363"/>
      <c r="T2578" s="46"/>
      <c r="U2578" s="44"/>
      <c r="V2578" s="1418">
        <f t="shared" si="261"/>
        <v>0</v>
      </c>
      <c r="W2578" s="357"/>
      <c r="X2578" s="357"/>
      <c r="Y2578" s="357"/>
      <c r="Z2578" s="358"/>
      <c r="AA2578" s="359"/>
      <c r="AB2578" s="360"/>
    </row>
    <row r="2579" spans="1:36" s="369" customFormat="1" ht="15" hidden="1">
      <c r="A2579" s="364"/>
      <c r="B2579" s="355"/>
      <c r="C2579" s="32"/>
      <c r="D2579" s="33"/>
      <c r="E2579" s="34"/>
      <c r="F2579" s="35"/>
      <c r="G2579" s="33"/>
      <c r="H2579" s="34"/>
      <c r="I2579" s="35"/>
      <c r="J2579" s="43"/>
      <c r="K2579" s="42"/>
      <c r="L2579" s="39"/>
      <c r="M2579" s="41"/>
      <c r="N2579" s="40"/>
      <c r="O2579" s="40"/>
      <c r="P2579" s="39"/>
      <c r="Q2579" s="38"/>
      <c r="R2579" s="365"/>
      <c r="S2579" s="366"/>
      <c r="T2579" s="46"/>
      <c r="U2579" s="44"/>
      <c r="V2579" s="1418">
        <f t="shared" si="261"/>
        <v>0</v>
      </c>
      <c r="W2579" s="367"/>
      <c r="X2579" s="367"/>
      <c r="Y2579" s="367"/>
      <c r="Z2579" s="368"/>
    </row>
    <row r="2580" spans="1:36" s="77" customFormat="1" ht="15" hidden="1">
      <c r="A2580" s="370"/>
      <c r="B2580" s="29"/>
      <c r="C2580" s="30"/>
      <c r="D2580" s="18"/>
      <c r="E2580" s="19"/>
      <c r="F2580" s="20"/>
      <c r="G2580" s="18"/>
      <c r="H2580" s="19"/>
      <c r="I2580" s="20"/>
      <c r="J2580" s="21"/>
      <c r="K2580" s="22"/>
      <c r="L2580" s="23"/>
      <c r="M2580" s="24"/>
      <c r="N2580" s="25"/>
      <c r="O2580" s="25"/>
      <c r="P2580" s="23"/>
      <c r="Q2580" s="26"/>
      <c r="R2580" s="371"/>
      <c r="S2580" s="27"/>
      <c r="T2580" s="372"/>
      <c r="U2580" s="31"/>
      <c r="V2580" s="1418">
        <f t="shared" si="261"/>
        <v>0</v>
      </c>
      <c r="AB2580" s="15"/>
    </row>
    <row r="2581" spans="1:36" s="77" customFormat="1" ht="15.6" hidden="1">
      <c r="A2581" s="370"/>
      <c r="B2581" s="499"/>
      <c r="C2581" s="37"/>
      <c r="D2581" s="1929" t="s">
        <v>1520</v>
      </c>
      <c r="E2581" s="1930"/>
      <c r="F2581" s="1930"/>
      <c r="G2581" s="1930"/>
      <c r="H2581" s="1930"/>
      <c r="I2581" s="1931"/>
      <c r="J2581" s="1932">
        <f>VLOOKUP(A2583,'11 - FINANCEIRA'!_xlnm.Print_Area,6,FALSE)</f>
        <v>270</v>
      </c>
      <c r="K2581" s="1933"/>
      <c r="L2581" s="1343" t="str">
        <f>VLOOKUP(A2583,'11 - FINANCEIRA'!_xlnm.Print_Area,4,FALSE)</f>
        <v>m</v>
      </c>
      <c r="M2581" s="1934" t="s">
        <v>1521</v>
      </c>
      <c r="N2581" s="1935"/>
      <c r="O2581" s="1935"/>
      <c r="P2581" s="1935"/>
      <c r="Q2581" s="1936"/>
      <c r="R2581" s="726">
        <f>SUM(R2577:R2580)</f>
        <v>270</v>
      </c>
      <c r="S2581" s="1344" t="str">
        <f>L2581</f>
        <v>m</v>
      </c>
      <c r="T2581" s="373"/>
      <c r="U2581" s="486"/>
      <c r="V2581" s="1418">
        <f t="shared" si="261"/>
        <v>0</v>
      </c>
      <c r="AB2581" s="15"/>
    </row>
    <row r="2582" spans="1:36" s="77" customFormat="1" ht="15.6" hidden="1">
      <c r="A2582" s="370"/>
      <c r="B2582" s="499"/>
      <c r="C2582" s="725"/>
      <c r="D2582" s="1937" t="s">
        <v>1522</v>
      </c>
      <c r="E2582" s="1938"/>
      <c r="F2582" s="1938"/>
      <c r="G2582" s="1938"/>
      <c r="H2582" s="1938"/>
      <c r="I2582" s="1939"/>
      <c r="J2582" s="1943">
        <f>R2581/J2581</f>
        <v>1</v>
      </c>
      <c r="K2582" s="1944"/>
      <c r="L2582" s="1947"/>
      <c r="M2582" s="1934" t="s">
        <v>1523</v>
      </c>
      <c r="N2582" s="1935"/>
      <c r="O2582" s="1935"/>
      <c r="P2582" s="1935"/>
      <c r="Q2582" s="1936"/>
      <c r="R2582" s="726">
        <f>VLOOKUP(A2583,'11 - FINANCEIRA'!_xlnm.Print_Area,8,FALSE)</f>
        <v>270</v>
      </c>
      <c r="S2582" s="727" t="str">
        <f>L2581</f>
        <v>m</v>
      </c>
      <c r="T2582" s="373"/>
      <c r="U2582" s="486"/>
      <c r="V2582" s="1418">
        <f t="shared" si="261"/>
        <v>0</v>
      </c>
      <c r="AB2582" s="15"/>
    </row>
    <row r="2583" spans="1:36" s="77" customFormat="1" ht="15.6" hidden="1">
      <c r="A2583" s="364" t="s">
        <v>566</v>
      </c>
      <c r="B2583" s="499"/>
      <c r="C2583" s="37"/>
      <c r="D2583" s="2013"/>
      <c r="E2583" s="2014"/>
      <c r="F2583" s="2014"/>
      <c r="G2583" s="2014"/>
      <c r="H2583" s="2014"/>
      <c r="I2583" s="2015"/>
      <c r="J2583" s="2016"/>
      <c r="K2583" s="2017"/>
      <c r="L2583" s="1962"/>
      <c r="M2583" s="2007" t="s">
        <v>1524</v>
      </c>
      <c r="N2583" s="2008"/>
      <c r="O2583" s="2008"/>
      <c r="P2583" s="2008"/>
      <c r="Q2583" s="2009"/>
      <c r="R2583" s="1345">
        <f>R2581-R2582</f>
        <v>0</v>
      </c>
      <c r="S2583" s="1346" t="str">
        <f>L2581</f>
        <v>m</v>
      </c>
      <c r="T2583" s="373"/>
      <c r="U2583" s="486"/>
      <c r="V2583" s="1418">
        <f>R2583</f>
        <v>0</v>
      </c>
      <c r="AB2583" s="15"/>
    </row>
    <row r="2584" spans="1:36" s="77" customFormat="1" ht="15.6" hidden="1">
      <c r="A2584" s="370"/>
      <c r="B2584" s="1347"/>
      <c r="C2584" s="1348"/>
      <c r="D2584" s="1349"/>
      <c r="E2584" s="1350"/>
      <c r="F2584" s="1349"/>
      <c r="G2584" s="1349"/>
      <c r="H2584" s="1349"/>
      <c r="I2584" s="1349"/>
      <c r="J2584" s="1351"/>
      <c r="K2584" s="1352"/>
      <c r="L2584" s="1353"/>
      <c r="M2584" s="1354"/>
      <c r="N2584" s="1354"/>
      <c r="O2584" s="1354"/>
      <c r="P2584" s="1354"/>
      <c r="Q2584" s="1354"/>
      <c r="R2584" s="1355"/>
      <c r="S2584" s="1356"/>
      <c r="T2584" s="1357"/>
      <c r="U2584" s="1358"/>
      <c r="V2584" s="1420">
        <f>SUM(V2575:V2583)</f>
        <v>0</v>
      </c>
      <c r="AB2584" s="15"/>
    </row>
    <row r="2585" spans="1:36" s="352" customFormat="1" ht="15.6" hidden="1">
      <c r="A2585" s="351"/>
      <c r="B2585" s="1963" t="str">
        <f>VLOOKUP(A2593,'11 - FINANCEIRA'!_xlnm.Print_Area,1,FALSE)</f>
        <v>2.5.2.3.5</v>
      </c>
      <c r="C2585" s="1965" t="str">
        <f>VLOOKUP(A2593,'11 - FINANCEIRA'!_xlnm.Print_Area,3,FALSE)</f>
        <v>Cabo de cobre flexível isolado, 10 mm², anti-chama 0,6/1,0 kv, para distribuição - fornecimento e instalação. af_12/2015 - azul</v>
      </c>
      <c r="D2585" s="1967" t="s">
        <v>1503</v>
      </c>
      <c r="E2585" s="1968"/>
      <c r="F2585" s="1968"/>
      <c r="G2585" s="1968"/>
      <c r="H2585" s="1968"/>
      <c r="I2585" s="1969"/>
      <c r="J2585" s="1914" t="s">
        <v>1504</v>
      </c>
      <c r="K2585" s="1914" t="s">
        <v>1505</v>
      </c>
      <c r="L2585" s="1914" t="s">
        <v>1506</v>
      </c>
      <c r="M2585" s="1914" t="s">
        <v>1507</v>
      </c>
      <c r="N2585" s="1914" t="s">
        <v>1508</v>
      </c>
      <c r="O2585" s="1914" t="s">
        <v>1509</v>
      </c>
      <c r="P2585" s="1341" t="s">
        <v>1510</v>
      </c>
      <c r="Q2585" s="1914" t="s">
        <v>1493</v>
      </c>
      <c r="R2585" s="1916" t="s">
        <v>804</v>
      </c>
      <c r="S2585" s="1914" t="s">
        <v>1511</v>
      </c>
      <c r="T2585" s="1914" t="s">
        <v>1512</v>
      </c>
      <c r="U2585" s="1918" t="s">
        <v>1513</v>
      </c>
      <c r="V2585" s="1418">
        <f t="shared" ref="V2585:V2592" si="262">V2586</f>
        <v>0</v>
      </c>
      <c r="W2585" s="16"/>
      <c r="X2585" s="16"/>
      <c r="Y2585" s="16"/>
      <c r="Z2585" s="17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</row>
    <row r="2586" spans="1:36" s="352" customFormat="1" ht="15.6" hidden="1">
      <c r="A2586" s="351"/>
      <c r="B2586" s="1964" t="e">
        <f>LEFT(#REF!,5)</f>
        <v>#REF!</v>
      </c>
      <c r="C2586" s="1966" t="e">
        <f>VLOOKUP(LEFT(#REF!,5),'11 - FINANCEIRA'!_xlnm.Print_Area,2,FALSE)</f>
        <v>#REF!</v>
      </c>
      <c r="D2586" s="1920" t="s">
        <v>1514</v>
      </c>
      <c r="E2586" s="1921"/>
      <c r="F2586" s="1922"/>
      <c r="G2586" s="1923" t="s">
        <v>1515</v>
      </c>
      <c r="H2586" s="1924"/>
      <c r="I2586" s="1925"/>
      <c r="J2586" s="1915"/>
      <c r="K2586" s="1915"/>
      <c r="L2586" s="1915"/>
      <c r="M2586" s="1915"/>
      <c r="N2586" s="1915"/>
      <c r="O2586" s="1915"/>
      <c r="P2586" s="353" t="s">
        <v>1516</v>
      </c>
      <c r="Q2586" s="1915"/>
      <c r="R2586" s="1917"/>
      <c r="S2586" s="1915"/>
      <c r="T2586" s="1915"/>
      <c r="U2586" s="1919"/>
      <c r="V2586" s="1418">
        <f t="shared" si="262"/>
        <v>0</v>
      </c>
      <c r="W2586" s="16"/>
      <c r="X2586" s="16"/>
      <c r="Y2586" s="16"/>
      <c r="Z2586" s="17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</row>
    <row r="2587" spans="1:36" s="361" customFormat="1" ht="30" hidden="1">
      <c r="A2587" s="354"/>
      <c r="B2587" s="355"/>
      <c r="C2587" s="28" t="s">
        <v>1138</v>
      </c>
      <c r="D2587" s="33"/>
      <c r="E2587" s="34"/>
      <c r="F2587" s="35"/>
      <c r="G2587" s="33"/>
      <c r="H2587" s="34"/>
      <c r="I2587" s="35"/>
      <c r="J2587" s="43"/>
      <c r="K2587" s="42"/>
      <c r="L2587" s="39"/>
      <c r="M2587" s="41"/>
      <c r="N2587" s="356"/>
      <c r="O2587" s="40"/>
      <c r="P2587" s="39"/>
      <c r="Q2587" s="45"/>
      <c r="R2587" s="1109">
        <v>90</v>
      </c>
      <c r="S2587" s="730" t="s">
        <v>809</v>
      </c>
      <c r="T2587" s="446" t="s">
        <v>325</v>
      </c>
      <c r="U2587" s="44"/>
      <c r="V2587" s="1418">
        <f t="shared" si="262"/>
        <v>0</v>
      </c>
      <c r="W2587" s="357"/>
      <c r="X2587" s="357"/>
      <c r="Y2587" s="357"/>
      <c r="Z2587" s="358"/>
      <c r="AA2587" s="359"/>
      <c r="AB2587" s="360"/>
    </row>
    <row r="2588" spans="1:36" s="361" customFormat="1" ht="15" hidden="1" customHeight="1">
      <c r="A2588" s="354"/>
      <c r="B2588" s="355"/>
      <c r="C2588" s="32"/>
      <c r="D2588" s="33"/>
      <c r="E2588" s="34"/>
      <c r="F2588" s="35"/>
      <c r="G2588" s="33"/>
      <c r="H2588" s="34"/>
      <c r="I2588" s="35"/>
      <c r="J2588" s="43"/>
      <c r="K2588" s="42"/>
      <c r="L2588" s="39"/>
      <c r="M2588" s="41"/>
      <c r="N2588" s="356"/>
      <c r="O2588" s="40"/>
      <c r="P2588" s="39"/>
      <c r="Q2588" s="45"/>
      <c r="R2588" s="362"/>
      <c r="S2588" s="363"/>
      <c r="T2588" s="46"/>
      <c r="U2588" s="44"/>
      <c r="V2588" s="1418">
        <f t="shared" si="262"/>
        <v>0</v>
      </c>
      <c r="W2588" s="357"/>
      <c r="X2588" s="357"/>
      <c r="Y2588" s="357"/>
      <c r="Z2588" s="358"/>
      <c r="AA2588" s="359"/>
      <c r="AB2588" s="360"/>
    </row>
    <row r="2589" spans="1:36" s="369" customFormat="1" ht="15" hidden="1">
      <c r="A2589" s="364"/>
      <c r="B2589" s="355"/>
      <c r="C2589" s="32"/>
      <c r="D2589" s="33"/>
      <c r="E2589" s="34"/>
      <c r="F2589" s="35"/>
      <c r="G2589" s="33"/>
      <c r="H2589" s="34"/>
      <c r="I2589" s="35"/>
      <c r="J2589" s="43"/>
      <c r="K2589" s="42"/>
      <c r="L2589" s="39"/>
      <c r="M2589" s="41"/>
      <c r="N2589" s="40"/>
      <c r="O2589" s="40"/>
      <c r="P2589" s="39"/>
      <c r="Q2589" s="38"/>
      <c r="R2589" s="365"/>
      <c r="S2589" s="366"/>
      <c r="T2589" s="46"/>
      <c r="U2589" s="44"/>
      <c r="V2589" s="1418">
        <f t="shared" si="262"/>
        <v>0</v>
      </c>
      <c r="W2589" s="367"/>
      <c r="X2589" s="367"/>
      <c r="Y2589" s="367"/>
      <c r="Z2589" s="368"/>
    </row>
    <row r="2590" spans="1:36" s="77" customFormat="1" ht="15" hidden="1">
      <c r="A2590" s="370"/>
      <c r="B2590" s="29"/>
      <c r="C2590" s="30"/>
      <c r="D2590" s="18"/>
      <c r="E2590" s="19"/>
      <c r="F2590" s="20"/>
      <c r="G2590" s="18"/>
      <c r="H2590" s="19"/>
      <c r="I2590" s="20"/>
      <c r="J2590" s="21"/>
      <c r="K2590" s="22"/>
      <c r="L2590" s="23"/>
      <c r="M2590" s="24"/>
      <c r="N2590" s="25"/>
      <c r="O2590" s="25"/>
      <c r="P2590" s="23"/>
      <c r="Q2590" s="26"/>
      <c r="R2590" s="371"/>
      <c r="S2590" s="27"/>
      <c r="T2590" s="372"/>
      <c r="U2590" s="31"/>
      <c r="V2590" s="1418">
        <f t="shared" si="262"/>
        <v>0</v>
      </c>
      <c r="AB2590" s="15"/>
    </row>
    <row r="2591" spans="1:36" s="77" customFormat="1" ht="15.6" hidden="1">
      <c r="A2591" s="370"/>
      <c r="B2591" s="499"/>
      <c r="C2591" s="37"/>
      <c r="D2591" s="1929" t="s">
        <v>1520</v>
      </c>
      <c r="E2591" s="1930"/>
      <c r="F2591" s="1930"/>
      <c r="G2591" s="1930"/>
      <c r="H2591" s="1930"/>
      <c r="I2591" s="1931"/>
      <c r="J2591" s="1932">
        <f>VLOOKUP(A2593,'11 - FINANCEIRA'!_xlnm.Print_Area,6,FALSE)</f>
        <v>90</v>
      </c>
      <c r="K2591" s="1933"/>
      <c r="L2591" s="1343" t="str">
        <f>VLOOKUP(A2593,'11 - FINANCEIRA'!_xlnm.Print_Area,4,FALSE)</f>
        <v>m</v>
      </c>
      <c r="M2591" s="1934" t="s">
        <v>1521</v>
      </c>
      <c r="N2591" s="1935"/>
      <c r="O2591" s="1935"/>
      <c r="P2591" s="1935"/>
      <c r="Q2591" s="1936"/>
      <c r="R2591" s="726">
        <f>SUM(R2587:R2590)</f>
        <v>90</v>
      </c>
      <c r="S2591" s="1344" t="str">
        <f>L2591</f>
        <v>m</v>
      </c>
      <c r="T2591" s="373"/>
      <c r="U2591" s="486"/>
      <c r="V2591" s="1418">
        <f t="shared" si="262"/>
        <v>0</v>
      </c>
      <c r="AB2591" s="15"/>
    </row>
    <row r="2592" spans="1:36" s="77" customFormat="1" ht="15.6" hidden="1">
      <c r="A2592" s="370"/>
      <c r="B2592" s="499"/>
      <c r="C2592" s="725"/>
      <c r="D2592" s="1937" t="s">
        <v>1522</v>
      </c>
      <c r="E2592" s="1938"/>
      <c r="F2592" s="1938"/>
      <c r="G2592" s="1938"/>
      <c r="H2592" s="1938"/>
      <c r="I2592" s="1939"/>
      <c r="J2592" s="1943">
        <f>R2591/J2591</f>
        <v>1</v>
      </c>
      <c r="K2592" s="1944"/>
      <c r="L2592" s="1947"/>
      <c r="M2592" s="1934" t="s">
        <v>1523</v>
      </c>
      <c r="N2592" s="1935"/>
      <c r="O2592" s="1935"/>
      <c r="P2592" s="1935"/>
      <c r="Q2592" s="1936"/>
      <c r="R2592" s="726">
        <f>VLOOKUP(A2593,'11 - FINANCEIRA'!_xlnm.Print_Area,8,FALSE)</f>
        <v>90</v>
      </c>
      <c r="S2592" s="727" t="str">
        <f>L2591</f>
        <v>m</v>
      </c>
      <c r="T2592" s="373"/>
      <c r="U2592" s="486"/>
      <c r="V2592" s="1418">
        <f t="shared" si="262"/>
        <v>0</v>
      </c>
      <c r="AB2592" s="15"/>
    </row>
    <row r="2593" spans="1:36" s="77" customFormat="1" ht="15.6" hidden="1">
      <c r="A2593" s="364" t="s">
        <v>567</v>
      </c>
      <c r="B2593" s="499"/>
      <c r="C2593" s="37"/>
      <c r="D2593" s="2013"/>
      <c r="E2593" s="2014"/>
      <c r="F2593" s="2014"/>
      <c r="G2593" s="2014"/>
      <c r="H2593" s="2014"/>
      <c r="I2593" s="2015"/>
      <c r="J2593" s="2016"/>
      <c r="K2593" s="2017"/>
      <c r="L2593" s="1962"/>
      <c r="M2593" s="2007" t="s">
        <v>1524</v>
      </c>
      <c r="N2593" s="2008"/>
      <c r="O2593" s="2008"/>
      <c r="P2593" s="2008"/>
      <c r="Q2593" s="2009"/>
      <c r="R2593" s="1345">
        <f>R2591-R2592</f>
        <v>0</v>
      </c>
      <c r="S2593" s="1346" t="str">
        <f>L2591</f>
        <v>m</v>
      </c>
      <c r="T2593" s="373"/>
      <c r="U2593" s="486"/>
      <c r="V2593" s="1418">
        <f>R2593</f>
        <v>0</v>
      </c>
      <c r="AB2593" s="15"/>
    </row>
    <row r="2594" spans="1:36" s="77" customFormat="1" ht="15.6" hidden="1">
      <c r="A2594" s="370"/>
      <c r="B2594" s="1347"/>
      <c r="C2594" s="1348"/>
      <c r="D2594" s="1349"/>
      <c r="E2594" s="1350"/>
      <c r="F2594" s="1349"/>
      <c r="G2594" s="1349"/>
      <c r="H2594" s="1349"/>
      <c r="I2594" s="1349"/>
      <c r="J2594" s="1351"/>
      <c r="K2594" s="1352"/>
      <c r="L2594" s="1353"/>
      <c r="M2594" s="1354"/>
      <c r="N2594" s="1354"/>
      <c r="O2594" s="1354"/>
      <c r="P2594" s="1354"/>
      <c r="Q2594" s="1354"/>
      <c r="R2594" s="1355"/>
      <c r="S2594" s="1356"/>
      <c r="T2594" s="1357"/>
      <c r="U2594" s="1358"/>
      <c r="V2594" s="1420">
        <f>SUM(V2585:V2593)</f>
        <v>0</v>
      </c>
      <c r="AB2594" s="15"/>
    </row>
    <row r="2595" spans="1:36" s="352" customFormat="1" ht="15.6" hidden="1">
      <c r="A2595" s="351"/>
      <c r="B2595" s="1963" t="str">
        <f>VLOOKUP(A2603,'11 - FINANCEIRA'!_xlnm.Print_Area,1,FALSE)</f>
        <v>2.5.2.3.6</v>
      </c>
      <c r="C2595" s="1965" t="str">
        <f>VLOOKUP(A2603,'11 - FINANCEIRA'!_xlnm.Print_Area,3,FALSE)</f>
        <v>Cabo de cobre flexível isolado, 10 mm², anti-chama 0,6/1,0 kv, para distribuição - fornecimento e instalação. af_12/2015 - verde</v>
      </c>
      <c r="D2595" s="1967" t="s">
        <v>1503</v>
      </c>
      <c r="E2595" s="1968"/>
      <c r="F2595" s="1968"/>
      <c r="G2595" s="1968"/>
      <c r="H2595" s="1968"/>
      <c r="I2595" s="1969"/>
      <c r="J2595" s="1914" t="s">
        <v>1504</v>
      </c>
      <c r="K2595" s="1914" t="s">
        <v>1505</v>
      </c>
      <c r="L2595" s="1914" t="s">
        <v>1506</v>
      </c>
      <c r="M2595" s="1914" t="s">
        <v>1507</v>
      </c>
      <c r="N2595" s="1914" t="s">
        <v>1508</v>
      </c>
      <c r="O2595" s="1914" t="s">
        <v>1509</v>
      </c>
      <c r="P2595" s="1341" t="s">
        <v>1510</v>
      </c>
      <c r="Q2595" s="1914" t="s">
        <v>1493</v>
      </c>
      <c r="R2595" s="1916" t="s">
        <v>804</v>
      </c>
      <c r="S2595" s="1914" t="s">
        <v>1511</v>
      </c>
      <c r="T2595" s="1914" t="s">
        <v>1512</v>
      </c>
      <c r="U2595" s="1918" t="s">
        <v>1513</v>
      </c>
      <c r="V2595" s="1418">
        <f t="shared" ref="V2595:V2602" si="263">V2596</f>
        <v>0</v>
      </c>
      <c r="W2595" s="16"/>
      <c r="X2595" s="16"/>
      <c r="Y2595" s="16"/>
      <c r="Z2595" s="17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</row>
    <row r="2596" spans="1:36" s="352" customFormat="1" ht="15.6" hidden="1">
      <c r="A2596" s="351"/>
      <c r="B2596" s="1964" t="e">
        <f>LEFT(#REF!,5)</f>
        <v>#REF!</v>
      </c>
      <c r="C2596" s="1966" t="e">
        <f>VLOOKUP(LEFT(#REF!,5),'11 - FINANCEIRA'!_xlnm.Print_Area,2,FALSE)</f>
        <v>#REF!</v>
      </c>
      <c r="D2596" s="1920" t="s">
        <v>1514</v>
      </c>
      <c r="E2596" s="1921"/>
      <c r="F2596" s="1922"/>
      <c r="G2596" s="1923" t="s">
        <v>1515</v>
      </c>
      <c r="H2596" s="1924"/>
      <c r="I2596" s="1925"/>
      <c r="J2596" s="1915"/>
      <c r="K2596" s="1915"/>
      <c r="L2596" s="1915"/>
      <c r="M2596" s="1915"/>
      <c r="N2596" s="1915"/>
      <c r="O2596" s="1915"/>
      <c r="P2596" s="353" t="s">
        <v>1516</v>
      </c>
      <c r="Q2596" s="1915"/>
      <c r="R2596" s="1917"/>
      <c r="S2596" s="1915"/>
      <c r="T2596" s="1915"/>
      <c r="U2596" s="1919"/>
      <c r="V2596" s="1418">
        <f t="shared" si="263"/>
        <v>0</v>
      </c>
      <c r="W2596" s="16"/>
      <c r="X2596" s="16"/>
      <c r="Y2596" s="16"/>
      <c r="Z2596" s="17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</row>
    <row r="2597" spans="1:36" s="361" customFormat="1" ht="30" hidden="1">
      <c r="A2597" s="354"/>
      <c r="B2597" s="355"/>
      <c r="C2597" s="28" t="s">
        <v>1139</v>
      </c>
      <c r="D2597" s="33"/>
      <c r="E2597" s="34"/>
      <c r="F2597" s="35"/>
      <c r="G2597" s="33"/>
      <c r="H2597" s="34"/>
      <c r="I2597" s="35"/>
      <c r="J2597" s="43"/>
      <c r="K2597" s="42"/>
      <c r="L2597" s="39"/>
      <c r="M2597" s="41"/>
      <c r="N2597" s="356"/>
      <c r="O2597" s="40"/>
      <c r="P2597" s="39"/>
      <c r="Q2597" s="45"/>
      <c r="R2597" s="1109">
        <v>90</v>
      </c>
      <c r="S2597" s="730" t="s">
        <v>809</v>
      </c>
      <c r="T2597" s="446" t="s">
        <v>325</v>
      </c>
      <c r="U2597" s="44"/>
      <c r="V2597" s="1418">
        <f t="shared" si="263"/>
        <v>0</v>
      </c>
      <c r="W2597" s="357"/>
      <c r="X2597" s="357"/>
      <c r="Y2597" s="357"/>
      <c r="Z2597" s="358"/>
      <c r="AA2597" s="359"/>
      <c r="AB2597" s="360"/>
    </row>
    <row r="2598" spans="1:36" s="361" customFormat="1" ht="15" hidden="1" customHeight="1">
      <c r="A2598" s="354"/>
      <c r="B2598" s="355"/>
      <c r="C2598" s="32"/>
      <c r="D2598" s="33"/>
      <c r="E2598" s="34"/>
      <c r="F2598" s="35"/>
      <c r="G2598" s="33"/>
      <c r="H2598" s="34"/>
      <c r="I2598" s="35"/>
      <c r="J2598" s="43"/>
      <c r="K2598" s="42"/>
      <c r="L2598" s="39"/>
      <c r="M2598" s="41"/>
      <c r="N2598" s="356"/>
      <c r="O2598" s="40"/>
      <c r="P2598" s="39"/>
      <c r="Q2598" s="45"/>
      <c r="R2598" s="362"/>
      <c r="S2598" s="363"/>
      <c r="T2598" s="46"/>
      <c r="U2598" s="44"/>
      <c r="V2598" s="1418">
        <f t="shared" si="263"/>
        <v>0</v>
      </c>
      <c r="W2598" s="357"/>
      <c r="X2598" s="357"/>
      <c r="Y2598" s="357"/>
      <c r="Z2598" s="358"/>
      <c r="AA2598" s="359"/>
      <c r="AB2598" s="360"/>
    </row>
    <row r="2599" spans="1:36" s="369" customFormat="1" ht="15" hidden="1">
      <c r="A2599" s="364"/>
      <c r="B2599" s="355"/>
      <c r="C2599" s="32"/>
      <c r="D2599" s="33"/>
      <c r="E2599" s="34"/>
      <c r="F2599" s="35"/>
      <c r="G2599" s="33"/>
      <c r="H2599" s="34"/>
      <c r="I2599" s="35"/>
      <c r="J2599" s="43"/>
      <c r="K2599" s="42"/>
      <c r="L2599" s="39"/>
      <c r="M2599" s="41"/>
      <c r="N2599" s="40"/>
      <c r="O2599" s="40"/>
      <c r="P2599" s="39"/>
      <c r="Q2599" s="38"/>
      <c r="R2599" s="365"/>
      <c r="S2599" s="366"/>
      <c r="T2599" s="46"/>
      <c r="U2599" s="44"/>
      <c r="V2599" s="1418">
        <f t="shared" si="263"/>
        <v>0</v>
      </c>
      <c r="W2599" s="367"/>
      <c r="X2599" s="367"/>
      <c r="Y2599" s="367"/>
      <c r="Z2599" s="368"/>
    </row>
    <row r="2600" spans="1:36" s="77" customFormat="1" ht="15" hidden="1">
      <c r="A2600" s="370"/>
      <c r="B2600" s="29"/>
      <c r="C2600" s="30"/>
      <c r="D2600" s="18"/>
      <c r="E2600" s="19"/>
      <c r="F2600" s="20"/>
      <c r="G2600" s="18"/>
      <c r="H2600" s="19"/>
      <c r="I2600" s="20"/>
      <c r="J2600" s="21"/>
      <c r="K2600" s="22"/>
      <c r="L2600" s="23"/>
      <c r="M2600" s="24"/>
      <c r="N2600" s="25"/>
      <c r="O2600" s="25"/>
      <c r="P2600" s="23"/>
      <c r="Q2600" s="26"/>
      <c r="R2600" s="371"/>
      <c r="S2600" s="27"/>
      <c r="T2600" s="372"/>
      <c r="U2600" s="31"/>
      <c r="V2600" s="1418">
        <f t="shared" si="263"/>
        <v>0</v>
      </c>
      <c r="AB2600" s="15"/>
    </row>
    <row r="2601" spans="1:36" s="77" customFormat="1" ht="15.6" hidden="1">
      <c r="A2601" s="370"/>
      <c r="B2601" s="499"/>
      <c r="C2601" s="37"/>
      <c r="D2601" s="1929" t="s">
        <v>1520</v>
      </c>
      <c r="E2601" s="1930"/>
      <c r="F2601" s="1930"/>
      <c r="G2601" s="1930"/>
      <c r="H2601" s="1930"/>
      <c r="I2601" s="1931"/>
      <c r="J2601" s="1932">
        <f>VLOOKUP(A2603,'11 - FINANCEIRA'!_xlnm.Print_Area,6,FALSE)</f>
        <v>90</v>
      </c>
      <c r="K2601" s="1933"/>
      <c r="L2601" s="1343" t="str">
        <f>VLOOKUP(A2603,'11 - FINANCEIRA'!_xlnm.Print_Area,4,FALSE)</f>
        <v>m</v>
      </c>
      <c r="M2601" s="1934" t="s">
        <v>1521</v>
      </c>
      <c r="N2601" s="1935"/>
      <c r="O2601" s="1935"/>
      <c r="P2601" s="1935"/>
      <c r="Q2601" s="1936"/>
      <c r="R2601" s="726">
        <f>SUM(R2597:R2600)</f>
        <v>90</v>
      </c>
      <c r="S2601" s="1344" t="str">
        <f>L2601</f>
        <v>m</v>
      </c>
      <c r="T2601" s="373"/>
      <c r="U2601" s="486"/>
      <c r="V2601" s="1418">
        <f t="shared" si="263"/>
        <v>0</v>
      </c>
      <c r="AB2601" s="15"/>
    </row>
    <row r="2602" spans="1:36" s="77" customFormat="1" ht="15.6" hidden="1">
      <c r="A2602" s="370"/>
      <c r="B2602" s="499"/>
      <c r="C2602" s="725"/>
      <c r="D2602" s="1937" t="s">
        <v>1522</v>
      </c>
      <c r="E2602" s="1938"/>
      <c r="F2602" s="1938"/>
      <c r="G2602" s="1938"/>
      <c r="H2602" s="1938"/>
      <c r="I2602" s="1939"/>
      <c r="J2602" s="1943">
        <f>R2601/J2601</f>
        <v>1</v>
      </c>
      <c r="K2602" s="1944"/>
      <c r="L2602" s="1947"/>
      <c r="M2602" s="1934" t="s">
        <v>1523</v>
      </c>
      <c r="N2602" s="1935"/>
      <c r="O2602" s="1935"/>
      <c r="P2602" s="1935"/>
      <c r="Q2602" s="1936"/>
      <c r="R2602" s="726">
        <f>VLOOKUP(A2603,'11 - FINANCEIRA'!_xlnm.Print_Area,8,FALSE)</f>
        <v>90</v>
      </c>
      <c r="S2602" s="727" t="str">
        <f>L2601</f>
        <v>m</v>
      </c>
      <c r="T2602" s="373"/>
      <c r="U2602" s="486"/>
      <c r="V2602" s="1418">
        <f t="shared" si="263"/>
        <v>0</v>
      </c>
      <c r="AB2602" s="15"/>
    </row>
    <row r="2603" spans="1:36" s="77" customFormat="1" ht="15.6" hidden="1">
      <c r="A2603" s="364" t="s">
        <v>568</v>
      </c>
      <c r="B2603" s="499"/>
      <c r="C2603" s="37"/>
      <c r="D2603" s="2013"/>
      <c r="E2603" s="2014"/>
      <c r="F2603" s="2014"/>
      <c r="G2603" s="2014"/>
      <c r="H2603" s="2014"/>
      <c r="I2603" s="2015"/>
      <c r="J2603" s="2016"/>
      <c r="K2603" s="2017"/>
      <c r="L2603" s="1962"/>
      <c r="M2603" s="2007" t="s">
        <v>1524</v>
      </c>
      <c r="N2603" s="2008"/>
      <c r="O2603" s="2008"/>
      <c r="P2603" s="2008"/>
      <c r="Q2603" s="2009"/>
      <c r="R2603" s="1345">
        <f>R2601-R2602</f>
        <v>0</v>
      </c>
      <c r="S2603" s="1346" t="str">
        <f>L2601</f>
        <v>m</v>
      </c>
      <c r="T2603" s="373"/>
      <c r="U2603" s="486"/>
      <c r="V2603" s="1418">
        <f>R2603</f>
        <v>0</v>
      </c>
      <c r="AB2603" s="15"/>
    </row>
    <row r="2604" spans="1:36" s="77" customFormat="1" ht="15.6" hidden="1">
      <c r="A2604" s="370"/>
      <c r="B2604" s="1347"/>
      <c r="C2604" s="1348"/>
      <c r="D2604" s="1349"/>
      <c r="E2604" s="1350"/>
      <c r="F2604" s="1349"/>
      <c r="G2604" s="1349"/>
      <c r="H2604" s="1349"/>
      <c r="I2604" s="1349"/>
      <c r="J2604" s="1351"/>
      <c r="K2604" s="1352"/>
      <c r="L2604" s="1353"/>
      <c r="M2604" s="1354"/>
      <c r="N2604" s="1354"/>
      <c r="O2604" s="1354"/>
      <c r="P2604" s="1354"/>
      <c r="Q2604" s="1354"/>
      <c r="R2604" s="1355"/>
      <c r="S2604" s="1356"/>
      <c r="T2604" s="1357"/>
      <c r="U2604" s="1358"/>
      <c r="V2604" s="1420">
        <f>SUM(V2595:V2603)</f>
        <v>0</v>
      </c>
      <c r="AB2604" s="15"/>
    </row>
    <row r="2605" spans="1:36" s="352" customFormat="1" ht="15.6" hidden="1">
      <c r="A2605" s="351"/>
      <c r="B2605" s="1963" t="str">
        <f>VLOOKUP(A2613,'11 - FINANCEIRA'!_xlnm.Print_Area,1,FALSE)</f>
        <v>2.5.2.3.7</v>
      </c>
      <c r="C2605" s="1965" t="str">
        <f>VLOOKUP(A2613,'11 - FINANCEIRA'!_xlnm.Print_Area,3,FALSE)</f>
        <v>Cabo de cobre flexível isolado, 16 mm², anti-chama 0,6/1,0 kv, para distribuição - fornecimento e instalação. af_12/2015 - preto</v>
      </c>
      <c r="D2605" s="1967" t="s">
        <v>1503</v>
      </c>
      <c r="E2605" s="1968"/>
      <c r="F2605" s="1968"/>
      <c r="G2605" s="1968"/>
      <c r="H2605" s="1968"/>
      <c r="I2605" s="1969"/>
      <c r="J2605" s="1914" t="s">
        <v>1504</v>
      </c>
      <c r="K2605" s="1914" t="s">
        <v>1505</v>
      </c>
      <c r="L2605" s="1914" t="s">
        <v>1506</v>
      </c>
      <c r="M2605" s="1914" t="s">
        <v>1507</v>
      </c>
      <c r="N2605" s="1914" t="s">
        <v>1508</v>
      </c>
      <c r="O2605" s="1914" t="s">
        <v>1509</v>
      </c>
      <c r="P2605" s="1341" t="s">
        <v>1510</v>
      </c>
      <c r="Q2605" s="1914" t="s">
        <v>1493</v>
      </c>
      <c r="R2605" s="1916" t="s">
        <v>804</v>
      </c>
      <c r="S2605" s="1914" t="s">
        <v>1511</v>
      </c>
      <c r="T2605" s="1914" t="s">
        <v>1512</v>
      </c>
      <c r="U2605" s="1918" t="s">
        <v>1513</v>
      </c>
      <c r="V2605" s="1418">
        <f t="shared" ref="V2605:V2612" si="264">V2606</f>
        <v>0</v>
      </c>
      <c r="W2605" s="16"/>
      <c r="X2605" s="16"/>
      <c r="Y2605" s="16"/>
      <c r="Z2605" s="17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</row>
    <row r="2606" spans="1:36" s="352" customFormat="1" ht="15.6" hidden="1">
      <c r="A2606" s="351"/>
      <c r="B2606" s="1964" t="e">
        <f>LEFT(#REF!,5)</f>
        <v>#REF!</v>
      </c>
      <c r="C2606" s="1966" t="e">
        <f>VLOOKUP(LEFT(#REF!,5),'11 - FINANCEIRA'!_xlnm.Print_Area,2,FALSE)</f>
        <v>#REF!</v>
      </c>
      <c r="D2606" s="1920" t="s">
        <v>1514</v>
      </c>
      <c r="E2606" s="1921"/>
      <c r="F2606" s="1922"/>
      <c r="G2606" s="1923" t="s">
        <v>1515</v>
      </c>
      <c r="H2606" s="1924"/>
      <c r="I2606" s="1925"/>
      <c r="J2606" s="1915"/>
      <c r="K2606" s="1915"/>
      <c r="L2606" s="1915"/>
      <c r="M2606" s="1915"/>
      <c r="N2606" s="1915"/>
      <c r="O2606" s="1915"/>
      <c r="P2606" s="353" t="s">
        <v>1516</v>
      </c>
      <c r="Q2606" s="1915"/>
      <c r="R2606" s="1917"/>
      <c r="S2606" s="1915"/>
      <c r="T2606" s="1915"/>
      <c r="U2606" s="1919"/>
      <c r="V2606" s="1418">
        <f t="shared" si="264"/>
        <v>0</v>
      </c>
      <c r="W2606" s="16"/>
      <c r="X2606" s="16"/>
      <c r="Y2606" s="16"/>
      <c r="Z2606" s="17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</row>
    <row r="2607" spans="1:36" s="361" customFormat="1" ht="15" hidden="1" customHeight="1">
      <c r="A2607" s="354"/>
      <c r="B2607" s="755" t="s">
        <v>1929</v>
      </c>
      <c r="C2607" s="28" t="s">
        <v>1141</v>
      </c>
      <c r="D2607" s="18"/>
      <c r="E2607" s="19"/>
      <c r="F2607" s="20"/>
      <c r="G2607" s="18"/>
      <c r="H2607" s="19"/>
      <c r="I2607" s="20"/>
      <c r="J2607" s="21"/>
      <c r="K2607" s="22"/>
      <c r="L2607" s="23"/>
      <c r="M2607" s="24"/>
      <c r="N2607" s="728"/>
      <c r="O2607" s="25"/>
      <c r="P2607" s="23"/>
      <c r="Q2607" s="729"/>
      <c r="R2607" s="1109">
        <v>1450</v>
      </c>
      <c r="S2607" s="730" t="s">
        <v>809</v>
      </c>
      <c r="T2607" s="446" t="s">
        <v>324</v>
      </c>
      <c r="U2607" s="44"/>
      <c r="V2607" s="1418">
        <f t="shared" si="264"/>
        <v>0</v>
      </c>
      <c r="W2607" s="357"/>
      <c r="X2607" s="357"/>
      <c r="Y2607" s="357"/>
      <c r="Z2607" s="358"/>
      <c r="AA2607" s="359"/>
      <c r="AB2607" s="360"/>
    </row>
    <row r="2608" spans="1:36" s="361" customFormat="1" ht="15" hidden="1" customHeight="1">
      <c r="A2608" s="354"/>
      <c r="B2608" s="355"/>
      <c r="C2608" s="32"/>
      <c r="D2608" s="33"/>
      <c r="E2608" s="34"/>
      <c r="F2608" s="35"/>
      <c r="G2608" s="33"/>
      <c r="H2608" s="34"/>
      <c r="I2608" s="35"/>
      <c r="J2608" s="43"/>
      <c r="K2608" s="42"/>
      <c r="L2608" s="39"/>
      <c r="M2608" s="41"/>
      <c r="N2608" s="356"/>
      <c r="O2608" s="40"/>
      <c r="P2608" s="39"/>
      <c r="Q2608" s="45"/>
      <c r="R2608" s="362"/>
      <c r="S2608" s="363"/>
      <c r="T2608" s="46"/>
      <c r="U2608" s="44"/>
      <c r="V2608" s="1418">
        <f t="shared" si="264"/>
        <v>0</v>
      </c>
      <c r="W2608" s="357"/>
      <c r="X2608" s="357"/>
      <c r="Y2608" s="357"/>
      <c r="Z2608" s="358"/>
      <c r="AA2608" s="359"/>
      <c r="AB2608" s="360"/>
    </row>
    <row r="2609" spans="1:36" s="369" customFormat="1" ht="15" hidden="1">
      <c r="A2609" s="364"/>
      <c r="B2609" s="355"/>
      <c r="C2609" s="32"/>
      <c r="D2609" s="33"/>
      <c r="E2609" s="34"/>
      <c r="F2609" s="35"/>
      <c r="G2609" s="33"/>
      <c r="H2609" s="34"/>
      <c r="I2609" s="35"/>
      <c r="J2609" s="43"/>
      <c r="K2609" s="42"/>
      <c r="L2609" s="39"/>
      <c r="M2609" s="41"/>
      <c r="N2609" s="40"/>
      <c r="O2609" s="40"/>
      <c r="P2609" s="39"/>
      <c r="Q2609" s="38"/>
      <c r="R2609" s="365"/>
      <c r="S2609" s="366"/>
      <c r="T2609" s="46"/>
      <c r="U2609" s="44"/>
      <c r="V2609" s="1418">
        <f t="shared" si="264"/>
        <v>0</v>
      </c>
      <c r="W2609" s="367"/>
      <c r="X2609" s="367"/>
      <c r="Y2609" s="367"/>
      <c r="Z2609" s="368"/>
    </row>
    <row r="2610" spans="1:36" s="77" customFormat="1" ht="15" hidden="1">
      <c r="A2610" s="370"/>
      <c r="B2610" s="29"/>
      <c r="C2610" s="30"/>
      <c r="D2610" s="18"/>
      <c r="E2610" s="19"/>
      <c r="F2610" s="20"/>
      <c r="G2610" s="18"/>
      <c r="H2610" s="19"/>
      <c r="I2610" s="20"/>
      <c r="J2610" s="21"/>
      <c r="K2610" s="22"/>
      <c r="L2610" s="23"/>
      <c r="M2610" s="24"/>
      <c r="N2610" s="25"/>
      <c r="O2610" s="25"/>
      <c r="P2610" s="23"/>
      <c r="Q2610" s="26"/>
      <c r="R2610" s="371"/>
      <c r="S2610" s="27"/>
      <c r="T2610" s="372"/>
      <c r="U2610" s="31"/>
      <c r="V2610" s="1418">
        <f t="shared" si="264"/>
        <v>0</v>
      </c>
      <c r="AB2610" s="15"/>
    </row>
    <row r="2611" spans="1:36" s="77" customFormat="1" ht="15.6" hidden="1">
      <c r="A2611" s="370"/>
      <c r="B2611" s="499"/>
      <c r="C2611" s="37"/>
      <c r="D2611" s="1929" t="s">
        <v>1520</v>
      </c>
      <c r="E2611" s="1930"/>
      <c r="F2611" s="1930"/>
      <c r="G2611" s="1930"/>
      <c r="H2611" s="1930"/>
      <c r="I2611" s="1931"/>
      <c r="J2611" s="1932">
        <f>VLOOKUP(A2613,'11 - FINANCEIRA'!_xlnm.Print_Area,6,FALSE)</f>
        <v>1450</v>
      </c>
      <c r="K2611" s="1933"/>
      <c r="L2611" s="1343" t="str">
        <f>VLOOKUP(A2613,'11 - FINANCEIRA'!_xlnm.Print_Area,4,FALSE)</f>
        <v>m</v>
      </c>
      <c r="M2611" s="1934" t="s">
        <v>1521</v>
      </c>
      <c r="N2611" s="1935"/>
      <c r="O2611" s="1935"/>
      <c r="P2611" s="1935"/>
      <c r="Q2611" s="1936"/>
      <c r="R2611" s="726">
        <f>SUM(R2607:R2610)</f>
        <v>1450</v>
      </c>
      <c r="S2611" s="1344" t="str">
        <f>L2611</f>
        <v>m</v>
      </c>
      <c r="T2611" s="373"/>
      <c r="U2611" s="486"/>
      <c r="V2611" s="1418">
        <f t="shared" si="264"/>
        <v>0</v>
      </c>
      <c r="AB2611" s="15"/>
    </row>
    <row r="2612" spans="1:36" s="77" customFormat="1" ht="15.6" hidden="1">
      <c r="A2612" s="370"/>
      <c r="B2612" s="499"/>
      <c r="C2612" s="725"/>
      <c r="D2612" s="1937" t="s">
        <v>1522</v>
      </c>
      <c r="E2612" s="1938"/>
      <c r="F2612" s="1938"/>
      <c r="G2612" s="1938"/>
      <c r="H2612" s="1938"/>
      <c r="I2612" s="1939"/>
      <c r="J2612" s="1943">
        <f>R2611/J2611</f>
        <v>1</v>
      </c>
      <c r="K2612" s="1944"/>
      <c r="L2612" s="1947"/>
      <c r="M2612" s="1934" t="s">
        <v>1523</v>
      </c>
      <c r="N2612" s="1935"/>
      <c r="O2612" s="1935"/>
      <c r="P2612" s="1935"/>
      <c r="Q2612" s="1936"/>
      <c r="R2612" s="726">
        <f>VLOOKUP(A2613,'11 - FINANCEIRA'!_xlnm.Print_Area,8,FALSE)</f>
        <v>1450</v>
      </c>
      <c r="S2612" s="727" t="str">
        <f>L2611</f>
        <v>m</v>
      </c>
      <c r="T2612" s="373"/>
      <c r="U2612" s="486"/>
      <c r="V2612" s="1418">
        <f t="shared" si="264"/>
        <v>0</v>
      </c>
      <c r="AB2612" s="15"/>
    </row>
    <row r="2613" spans="1:36" s="77" customFormat="1" ht="15.6" hidden="1">
      <c r="A2613" s="364" t="s">
        <v>569</v>
      </c>
      <c r="B2613" s="499"/>
      <c r="C2613" s="37"/>
      <c r="D2613" s="2013"/>
      <c r="E2613" s="2014"/>
      <c r="F2613" s="2014"/>
      <c r="G2613" s="2014"/>
      <c r="H2613" s="2014"/>
      <c r="I2613" s="2015"/>
      <c r="J2613" s="2016"/>
      <c r="K2613" s="2017"/>
      <c r="L2613" s="1962"/>
      <c r="M2613" s="2007" t="s">
        <v>1524</v>
      </c>
      <c r="N2613" s="2008"/>
      <c r="O2613" s="2008"/>
      <c r="P2613" s="2008"/>
      <c r="Q2613" s="2009"/>
      <c r="R2613" s="1345">
        <f>R2611-R2612</f>
        <v>0</v>
      </c>
      <c r="S2613" s="1346" t="str">
        <f>L2611</f>
        <v>m</v>
      </c>
      <c r="T2613" s="373"/>
      <c r="U2613" s="486"/>
      <c r="V2613" s="1418">
        <f>R2613</f>
        <v>0</v>
      </c>
      <c r="AB2613" s="15"/>
    </row>
    <row r="2614" spans="1:36" s="77" customFormat="1" ht="15.6" hidden="1">
      <c r="A2614" s="370"/>
      <c r="B2614" s="1347"/>
      <c r="C2614" s="1348"/>
      <c r="D2614" s="1349"/>
      <c r="E2614" s="1350"/>
      <c r="F2614" s="1349"/>
      <c r="G2614" s="1349"/>
      <c r="H2614" s="1349"/>
      <c r="I2614" s="1349"/>
      <c r="J2614" s="1351"/>
      <c r="K2614" s="1352"/>
      <c r="L2614" s="1353"/>
      <c r="M2614" s="1354"/>
      <c r="N2614" s="1354"/>
      <c r="O2614" s="1354"/>
      <c r="P2614" s="1354"/>
      <c r="Q2614" s="1354"/>
      <c r="R2614" s="1355"/>
      <c r="S2614" s="1356"/>
      <c r="T2614" s="1357"/>
      <c r="U2614" s="1358"/>
      <c r="V2614" s="1420">
        <f>SUM(V2605:V2613)</f>
        <v>0</v>
      </c>
      <c r="AB2614" s="15"/>
    </row>
    <row r="2615" spans="1:36" s="352" customFormat="1" ht="15.6" hidden="1">
      <c r="A2615" s="351"/>
      <c r="B2615" s="1963" t="str">
        <f>VLOOKUP(A2623,'11 - FINANCEIRA'!_xlnm.Print_Area,1,FALSE)</f>
        <v>2.5.2.3.8</v>
      </c>
      <c r="C2615" s="1965" t="str">
        <f>VLOOKUP(A2623,'11 - FINANCEIRA'!_xlnm.Print_Area,3,FALSE)</f>
        <v>Cabo de cobre flexível isolado, 16 mm², anti-chama 0,6/1,0 kv, para distribuição - fornecimento e instalação. af_12/2015 - verde</v>
      </c>
      <c r="D2615" s="1967" t="s">
        <v>1503</v>
      </c>
      <c r="E2615" s="1968"/>
      <c r="F2615" s="1968"/>
      <c r="G2615" s="1968"/>
      <c r="H2615" s="1968"/>
      <c r="I2615" s="1969"/>
      <c r="J2615" s="1914" t="s">
        <v>1504</v>
      </c>
      <c r="K2615" s="1914" t="s">
        <v>1505</v>
      </c>
      <c r="L2615" s="1914" t="s">
        <v>1506</v>
      </c>
      <c r="M2615" s="1914" t="s">
        <v>1507</v>
      </c>
      <c r="N2615" s="1914" t="s">
        <v>1508</v>
      </c>
      <c r="O2615" s="1914" t="s">
        <v>1509</v>
      </c>
      <c r="P2615" s="1341" t="s">
        <v>1510</v>
      </c>
      <c r="Q2615" s="1914" t="s">
        <v>1493</v>
      </c>
      <c r="R2615" s="1916" t="s">
        <v>804</v>
      </c>
      <c r="S2615" s="1914" t="s">
        <v>1511</v>
      </c>
      <c r="T2615" s="1914" t="s">
        <v>1512</v>
      </c>
      <c r="U2615" s="1918" t="s">
        <v>1513</v>
      </c>
      <c r="V2615" s="1418">
        <f t="shared" ref="V2615:V2622" si="265">V2616</f>
        <v>0</v>
      </c>
      <c r="W2615" s="16"/>
      <c r="X2615" s="16"/>
      <c r="Y2615" s="16"/>
      <c r="Z2615" s="17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</row>
    <row r="2616" spans="1:36" s="352" customFormat="1" ht="15.6" hidden="1">
      <c r="A2616" s="351"/>
      <c r="B2616" s="1964" t="e">
        <f>LEFT(#REF!,5)</f>
        <v>#REF!</v>
      </c>
      <c r="C2616" s="1966" t="e">
        <f>VLOOKUP(LEFT(#REF!,5),'11 - FINANCEIRA'!_xlnm.Print_Area,2,FALSE)</f>
        <v>#REF!</v>
      </c>
      <c r="D2616" s="1920" t="s">
        <v>1514</v>
      </c>
      <c r="E2616" s="1921"/>
      <c r="F2616" s="1922"/>
      <c r="G2616" s="1923" t="s">
        <v>1515</v>
      </c>
      <c r="H2616" s="1924"/>
      <c r="I2616" s="1925"/>
      <c r="J2616" s="1915"/>
      <c r="K2616" s="1915"/>
      <c r="L2616" s="1915"/>
      <c r="M2616" s="1915"/>
      <c r="N2616" s="1915"/>
      <c r="O2616" s="1915"/>
      <c r="P2616" s="353" t="s">
        <v>1516</v>
      </c>
      <c r="Q2616" s="1915"/>
      <c r="R2616" s="1917"/>
      <c r="S2616" s="1915"/>
      <c r="T2616" s="1915"/>
      <c r="U2616" s="1919"/>
      <c r="V2616" s="1418">
        <f t="shared" si="265"/>
        <v>0</v>
      </c>
      <c r="W2616" s="16"/>
      <c r="X2616" s="16"/>
      <c r="Y2616" s="16"/>
      <c r="Z2616" s="17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</row>
    <row r="2617" spans="1:36" s="361" customFormat="1" ht="15" hidden="1" customHeight="1">
      <c r="A2617" s="354"/>
      <c r="B2617" s="755" t="s">
        <v>1930</v>
      </c>
      <c r="C2617" s="28" t="s">
        <v>1142</v>
      </c>
      <c r="D2617" s="18"/>
      <c r="E2617" s="19"/>
      <c r="F2617" s="20"/>
      <c r="G2617" s="18"/>
      <c r="H2617" s="19"/>
      <c r="I2617" s="20"/>
      <c r="J2617" s="21"/>
      <c r="K2617" s="22"/>
      <c r="L2617" s="23"/>
      <c r="M2617" s="24"/>
      <c r="N2617" s="728"/>
      <c r="O2617" s="25"/>
      <c r="P2617" s="23"/>
      <c r="Q2617" s="729"/>
      <c r="R2617" s="1109">
        <v>490</v>
      </c>
      <c r="S2617" s="730" t="s">
        <v>809</v>
      </c>
      <c r="T2617" s="446" t="s">
        <v>324</v>
      </c>
      <c r="U2617" s="44"/>
      <c r="V2617" s="1418">
        <f t="shared" si="265"/>
        <v>0</v>
      </c>
      <c r="W2617" s="357"/>
      <c r="X2617" s="357"/>
      <c r="Y2617" s="357"/>
      <c r="Z2617" s="358"/>
      <c r="AA2617" s="359"/>
      <c r="AB2617" s="360"/>
    </row>
    <row r="2618" spans="1:36" s="361" customFormat="1" ht="15" hidden="1" customHeight="1">
      <c r="A2618" s="354"/>
      <c r="B2618" s="355"/>
      <c r="C2618" s="32"/>
      <c r="D2618" s="33"/>
      <c r="E2618" s="34"/>
      <c r="F2618" s="35"/>
      <c r="G2618" s="33"/>
      <c r="H2618" s="34"/>
      <c r="I2618" s="35"/>
      <c r="J2618" s="43"/>
      <c r="K2618" s="42"/>
      <c r="L2618" s="39"/>
      <c r="M2618" s="41"/>
      <c r="N2618" s="356"/>
      <c r="O2618" s="40"/>
      <c r="P2618" s="39"/>
      <c r="Q2618" s="45"/>
      <c r="R2618" s="362"/>
      <c r="S2618" s="363"/>
      <c r="T2618" s="46"/>
      <c r="U2618" s="44"/>
      <c r="V2618" s="1418">
        <f t="shared" si="265"/>
        <v>0</v>
      </c>
      <c r="W2618" s="357"/>
      <c r="X2618" s="357"/>
      <c r="Y2618" s="357"/>
      <c r="Z2618" s="358"/>
      <c r="AA2618" s="359"/>
      <c r="AB2618" s="360"/>
    </row>
    <row r="2619" spans="1:36" s="369" customFormat="1" ht="15" hidden="1">
      <c r="A2619" s="364"/>
      <c r="B2619" s="355"/>
      <c r="C2619" s="32"/>
      <c r="D2619" s="33"/>
      <c r="E2619" s="34"/>
      <c r="F2619" s="35"/>
      <c r="G2619" s="33"/>
      <c r="H2619" s="34"/>
      <c r="I2619" s="35"/>
      <c r="J2619" s="43"/>
      <c r="K2619" s="42"/>
      <c r="L2619" s="39"/>
      <c r="M2619" s="41"/>
      <c r="N2619" s="40"/>
      <c r="O2619" s="40"/>
      <c r="P2619" s="39"/>
      <c r="Q2619" s="38"/>
      <c r="R2619" s="365"/>
      <c r="S2619" s="366"/>
      <c r="T2619" s="46"/>
      <c r="U2619" s="44"/>
      <c r="V2619" s="1418">
        <f t="shared" si="265"/>
        <v>0</v>
      </c>
      <c r="W2619" s="367"/>
      <c r="X2619" s="367"/>
      <c r="Y2619" s="367"/>
      <c r="Z2619" s="368"/>
    </row>
    <row r="2620" spans="1:36" s="77" customFormat="1" ht="15" hidden="1">
      <c r="A2620" s="370"/>
      <c r="B2620" s="29"/>
      <c r="C2620" s="30"/>
      <c r="D2620" s="18"/>
      <c r="E2620" s="19"/>
      <c r="F2620" s="20"/>
      <c r="G2620" s="18"/>
      <c r="H2620" s="19"/>
      <c r="I2620" s="20"/>
      <c r="J2620" s="21"/>
      <c r="K2620" s="22"/>
      <c r="L2620" s="23"/>
      <c r="M2620" s="24"/>
      <c r="N2620" s="25"/>
      <c r="O2620" s="25"/>
      <c r="P2620" s="23"/>
      <c r="Q2620" s="26"/>
      <c r="R2620" s="371"/>
      <c r="S2620" s="27"/>
      <c r="T2620" s="372"/>
      <c r="U2620" s="31"/>
      <c r="V2620" s="1418">
        <f t="shared" si="265"/>
        <v>0</v>
      </c>
      <c r="AB2620" s="15"/>
    </row>
    <row r="2621" spans="1:36" s="77" customFormat="1" ht="15.6" hidden="1">
      <c r="A2621" s="370"/>
      <c r="B2621" s="499"/>
      <c r="C2621" s="37"/>
      <c r="D2621" s="1929" t="s">
        <v>1520</v>
      </c>
      <c r="E2621" s="1930"/>
      <c r="F2621" s="1930"/>
      <c r="G2621" s="1930"/>
      <c r="H2621" s="1930"/>
      <c r="I2621" s="1931"/>
      <c r="J2621" s="1932">
        <f>VLOOKUP(A2623,'11 - FINANCEIRA'!_xlnm.Print_Area,6,FALSE)</f>
        <v>490</v>
      </c>
      <c r="K2621" s="1933"/>
      <c r="L2621" s="1343" t="str">
        <f>VLOOKUP(A2623,'11 - FINANCEIRA'!_xlnm.Print_Area,4,FALSE)</f>
        <v>m</v>
      </c>
      <c r="M2621" s="1934" t="s">
        <v>1521</v>
      </c>
      <c r="N2621" s="1935"/>
      <c r="O2621" s="1935"/>
      <c r="P2621" s="1935"/>
      <c r="Q2621" s="1936"/>
      <c r="R2621" s="726">
        <f>SUM(R2617:R2620)</f>
        <v>490</v>
      </c>
      <c r="S2621" s="1344" t="str">
        <f>L2621</f>
        <v>m</v>
      </c>
      <c r="T2621" s="373"/>
      <c r="U2621" s="486"/>
      <c r="V2621" s="1418">
        <f t="shared" si="265"/>
        <v>0</v>
      </c>
      <c r="AB2621" s="15"/>
    </row>
    <row r="2622" spans="1:36" s="77" customFormat="1" ht="15.6" hidden="1">
      <c r="A2622" s="370"/>
      <c r="B2622" s="499"/>
      <c r="C2622" s="725"/>
      <c r="D2622" s="1937" t="s">
        <v>1522</v>
      </c>
      <c r="E2622" s="1938"/>
      <c r="F2622" s="1938"/>
      <c r="G2622" s="1938"/>
      <c r="H2622" s="1938"/>
      <c r="I2622" s="1939"/>
      <c r="J2622" s="1943">
        <f>R2621/J2621</f>
        <v>1</v>
      </c>
      <c r="K2622" s="1944"/>
      <c r="L2622" s="1947"/>
      <c r="M2622" s="1934" t="s">
        <v>1523</v>
      </c>
      <c r="N2622" s="1935"/>
      <c r="O2622" s="1935"/>
      <c r="P2622" s="1935"/>
      <c r="Q2622" s="1936"/>
      <c r="R2622" s="726">
        <f>VLOOKUP(A2623,'11 - FINANCEIRA'!_xlnm.Print_Area,8,FALSE)</f>
        <v>490</v>
      </c>
      <c r="S2622" s="727" t="str">
        <f>L2621</f>
        <v>m</v>
      </c>
      <c r="T2622" s="373"/>
      <c r="U2622" s="486"/>
      <c r="V2622" s="1418">
        <f t="shared" si="265"/>
        <v>0</v>
      </c>
      <c r="AB2622" s="15"/>
    </row>
    <row r="2623" spans="1:36" s="77" customFormat="1" ht="15.6" hidden="1">
      <c r="A2623" s="364" t="s">
        <v>570</v>
      </c>
      <c r="B2623" s="499"/>
      <c r="C2623" s="37"/>
      <c r="D2623" s="2013"/>
      <c r="E2623" s="2014"/>
      <c r="F2623" s="2014"/>
      <c r="G2623" s="2014"/>
      <c r="H2623" s="2014"/>
      <c r="I2623" s="2015"/>
      <c r="J2623" s="2016"/>
      <c r="K2623" s="2017"/>
      <c r="L2623" s="1962"/>
      <c r="M2623" s="2007" t="s">
        <v>1524</v>
      </c>
      <c r="N2623" s="2008"/>
      <c r="O2623" s="2008"/>
      <c r="P2623" s="2008"/>
      <c r="Q2623" s="2009"/>
      <c r="R2623" s="1345">
        <f>R2621-R2622</f>
        <v>0</v>
      </c>
      <c r="S2623" s="1346" t="str">
        <f>L2621</f>
        <v>m</v>
      </c>
      <c r="T2623" s="373"/>
      <c r="U2623" s="486"/>
      <c r="V2623" s="1418">
        <f>R2623</f>
        <v>0</v>
      </c>
      <c r="AB2623" s="15"/>
    </row>
    <row r="2624" spans="1:36" s="77" customFormat="1" ht="15.6" hidden="1">
      <c r="A2624" s="370"/>
      <c r="B2624" s="1347"/>
      <c r="C2624" s="1348"/>
      <c r="D2624" s="1349"/>
      <c r="E2624" s="1350"/>
      <c r="F2624" s="1349"/>
      <c r="G2624" s="1349"/>
      <c r="H2624" s="1349"/>
      <c r="I2624" s="1349"/>
      <c r="J2624" s="1351"/>
      <c r="K2624" s="1352"/>
      <c r="L2624" s="1353"/>
      <c r="M2624" s="1354"/>
      <c r="N2624" s="1354"/>
      <c r="O2624" s="1354"/>
      <c r="P2624" s="1354"/>
      <c r="Q2624" s="1354"/>
      <c r="R2624" s="1355"/>
      <c r="S2624" s="1356"/>
      <c r="T2624" s="1357"/>
      <c r="U2624" s="1358"/>
      <c r="V2624" s="1420">
        <f>SUM(V2615:V2623)</f>
        <v>0</v>
      </c>
      <c r="AB2624" s="15"/>
    </row>
    <row r="2625" spans="1:36" s="352" customFormat="1" ht="15.6" hidden="1">
      <c r="A2625" s="351"/>
      <c r="B2625" s="1963" t="str">
        <f>VLOOKUP(A2633,'11 - FINANCEIRA'!_xlnm.Print_Area,1,FALSE)</f>
        <v>2.5.2.3.9</v>
      </c>
      <c r="C2625" s="1965" t="str">
        <f>VLOOKUP(A2633,'11 - FINANCEIRA'!_xlnm.Print_Area,3,FALSE)</f>
        <v xml:space="preserve">Cabo de cobre flexível múltiplo, blindado, epr 1kv, com 3 cabos de 150mm² para ligação do motor </v>
      </c>
      <c r="D2625" s="1967" t="s">
        <v>1503</v>
      </c>
      <c r="E2625" s="1968"/>
      <c r="F2625" s="1968"/>
      <c r="G2625" s="1968"/>
      <c r="H2625" s="1968"/>
      <c r="I2625" s="1969"/>
      <c r="J2625" s="1914" t="s">
        <v>1504</v>
      </c>
      <c r="K2625" s="1914" t="s">
        <v>1505</v>
      </c>
      <c r="L2625" s="1914" t="s">
        <v>1506</v>
      </c>
      <c r="M2625" s="1914" t="s">
        <v>1507</v>
      </c>
      <c r="N2625" s="1914" t="s">
        <v>1508</v>
      </c>
      <c r="O2625" s="1914" t="s">
        <v>1509</v>
      </c>
      <c r="P2625" s="1341" t="s">
        <v>1510</v>
      </c>
      <c r="Q2625" s="1914" t="s">
        <v>1493</v>
      </c>
      <c r="R2625" s="1916" t="s">
        <v>804</v>
      </c>
      <c r="S2625" s="1914" t="s">
        <v>1511</v>
      </c>
      <c r="T2625" s="1914" t="s">
        <v>1512</v>
      </c>
      <c r="U2625" s="1918" t="s">
        <v>1513</v>
      </c>
      <c r="V2625" s="1418">
        <f t="shared" ref="V2625:V2632" si="266">V2626</f>
        <v>0</v>
      </c>
      <c r="W2625" s="16"/>
      <c r="X2625" s="16"/>
      <c r="Y2625" s="16"/>
      <c r="Z2625" s="17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</row>
    <row r="2626" spans="1:36" s="352" customFormat="1" ht="15.6" hidden="1">
      <c r="A2626" s="351"/>
      <c r="B2626" s="1964" t="e">
        <f>LEFT(#REF!,5)</f>
        <v>#REF!</v>
      </c>
      <c r="C2626" s="1966" t="e">
        <f>VLOOKUP(LEFT(#REF!,5),'11 - FINANCEIRA'!_xlnm.Print_Area,2,FALSE)</f>
        <v>#REF!</v>
      </c>
      <c r="D2626" s="1920" t="s">
        <v>1514</v>
      </c>
      <c r="E2626" s="1921"/>
      <c r="F2626" s="1922"/>
      <c r="G2626" s="1923" t="s">
        <v>1515</v>
      </c>
      <c r="H2626" s="1924"/>
      <c r="I2626" s="1925"/>
      <c r="J2626" s="1915"/>
      <c r="K2626" s="1915"/>
      <c r="L2626" s="1915"/>
      <c r="M2626" s="1915"/>
      <c r="N2626" s="1915"/>
      <c r="O2626" s="1915"/>
      <c r="P2626" s="353" t="s">
        <v>1516</v>
      </c>
      <c r="Q2626" s="1915"/>
      <c r="R2626" s="1917"/>
      <c r="S2626" s="1915"/>
      <c r="T2626" s="1915"/>
      <c r="U2626" s="1919"/>
      <c r="V2626" s="1418">
        <f t="shared" si="266"/>
        <v>0</v>
      </c>
      <c r="W2626" s="16"/>
      <c r="X2626" s="16"/>
      <c r="Y2626" s="16"/>
      <c r="Z2626" s="17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</row>
    <row r="2627" spans="1:36" s="361" customFormat="1" ht="30" hidden="1">
      <c r="A2627" s="354"/>
      <c r="B2627" s="355"/>
      <c r="C2627" s="28" t="s">
        <v>1144</v>
      </c>
      <c r="D2627" s="18"/>
      <c r="E2627" s="19"/>
      <c r="F2627" s="20"/>
      <c r="G2627" s="18"/>
      <c r="H2627" s="19"/>
      <c r="I2627" s="20"/>
      <c r="J2627" s="21"/>
      <c r="K2627" s="22"/>
      <c r="L2627" s="23"/>
      <c r="M2627" s="24"/>
      <c r="N2627" s="728"/>
      <c r="O2627" s="25"/>
      <c r="P2627" s="23"/>
      <c r="Q2627" s="729"/>
      <c r="R2627" s="1109">
        <v>1500</v>
      </c>
      <c r="S2627" s="730" t="s">
        <v>809</v>
      </c>
      <c r="T2627" s="446" t="s">
        <v>325</v>
      </c>
      <c r="U2627" s="44"/>
      <c r="V2627" s="1418">
        <f t="shared" si="266"/>
        <v>0</v>
      </c>
      <c r="W2627" s="357"/>
      <c r="X2627" s="357"/>
      <c r="Y2627" s="357"/>
      <c r="Z2627" s="358"/>
      <c r="AA2627" s="359"/>
      <c r="AB2627" s="360"/>
    </row>
    <row r="2628" spans="1:36" s="361" customFormat="1" ht="15" hidden="1" customHeight="1">
      <c r="A2628" s="354"/>
      <c r="B2628" s="355"/>
      <c r="C2628" s="28"/>
      <c r="D2628" s="18"/>
      <c r="E2628" s="19"/>
      <c r="F2628" s="20"/>
      <c r="G2628" s="18"/>
      <c r="H2628" s="19"/>
      <c r="I2628" s="20"/>
      <c r="J2628" s="21"/>
      <c r="K2628" s="22"/>
      <c r="L2628" s="23"/>
      <c r="M2628" s="24"/>
      <c r="N2628" s="728"/>
      <c r="O2628" s="25"/>
      <c r="P2628" s="23"/>
      <c r="Q2628" s="729"/>
      <c r="R2628" s="445"/>
      <c r="S2628" s="792"/>
      <c r="T2628" s="446"/>
      <c r="U2628" s="44"/>
      <c r="V2628" s="1418">
        <f t="shared" si="266"/>
        <v>0</v>
      </c>
      <c r="W2628" s="357"/>
      <c r="X2628" s="357"/>
      <c r="Y2628" s="357"/>
      <c r="Z2628" s="358"/>
      <c r="AA2628" s="359"/>
      <c r="AB2628" s="360"/>
    </row>
    <row r="2629" spans="1:36" s="369" customFormat="1" ht="15" hidden="1" customHeight="1">
      <c r="A2629" s="364"/>
      <c r="B2629" s="355"/>
      <c r="C2629" s="32"/>
      <c r="D2629" s="33"/>
      <c r="E2629" s="34"/>
      <c r="F2629" s="35"/>
      <c r="G2629" s="33"/>
      <c r="H2629" s="34"/>
      <c r="I2629" s="35"/>
      <c r="J2629" s="43"/>
      <c r="K2629" s="42"/>
      <c r="L2629" s="39"/>
      <c r="M2629" s="41"/>
      <c r="N2629" s="40"/>
      <c r="O2629" s="40"/>
      <c r="P2629" s="39"/>
      <c r="Q2629" s="38"/>
      <c r="R2629" s="365"/>
      <c r="S2629" s="366"/>
      <c r="T2629" s="46"/>
      <c r="U2629" s="44"/>
      <c r="V2629" s="1418">
        <f t="shared" si="266"/>
        <v>0</v>
      </c>
      <c r="W2629" s="367"/>
      <c r="X2629" s="367"/>
      <c r="Y2629" s="367"/>
      <c r="Z2629" s="368"/>
    </row>
    <row r="2630" spans="1:36" s="77" customFormat="1" ht="15" hidden="1">
      <c r="A2630" s="370"/>
      <c r="B2630" s="29"/>
      <c r="C2630" s="30"/>
      <c r="D2630" s="18"/>
      <c r="E2630" s="19"/>
      <c r="F2630" s="20"/>
      <c r="G2630" s="18"/>
      <c r="H2630" s="19"/>
      <c r="I2630" s="20"/>
      <c r="J2630" s="21"/>
      <c r="K2630" s="22"/>
      <c r="L2630" s="23"/>
      <c r="M2630" s="24"/>
      <c r="N2630" s="25"/>
      <c r="O2630" s="25"/>
      <c r="P2630" s="23"/>
      <c r="Q2630" s="26"/>
      <c r="R2630" s="371"/>
      <c r="S2630" s="27"/>
      <c r="T2630" s="372"/>
      <c r="U2630" s="31"/>
      <c r="V2630" s="1418">
        <f t="shared" si="266"/>
        <v>0</v>
      </c>
      <c r="AB2630" s="15"/>
    </row>
    <row r="2631" spans="1:36" s="77" customFormat="1" ht="15.6" hidden="1">
      <c r="A2631" s="370"/>
      <c r="B2631" s="499"/>
      <c r="C2631" s="37"/>
      <c r="D2631" s="1929" t="s">
        <v>1520</v>
      </c>
      <c r="E2631" s="1930"/>
      <c r="F2631" s="1930"/>
      <c r="G2631" s="1930"/>
      <c r="H2631" s="1930"/>
      <c r="I2631" s="1931"/>
      <c r="J2631" s="1932">
        <f>VLOOKUP(A2633,'11 - FINANCEIRA'!_xlnm.Print_Area,6,FALSE)</f>
        <v>1500</v>
      </c>
      <c r="K2631" s="1933"/>
      <c r="L2631" s="1343" t="str">
        <f>VLOOKUP(A2633,'11 - FINANCEIRA'!_xlnm.Print_Area,4,FALSE)</f>
        <v>m</v>
      </c>
      <c r="M2631" s="1934" t="s">
        <v>1521</v>
      </c>
      <c r="N2631" s="1935"/>
      <c r="O2631" s="1935"/>
      <c r="P2631" s="1935"/>
      <c r="Q2631" s="1936"/>
      <c r="R2631" s="726">
        <f>SUM(R2627:R2630)</f>
        <v>1500</v>
      </c>
      <c r="S2631" s="1344" t="str">
        <f>L2631</f>
        <v>m</v>
      </c>
      <c r="T2631" s="373"/>
      <c r="U2631" s="486"/>
      <c r="V2631" s="1418">
        <f t="shared" si="266"/>
        <v>0</v>
      </c>
      <c r="AB2631" s="15"/>
    </row>
    <row r="2632" spans="1:36" s="77" customFormat="1" ht="15.6" hidden="1">
      <c r="A2632" s="370"/>
      <c r="B2632" s="499"/>
      <c r="C2632" s="725"/>
      <c r="D2632" s="1937" t="s">
        <v>1522</v>
      </c>
      <c r="E2632" s="1938"/>
      <c r="F2632" s="1938"/>
      <c r="G2632" s="1938"/>
      <c r="H2632" s="1938"/>
      <c r="I2632" s="1939"/>
      <c r="J2632" s="1943">
        <f>R2631/J2631</f>
        <v>1</v>
      </c>
      <c r="K2632" s="1944"/>
      <c r="L2632" s="1947"/>
      <c r="M2632" s="1934" t="s">
        <v>1523</v>
      </c>
      <c r="N2632" s="1935"/>
      <c r="O2632" s="1935"/>
      <c r="P2632" s="1935"/>
      <c r="Q2632" s="1936"/>
      <c r="R2632" s="726">
        <f>VLOOKUP(A2633,'11 - FINANCEIRA'!_xlnm.Print_Area,8,FALSE)</f>
        <v>1500</v>
      </c>
      <c r="S2632" s="727" t="str">
        <f>L2631</f>
        <v>m</v>
      </c>
      <c r="T2632" s="373"/>
      <c r="U2632" s="486"/>
      <c r="V2632" s="1418">
        <f t="shared" si="266"/>
        <v>0</v>
      </c>
      <c r="AB2632" s="15"/>
    </row>
    <row r="2633" spans="1:36" s="77" customFormat="1" ht="15.6" hidden="1">
      <c r="A2633" s="364" t="s">
        <v>571</v>
      </c>
      <c r="B2633" s="499"/>
      <c r="C2633" s="37"/>
      <c r="D2633" s="2013"/>
      <c r="E2633" s="2014"/>
      <c r="F2633" s="2014"/>
      <c r="G2633" s="2014"/>
      <c r="H2633" s="2014"/>
      <c r="I2633" s="2015"/>
      <c r="J2633" s="2016"/>
      <c r="K2633" s="2017"/>
      <c r="L2633" s="1962"/>
      <c r="M2633" s="2007" t="s">
        <v>1524</v>
      </c>
      <c r="N2633" s="2008"/>
      <c r="O2633" s="2008"/>
      <c r="P2633" s="2008"/>
      <c r="Q2633" s="2009"/>
      <c r="R2633" s="1345">
        <f>R2631-R2632</f>
        <v>0</v>
      </c>
      <c r="S2633" s="1346" t="str">
        <f>L2631</f>
        <v>m</v>
      </c>
      <c r="T2633" s="373"/>
      <c r="U2633" s="486"/>
      <c r="V2633" s="1418">
        <f>R2633</f>
        <v>0</v>
      </c>
      <c r="AB2633" s="15"/>
    </row>
    <row r="2634" spans="1:36" s="77" customFormat="1" ht="15.6" hidden="1">
      <c r="A2634" s="370"/>
      <c r="B2634" s="1347"/>
      <c r="C2634" s="1348"/>
      <c r="D2634" s="1349"/>
      <c r="E2634" s="1350"/>
      <c r="F2634" s="1349"/>
      <c r="G2634" s="1349"/>
      <c r="H2634" s="1349"/>
      <c r="I2634" s="1349"/>
      <c r="J2634" s="1351"/>
      <c r="K2634" s="1352"/>
      <c r="L2634" s="1353"/>
      <c r="M2634" s="1354"/>
      <c r="N2634" s="1354"/>
      <c r="O2634" s="1354"/>
      <c r="P2634" s="1354"/>
      <c r="Q2634" s="1354"/>
      <c r="R2634" s="1355"/>
      <c r="S2634" s="1356"/>
      <c r="T2634" s="1357"/>
      <c r="U2634" s="1358"/>
      <c r="V2634" s="1420">
        <f>SUM(V2625:V2633)</f>
        <v>0</v>
      </c>
      <c r="AB2634" s="15"/>
    </row>
    <row r="2635" spans="1:36" s="352" customFormat="1" ht="15.6" hidden="1">
      <c r="A2635" s="351"/>
      <c r="B2635" s="1963" t="str">
        <f>VLOOKUP(A2643,'11 - FINANCEIRA'!_xlnm.Print_Area,1,FALSE)</f>
        <v>2.5.2.3.10</v>
      </c>
      <c r="C2635" s="1965" t="str">
        <f>VLOOKUP(A2643,'11 - FINANCEIRA'!_xlnm.Print_Area,3,FALSE)</f>
        <v>Cabo de cobre flexível isolado, 120 mm², anti-chama 0,6/1,0 kv, para distribuição - fornecimento e instalação. af_12/2015 - verde</v>
      </c>
      <c r="D2635" s="1967" t="s">
        <v>1503</v>
      </c>
      <c r="E2635" s="1968"/>
      <c r="F2635" s="1968"/>
      <c r="G2635" s="1968"/>
      <c r="H2635" s="1968"/>
      <c r="I2635" s="1969"/>
      <c r="J2635" s="1914" t="s">
        <v>1504</v>
      </c>
      <c r="K2635" s="1914" t="s">
        <v>1505</v>
      </c>
      <c r="L2635" s="1914" t="s">
        <v>1506</v>
      </c>
      <c r="M2635" s="1914" t="s">
        <v>1507</v>
      </c>
      <c r="N2635" s="1914" t="s">
        <v>1508</v>
      </c>
      <c r="O2635" s="1914" t="s">
        <v>1509</v>
      </c>
      <c r="P2635" s="1341" t="s">
        <v>1510</v>
      </c>
      <c r="Q2635" s="1914" t="s">
        <v>1493</v>
      </c>
      <c r="R2635" s="1916" t="s">
        <v>804</v>
      </c>
      <c r="S2635" s="1914" t="s">
        <v>1511</v>
      </c>
      <c r="T2635" s="1914" t="s">
        <v>1512</v>
      </c>
      <c r="U2635" s="1918" t="s">
        <v>1513</v>
      </c>
      <c r="V2635" s="1418">
        <f t="shared" ref="V2635:V2642" si="267">V2636</f>
        <v>0</v>
      </c>
      <c r="W2635" s="16"/>
      <c r="X2635" s="16"/>
      <c r="Y2635" s="16"/>
      <c r="Z2635" s="17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</row>
    <row r="2636" spans="1:36" s="352" customFormat="1" ht="15.6" hidden="1">
      <c r="A2636" s="351"/>
      <c r="B2636" s="1964" t="e">
        <f>LEFT(#REF!,5)</f>
        <v>#REF!</v>
      </c>
      <c r="C2636" s="1966" t="e">
        <f>VLOOKUP(LEFT(#REF!,5),'11 - FINANCEIRA'!_xlnm.Print_Area,2,FALSE)</f>
        <v>#REF!</v>
      </c>
      <c r="D2636" s="1920" t="s">
        <v>1514</v>
      </c>
      <c r="E2636" s="1921"/>
      <c r="F2636" s="1922"/>
      <c r="G2636" s="1923" t="s">
        <v>1515</v>
      </c>
      <c r="H2636" s="1924"/>
      <c r="I2636" s="1925"/>
      <c r="J2636" s="1915"/>
      <c r="K2636" s="1915"/>
      <c r="L2636" s="1915"/>
      <c r="M2636" s="1915"/>
      <c r="N2636" s="1915"/>
      <c r="O2636" s="1915"/>
      <c r="P2636" s="353" t="s">
        <v>1516</v>
      </c>
      <c r="Q2636" s="1915"/>
      <c r="R2636" s="1917"/>
      <c r="S2636" s="1915"/>
      <c r="T2636" s="1915"/>
      <c r="U2636" s="1919"/>
      <c r="V2636" s="1418">
        <f t="shared" si="267"/>
        <v>0</v>
      </c>
      <c r="W2636" s="16"/>
      <c r="X2636" s="16"/>
      <c r="Y2636" s="16"/>
      <c r="Z2636" s="17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</row>
    <row r="2637" spans="1:36" s="361" customFormat="1" ht="30" hidden="1">
      <c r="A2637" s="354"/>
      <c r="B2637" s="355"/>
      <c r="C2637" s="28" t="s">
        <v>1146</v>
      </c>
      <c r="D2637" s="18"/>
      <c r="E2637" s="19"/>
      <c r="F2637" s="20"/>
      <c r="G2637" s="18"/>
      <c r="H2637" s="19"/>
      <c r="I2637" s="20"/>
      <c r="J2637" s="21"/>
      <c r="K2637" s="22"/>
      <c r="L2637" s="23"/>
      <c r="M2637" s="24"/>
      <c r="N2637" s="728"/>
      <c r="O2637" s="25"/>
      <c r="P2637" s="23"/>
      <c r="Q2637" s="729"/>
      <c r="R2637" s="1109">
        <v>540</v>
      </c>
      <c r="S2637" s="730" t="s">
        <v>809</v>
      </c>
      <c r="T2637" s="446" t="s">
        <v>326</v>
      </c>
      <c r="U2637" s="44"/>
      <c r="V2637" s="1418">
        <f t="shared" si="267"/>
        <v>0</v>
      </c>
      <c r="W2637" s="357"/>
      <c r="X2637" s="357"/>
      <c r="Y2637" s="357"/>
      <c r="Z2637" s="358"/>
      <c r="AA2637" s="359"/>
      <c r="AB2637" s="360"/>
    </row>
    <row r="2638" spans="1:36" s="361" customFormat="1" ht="15" hidden="1" customHeight="1">
      <c r="A2638" s="354"/>
      <c r="B2638" s="355"/>
      <c r="C2638" s="32"/>
      <c r="D2638" s="33"/>
      <c r="E2638" s="34"/>
      <c r="F2638" s="35"/>
      <c r="G2638" s="33"/>
      <c r="H2638" s="34"/>
      <c r="I2638" s="35"/>
      <c r="J2638" s="43"/>
      <c r="K2638" s="42"/>
      <c r="L2638" s="39"/>
      <c r="M2638" s="41"/>
      <c r="N2638" s="356"/>
      <c r="O2638" s="40"/>
      <c r="P2638" s="39"/>
      <c r="Q2638" s="45"/>
      <c r="R2638" s="362"/>
      <c r="S2638" s="363"/>
      <c r="T2638" s="46"/>
      <c r="U2638" s="44"/>
      <c r="V2638" s="1418">
        <f t="shared" si="267"/>
        <v>0</v>
      </c>
      <c r="W2638" s="357"/>
      <c r="X2638" s="357"/>
      <c r="Y2638" s="357"/>
      <c r="Z2638" s="358"/>
      <c r="AA2638" s="359"/>
      <c r="AB2638" s="360"/>
    </row>
    <row r="2639" spans="1:36" s="369" customFormat="1" ht="15" hidden="1">
      <c r="A2639" s="364"/>
      <c r="B2639" s="355"/>
      <c r="C2639" s="32"/>
      <c r="D2639" s="33"/>
      <c r="E2639" s="34"/>
      <c r="F2639" s="35"/>
      <c r="G2639" s="33"/>
      <c r="H2639" s="34"/>
      <c r="I2639" s="35"/>
      <c r="J2639" s="43"/>
      <c r="K2639" s="42"/>
      <c r="L2639" s="39"/>
      <c r="M2639" s="41"/>
      <c r="N2639" s="40"/>
      <c r="O2639" s="40"/>
      <c r="P2639" s="39"/>
      <c r="Q2639" s="38"/>
      <c r="R2639" s="365"/>
      <c r="S2639" s="366"/>
      <c r="T2639" s="46"/>
      <c r="U2639" s="44"/>
      <c r="V2639" s="1418">
        <f t="shared" si="267"/>
        <v>0</v>
      </c>
      <c r="W2639" s="367"/>
      <c r="X2639" s="367"/>
      <c r="Y2639" s="367"/>
      <c r="Z2639" s="368"/>
    </row>
    <row r="2640" spans="1:36" s="77" customFormat="1" ht="15" hidden="1">
      <c r="A2640" s="370"/>
      <c r="B2640" s="29"/>
      <c r="C2640" s="453"/>
      <c r="D2640" s="18"/>
      <c r="E2640" s="19"/>
      <c r="F2640" s="20"/>
      <c r="G2640" s="18"/>
      <c r="H2640" s="19"/>
      <c r="I2640" s="20"/>
      <c r="J2640" s="21"/>
      <c r="K2640" s="22"/>
      <c r="L2640" s="23"/>
      <c r="M2640" s="24"/>
      <c r="N2640" s="25"/>
      <c r="O2640" s="25"/>
      <c r="P2640" s="23"/>
      <c r="Q2640" s="26"/>
      <c r="R2640" s="371"/>
      <c r="S2640" s="27"/>
      <c r="T2640" s="372"/>
      <c r="U2640" s="31"/>
      <c r="V2640" s="1418">
        <f t="shared" si="267"/>
        <v>0</v>
      </c>
      <c r="AB2640" s="15"/>
    </row>
    <row r="2641" spans="1:36" s="77" customFormat="1" ht="15.6" hidden="1">
      <c r="A2641" s="370"/>
      <c r="B2641" s="499"/>
      <c r="C2641" s="37"/>
      <c r="D2641" s="1929" t="s">
        <v>1520</v>
      </c>
      <c r="E2641" s="1930"/>
      <c r="F2641" s="1930"/>
      <c r="G2641" s="1930"/>
      <c r="H2641" s="1930"/>
      <c r="I2641" s="1931"/>
      <c r="J2641" s="1932">
        <f>VLOOKUP(A2643,'11 - FINANCEIRA'!_xlnm.Print_Area,6,FALSE)</f>
        <v>540</v>
      </c>
      <c r="K2641" s="1933"/>
      <c r="L2641" s="1343" t="str">
        <f>VLOOKUP(A2643,'11 - FINANCEIRA'!_xlnm.Print_Area,4,FALSE)</f>
        <v>m</v>
      </c>
      <c r="M2641" s="1934" t="s">
        <v>1521</v>
      </c>
      <c r="N2641" s="1935"/>
      <c r="O2641" s="1935"/>
      <c r="P2641" s="1935"/>
      <c r="Q2641" s="1936"/>
      <c r="R2641" s="726">
        <f>SUM(R2637:R2640)</f>
        <v>540</v>
      </c>
      <c r="S2641" s="1344" t="str">
        <f>L2641</f>
        <v>m</v>
      </c>
      <c r="T2641" s="373"/>
      <c r="U2641" s="486"/>
      <c r="V2641" s="1418">
        <f t="shared" si="267"/>
        <v>0</v>
      </c>
      <c r="AB2641" s="15"/>
    </row>
    <row r="2642" spans="1:36" s="77" customFormat="1" ht="15.6" hidden="1">
      <c r="A2642" s="370"/>
      <c r="B2642" s="499"/>
      <c r="C2642" s="725"/>
      <c r="D2642" s="1937" t="s">
        <v>1522</v>
      </c>
      <c r="E2642" s="1938"/>
      <c r="F2642" s="1938"/>
      <c r="G2642" s="1938"/>
      <c r="H2642" s="1938"/>
      <c r="I2642" s="1939"/>
      <c r="J2642" s="1943">
        <f>R2641/J2641</f>
        <v>1</v>
      </c>
      <c r="K2642" s="1944"/>
      <c r="L2642" s="1947"/>
      <c r="M2642" s="1934" t="s">
        <v>1523</v>
      </c>
      <c r="N2642" s="1935"/>
      <c r="O2642" s="1935"/>
      <c r="P2642" s="1935"/>
      <c r="Q2642" s="1936"/>
      <c r="R2642" s="726">
        <f>VLOOKUP(A2643,'11 - FINANCEIRA'!_xlnm.Print_Area,8,FALSE)</f>
        <v>540</v>
      </c>
      <c r="S2642" s="727" t="str">
        <f>L2641</f>
        <v>m</v>
      </c>
      <c r="T2642" s="373"/>
      <c r="U2642" s="486"/>
      <c r="V2642" s="1418">
        <f t="shared" si="267"/>
        <v>0</v>
      </c>
      <c r="AB2642" s="15"/>
    </row>
    <row r="2643" spans="1:36" s="77" customFormat="1" ht="15.6" hidden="1">
      <c r="A2643" s="364" t="s">
        <v>572</v>
      </c>
      <c r="B2643" s="499"/>
      <c r="C2643" s="37"/>
      <c r="D2643" s="2013"/>
      <c r="E2643" s="2014"/>
      <c r="F2643" s="2014"/>
      <c r="G2643" s="2014"/>
      <c r="H2643" s="2014"/>
      <c r="I2643" s="2015"/>
      <c r="J2643" s="2016"/>
      <c r="K2643" s="2017"/>
      <c r="L2643" s="1962"/>
      <c r="M2643" s="2007" t="s">
        <v>1524</v>
      </c>
      <c r="N2643" s="2008"/>
      <c r="O2643" s="2008"/>
      <c r="P2643" s="2008"/>
      <c r="Q2643" s="2009"/>
      <c r="R2643" s="1345">
        <f>R2641-R2642</f>
        <v>0</v>
      </c>
      <c r="S2643" s="1346" t="str">
        <f>L2641</f>
        <v>m</v>
      </c>
      <c r="T2643" s="373"/>
      <c r="U2643" s="486"/>
      <c r="V2643" s="1418">
        <f>R2643</f>
        <v>0</v>
      </c>
      <c r="AB2643" s="15"/>
    </row>
    <row r="2644" spans="1:36" s="77" customFormat="1" ht="15.6" hidden="1">
      <c r="A2644" s="370"/>
      <c r="B2644" s="1347"/>
      <c r="C2644" s="1348"/>
      <c r="D2644" s="1349"/>
      <c r="E2644" s="1350"/>
      <c r="F2644" s="1349"/>
      <c r="G2644" s="1349"/>
      <c r="H2644" s="1349"/>
      <c r="I2644" s="1349"/>
      <c r="J2644" s="1351"/>
      <c r="K2644" s="1352"/>
      <c r="L2644" s="1353"/>
      <c r="M2644" s="1354"/>
      <c r="N2644" s="1354"/>
      <c r="O2644" s="1354"/>
      <c r="P2644" s="1354"/>
      <c r="Q2644" s="1354"/>
      <c r="R2644" s="1355"/>
      <c r="S2644" s="1356"/>
      <c r="T2644" s="1357"/>
      <c r="U2644" s="1358"/>
      <c r="V2644" s="1420">
        <f>SUM(V2635:V2643)</f>
        <v>0</v>
      </c>
      <c r="AB2644" s="15"/>
    </row>
    <row r="2645" spans="1:36" s="352" customFormat="1" ht="15.6" hidden="1">
      <c r="A2645" s="351"/>
      <c r="B2645" s="1963" t="str">
        <f>VLOOKUP(A2653,'11 - FINANCEIRA'!_xlnm.Print_Area,1,FALSE)</f>
        <v>2.5.2.3.11</v>
      </c>
      <c r="C2645" s="1965" t="str">
        <f>VLOOKUP(A2653,'11 - FINANCEIRA'!_xlnm.Print_Area,3,FALSE)</f>
        <v>Cabo de cobre flexível isolado, 240 mm², anti-chama 0,6/1,0 kv, para distribuição - fornecimento e instalação. af_12/2015 - preto</v>
      </c>
      <c r="D2645" s="1967" t="s">
        <v>1503</v>
      </c>
      <c r="E2645" s="1968"/>
      <c r="F2645" s="1968"/>
      <c r="G2645" s="1968"/>
      <c r="H2645" s="1968"/>
      <c r="I2645" s="1969"/>
      <c r="J2645" s="1914" t="s">
        <v>1504</v>
      </c>
      <c r="K2645" s="1914" t="s">
        <v>1505</v>
      </c>
      <c r="L2645" s="1914" t="s">
        <v>1506</v>
      </c>
      <c r="M2645" s="1914" t="s">
        <v>1507</v>
      </c>
      <c r="N2645" s="1914" t="s">
        <v>1508</v>
      </c>
      <c r="O2645" s="1914" t="s">
        <v>1509</v>
      </c>
      <c r="P2645" s="1341" t="s">
        <v>1510</v>
      </c>
      <c r="Q2645" s="1914" t="s">
        <v>1493</v>
      </c>
      <c r="R2645" s="1916" t="s">
        <v>804</v>
      </c>
      <c r="S2645" s="1914" t="s">
        <v>1511</v>
      </c>
      <c r="T2645" s="1914" t="s">
        <v>1512</v>
      </c>
      <c r="U2645" s="1918" t="s">
        <v>1513</v>
      </c>
      <c r="V2645" s="1418">
        <f t="shared" ref="V2645:V2652" si="268">V2646</f>
        <v>0</v>
      </c>
      <c r="W2645" s="16"/>
      <c r="X2645" s="16"/>
      <c r="Y2645" s="16"/>
      <c r="Z2645" s="17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</row>
    <row r="2646" spans="1:36" s="352" customFormat="1" ht="15.6" hidden="1">
      <c r="A2646" s="351"/>
      <c r="B2646" s="1964" t="e">
        <f>LEFT(#REF!,5)</f>
        <v>#REF!</v>
      </c>
      <c r="C2646" s="1966" t="e">
        <f>VLOOKUP(LEFT(#REF!,5),'11 - FINANCEIRA'!_xlnm.Print_Area,2,FALSE)</f>
        <v>#REF!</v>
      </c>
      <c r="D2646" s="1920" t="s">
        <v>1514</v>
      </c>
      <c r="E2646" s="1921"/>
      <c r="F2646" s="1922"/>
      <c r="G2646" s="1923" t="s">
        <v>1515</v>
      </c>
      <c r="H2646" s="1924"/>
      <c r="I2646" s="1925"/>
      <c r="J2646" s="1915"/>
      <c r="K2646" s="1915"/>
      <c r="L2646" s="1915"/>
      <c r="M2646" s="1915"/>
      <c r="N2646" s="1915"/>
      <c r="O2646" s="1915"/>
      <c r="P2646" s="353" t="s">
        <v>1516</v>
      </c>
      <c r="Q2646" s="1915"/>
      <c r="R2646" s="1917"/>
      <c r="S2646" s="1915"/>
      <c r="T2646" s="1915"/>
      <c r="U2646" s="1919"/>
      <c r="V2646" s="1418">
        <f t="shared" si="268"/>
        <v>0</v>
      </c>
      <c r="W2646" s="16"/>
      <c r="X2646" s="16"/>
      <c r="Y2646" s="16"/>
      <c r="Z2646" s="17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</row>
    <row r="2647" spans="1:36" s="361" customFormat="1" ht="30" hidden="1">
      <c r="A2647" s="354"/>
      <c r="B2647" s="355"/>
      <c r="C2647" s="28" t="s">
        <v>1148</v>
      </c>
      <c r="D2647" s="18"/>
      <c r="E2647" s="19"/>
      <c r="F2647" s="20"/>
      <c r="G2647" s="18"/>
      <c r="H2647" s="19"/>
      <c r="I2647" s="20"/>
      <c r="J2647" s="21"/>
      <c r="K2647" s="22"/>
      <c r="L2647" s="23"/>
      <c r="M2647" s="24"/>
      <c r="N2647" s="728"/>
      <c r="O2647" s="25"/>
      <c r="P2647" s="23"/>
      <c r="Q2647" s="729"/>
      <c r="R2647" s="1109">
        <v>1440</v>
      </c>
      <c r="S2647" s="730" t="s">
        <v>809</v>
      </c>
      <c r="T2647" s="446" t="s">
        <v>326</v>
      </c>
      <c r="U2647" s="44"/>
      <c r="V2647" s="1418">
        <f t="shared" si="268"/>
        <v>0</v>
      </c>
      <c r="W2647" s="357"/>
      <c r="X2647" s="357"/>
      <c r="Y2647" s="357"/>
      <c r="Z2647" s="358"/>
      <c r="AA2647" s="359"/>
      <c r="AB2647" s="360"/>
    </row>
    <row r="2648" spans="1:36" s="361" customFormat="1" ht="15" hidden="1" customHeight="1">
      <c r="A2648" s="354"/>
      <c r="B2648" s="355"/>
      <c r="C2648" s="32"/>
      <c r="D2648" s="33"/>
      <c r="E2648" s="34"/>
      <c r="F2648" s="35"/>
      <c r="G2648" s="33"/>
      <c r="H2648" s="34"/>
      <c r="I2648" s="35"/>
      <c r="J2648" s="43"/>
      <c r="K2648" s="42"/>
      <c r="L2648" s="39"/>
      <c r="M2648" s="41"/>
      <c r="N2648" s="356"/>
      <c r="O2648" s="40"/>
      <c r="P2648" s="39"/>
      <c r="Q2648" s="45"/>
      <c r="R2648" s="362"/>
      <c r="S2648" s="363"/>
      <c r="T2648" s="46"/>
      <c r="U2648" s="44"/>
      <c r="V2648" s="1418">
        <f t="shared" si="268"/>
        <v>0</v>
      </c>
      <c r="W2648" s="357"/>
      <c r="X2648" s="357"/>
      <c r="Y2648" s="357"/>
      <c r="Z2648" s="358"/>
      <c r="AA2648" s="359"/>
      <c r="AB2648" s="360"/>
    </row>
    <row r="2649" spans="1:36" s="369" customFormat="1" ht="15" hidden="1">
      <c r="A2649" s="364"/>
      <c r="B2649" s="355"/>
      <c r="C2649" s="32"/>
      <c r="D2649" s="33"/>
      <c r="E2649" s="34"/>
      <c r="F2649" s="35"/>
      <c r="G2649" s="33"/>
      <c r="H2649" s="34"/>
      <c r="I2649" s="35"/>
      <c r="J2649" s="43"/>
      <c r="K2649" s="42"/>
      <c r="L2649" s="39"/>
      <c r="M2649" s="41"/>
      <c r="N2649" s="40"/>
      <c r="O2649" s="40"/>
      <c r="P2649" s="39"/>
      <c r="Q2649" s="38"/>
      <c r="R2649" s="365"/>
      <c r="S2649" s="366"/>
      <c r="T2649" s="46"/>
      <c r="U2649" s="44"/>
      <c r="V2649" s="1418">
        <f t="shared" si="268"/>
        <v>0</v>
      </c>
      <c r="W2649" s="367"/>
      <c r="X2649" s="367"/>
      <c r="Y2649" s="367"/>
      <c r="Z2649" s="368"/>
    </row>
    <row r="2650" spans="1:36" s="77" customFormat="1" ht="15" hidden="1">
      <c r="A2650" s="370"/>
      <c r="B2650" s="29"/>
      <c r="C2650" s="30"/>
      <c r="D2650" s="18"/>
      <c r="E2650" s="19"/>
      <c r="F2650" s="20"/>
      <c r="G2650" s="18"/>
      <c r="H2650" s="19"/>
      <c r="I2650" s="20"/>
      <c r="J2650" s="21"/>
      <c r="K2650" s="22"/>
      <c r="L2650" s="23"/>
      <c r="M2650" s="24"/>
      <c r="N2650" s="25"/>
      <c r="O2650" s="25"/>
      <c r="P2650" s="23"/>
      <c r="Q2650" s="26"/>
      <c r="R2650" s="371"/>
      <c r="S2650" s="27"/>
      <c r="T2650" s="372"/>
      <c r="U2650" s="31"/>
      <c r="V2650" s="1418">
        <f t="shared" si="268"/>
        <v>0</v>
      </c>
      <c r="AB2650" s="15"/>
    </row>
    <row r="2651" spans="1:36" s="77" customFormat="1" ht="15.6" hidden="1">
      <c r="A2651" s="370"/>
      <c r="B2651" s="499"/>
      <c r="C2651" s="37"/>
      <c r="D2651" s="1929" t="s">
        <v>1520</v>
      </c>
      <c r="E2651" s="1930"/>
      <c r="F2651" s="1930"/>
      <c r="G2651" s="1930"/>
      <c r="H2651" s="1930"/>
      <c r="I2651" s="1931"/>
      <c r="J2651" s="1932">
        <f>VLOOKUP(A2653,'11 - FINANCEIRA'!_xlnm.Print_Area,6,FALSE)</f>
        <v>1440</v>
      </c>
      <c r="K2651" s="1933"/>
      <c r="L2651" s="1343" t="str">
        <f>VLOOKUP(A2653,'11 - FINANCEIRA'!_xlnm.Print_Area,4,FALSE)</f>
        <v>m</v>
      </c>
      <c r="M2651" s="1934" t="s">
        <v>1521</v>
      </c>
      <c r="N2651" s="1935"/>
      <c r="O2651" s="1935"/>
      <c r="P2651" s="1935"/>
      <c r="Q2651" s="1936"/>
      <c r="R2651" s="726">
        <f>SUM(R2647:R2650)</f>
        <v>1440</v>
      </c>
      <c r="S2651" s="1344" t="str">
        <f>L2651</f>
        <v>m</v>
      </c>
      <c r="T2651" s="373"/>
      <c r="U2651" s="486"/>
      <c r="V2651" s="1418">
        <f t="shared" si="268"/>
        <v>0</v>
      </c>
      <c r="AB2651" s="15"/>
    </row>
    <row r="2652" spans="1:36" s="77" customFormat="1" ht="15.6" hidden="1">
      <c r="A2652" s="370"/>
      <c r="B2652" s="499"/>
      <c r="C2652" s="725"/>
      <c r="D2652" s="1937" t="s">
        <v>1522</v>
      </c>
      <c r="E2652" s="1938"/>
      <c r="F2652" s="1938"/>
      <c r="G2652" s="1938"/>
      <c r="H2652" s="1938"/>
      <c r="I2652" s="1939"/>
      <c r="J2652" s="1943">
        <f>R2651/J2651</f>
        <v>1</v>
      </c>
      <c r="K2652" s="1944"/>
      <c r="L2652" s="1947"/>
      <c r="M2652" s="1934" t="s">
        <v>1523</v>
      </c>
      <c r="N2652" s="1935"/>
      <c r="O2652" s="1935"/>
      <c r="P2652" s="1935"/>
      <c r="Q2652" s="1936"/>
      <c r="R2652" s="726">
        <f>VLOOKUP(A2653,'11 - FINANCEIRA'!_xlnm.Print_Area,8,FALSE)</f>
        <v>1440</v>
      </c>
      <c r="S2652" s="727" t="str">
        <f>L2651</f>
        <v>m</v>
      </c>
      <c r="T2652" s="373"/>
      <c r="U2652" s="486"/>
      <c r="V2652" s="1418">
        <f t="shared" si="268"/>
        <v>0</v>
      </c>
      <c r="AB2652" s="15"/>
    </row>
    <row r="2653" spans="1:36" s="77" customFormat="1" ht="15.6" hidden="1">
      <c r="A2653" s="364" t="s">
        <v>573</v>
      </c>
      <c r="B2653" s="499"/>
      <c r="C2653" s="37"/>
      <c r="D2653" s="2013"/>
      <c r="E2653" s="2014"/>
      <c r="F2653" s="2014"/>
      <c r="G2653" s="2014"/>
      <c r="H2653" s="2014"/>
      <c r="I2653" s="2015"/>
      <c r="J2653" s="2016"/>
      <c r="K2653" s="2017"/>
      <c r="L2653" s="1962"/>
      <c r="M2653" s="2007" t="s">
        <v>1524</v>
      </c>
      <c r="N2653" s="2008"/>
      <c r="O2653" s="2008"/>
      <c r="P2653" s="2008"/>
      <c r="Q2653" s="2009"/>
      <c r="R2653" s="1345">
        <f>R2651-R2652</f>
        <v>0</v>
      </c>
      <c r="S2653" s="1346" t="str">
        <f>L2651</f>
        <v>m</v>
      </c>
      <c r="T2653" s="373"/>
      <c r="U2653" s="486"/>
      <c r="V2653" s="1418">
        <f>R2653</f>
        <v>0</v>
      </c>
      <c r="AB2653" s="15"/>
    </row>
    <row r="2654" spans="1:36" s="77" customFormat="1" ht="15.6" hidden="1">
      <c r="A2654" s="370"/>
      <c r="B2654" s="1347"/>
      <c r="C2654" s="1348"/>
      <c r="D2654" s="1349"/>
      <c r="E2654" s="1350"/>
      <c r="F2654" s="1349"/>
      <c r="G2654" s="1349"/>
      <c r="H2654" s="1349"/>
      <c r="I2654" s="1349"/>
      <c r="J2654" s="1351"/>
      <c r="K2654" s="1352"/>
      <c r="L2654" s="1353"/>
      <c r="M2654" s="1354"/>
      <c r="N2654" s="1354"/>
      <c r="O2654" s="1354"/>
      <c r="P2654" s="1354"/>
      <c r="Q2654" s="1354"/>
      <c r="R2654" s="1355"/>
      <c r="S2654" s="1356"/>
      <c r="T2654" s="1357"/>
      <c r="U2654" s="1358"/>
      <c r="V2654" s="1420">
        <f>SUM(V2645:V2653)</f>
        <v>0</v>
      </c>
      <c r="AB2654" s="15"/>
    </row>
    <row r="2655" spans="1:36" s="352" customFormat="1" ht="15.6" hidden="1">
      <c r="A2655" s="351"/>
      <c r="B2655" s="1963" t="str">
        <f>VLOOKUP(A2663,'11 - FINANCEIRA'!_xlnm.Print_Area,1,FALSE)</f>
        <v>2.5.2.3.12</v>
      </c>
      <c r="C2655" s="1965" t="str">
        <f>VLOOKUP(A2663,'11 - FINANCEIRA'!_xlnm.Print_Area,3,FALSE)</f>
        <v>Cabo de cobre flexível isolado, 240 mm², anti-chama 0,6/1,0 kv, para distribuição - fornecimento e instalação. af_12/2015 - azul</v>
      </c>
      <c r="D2655" s="1967" t="s">
        <v>1503</v>
      </c>
      <c r="E2655" s="1968"/>
      <c r="F2655" s="1968"/>
      <c r="G2655" s="1968"/>
      <c r="H2655" s="1968"/>
      <c r="I2655" s="1969"/>
      <c r="J2655" s="1914" t="s">
        <v>1504</v>
      </c>
      <c r="K2655" s="1914" t="s">
        <v>1505</v>
      </c>
      <c r="L2655" s="1914" t="s">
        <v>1506</v>
      </c>
      <c r="M2655" s="1914" t="s">
        <v>1507</v>
      </c>
      <c r="N2655" s="1914" t="s">
        <v>1508</v>
      </c>
      <c r="O2655" s="1914" t="s">
        <v>1509</v>
      </c>
      <c r="P2655" s="1341" t="s">
        <v>1510</v>
      </c>
      <c r="Q2655" s="1914" t="s">
        <v>1493</v>
      </c>
      <c r="R2655" s="1916" t="s">
        <v>804</v>
      </c>
      <c r="S2655" s="1914" t="s">
        <v>1511</v>
      </c>
      <c r="T2655" s="1914" t="s">
        <v>1512</v>
      </c>
      <c r="U2655" s="1918" t="s">
        <v>1513</v>
      </c>
      <c r="V2655" s="1418">
        <f t="shared" ref="V2655:V2662" si="269">V2656</f>
        <v>0</v>
      </c>
      <c r="W2655" s="16"/>
      <c r="X2655" s="16"/>
      <c r="Y2655" s="16"/>
      <c r="Z2655" s="17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</row>
    <row r="2656" spans="1:36" s="352" customFormat="1" ht="15.6" hidden="1">
      <c r="A2656" s="351"/>
      <c r="B2656" s="1964" t="e">
        <f>LEFT(#REF!,5)</f>
        <v>#REF!</v>
      </c>
      <c r="C2656" s="1966" t="e">
        <f>VLOOKUP(LEFT(#REF!,5),'11 - FINANCEIRA'!_xlnm.Print_Area,2,FALSE)</f>
        <v>#REF!</v>
      </c>
      <c r="D2656" s="1920" t="s">
        <v>1514</v>
      </c>
      <c r="E2656" s="1921"/>
      <c r="F2656" s="1922"/>
      <c r="G2656" s="1923" t="s">
        <v>1515</v>
      </c>
      <c r="H2656" s="1924"/>
      <c r="I2656" s="1925"/>
      <c r="J2656" s="1915"/>
      <c r="K2656" s="1915"/>
      <c r="L2656" s="1915"/>
      <c r="M2656" s="1915"/>
      <c r="N2656" s="1915"/>
      <c r="O2656" s="1915"/>
      <c r="P2656" s="353" t="s">
        <v>1516</v>
      </c>
      <c r="Q2656" s="1915"/>
      <c r="R2656" s="1917"/>
      <c r="S2656" s="1915"/>
      <c r="T2656" s="1915"/>
      <c r="U2656" s="1919"/>
      <c r="V2656" s="1418">
        <f t="shared" si="269"/>
        <v>0</v>
      </c>
      <c r="W2656" s="16"/>
      <c r="X2656" s="16"/>
      <c r="Y2656" s="16"/>
      <c r="Z2656" s="17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</row>
    <row r="2657" spans="1:36" s="361" customFormat="1" ht="30" hidden="1">
      <c r="A2657" s="354"/>
      <c r="B2657" s="355"/>
      <c r="C2657" s="28" t="s">
        <v>1149</v>
      </c>
      <c r="D2657" s="18"/>
      <c r="E2657" s="19"/>
      <c r="F2657" s="20"/>
      <c r="G2657" s="18"/>
      <c r="H2657" s="19"/>
      <c r="I2657" s="20"/>
      <c r="J2657" s="21"/>
      <c r="K2657" s="22"/>
      <c r="L2657" s="23"/>
      <c r="M2657" s="24"/>
      <c r="N2657" s="728"/>
      <c r="O2657" s="25"/>
      <c r="P2657" s="23"/>
      <c r="Q2657" s="729"/>
      <c r="R2657" s="1109">
        <v>540</v>
      </c>
      <c r="S2657" s="730" t="s">
        <v>809</v>
      </c>
      <c r="T2657" s="446" t="s">
        <v>326</v>
      </c>
      <c r="U2657" s="44"/>
      <c r="V2657" s="1418">
        <f t="shared" si="269"/>
        <v>0</v>
      </c>
      <c r="W2657" s="357"/>
      <c r="X2657" s="357"/>
      <c r="Y2657" s="357"/>
      <c r="Z2657" s="358"/>
      <c r="AA2657" s="359"/>
      <c r="AB2657" s="360"/>
    </row>
    <row r="2658" spans="1:36" s="361" customFormat="1" ht="15" hidden="1" customHeight="1">
      <c r="A2658" s="354"/>
      <c r="B2658" s="355"/>
      <c r="C2658" s="32"/>
      <c r="D2658" s="33"/>
      <c r="E2658" s="34"/>
      <c r="F2658" s="35"/>
      <c r="G2658" s="33"/>
      <c r="H2658" s="34"/>
      <c r="I2658" s="35"/>
      <c r="J2658" s="43"/>
      <c r="K2658" s="42"/>
      <c r="L2658" s="39"/>
      <c r="M2658" s="41"/>
      <c r="N2658" s="356"/>
      <c r="O2658" s="40"/>
      <c r="P2658" s="39"/>
      <c r="Q2658" s="45"/>
      <c r="R2658" s="362"/>
      <c r="S2658" s="363"/>
      <c r="T2658" s="46"/>
      <c r="U2658" s="44"/>
      <c r="V2658" s="1418">
        <f t="shared" si="269"/>
        <v>0</v>
      </c>
      <c r="W2658" s="357"/>
      <c r="X2658" s="357"/>
      <c r="Y2658" s="357"/>
      <c r="Z2658" s="358"/>
      <c r="AA2658" s="359"/>
      <c r="AB2658" s="360"/>
    </row>
    <row r="2659" spans="1:36" s="369" customFormat="1" ht="15" hidden="1">
      <c r="A2659" s="364"/>
      <c r="B2659" s="355"/>
      <c r="C2659" s="32"/>
      <c r="D2659" s="33"/>
      <c r="E2659" s="34"/>
      <c r="F2659" s="35"/>
      <c r="G2659" s="33"/>
      <c r="H2659" s="34"/>
      <c r="I2659" s="35"/>
      <c r="J2659" s="43"/>
      <c r="K2659" s="42"/>
      <c r="L2659" s="39"/>
      <c r="M2659" s="41"/>
      <c r="N2659" s="40"/>
      <c r="O2659" s="40"/>
      <c r="P2659" s="39"/>
      <c r="Q2659" s="38"/>
      <c r="R2659" s="365"/>
      <c r="S2659" s="366"/>
      <c r="T2659" s="46"/>
      <c r="U2659" s="44"/>
      <c r="V2659" s="1418">
        <f t="shared" si="269"/>
        <v>0</v>
      </c>
      <c r="W2659" s="367"/>
      <c r="X2659" s="367"/>
      <c r="Y2659" s="367"/>
      <c r="Z2659" s="368"/>
    </row>
    <row r="2660" spans="1:36" s="77" customFormat="1" ht="15" hidden="1">
      <c r="A2660" s="370"/>
      <c r="B2660" s="29"/>
      <c r="C2660" s="30"/>
      <c r="D2660" s="18"/>
      <c r="E2660" s="19"/>
      <c r="F2660" s="20"/>
      <c r="G2660" s="18"/>
      <c r="H2660" s="19"/>
      <c r="I2660" s="20"/>
      <c r="J2660" s="21"/>
      <c r="K2660" s="22"/>
      <c r="L2660" s="23"/>
      <c r="M2660" s="24"/>
      <c r="N2660" s="25"/>
      <c r="O2660" s="25"/>
      <c r="P2660" s="23"/>
      <c r="Q2660" s="26"/>
      <c r="R2660" s="371"/>
      <c r="S2660" s="27"/>
      <c r="T2660" s="372"/>
      <c r="U2660" s="31"/>
      <c r="V2660" s="1418">
        <f t="shared" si="269"/>
        <v>0</v>
      </c>
      <c r="AB2660" s="15"/>
    </row>
    <row r="2661" spans="1:36" s="77" customFormat="1" ht="15.6" hidden="1">
      <c r="A2661" s="370"/>
      <c r="B2661" s="499"/>
      <c r="C2661" s="37"/>
      <c r="D2661" s="1929" t="s">
        <v>1520</v>
      </c>
      <c r="E2661" s="1930"/>
      <c r="F2661" s="1930"/>
      <c r="G2661" s="1930"/>
      <c r="H2661" s="1930"/>
      <c r="I2661" s="1931"/>
      <c r="J2661" s="1932">
        <f>VLOOKUP(A2663,'11 - FINANCEIRA'!_xlnm.Print_Area,6,FALSE)</f>
        <v>540</v>
      </c>
      <c r="K2661" s="1933"/>
      <c r="L2661" s="1343" t="str">
        <f>VLOOKUP(A2663,'11 - FINANCEIRA'!_xlnm.Print_Area,4,FALSE)</f>
        <v>m</v>
      </c>
      <c r="M2661" s="1934" t="s">
        <v>1521</v>
      </c>
      <c r="N2661" s="1935"/>
      <c r="O2661" s="1935"/>
      <c r="P2661" s="1935"/>
      <c r="Q2661" s="1936"/>
      <c r="R2661" s="726">
        <f>SUM(R2657:R2660)</f>
        <v>540</v>
      </c>
      <c r="S2661" s="1344" t="str">
        <f>L2661</f>
        <v>m</v>
      </c>
      <c r="T2661" s="373"/>
      <c r="U2661" s="486"/>
      <c r="V2661" s="1418">
        <f t="shared" si="269"/>
        <v>0</v>
      </c>
      <c r="AB2661" s="15"/>
    </row>
    <row r="2662" spans="1:36" s="77" customFormat="1" ht="15.6" hidden="1">
      <c r="A2662" s="370"/>
      <c r="B2662" s="499"/>
      <c r="C2662" s="725"/>
      <c r="D2662" s="1937" t="s">
        <v>1522</v>
      </c>
      <c r="E2662" s="1938"/>
      <c r="F2662" s="1938"/>
      <c r="G2662" s="1938"/>
      <c r="H2662" s="1938"/>
      <c r="I2662" s="1939"/>
      <c r="J2662" s="1943">
        <f>R2661/J2661</f>
        <v>1</v>
      </c>
      <c r="K2662" s="1944"/>
      <c r="L2662" s="1947"/>
      <c r="M2662" s="1934" t="s">
        <v>1523</v>
      </c>
      <c r="N2662" s="1935"/>
      <c r="O2662" s="1935"/>
      <c r="P2662" s="1935"/>
      <c r="Q2662" s="1936"/>
      <c r="R2662" s="726">
        <f>VLOOKUP(A2663,'11 - FINANCEIRA'!_xlnm.Print_Area,8,FALSE)</f>
        <v>540</v>
      </c>
      <c r="S2662" s="727" t="str">
        <f>L2661</f>
        <v>m</v>
      </c>
      <c r="T2662" s="373"/>
      <c r="U2662" s="486"/>
      <c r="V2662" s="1418">
        <f t="shared" si="269"/>
        <v>0</v>
      </c>
      <c r="AB2662" s="15"/>
    </row>
    <row r="2663" spans="1:36" s="77" customFormat="1" ht="15.6" hidden="1">
      <c r="A2663" s="364" t="s">
        <v>574</v>
      </c>
      <c r="B2663" s="499"/>
      <c r="C2663" s="37"/>
      <c r="D2663" s="2013"/>
      <c r="E2663" s="2014"/>
      <c r="F2663" s="2014"/>
      <c r="G2663" s="2014"/>
      <c r="H2663" s="2014"/>
      <c r="I2663" s="2015"/>
      <c r="J2663" s="2016"/>
      <c r="K2663" s="2017"/>
      <c r="L2663" s="1962"/>
      <c r="M2663" s="2007" t="s">
        <v>1524</v>
      </c>
      <c r="N2663" s="2008"/>
      <c r="O2663" s="2008"/>
      <c r="P2663" s="2008"/>
      <c r="Q2663" s="2009"/>
      <c r="R2663" s="1345">
        <f>R2661-R2662</f>
        <v>0</v>
      </c>
      <c r="S2663" s="1346" t="str">
        <f>L2661</f>
        <v>m</v>
      </c>
      <c r="T2663" s="373"/>
      <c r="U2663" s="486"/>
      <c r="V2663" s="1418">
        <f>R2663</f>
        <v>0</v>
      </c>
      <c r="AB2663" s="15"/>
    </row>
    <row r="2664" spans="1:36" s="77" customFormat="1" ht="15.6" hidden="1">
      <c r="A2664" s="370"/>
      <c r="B2664" s="1347"/>
      <c r="C2664" s="1348"/>
      <c r="D2664" s="1349"/>
      <c r="E2664" s="1350"/>
      <c r="F2664" s="1349"/>
      <c r="G2664" s="1349"/>
      <c r="H2664" s="1349"/>
      <c r="I2664" s="1349"/>
      <c r="J2664" s="1351"/>
      <c r="K2664" s="1352"/>
      <c r="L2664" s="1353"/>
      <c r="M2664" s="1354"/>
      <c r="N2664" s="1354"/>
      <c r="O2664" s="1354"/>
      <c r="P2664" s="1354"/>
      <c r="Q2664" s="1354"/>
      <c r="R2664" s="1355"/>
      <c r="S2664" s="1356"/>
      <c r="T2664" s="1357"/>
      <c r="U2664" s="1358"/>
      <c r="V2664" s="1420">
        <f>SUM(V2655:V2663)</f>
        <v>0</v>
      </c>
      <c r="AB2664" s="15"/>
    </row>
    <row r="2665" spans="1:36" s="352" customFormat="1" ht="15.6" hidden="1">
      <c r="A2665" s="351"/>
      <c r="B2665" s="1963" t="str">
        <f>VLOOKUP(A2673,'11 - FINANCEIRA'!_xlnm.Print_Area,1,FALSE)</f>
        <v>2.5.2.3.13</v>
      </c>
      <c r="C2665" s="1965" t="str">
        <f>VLOOKUP(A2673,'11 - FINANCEIRA'!_xlnm.Print_Area,3,FALSE)</f>
        <v>Cabo de cobre flexível isolado, 2,5 mm², anti-chama 450/750 v, para circuitos terminais - fornecimento e instalação. af_12/2015 - preto</v>
      </c>
      <c r="D2665" s="1967" t="s">
        <v>1503</v>
      </c>
      <c r="E2665" s="1968"/>
      <c r="F2665" s="1968"/>
      <c r="G2665" s="1968"/>
      <c r="H2665" s="1968"/>
      <c r="I2665" s="1969"/>
      <c r="J2665" s="1914" t="s">
        <v>1504</v>
      </c>
      <c r="K2665" s="1914" t="s">
        <v>1505</v>
      </c>
      <c r="L2665" s="1914" t="s">
        <v>1506</v>
      </c>
      <c r="M2665" s="1914" t="s">
        <v>1507</v>
      </c>
      <c r="N2665" s="1914" t="s">
        <v>1508</v>
      </c>
      <c r="O2665" s="1914" t="s">
        <v>1509</v>
      </c>
      <c r="P2665" s="1341" t="s">
        <v>1510</v>
      </c>
      <c r="Q2665" s="1914" t="s">
        <v>1493</v>
      </c>
      <c r="R2665" s="1916" t="s">
        <v>804</v>
      </c>
      <c r="S2665" s="1914" t="s">
        <v>1511</v>
      </c>
      <c r="T2665" s="1914" t="s">
        <v>1512</v>
      </c>
      <c r="U2665" s="1918" t="s">
        <v>1513</v>
      </c>
      <c r="V2665" s="1418">
        <f t="shared" ref="V2665:V2672" si="270">V2666</f>
        <v>0</v>
      </c>
      <c r="W2665" s="16"/>
      <c r="X2665" s="16"/>
      <c r="Y2665" s="16"/>
      <c r="Z2665" s="17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</row>
    <row r="2666" spans="1:36" s="352" customFormat="1" ht="15.6" hidden="1">
      <c r="A2666" s="351"/>
      <c r="B2666" s="1964" t="e">
        <f>LEFT(#REF!,5)</f>
        <v>#REF!</v>
      </c>
      <c r="C2666" s="1966" t="e">
        <f>VLOOKUP(LEFT(#REF!,5),'11 - FINANCEIRA'!_xlnm.Print_Area,2,FALSE)</f>
        <v>#REF!</v>
      </c>
      <c r="D2666" s="1920" t="s">
        <v>1514</v>
      </c>
      <c r="E2666" s="1921"/>
      <c r="F2666" s="1922"/>
      <c r="G2666" s="1923" t="s">
        <v>1515</v>
      </c>
      <c r="H2666" s="1924"/>
      <c r="I2666" s="1925"/>
      <c r="J2666" s="1915"/>
      <c r="K2666" s="1915"/>
      <c r="L2666" s="1915"/>
      <c r="M2666" s="1915"/>
      <c r="N2666" s="1915"/>
      <c r="O2666" s="1915"/>
      <c r="P2666" s="353" t="s">
        <v>1516</v>
      </c>
      <c r="Q2666" s="1915"/>
      <c r="R2666" s="1917"/>
      <c r="S2666" s="1915"/>
      <c r="T2666" s="1915"/>
      <c r="U2666" s="1919"/>
      <c r="V2666" s="1418">
        <f t="shared" si="270"/>
        <v>0</v>
      </c>
      <c r="W2666" s="16"/>
      <c r="X2666" s="16"/>
      <c r="Y2666" s="16"/>
      <c r="Z2666" s="17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</row>
    <row r="2667" spans="1:36" s="361" customFormat="1" ht="30" hidden="1">
      <c r="A2667" s="354"/>
      <c r="B2667" s="355"/>
      <c r="C2667" s="28" t="s">
        <v>1151</v>
      </c>
      <c r="D2667" s="18"/>
      <c r="E2667" s="19"/>
      <c r="F2667" s="20"/>
      <c r="G2667" s="18"/>
      <c r="H2667" s="19"/>
      <c r="I2667" s="20"/>
      <c r="J2667" s="21"/>
      <c r="K2667" s="22"/>
      <c r="L2667" s="23"/>
      <c r="M2667" s="24"/>
      <c r="N2667" s="728"/>
      <c r="O2667" s="25"/>
      <c r="P2667" s="23"/>
      <c r="Q2667" s="729"/>
      <c r="R2667" s="1109">
        <v>250</v>
      </c>
      <c r="S2667" s="730" t="s">
        <v>809</v>
      </c>
      <c r="T2667" s="446" t="s">
        <v>327</v>
      </c>
      <c r="U2667" s="44"/>
      <c r="V2667" s="1418">
        <f t="shared" si="270"/>
        <v>0</v>
      </c>
      <c r="W2667" s="357"/>
      <c r="X2667" s="357"/>
      <c r="Y2667" s="357"/>
      <c r="Z2667" s="358"/>
      <c r="AA2667" s="359"/>
      <c r="AB2667" s="360"/>
    </row>
    <row r="2668" spans="1:36" s="361" customFormat="1" ht="15" hidden="1" customHeight="1">
      <c r="A2668" s="354"/>
      <c r="B2668" s="355"/>
      <c r="C2668" s="32"/>
      <c r="D2668" s="33"/>
      <c r="E2668" s="34"/>
      <c r="F2668" s="35"/>
      <c r="G2668" s="33"/>
      <c r="H2668" s="34"/>
      <c r="I2668" s="35"/>
      <c r="J2668" s="43"/>
      <c r="K2668" s="42"/>
      <c r="L2668" s="39"/>
      <c r="M2668" s="41"/>
      <c r="N2668" s="356"/>
      <c r="O2668" s="40"/>
      <c r="P2668" s="39"/>
      <c r="Q2668" s="45"/>
      <c r="R2668" s="362"/>
      <c r="S2668" s="363"/>
      <c r="T2668" s="46"/>
      <c r="U2668" s="44"/>
      <c r="V2668" s="1418">
        <f t="shared" si="270"/>
        <v>0</v>
      </c>
      <c r="W2668" s="357"/>
      <c r="X2668" s="357"/>
      <c r="Y2668" s="357"/>
      <c r="Z2668" s="358"/>
      <c r="AA2668" s="359"/>
      <c r="AB2668" s="360"/>
    </row>
    <row r="2669" spans="1:36" s="369" customFormat="1" ht="15" hidden="1">
      <c r="A2669" s="364"/>
      <c r="B2669" s="355"/>
      <c r="C2669" s="32"/>
      <c r="D2669" s="33"/>
      <c r="E2669" s="34"/>
      <c r="F2669" s="35"/>
      <c r="G2669" s="33"/>
      <c r="H2669" s="34"/>
      <c r="I2669" s="35"/>
      <c r="J2669" s="43"/>
      <c r="K2669" s="42"/>
      <c r="L2669" s="39"/>
      <c r="M2669" s="41"/>
      <c r="N2669" s="40"/>
      <c r="O2669" s="40"/>
      <c r="P2669" s="39"/>
      <c r="Q2669" s="38"/>
      <c r="R2669" s="365"/>
      <c r="S2669" s="366"/>
      <c r="T2669" s="46"/>
      <c r="U2669" s="44"/>
      <c r="V2669" s="1418">
        <f t="shared" si="270"/>
        <v>0</v>
      </c>
      <c r="W2669" s="367"/>
      <c r="X2669" s="367"/>
      <c r="Y2669" s="367"/>
      <c r="Z2669" s="368"/>
    </row>
    <row r="2670" spans="1:36" s="77" customFormat="1" ht="15" hidden="1">
      <c r="A2670" s="370"/>
      <c r="B2670" s="29"/>
      <c r="C2670" s="30"/>
      <c r="D2670" s="18"/>
      <c r="E2670" s="19"/>
      <c r="F2670" s="20"/>
      <c r="G2670" s="18"/>
      <c r="H2670" s="19"/>
      <c r="I2670" s="20"/>
      <c r="J2670" s="21"/>
      <c r="K2670" s="22"/>
      <c r="L2670" s="23"/>
      <c r="M2670" s="24"/>
      <c r="N2670" s="25"/>
      <c r="O2670" s="25"/>
      <c r="P2670" s="23"/>
      <c r="Q2670" s="26"/>
      <c r="R2670" s="371"/>
      <c r="S2670" s="27"/>
      <c r="T2670" s="372"/>
      <c r="U2670" s="31"/>
      <c r="V2670" s="1418">
        <f t="shared" si="270"/>
        <v>0</v>
      </c>
      <c r="AB2670" s="15"/>
    </row>
    <row r="2671" spans="1:36" s="77" customFormat="1" ht="15.6" hidden="1">
      <c r="A2671" s="370"/>
      <c r="B2671" s="499"/>
      <c r="C2671" s="37"/>
      <c r="D2671" s="1929" t="s">
        <v>1520</v>
      </c>
      <c r="E2671" s="1930"/>
      <c r="F2671" s="1930"/>
      <c r="G2671" s="1930"/>
      <c r="H2671" s="1930"/>
      <c r="I2671" s="1931"/>
      <c r="J2671" s="1932">
        <f>VLOOKUP(A2673,'11 - FINANCEIRA'!_xlnm.Print_Area,6,FALSE)</f>
        <v>250</v>
      </c>
      <c r="K2671" s="1933"/>
      <c r="L2671" s="1343" t="str">
        <f>VLOOKUP(A2673,'11 - FINANCEIRA'!_xlnm.Print_Area,4,FALSE)</f>
        <v>m</v>
      </c>
      <c r="M2671" s="1934" t="s">
        <v>1521</v>
      </c>
      <c r="N2671" s="1935"/>
      <c r="O2671" s="1935"/>
      <c r="P2671" s="1935"/>
      <c r="Q2671" s="1936"/>
      <c r="R2671" s="726">
        <f>SUM(R2667:R2670)</f>
        <v>250</v>
      </c>
      <c r="S2671" s="1344" t="str">
        <f>L2671</f>
        <v>m</v>
      </c>
      <c r="T2671" s="373"/>
      <c r="U2671" s="486"/>
      <c r="V2671" s="1418">
        <f t="shared" si="270"/>
        <v>0</v>
      </c>
      <c r="AB2671" s="15"/>
    </row>
    <row r="2672" spans="1:36" s="77" customFormat="1" ht="15.6" hidden="1">
      <c r="A2672" s="370"/>
      <c r="B2672" s="499"/>
      <c r="C2672" s="725"/>
      <c r="D2672" s="1937" t="s">
        <v>1522</v>
      </c>
      <c r="E2672" s="1938"/>
      <c r="F2672" s="1938"/>
      <c r="G2672" s="1938"/>
      <c r="H2672" s="1938"/>
      <c r="I2672" s="1939"/>
      <c r="J2672" s="1943">
        <f>R2671/J2671</f>
        <v>1</v>
      </c>
      <c r="K2672" s="1944"/>
      <c r="L2672" s="1947"/>
      <c r="M2672" s="1934" t="s">
        <v>1523</v>
      </c>
      <c r="N2672" s="1935"/>
      <c r="O2672" s="1935"/>
      <c r="P2672" s="1935"/>
      <c r="Q2672" s="1936"/>
      <c r="R2672" s="726">
        <f>VLOOKUP(A2673,'11 - FINANCEIRA'!_xlnm.Print_Area,8,FALSE)</f>
        <v>250</v>
      </c>
      <c r="S2672" s="727" t="str">
        <f>L2671</f>
        <v>m</v>
      </c>
      <c r="T2672" s="373"/>
      <c r="U2672" s="486"/>
      <c r="V2672" s="1418">
        <f t="shared" si="270"/>
        <v>0</v>
      </c>
      <c r="AB2672" s="15"/>
    </row>
    <row r="2673" spans="1:36" s="77" customFormat="1" ht="15.6" hidden="1">
      <c r="A2673" s="364" t="s">
        <v>575</v>
      </c>
      <c r="B2673" s="499"/>
      <c r="C2673" s="37"/>
      <c r="D2673" s="2013"/>
      <c r="E2673" s="2014"/>
      <c r="F2673" s="2014"/>
      <c r="G2673" s="2014"/>
      <c r="H2673" s="2014"/>
      <c r="I2673" s="2015"/>
      <c r="J2673" s="2016"/>
      <c r="K2673" s="2017"/>
      <c r="L2673" s="1962"/>
      <c r="M2673" s="2007" t="s">
        <v>1524</v>
      </c>
      <c r="N2673" s="2008"/>
      <c r="O2673" s="2008"/>
      <c r="P2673" s="2008"/>
      <c r="Q2673" s="2009"/>
      <c r="R2673" s="1345">
        <f>R2671-R2672</f>
        <v>0</v>
      </c>
      <c r="S2673" s="1346" t="str">
        <f>L2671</f>
        <v>m</v>
      </c>
      <c r="T2673" s="373"/>
      <c r="U2673" s="486"/>
      <c r="V2673" s="1418">
        <f>R2673</f>
        <v>0</v>
      </c>
      <c r="AB2673" s="15"/>
    </row>
    <row r="2674" spans="1:36" s="77" customFormat="1" ht="15.6" hidden="1">
      <c r="A2674" s="370"/>
      <c r="B2674" s="1347"/>
      <c r="C2674" s="1348"/>
      <c r="D2674" s="1349"/>
      <c r="E2674" s="1350"/>
      <c r="F2674" s="1349"/>
      <c r="G2674" s="1349"/>
      <c r="H2674" s="1349"/>
      <c r="I2674" s="1349"/>
      <c r="J2674" s="1351"/>
      <c r="K2674" s="1352"/>
      <c r="L2674" s="1353"/>
      <c r="M2674" s="1354"/>
      <c r="N2674" s="1354"/>
      <c r="O2674" s="1354"/>
      <c r="P2674" s="1354"/>
      <c r="Q2674" s="1354"/>
      <c r="R2674" s="1355"/>
      <c r="S2674" s="1356"/>
      <c r="T2674" s="1357"/>
      <c r="U2674" s="1358"/>
      <c r="V2674" s="1420">
        <f>SUM(V2665:V2673)</f>
        <v>0</v>
      </c>
      <c r="AB2674" s="15"/>
    </row>
    <row r="2675" spans="1:36" s="352" customFormat="1" ht="15.6" hidden="1">
      <c r="A2675" s="351"/>
      <c r="B2675" s="1963" t="str">
        <f>VLOOKUP(A2683,'11 - FINANCEIRA'!_xlnm.Print_Area,1,FALSE)</f>
        <v>2.5.2.3.14</v>
      </c>
      <c r="C2675" s="1965" t="str">
        <f>VLOOKUP(A2683,'11 - FINANCEIRA'!_xlnm.Print_Area,3,FALSE)</f>
        <v>Cabo de cobre flexível isolado, 2,5 mm², anti-chama 450/750 v, para circuitos terminais - fornecimento e instalação. af_12/2015 - azul</v>
      </c>
      <c r="D2675" s="1967" t="s">
        <v>1503</v>
      </c>
      <c r="E2675" s="1968"/>
      <c r="F2675" s="1968"/>
      <c r="G2675" s="1968"/>
      <c r="H2675" s="1968"/>
      <c r="I2675" s="1969"/>
      <c r="J2675" s="1914" t="s">
        <v>1504</v>
      </c>
      <c r="K2675" s="1914" t="s">
        <v>1505</v>
      </c>
      <c r="L2675" s="1914" t="s">
        <v>1506</v>
      </c>
      <c r="M2675" s="1914" t="s">
        <v>1507</v>
      </c>
      <c r="N2675" s="1914" t="s">
        <v>1508</v>
      </c>
      <c r="O2675" s="1914" t="s">
        <v>1509</v>
      </c>
      <c r="P2675" s="1341" t="s">
        <v>1510</v>
      </c>
      <c r="Q2675" s="1914" t="s">
        <v>1493</v>
      </c>
      <c r="R2675" s="1916" t="s">
        <v>804</v>
      </c>
      <c r="S2675" s="1914" t="s">
        <v>1511</v>
      </c>
      <c r="T2675" s="1914" t="s">
        <v>1512</v>
      </c>
      <c r="U2675" s="1918" t="s">
        <v>1513</v>
      </c>
      <c r="V2675" s="1418">
        <f t="shared" ref="V2675:V2682" si="271">V2676</f>
        <v>0</v>
      </c>
      <c r="W2675" s="16"/>
      <c r="X2675" s="16"/>
      <c r="Y2675" s="16"/>
      <c r="Z2675" s="17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</row>
    <row r="2676" spans="1:36" s="352" customFormat="1" ht="15.6" hidden="1">
      <c r="A2676" s="351"/>
      <c r="B2676" s="1964" t="e">
        <f>LEFT(#REF!,5)</f>
        <v>#REF!</v>
      </c>
      <c r="C2676" s="1966" t="e">
        <f>VLOOKUP(LEFT(#REF!,5),'11 - FINANCEIRA'!_xlnm.Print_Area,2,FALSE)</f>
        <v>#REF!</v>
      </c>
      <c r="D2676" s="1920" t="s">
        <v>1514</v>
      </c>
      <c r="E2676" s="1921"/>
      <c r="F2676" s="1922"/>
      <c r="G2676" s="1923" t="s">
        <v>1515</v>
      </c>
      <c r="H2676" s="1924"/>
      <c r="I2676" s="1925"/>
      <c r="J2676" s="1915"/>
      <c r="K2676" s="1915"/>
      <c r="L2676" s="1915"/>
      <c r="M2676" s="1915"/>
      <c r="N2676" s="1915"/>
      <c r="O2676" s="1915"/>
      <c r="P2676" s="353" t="s">
        <v>1516</v>
      </c>
      <c r="Q2676" s="1915"/>
      <c r="R2676" s="1917"/>
      <c r="S2676" s="1915"/>
      <c r="T2676" s="1915"/>
      <c r="U2676" s="1919"/>
      <c r="V2676" s="1418">
        <f t="shared" si="271"/>
        <v>0</v>
      </c>
      <c r="W2676" s="16"/>
      <c r="X2676" s="16"/>
      <c r="Y2676" s="16"/>
      <c r="Z2676" s="17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</row>
    <row r="2677" spans="1:36" s="361" customFormat="1" ht="30" hidden="1">
      <c r="A2677" s="354"/>
      <c r="B2677" s="355"/>
      <c r="C2677" s="32" t="s">
        <v>1152</v>
      </c>
      <c r="D2677" s="33"/>
      <c r="E2677" s="34"/>
      <c r="F2677" s="35"/>
      <c r="G2677" s="33"/>
      <c r="H2677" s="34"/>
      <c r="I2677" s="35"/>
      <c r="J2677" s="43"/>
      <c r="K2677" s="42"/>
      <c r="L2677" s="39"/>
      <c r="M2677" s="41"/>
      <c r="N2677" s="356"/>
      <c r="O2677" s="40"/>
      <c r="P2677" s="39"/>
      <c r="Q2677" s="45"/>
      <c r="R2677" s="1359">
        <v>250</v>
      </c>
      <c r="S2677" s="1265" t="s">
        <v>809</v>
      </c>
      <c r="T2677" s="46" t="s">
        <v>327</v>
      </c>
      <c r="U2677" s="44"/>
      <c r="V2677" s="1418">
        <f t="shared" si="271"/>
        <v>0</v>
      </c>
      <c r="W2677" s="357"/>
      <c r="X2677" s="357"/>
      <c r="Y2677" s="357"/>
      <c r="Z2677" s="358"/>
      <c r="AA2677" s="359"/>
      <c r="AB2677" s="360"/>
    </row>
    <row r="2678" spans="1:36" s="361" customFormat="1" ht="15" hidden="1" customHeight="1">
      <c r="A2678" s="354"/>
      <c r="B2678" s="355"/>
      <c r="C2678" s="32"/>
      <c r="D2678" s="33"/>
      <c r="E2678" s="34"/>
      <c r="F2678" s="35"/>
      <c r="G2678" s="33"/>
      <c r="H2678" s="34"/>
      <c r="I2678" s="35"/>
      <c r="J2678" s="43"/>
      <c r="K2678" s="42"/>
      <c r="L2678" s="39"/>
      <c r="M2678" s="41"/>
      <c r="N2678" s="356"/>
      <c r="O2678" s="40"/>
      <c r="P2678" s="39"/>
      <c r="Q2678" s="45"/>
      <c r="R2678" s="362"/>
      <c r="S2678" s="363"/>
      <c r="T2678" s="46"/>
      <c r="U2678" s="44"/>
      <c r="V2678" s="1418">
        <f t="shared" si="271"/>
        <v>0</v>
      </c>
      <c r="W2678" s="357"/>
      <c r="X2678" s="357"/>
      <c r="Y2678" s="357"/>
      <c r="Z2678" s="358"/>
      <c r="AA2678" s="359"/>
      <c r="AB2678" s="360"/>
    </row>
    <row r="2679" spans="1:36" s="369" customFormat="1" ht="15" hidden="1">
      <c r="A2679" s="364"/>
      <c r="B2679" s="355"/>
      <c r="C2679" s="32"/>
      <c r="D2679" s="33"/>
      <c r="E2679" s="34"/>
      <c r="F2679" s="35"/>
      <c r="G2679" s="33"/>
      <c r="H2679" s="34"/>
      <c r="I2679" s="35"/>
      <c r="J2679" s="43"/>
      <c r="K2679" s="42"/>
      <c r="L2679" s="39"/>
      <c r="M2679" s="41"/>
      <c r="N2679" s="40"/>
      <c r="O2679" s="40"/>
      <c r="P2679" s="39"/>
      <c r="Q2679" s="38"/>
      <c r="R2679" s="365"/>
      <c r="S2679" s="366"/>
      <c r="T2679" s="46"/>
      <c r="U2679" s="44"/>
      <c r="V2679" s="1418">
        <f t="shared" si="271"/>
        <v>0</v>
      </c>
      <c r="W2679" s="367"/>
      <c r="X2679" s="367"/>
      <c r="Y2679" s="367"/>
      <c r="Z2679" s="368"/>
    </row>
    <row r="2680" spans="1:36" s="77" customFormat="1" ht="15" hidden="1">
      <c r="A2680" s="370"/>
      <c r="B2680" s="29"/>
      <c r="C2680" s="30"/>
      <c r="D2680" s="18"/>
      <c r="E2680" s="19"/>
      <c r="F2680" s="20"/>
      <c r="G2680" s="18"/>
      <c r="H2680" s="19"/>
      <c r="I2680" s="20"/>
      <c r="J2680" s="21"/>
      <c r="K2680" s="22"/>
      <c r="L2680" s="23"/>
      <c r="M2680" s="24"/>
      <c r="N2680" s="25"/>
      <c r="O2680" s="25"/>
      <c r="P2680" s="23"/>
      <c r="Q2680" s="26"/>
      <c r="R2680" s="371"/>
      <c r="S2680" s="27"/>
      <c r="T2680" s="372"/>
      <c r="U2680" s="31"/>
      <c r="V2680" s="1418">
        <f t="shared" si="271"/>
        <v>0</v>
      </c>
      <c r="AB2680" s="15"/>
    </row>
    <row r="2681" spans="1:36" s="77" customFormat="1" ht="15.6" hidden="1">
      <c r="A2681" s="370"/>
      <c r="B2681" s="499"/>
      <c r="C2681" s="37"/>
      <c r="D2681" s="1929" t="s">
        <v>1520</v>
      </c>
      <c r="E2681" s="1930"/>
      <c r="F2681" s="1930"/>
      <c r="G2681" s="1930"/>
      <c r="H2681" s="1930"/>
      <c r="I2681" s="1931"/>
      <c r="J2681" s="1932">
        <f>VLOOKUP(A2683,'11 - FINANCEIRA'!_xlnm.Print_Area,6,FALSE)</f>
        <v>250</v>
      </c>
      <c r="K2681" s="1933"/>
      <c r="L2681" s="1343" t="str">
        <f>VLOOKUP(A2683,'11 - FINANCEIRA'!_xlnm.Print_Area,4,FALSE)</f>
        <v>m</v>
      </c>
      <c r="M2681" s="1934" t="s">
        <v>1521</v>
      </c>
      <c r="N2681" s="1935"/>
      <c r="O2681" s="1935"/>
      <c r="P2681" s="1935"/>
      <c r="Q2681" s="1936"/>
      <c r="R2681" s="726">
        <f>SUM(R2677:R2680)</f>
        <v>250</v>
      </c>
      <c r="S2681" s="1344" t="str">
        <f>L2681</f>
        <v>m</v>
      </c>
      <c r="T2681" s="373"/>
      <c r="U2681" s="486"/>
      <c r="V2681" s="1418">
        <f t="shared" si="271"/>
        <v>0</v>
      </c>
      <c r="AB2681" s="15"/>
    </row>
    <row r="2682" spans="1:36" s="77" customFormat="1" ht="15.6" hidden="1">
      <c r="A2682" s="370"/>
      <c r="B2682" s="499"/>
      <c r="C2682" s="725"/>
      <c r="D2682" s="1937" t="s">
        <v>1522</v>
      </c>
      <c r="E2682" s="1938"/>
      <c r="F2682" s="1938"/>
      <c r="G2682" s="1938"/>
      <c r="H2682" s="1938"/>
      <c r="I2682" s="1939"/>
      <c r="J2682" s="1943">
        <f>R2681/J2681</f>
        <v>1</v>
      </c>
      <c r="K2682" s="1944"/>
      <c r="L2682" s="1947"/>
      <c r="M2682" s="1934" t="s">
        <v>1523</v>
      </c>
      <c r="N2682" s="1935"/>
      <c r="O2682" s="1935"/>
      <c r="P2682" s="1935"/>
      <c r="Q2682" s="1936"/>
      <c r="R2682" s="726">
        <f>VLOOKUP(A2683,'11 - FINANCEIRA'!_xlnm.Print_Area,8,FALSE)</f>
        <v>250</v>
      </c>
      <c r="S2682" s="727" t="str">
        <f>L2681</f>
        <v>m</v>
      </c>
      <c r="T2682" s="373"/>
      <c r="U2682" s="486"/>
      <c r="V2682" s="1418">
        <f t="shared" si="271"/>
        <v>0</v>
      </c>
      <c r="AB2682" s="15"/>
    </row>
    <row r="2683" spans="1:36" s="77" customFormat="1" ht="15.6" hidden="1">
      <c r="A2683" s="364" t="s">
        <v>576</v>
      </c>
      <c r="B2683" s="499"/>
      <c r="C2683" s="37"/>
      <c r="D2683" s="2013"/>
      <c r="E2683" s="2014"/>
      <c r="F2683" s="2014"/>
      <c r="G2683" s="2014"/>
      <c r="H2683" s="2014"/>
      <c r="I2683" s="2015"/>
      <c r="J2683" s="2016"/>
      <c r="K2683" s="2017"/>
      <c r="L2683" s="1962"/>
      <c r="M2683" s="2007" t="s">
        <v>1524</v>
      </c>
      <c r="N2683" s="2008"/>
      <c r="O2683" s="2008"/>
      <c r="P2683" s="2008"/>
      <c r="Q2683" s="2009"/>
      <c r="R2683" s="1345">
        <f>R2681-R2682</f>
        <v>0</v>
      </c>
      <c r="S2683" s="1346" t="str">
        <f>L2681</f>
        <v>m</v>
      </c>
      <c r="T2683" s="373"/>
      <c r="U2683" s="486"/>
      <c r="V2683" s="1418">
        <f>R2683</f>
        <v>0</v>
      </c>
      <c r="AB2683" s="15"/>
    </row>
    <row r="2684" spans="1:36" s="77" customFormat="1" ht="15.6" hidden="1">
      <c r="A2684" s="370"/>
      <c r="B2684" s="1347"/>
      <c r="C2684" s="1348"/>
      <c r="D2684" s="1349"/>
      <c r="E2684" s="1350"/>
      <c r="F2684" s="1349"/>
      <c r="G2684" s="1349"/>
      <c r="H2684" s="1349"/>
      <c r="I2684" s="1349"/>
      <c r="J2684" s="1351"/>
      <c r="K2684" s="1352"/>
      <c r="L2684" s="1353"/>
      <c r="M2684" s="1354"/>
      <c r="N2684" s="1354"/>
      <c r="O2684" s="1354"/>
      <c r="P2684" s="1354"/>
      <c r="Q2684" s="1354"/>
      <c r="R2684" s="1355"/>
      <c r="S2684" s="1356"/>
      <c r="T2684" s="1357"/>
      <c r="U2684" s="1358"/>
      <c r="V2684" s="1420">
        <f>SUM(V2675:V2683)</f>
        <v>0</v>
      </c>
      <c r="AB2684" s="15"/>
    </row>
    <row r="2685" spans="1:36" s="352" customFormat="1" ht="15.6" hidden="1">
      <c r="A2685" s="351"/>
      <c r="B2685" s="1963" t="str">
        <f>VLOOKUP(A2693,'11 - FINANCEIRA'!_xlnm.Print_Area,1,FALSE)</f>
        <v>2.5.2.3.15</v>
      </c>
      <c r="C2685" s="1965" t="str">
        <f>VLOOKUP(A2693,'11 - FINANCEIRA'!_xlnm.Print_Area,3,FALSE)</f>
        <v>Cabo de cobre flexível isolado, 2,5 mm², anti-chama 450/750 v, para circuitos terminais - fornecimento e instalação. af_12/2015 - verde</v>
      </c>
      <c r="D2685" s="1967" t="s">
        <v>1503</v>
      </c>
      <c r="E2685" s="1968"/>
      <c r="F2685" s="1968"/>
      <c r="G2685" s="1968"/>
      <c r="H2685" s="1968"/>
      <c r="I2685" s="1969"/>
      <c r="J2685" s="1914" t="s">
        <v>1504</v>
      </c>
      <c r="K2685" s="1914" t="s">
        <v>1505</v>
      </c>
      <c r="L2685" s="1914" t="s">
        <v>1506</v>
      </c>
      <c r="M2685" s="1914" t="s">
        <v>1507</v>
      </c>
      <c r="N2685" s="1914" t="s">
        <v>1508</v>
      </c>
      <c r="O2685" s="1914" t="s">
        <v>1509</v>
      </c>
      <c r="P2685" s="1341" t="s">
        <v>1510</v>
      </c>
      <c r="Q2685" s="1914" t="s">
        <v>1493</v>
      </c>
      <c r="R2685" s="1916" t="s">
        <v>804</v>
      </c>
      <c r="S2685" s="1914" t="s">
        <v>1511</v>
      </c>
      <c r="T2685" s="1914" t="s">
        <v>1512</v>
      </c>
      <c r="U2685" s="1918" t="s">
        <v>1513</v>
      </c>
      <c r="V2685" s="1418">
        <f t="shared" ref="V2685:V2692" si="272">V2686</f>
        <v>0</v>
      </c>
      <c r="W2685" s="16"/>
      <c r="X2685" s="16"/>
      <c r="Y2685" s="16"/>
      <c r="Z2685" s="17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</row>
    <row r="2686" spans="1:36" s="352" customFormat="1" ht="15.6" hidden="1">
      <c r="A2686" s="351"/>
      <c r="B2686" s="1964" t="e">
        <f>LEFT(#REF!,5)</f>
        <v>#REF!</v>
      </c>
      <c r="C2686" s="1966" t="e">
        <f>VLOOKUP(LEFT(#REF!,5),'11 - FINANCEIRA'!_xlnm.Print_Area,2,FALSE)</f>
        <v>#REF!</v>
      </c>
      <c r="D2686" s="1920" t="s">
        <v>1514</v>
      </c>
      <c r="E2686" s="1921"/>
      <c r="F2686" s="1922"/>
      <c r="G2686" s="1923" t="s">
        <v>1515</v>
      </c>
      <c r="H2686" s="1924"/>
      <c r="I2686" s="1925"/>
      <c r="J2686" s="1915"/>
      <c r="K2686" s="1915"/>
      <c r="L2686" s="1915"/>
      <c r="M2686" s="1915"/>
      <c r="N2686" s="1915"/>
      <c r="O2686" s="1915"/>
      <c r="P2686" s="353" t="s">
        <v>1516</v>
      </c>
      <c r="Q2686" s="1915"/>
      <c r="R2686" s="1917"/>
      <c r="S2686" s="1915"/>
      <c r="T2686" s="1915"/>
      <c r="U2686" s="1919"/>
      <c r="V2686" s="1418">
        <f t="shared" si="272"/>
        <v>0</v>
      </c>
      <c r="W2686" s="16"/>
      <c r="X2686" s="16"/>
      <c r="Y2686" s="16"/>
      <c r="Z2686" s="17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</row>
    <row r="2687" spans="1:36" s="361" customFormat="1" ht="30" hidden="1">
      <c r="A2687" s="354"/>
      <c r="B2687" s="355"/>
      <c r="C2687" s="28" t="s">
        <v>1153</v>
      </c>
      <c r="D2687" s="18"/>
      <c r="E2687" s="19"/>
      <c r="F2687" s="20"/>
      <c r="G2687" s="18"/>
      <c r="H2687" s="19"/>
      <c r="I2687" s="20"/>
      <c r="J2687" s="21"/>
      <c r="K2687" s="22"/>
      <c r="L2687" s="23"/>
      <c r="M2687" s="24"/>
      <c r="N2687" s="728"/>
      <c r="O2687" s="25"/>
      <c r="P2687" s="23"/>
      <c r="Q2687" s="729"/>
      <c r="R2687" s="1109">
        <v>250</v>
      </c>
      <c r="S2687" s="730" t="s">
        <v>809</v>
      </c>
      <c r="T2687" s="446" t="s">
        <v>327</v>
      </c>
      <c r="U2687" s="44"/>
      <c r="V2687" s="1418">
        <f t="shared" si="272"/>
        <v>0</v>
      </c>
      <c r="W2687" s="357"/>
      <c r="X2687" s="357"/>
      <c r="Y2687" s="357"/>
      <c r="Z2687" s="358"/>
      <c r="AA2687" s="359"/>
      <c r="AB2687" s="360"/>
    </row>
    <row r="2688" spans="1:36" s="361" customFormat="1" ht="15" hidden="1" customHeight="1">
      <c r="A2688" s="354"/>
      <c r="B2688" s="355"/>
      <c r="C2688" s="32"/>
      <c r="D2688" s="33"/>
      <c r="E2688" s="34"/>
      <c r="F2688" s="35"/>
      <c r="G2688" s="33"/>
      <c r="H2688" s="34"/>
      <c r="I2688" s="35"/>
      <c r="J2688" s="43"/>
      <c r="K2688" s="42"/>
      <c r="L2688" s="39"/>
      <c r="M2688" s="41"/>
      <c r="N2688" s="356"/>
      <c r="O2688" s="40"/>
      <c r="P2688" s="39"/>
      <c r="Q2688" s="45"/>
      <c r="R2688" s="362"/>
      <c r="S2688" s="363"/>
      <c r="T2688" s="46"/>
      <c r="U2688" s="44"/>
      <c r="V2688" s="1418">
        <f t="shared" si="272"/>
        <v>0</v>
      </c>
      <c r="W2688" s="357"/>
      <c r="X2688" s="357"/>
      <c r="Y2688" s="357"/>
      <c r="Z2688" s="358"/>
      <c r="AA2688" s="359"/>
      <c r="AB2688" s="360"/>
    </row>
    <row r="2689" spans="1:36" s="369" customFormat="1" ht="15" hidden="1">
      <c r="A2689" s="364"/>
      <c r="B2689" s="355"/>
      <c r="C2689" s="32"/>
      <c r="D2689" s="33"/>
      <c r="E2689" s="34"/>
      <c r="F2689" s="35"/>
      <c r="G2689" s="33"/>
      <c r="H2689" s="34"/>
      <c r="I2689" s="35"/>
      <c r="J2689" s="43"/>
      <c r="K2689" s="42"/>
      <c r="L2689" s="39"/>
      <c r="M2689" s="41"/>
      <c r="N2689" s="40"/>
      <c r="O2689" s="40"/>
      <c r="P2689" s="39"/>
      <c r="Q2689" s="38"/>
      <c r="R2689" s="365"/>
      <c r="S2689" s="366"/>
      <c r="T2689" s="46"/>
      <c r="U2689" s="44"/>
      <c r="V2689" s="1418">
        <f t="shared" si="272"/>
        <v>0</v>
      </c>
      <c r="W2689" s="367"/>
      <c r="X2689" s="367"/>
      <c r="Y2689" s="367"/>
      <c r="Z2689" s="368"/>
    </row>
    <row r="2690" spans="1:36" s="77" customFormat="1" ht="15" hidden="1">
      <c r="A2690" s="370"/>
      <c r="B2690" s="29"/>
      <c r="C2690" s="30"/>
      <c r="D2690" s="18"/>
      <c r="E2690" s="19"/>
      <c r="F2690" s="20"/>
      <c r="G2690" s="18"/>
      <c r="H2690" s="19"/>
      <c r="I2690" s="20"/>
      <c r="J2690" s="21"/>
      <c r="K2690" s="22"/>
      <c r="L2690" s="23"/>
      <c r="M2690" s="24"/>
      <c r="N2690" s="25"/>
      <c r="O2690" s="25"/>
      <c r="P2690" s="23"/>
      <c r="Q2690" s="26"/>
      <c r="R2690" s="371"/>
      <c r="S2690" s="27"/>
      <c r="T2690" s="372"/>
      <c r="U2690" s="31"/>
      <c r="V2690" s="1418">
        <f t="shared" si="272"/>
        <v>0</v>
      </c>
      <c r="AB2690" s="15"/>
    </row>
    <row r="2691" spans="1:36" s="77" customFormat="1" ht="15.6" hidden="1">
      <c r="A2691" s="370"/>
      <c r="B2691" s="499"/>
      <c r="C2691" s="37"/>
      <c r="D2691" s="1929" t="s">
        <v>1520</v>
      </c>
      <c r="E2691" s="1930"/>
      <c r="F2691" s="1930"/>
      <c r="G2691" s="1930"/>
      <c r="H2691" s="1930"/>
      <c r="I2691" s="1931"/>
      <c r="J2691" s="1932">
        <f>VLOOKUP(A2693,'11 - FINANCEIRA'!_xlnm.Print_Area,6,FALSE)</f>
        <v>250</v>
      </c>
      <c r="K2691" s="1933"/>
      <c r="L2691" s="1343" t="str">
        <f>VLOOKUP(A2693,'11 - FINANCEIRA'!_xlnm.Print_Area,4,FALSE)</f>
        <v>m</v>
      </c>
      <c r="M2691" s="1934" t="s">
        <v>1521</v>
      </c>
      <c r="N2691" s="1935"/>
      <c r="O2691" s="1935"/>
      <c r="P2691" s="1935"/>
      <c r="Q2691" s="1936"/>
      <c r="R2691" s="726">
        <f>SUM(R2687:R2690)</f>
        <v>250</v>
      </c>
      <c r="S2691" s="1344" t="str">
        <f>L2691</f>
        <v>m</v>
      </c>
      <c r="T2691" s="373"/>
      <c r="U2691" s="486"/>
      <c r="V2691" s="1418">
        <f t="shared" si="272"/>
        <v>0</v>
      </c>
      <c r="AB2691" s="15"/>
    </row>
    <row r="2692" spans="1:36" s="77" customFormat="1" ht="15.6" hidden="1">
      <c r="A2692" s="370"/>
      <c r="B2692" s="499"/>
      <c r="C2692" s="725"/>
      <c r="D2692" s="1937" t="s">
        <v>1522</v>
      </c>
      <c r="E2692" s="1938"/>
      <c r="F2692" s="1938"/>
      <c r="G2692" s="1938"/>
      <c r="H2692" s="1938"/>
      <c r="I2692" s="1939"/>
      <c r="J2692" s="1943">
        <f>R2691/J2691</f>
        <v>1</v>
      </c>
      <c r="K2692" s="1944"/>
      <c r="L2692" s="1947"/>
      <c r="M2692" s="1934" t="s">
        <v>1523</v>
      </c>
      <c r="N2692" s="1935"/>
      <c r="O2692" s="1935"/>
      <c r="P2692" s="1935"/>
      <c r="Q2692" s="1936"/>
      <c r="R2692" s="726">
        <f>VLOOKUP(A2693,'11 - FINANCEIRA'!_xlnm.Print_Area,8,FALSE)</f>
        <v>250</v>
      </c>
      <c r="S2692" s="727" t="str">
        <f>L2691</f>
        <v>m</v>
      </c>
      <c r="T2692" s="373"/>
      <c r="U2692" s="486"/>
      <c r="V2692" s="1418">
        <f t="shared" si="272"/>
        <v>0</v>
      </c>
      <c r="AB2692" s="15"/>
    </row>
    <row r="2693" spans="1:36" s="77" customFormat="1" ht="15.6" hidden="1">
      <c r="A2693" s="364" t="s">
        <v>577</v>
      </c>
      <c r="B2693" s="499"/>
      <c r="C2693" s="37"/>
      <c r="D2693" s="2013"/>
      <c r="E2693" s="2014"/>
      <c r="F2693" s="2014"/>
      <c r="G2693" s="2014"/>
      <c r="H2693" s="2014"/>
      <c r="I2693" s="2015"/>
      <c r="J2693" s="2016"/>
      <c r="K2693" s="2017"/>
      <c r="L2693" s="1962"/>
      <c r="M2693" s="2007" t="s">
        <v>1524</v>
      </c>
      <c r="N2693" s="2008"/>
      <c r="O2693" s="2008"/>
      <c r="P2693" s="2008"/>
      <c r="Q2693" s="2009"/>
      <c r="R2693" s="1345">
        <f>R2691-R2692</f>
        <v>0</v>
      </c>
      <c r="S2693" s="1346" t="str">
        <f>L2691</f>
        <v>m</v>
      </c>
      <c r="T2693" s="373"/>
      <c r="U2693" s="486"/>
      <c r="V2693" s="1418">
        <f>R2693</f>
        <v>0</v>
      </c>
      <c r="AB2693" s="15"/>
    </row>
    <row r="2694" spans="1:36" s="77" customFormat="1" ht="15.6" hidden="1">
      <c r="A2694" s="370"/>
      <c r="B2694" s="1347"/>
      <c r="C2694" s="1348"/>
      <c r="D2694" s="1349"/>
      <c r="E2694" s="1350"/>
      <c r="F2694" s="1349"/>
      <c r="G2694" s="1349"/>
      <c r="H2694" s="1349"/>
      <c r="I2694" s="1349"/>
      <c r="J2694" s="1351"/>
      <c r="K2694" s="1352"/>
      <c r="L2694" s="1353"/>
      <c r="M2694" s="1354"/>
      <c r="N2694" s="1354"/>
      <c r="O2694" s="1354"/>
      <c r="P2694" s="1354"/>
      <c r="Q2694" s="1354"/>
      <c r="R2694" s="1355"/>
      <c r="S2694" s="1356"/>
      <c r="T2694" s="1357"/>
      <c r="U2694" s="1358"/>
      <c r="V2694" s="1420">
        <f>SUM(V2685:V2693)</f>
        <v>0</v>
      </c>
      <c r="AB2694" s="15"/>
    </row>
    <row r="2695" spans="1:36" s="352" customFormat="1" ht="15.6" hidden="1">
      <c r="A2695" s="351"/>
      <c r="B2695" s="1963" t="str">
        <f>VLOOKUP(A2703,'11 - FINANCEIRA'!_xlnm.Print_Area,1,FALSE)</f>
        <v>2.5.2.3.16</v>
      </c>
      <c r="C2695" s="1965" t="str">
        <f>VLOOKUP(A2703,'11 - FINANCEIRA'!_xlnm.Print_Area,3,FALSE)</f>
        <v>Cabo de cobre flexível isolado, 2,5 mm², anti-chama 450/750 v, para circuitos terminais - fornecimento e instalação. af_12/2015 - amarelo</v>
      </c>
      <c r="D2695" s="1967" t="s">
        <v>1503</v>
      </c>
      <c r="E2695" s="1968"/>
      <c r="F2695" s="1968"/>
      <c r="G2695" s="1968"/>
      <c r="H2695" s="1968"/>
      <c r="I2695" s="1969"/>
      <c r="J2695" s="1914" t="s">
        <v>1504</v>
      </c>
      <c r="K2695" s="1914" t="s">
        <v>1505</v>
      </c>
      <c r="L2695" s="1914" t="s">
        <v>1506</v>
      </c>
      <c r="M2695" s="1914" t="s">
        <v>1507</v>
      </c>
      <c r="N2695" s="1914" t="s">
        <v>1508</v>
      </c>
      <c r="O2695" s="1914" t="s">
        <v>1509</v>
      </c>
      <c r="P2695" s="1341" t="s">
        <v>1510</v>
      </c>
      <c r="Q2695" s="1914" t="s">
        <v>1493</v>
      </c>
      <c r="R2695" s="1916" t="s">
        <v>804</v>
      </c>
      <c r="S2695" s="1914" t="s">
        <v>1511</v>
      </c>
      <c r="T2695" s="1914" t="s">
        <v>1512</v>
      </c>
      <c r="U2695" s="1918" t="s">
        <v>1513</v>
      </c>
      <c r="V2695" s="1418">
        <f t="shared" ref="V2695:V2702" si="273">V2696</f>
        <v>0</v>
      </c>
      <c r="W2695" s="16"/>
      <c r="X2695" s="16"/>
      <c r="Y2695" s="16"/>
      <c r="Z2695" s="17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</row>
    <row r="2696" spans="1:36" s="352" customFormat="1" ht="15.6" hidden="1">
      <c r="A2696" s="351"/>
      <c r="B2696" s="1964" t="e">
        <f>LEFT(#REF!,5)</f>
        <v>#REF!</v>
      </c>
      <c r="C2696" s="1966" t="e">
        <f>VLOOKUP(LEFT(#REF!,5),'11 - FINANCEIRA'!_xlnm.Print_Area,2,FALSE)</f>
        <v>#REF!</v>
      </c>
      <c r="D2696" s="1920" t="s">
        <v>1514</v>
      </c>
      <c r="E2696" s="1921"/>
      <c r="F2696" s="1922"/>
      <c r="G2696" s="1923" t="s">
        <v>1515</v>
      </c>
      <c r="H2696" s="1924"/>
      <c r="I2696" s="1925"/>
      <c r="J2696" s="1915"/>
      <c r="K2696" s="1915"/>
      <c r="L2696" s="1915"/>
      <c r="M2696" s="1915"/>
      <c r="N2696" s="1915"/>
      <c r="O2696" s="1915"/>
      <c r="P2696" s="353" t="s">
        <v>1516</v>
      </c>
      <c r="Q2696" s="1915"/>
      <c r="R2696" s="1917"/>
      <c r="S2696" s="1915"/>
      <c r="T2696" s="1915"/>
      <c r="U2696" s="1919"/>
      <c r="V2696" s="1418">
        <f t="shared" si="273"/>
        <v>0</v>
      </c>
      <c r="W2696" s="16"/>
      <c r="X2696" s="16"/>
      <c r="Y2696" s="16"/>
      <c r="Z2696" s="17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</row>
    <row r="2697" spans="1:36" s="361" customFormat="1" ht="30" hidden="1">
      <c r="A2697" s="354"/>
      <c r="B2697" s="355"/>
      <c r="C2697" s="28" t="s">
        <v>1154</v>
      </c>
      <c r="D2697" s="18"/>
      <c r="E2697" s="19"/>
      <c r="F2697" s="20"/>
      <c r="G2697" s="18"/>
      <c r="H2697" s="19"/>
      <c r="I2697" s="20"/>
      <c r="J2697" s="21"/>
      <c r="K2697" s="22"/>
      <c r="L2697" s="23"/>
      <c r="M2697" s="24"/>
      <c r="N2697" s="728"/>
      <c r="O2697" s="25"/>
      <c r="P2697" s="23"/>
      <c r="Q2697" s="729"/>
      <c r="R2697" s="1109">
        <v>60</v>
      </c>
      <c r="S2697" s="730" t="s">
        <v>809</v>
      </c>
      <c r="T2697" s="446" t="s">
        <v>327</v>
      </c>
      <c r="U2697" s="44"/>
      <c r="V2697" s="1418">
        <f t="shared" si="273"/>
        <v>0</v>
      </c>
      <c r="W2697" s="357"/>
      <c r="X2697" s="357"/>
      <c r="Y2697" s="357"/>
      <c r="Z2697" s="358"/>
      <c r="AA2697" s="359"/>
      <c r="AB2697" s="360"/>
    </row>
    <row r="2698" spans="1:36" s="361" customFormat="1" ht="15" hidden="1" customHeight="1">
      <c r="A2698" s="354"/>
      <c r="B2698" s="355"/>
      <c r="C2698" s="32"/>
      <c r="D2698" s="33"/>
      <c r="E2698" s="34"/>
      <c r="F2698" s="35"/>
      <c r="G2698" s="33"/>
      <c r="H2698" s="34"/>
      <c r="I2698" s="35"/>
      <c r="J2698" s="43"/>
      <c r="K2698" s="42"/>
      <c r="L2698" s="39"/>
      <c r="M2698" s="41"/>
      <c r="N2698" s="356"/>
      <c r="O2698" s="40"/>
      <c r="P2698" s="39"/>
      <c r="Q2698" s="45"/>
      <c r="R2698" s="362"/>
      <c r="S2698" s="363"/>
      <c r="T2698" s="46"/>
      <c r="U2698" s="44"/>
      <c r="V2698" s="1418">
        <f t="shared" si="273"/>
        <v>0</v>
      </c>
      <c r="W2698" s="357"/>
      <c r="X2698" s="357"/>
      <c r="Y2698" s="357"/>
      <c r="Z2698" s="358"/>
      <c r="AA2698" s="359"/>
      <c r="AB2698" s="360"/>
    </row>
    <row r="2699" spans="1:36" s="369" customFormat="1" ht="15" hidden="1">
      <c r="A2699" s="364"/>
      <c r="B2699" s="355"/>
      <c r="C2699" s="32"/>
      <c r="D2699" s="33"/>
      <c r="E2699" s="34"/>
      <c r="F2699" s="35"/>
      <c r="G2699" s="33"/>
      <c r="H2699" s="34"/>
      <c r="I2699" s="35"/>
      <c r="J2699" s="43"/>
      <c r="K2699" s="42"/>
      <c r="L2699" s="39"/>
      <c r="M2699" s="41"/>
      <c r="N2699" s="40"/>
      <c r="O2699" s="40"/>
      <c r="P2699" s="39"/>
      <c r="Q2699" s="38"/>
      <c r="R2699" s="365"/>
      <c r="S2699" s="366"/>
      <c r="T2699" s="46"/>
      <c r="U2699" s="44"/>
      <c r="V2699" s="1418">
        <f t="shared" si="273"/>
        <v>0</v>
      </c>
      <c r="W2699" s="367"/>
      <c r="X2699" s="367"/>
      <c r="Y2699" s="367"/>
      <c r="Z2699" s="368"/>
    </row>
    <row r="2700" spans="1:36" s="77" customFormat="1" ht="15" hidden="1">
      <c r="A2700" s="370"/>
      <c r="B2700" s="29"/>
      <c r="C2700" s="30"/>
      <c r="D2700" s="18"/>
      <c r="E2700" s="19"/>
      <c r="F2700" s="20"/>
      <c r="G2700" s="18"/>
      <c r="H2700" s="19"/>
      <c r="I2700" s="20"/>
      <c r="J2700" s="21"/>
      <c r="K2700" s="22"/>
      <c r="L2700" s="23"/>
      <c r="M2700" s="24"/>
      <c r="N2700" s="25"/>
      <c r="O2700" s="25"/>
      <c r="P2700" s="23"/>
      <c r="Q2700" s="26"/>
      <c r="R2700" s="371"/>
      <c r="S2700" s="27"/>
      <c r="T2700" s="372"/>
      <c r="U2700" s="31"/>
      <c r="V2700" s="1418">
        <f t="shared" si="273"/>
        <v>0</v>
      </c>
      <c r="AB2700" s="15"/>
    </row>
    <row r="2701" spans="1:36" s="77" customFormat="1" ht="15.6" hidden="1">
      <c r="A2701" s="370"/>
      <c r="B2701" s="499"/>
      <c r="C2701" s="37"/>
      <c r="D2701" s="1929" t="s">
        <v>1520</v>
      </c>
      <c r="E2701" s="1930"/>
      <c r="F2701" s="1930"/>
      <c r="G2701" s="1930"/>
      <c r="H2701" s="1930"/>
      <c r="I2701" s="1931"/>
      <c r="J2701" s="1932">
        <f>VLOOKUP(A2703,'11 - FINANCEIRA'!_xlnm.Print_Area,6,FALSE)</f>
        <v>60</v>
      </c>
      <c r="K2701" s="1933"/>
      <c r="L2701" s="1343" t="str">
        <f>VLOOKUP(A2703,'11 - FINANCEIRA'!_xlnm.Print_Area,4,FALSE)</f>
        <v>m</v>
      </c>
      <c r="M2701" s="1934" t="s">
        <v>1521</v>
      </c>
      <c r="N2701" s="1935"/>
      <c r="O2701" s="1935"/>
      <c r="P2701" s="1935"/>
      <c r="Q2701" s="1936"/>
      <c r="R2701" s="726">
        <f>SUM(R2697:R2700)</f>
        <v>60</v>
      </c>
      <c r="S2701" s="1344" t="str">
        <f>L2701</f>
        <v>m</v>
      </c>
      <c r="T2701" s="373"/>
      <c r="U2701" s="486"/>
      <c r="V2701" s="1418">
        <f t="shared" si="273"/>
        <v>0</v>
      </c>
      <c r="AB2701" s="15"/>
    </row>
    <row r="2702" spans="1:36" s="77" customFormat="1" ht="15.6" hidden="1">
      <c r="A2702" s="370"/>
      <c r="B2702" s="499"/>
      <c r="C2702" s="725"/>
      <c r="D2702" s="1937" t="s">
        <v>1522</v>
      </c>
      <c r="E2702" s="1938"/>
      <c r="F2702" s="1938"/>
      <c r="G2702" s="1938"/>
      <c r="H2702" s="1938"/>
      <c r="I2702" s="1939"/>
      <c r="J2702" s="1943">
        <f>R2701/J2701</f>
        <v>1</v>
      </c>
      <c r="K2702" s="1944"/>
      <c r="L2702" s="1947"/>
      <c r="M2702" s="1934" t="s">
        <v>1523</v>
      </c>
      <c r="N2702" s="1935"/>
      <c r="O2702" s="1935"/>
      <c r="P2702" s="1935"/>
      <c r="Q2702" s="1936"/>
      <c r="R2702" s="726">
        <f>VLOOKUP(A2703,'11 - FINANCEIRA'!_xlnm.Print_Area,8,FALSE)</f>
        <v>60</v>
      </c>
      <c r="S2702" s="727" t="str">
        <f>L2701</f>
        <v>m</v>
      </c>
      <c r="T2702" s="373"/>
      <c r="U2702" s="486"/>
      <c r="V2702" s="1418">
        <f t="shared" si="273"/>
        <v>0</v>
      </c>
      <c r="AB2702" s="15"/>
    </row>
    <row r="2703" spans="1:36" s="77" customFormat="1" ht="15.6" hidden="1">
      <c r="A2703" s="364" t="s">
        <v>578</v>
      </c>
      <c r="B2703" s="499"/>
      <c r="C2703" s="37"/>
      <c r="D2703" s="2013"/>
      <c r="E2703" s="2014"/>
      <c r="F2703" s="2014"/>
      <c r="G2703" s="2014"/>
      <c r="H2703" s="2014"/>
      <c r="I2703" s="2015"/>
      <c r="J2703" s="2016"/>
      <c r="K2703" s="2017"/>
      <c r="L2703" s="1962"/>
      <c r="M2703" s="2007" t="s">
        <v>1524</v>
      </c>
      <c r="N2703" s="2008"/>
      <c r="O2703" s="2008"/>
      <c r="P2703" s="2008"/>
      <c r="Q2703" s="2009"/>
      <c r="R2703" s="1345">
        <f>R2701-R2702</f>
        <v>0</v>
      </c>
      <c r="S2703" s="1346" t="str">
        <f>L2701</f>
        <v>m</v>
      </c>
      <c r="T2703" s="373"/>
      <c r="U2703" s="486"/>
      <c r="V2703" s="1418">
        <f>R2703</f>
        <v>0</v>
      </c>
      <c r="AB2703" s="15"/>
    </row>
    <row r="2704" spans="1:36" s="77" customFormat="1" ht="15.6" hidden="1">
      <c r="A2704" s="370"/>
      <c r="B2704" s="1347"/>
      <c r="C2704" s="1348"/>
      <c r="D2704" s="1349"/>
      <c r="E2704" s="1350"/>
      <c r="F2704" s="1349"/>
      <c r="G2704" s="1349"/>
      <c r="H2704" s="1349"/>
      <c r="I2704" s="1349"/>
      <c r="J2704" s="1351"/>
      <c r="K2704" s="1352"/>
      <c r="L2704" s="1353"/>
      <c r="M2704" s="1354"/>
      <c r="N2704" s="1354"/>
      <c r="O2704" s="1354"/>
      <c r="P2704" s="1354"/>
      <c r="Q2704" s="1354"/>
      <c r="R2704" s="1355"/>
      <c r="S2704" s="1356"/>
      <c r="T2704" s="1357"/>
      <c r="U2704" s="1358"/>
      <c r="V2704" s="1420">
        <f>SUM(V2695:V2703)</f>
        <v>0</v>
      </c>
      <c r="AB2704" s="15"/>
    </row>
    <row r="2705" spans="1:36" s="352" customFormat="1" ht="15.6" hidden="1">
      <c r="A2705" s="351"/>
      <c r="B2705" s="1963" t="str">
        <f>VLOOKUP(A2713,'11 - FINANCEIRA'!_xlnm.Print_Area,1,FALSE)</f>
        <v>2.5.2.3.17</v>
      </c>
      <c r="C2705" s="1965" t="str">
        <f>VLOOKUP(A2713,'11 - FINANCEIRA'!_xlnm.Print_Area,3,FALSE)</f>
        <v>Cabo de cobre flexível isolado, 6 mm², anti-chama 450/750 v, para circuitos terminais - fornecimento e instalação. af_12/2015 - preto</v>
      </c>
      <c r="D2705" s="1967" t="s">
        <v>1503</v>
      </c>
      <c r="E2705" s="1968"/>
      <c r="F2705" s="1968"/>
      <c r="G2705" s="1968"/>
      <c r="H2705" s="1968"/>
      <c r="I2705" s="1969"/>
      <c r="J2705" s="1914" t="s">
        <v>1504</v>
      </c>
      <c r="K2705" s="1914" t="s">
        <v>1505</v>
      </c>
      <c r="L2705" s="1914" t="s">
        <v>1506</v>
      </c>
      <c r="M2705" s="1914" t="s">
        <v>1507</v>
      </c>
      <c r="N2705" s="1914" t="s">
        <v>1508</v>
      </c>
      <c r="O2705" s="1914" t="s">
        <v>1509</v>
      </c>
      <c r="P2705" s="1341" t="s">
        <v>1510</v>
      </c>
      <c r="Q2705" s="1914" t="s">
        <v>1493</v>
      </c>
      <c r="R2705" s="1916" t="s">
        <v>804</v>
      </c>
      <c r="S2705" s="1914" t="s">
        <v>1511</v>
      </c>
      <c r="T2705" s="1914" t="s">
        <v>1512</v>
      </c>
      <c r="U2705" s="1918" t="s">
        <v>1513</v>
      </c>
      <c r="V2705" s="1418">
        <f t="shared" ref="V2705:V2712" si="274">V2706</f>
        <v>0</v>
      </c>
      <c r="W2705" s="16"/>
      <c r="X2705" s="16"/>
      <c r="Y2705" s="16"/>
      <c r="Z2705" s="17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</row>
    <row r="2706" spans="1:36" s="352" customFormat="1" ht="15.6" hidden="1">
      <c r="A2706" s="351"/>
      <c r="B2706" s="1964" t="e">
        <f>LEFT(#REF!,5)</f>
        <v>#REF!</v>
      </c>
      <c r="C2706" s="1966" t="e">
        <f>VLOOKUP(LEFT(#REF!,5),'11 - FINANCEIRA'!_xlnm.Print_Area,2,FALSE)</f>
        <v>#REF!</v>
      </c>
      <c r="D2706" s="1920" t="s">
        <v>1514</v>
      </c>
      <c r="E2706" s="1921"/>
      <c r="F2706" s="1922"/>
      <c r="G2706" s="1923" t="s">
        <v>1515</v>
      </c>
      <c r="H2706" s="1924"/>
      <c r="I2706" s="1925"/>
      <c r="J2706" s="1915"/>
      <c r="K2706" s="1915"/>
      <c r="L2706" s="1915"/>
      <c r="M2706" s="1915"/>
      <c r="N2706" s="1915"/>
      <c r="O2706" s="1915"/>
      <c r="P2706" s="353" t="s">
        <v>1516</v>
      </c>
      <c r="Q2706" s="1915"/>
      <c r="R2706" s="1917"/>
      <c r="S2706" s="1915"/>
      <c r="T2706" s="1915"/>
      <c r="U2706" s="1919"/>
      <c r="V2706" s="1418">
        <f t="shared" si="274"/>
        <v>0</v>
      </c>
      <c r="W2706" s="16"/>
      <c r="X2706" s="16"/>
      <c r="Y2706" s="16"/>
      <c r="Z2706" s="17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</row>
    <row r="2707" spans="1:36" s="361" customFormat="1" ht="30" hidden="1">
      <c r="A2707" s="354"/>
      <c r="B2707" s="355"/>
      <c r="C2707" s="28" t="s">
        <v>1156</v>
      </c>
      <c r="D2707" s="18"/>
      <c r="E2707" s="19"/>
      <c r="F2707" s="20"/>
      <c r="G2707" s="18"/>
      <c r="H2707" s="19"/>
      <c r="I2707" s="20"/>
      <c r="J2707" s="21"/>
      <c r="K2707" s="22"/>
      <c r="L2707" s="23"/>
      <c r="M2707" s="24"/>
      <c r="N2707" s="728"/>
      <c r="O2707" s="25"/>
      <c r="P2707" s="23"/>
      <c r="Q2707" s="729"/>
      <c r="R2707" s="1109">
        <v>8</v>
      </c>
      <c r="S2707" s="730" t="s">
        <v>809</v>
      </c>
      <c r="T2707" s="446" t="s">
        <v>326</v>
      </c>
      <c r="U2707" s="44"/>
      <c r="V2707" s="1418">
        <f t="shared" si="274"/>
        <v>0</v>
      </c>
      <c r="W2707" s="357"/>
      <c r="X2707" s="357"/>
      <c r="Y2707" s="357"/>
      <c r="Z2707" s="358"/>
      <c r="AA2707" s="359"/>
      <c r="AB2707" s="360"/>
    </row>
    <row r="2708" spans="1:36" s="361" customFormat="1" ht="15" hidden="1" customHeight="1">
      <c r="A2708" s="354"/>
      <c r="B2708" s="355"/>
      <c r="C2708" s="32"/>
      <c r="D2708" s="33"/>
      <c r="E2708" s="34"/>
      <c r="F2708" s="35"/>
      <c r="G2708" s="33"/>
      <c r="H2708" s="34"/>
      <c r="I2708" s="35"/>
      <c r="J2708" s="43"/>
      <c r="K2708" s="42"/>
      <c r="L2708" s="39"/>
      <c r="M2708" s="41"/>
      <c r="N2708" s="356"/>
      <c r="O2708" s="40"/>
      <c r="P2708" s="39"/>
      <c r="Q2708" s="45"/>
      <c r="R2708" s="362"/>
      <c r="S2708" s="363"/>
      <c r="T2708" s="46"/>
      <c r="U2708" s="44"/>
      <c r="V2708" s="1418">
        <f t="shared" si="274"/>
        <v>0</v>
      </c>
      <c r="W2708" s="357"/>
      <c r="X2708" s="357"/>
      <c r="Y2708" s="357"/>
      <c r="Z2708" s="358"/>
      <c r="AA2708" s="359"/>
      <c r="AB2708" s="360"/>
    </row>
    <row r="2709" spans="1:36" s="369" customFormat="1" ht="15" hidden="1">
      <c r="A2709" s="364"/>
      <c r="B2709" s="355"/>
      <c r="C2709" s="32"/>
      <c r="D2709" s="33"/>
      <c r="E2709" s="34"/>
      <c r="F2709" s="35"/>
      <c r="G2709" s="33"/>
      <c r="H2709" s="34"/>
      <c r="I2709" s="35"/>
      <c r="J2709" s="43"/>
      <c r="K2709" s="42"/>
      <c r="L2709" s="39"/>
      <c r="M2709" s="41"/>
      <c r="N2709" s="40"/>
      <c r="O2709" s="40"/>
      <c r="P2709" s="39"/>
      <c r="Q2709" s="38"/>
      <c r="R2709" s="365"/>
      <c r="S2709" s="366"/>
      <c r="T2709" s="46"/>
      <c r="U2709" s="44"/>
      <c r="V2709" s="1418">
        <f t="shared" si="274"/>
        <v>0</v>
      </c>
      <c r="W2709" s="367"/>
      <c r="X2709" s="367"/>
      <c r="Y2709" s="367"/>
      <c r="Z2709" s="368"/>
    </row>
    <row r="2710" spans="1:36" s="77" customFormat="1" ht="15" hidden="1">
      <c r="A2710" s="370"/>
      <c r="B2710" s="29"/>
      <c r="C2710" s="30"/>
      <c r="D2710" s="18"/>
      <c r="E2710" s="19"/>
      <c r="F2710" s="20"/>
      <c r="G2710" s="18"/>
      <c r="H2710" s="19"/>
      <c r="I2710" s="20"/>
      <c r="J2710" s="21"/>
      <c r="K2710" s="22"/>
      <c r="L2710" s="23"/>
      <c r="M2710" s="24"/>
      <c r="N2710" s="25"/>
      <c r="O2710" s="25"/>
      <c r="P2710" s="23"/>
      <c r="Q2710" s="26"/>
      <c r="R2710" s="371"/>
      <c r="S2710" s="27"/>
      <c r="T2710" s="372"/>
      <c r="U2710" s="31"/>
      <c r="V2710" s="1418">
        <f t="shared" si="274"/>
        <v>0</v>
      </c>
      <c r="AB2710" s="15"/>
    </row>
    <row r="2711" spans="1:36" s="77" customFormat="1" ht="15.6" hidden="1">
      <c r="A2711" s="370"/>
      <c r="B2711" s="499"/>
      <c r="C2711" s="37"/>
      <c r="D2711" s="1929" t="s">
        <v>1520</v>
      </c>
      <c r="E2711" s="1930"/>
      <c r="F2711" s="1930"/>
      <c r="G2711" s="1930"/>
      <c r="H2711" s="1930"/>
      <c r="I2711" s="1931"/>
      <c r="J2711" s="1932">
        <f>VLOOKUP(A2713,'11 - FINANCEIRA'!_xlnm.Print_Area,6,FALSE)</f>
        <v>8</v>
      </c>
      <c r="K2711" s="1933"/>
      <c r="L2711" s="1343" t="str">
        <f>VLOOKUP(A2713,'11 - FINANCEIRA'!_xlnm.Print_Area,4,FALSE)</f>
        <v>m</v>
      </c>
      <c r="M2711" s="1934" t="s">
        <v>1521</v>
      </c>
      <c r="N2711" s="1935"/>
      <c r="O2711" s="1935"/>
      <c r="P2711" s="1935"/>
      <c r="Q2711" s="1936"/>
      <c r="R2711" s="726">
        <f>SUM(R2707:R2710)</f>
        <v>8</v>
      </c>
      <c r="S2711" s="1344" t="str">
        <f>L2711</f>
        <v>m</v>
      </c>
      <c r="T2711" s="373"/>
      <c r="U2711" s="486"/>
      <c r="V2711" s="1418">
        <f t="shared" si="274"/>
        <v>0</v>
      </c>
      <c r="AB2711" s="15"/>
    </row>
    <row r="2712" spans="1:36" s="77" customFormat="1" ht="15.6" hidden="1">
      <c r="A2712" s="370"/>
      <c r="B2712" s="499"/>
      <c r="C2712" s="725"/>
      <c r="D2712" s="1937" t="s">
        <v>1522</v>
      </c>
      <c r="E2712" s="1938"/>
      <c r="F2712" s="1938"/>
      <c r="G2712" s="1938"/>
      <c r="H2712" s="1938"/>
      <c r="I2712" s="1939"/>
      <c r="J2712" s="1943">
        <f>R2711/J2711</f>
        <v>1</v>
      </c>
      <c r="K2712" s="1944"/>
      <c r="L2712" s="1947"/>
      <c r="M2712" s="1934" t="s">
        <v>1523</v>
      </c>
      <c r="N2712" s="1935"/>
      <c r="O2712" s="1935"/>
      <c r="P2712" s="1935"/>
      <c r="Q2712" s="1936"/>
      <c r="R2712" s="726">
        <f>VLOOKUP(A2713,'11 - FINANCEIRA'!_xlnm.Print_Area,8,FALSE)</f>
        <v>8</v>
      </c>
      <c r="S2712" s="727" t="str">
        <f>L2711</f>
        <v>m</v>
      </c>
      <c r="T2712" s="373"/>
      <c r="U2712" s="486"/>
      <c r="V2712" s="1418">
        <f t="shared" si="274"/>
        <v>0</v>
      </c>
      <c r="AB2712" s="15"/>
    </row>
    <row r="2713" spans="1:36" s="77" customFormat="1" ht="15.6" hidden="1">
      <c r="A2713" s="364" t="s">
        <v>579</v>
      </c>
      <c r="B2713" s="499"/>
      <c r="C2713" s="37"/>
      <c r="D2713" s="2013"/>
      <c r="E2713" s="2014"/>
      <c r="F2713" s="2014"/>
      <c r="G2713" s="2014"/>
      <c r="H2713" s="2014"/>
      <c r="I2713" s="2015"/>
      <c r="J2713" s="2016"/>
      <c r="K2713" s="2017"/>
      <c r="L2713" s="1962"/>
      <c r="M2713" s="2007" t="s">
        <v>1524</v>
      </c>
      <c r="N2713" s="2008"/>
      <c r="O2713" s="2008"/>
      <c r="P2713" s="2008"/>
      <c r="Q2713" s="2009"/>
      <c r="R2713" s="1345">
        <f>R2711-R2712</f>
        <v>0</v>
      </c>
      <c r="S2713" s="1346" t="str">
        <f>L2711</f>
        <v>m</v>
      </c>
      <c r="T2713" s="373"/>
      <c r="U2713" s="486"/>
      <c r="V2713" s="1418">
        <f>R2713</f>
        <v>0</v>
      </c>
      <c r="AB2713" s="15"/>
    </row>
    <row r="2714" spans="1:36" s="77" customFormat="1" ht="15.6" hidden="1">
      <c r="A2714" s="370"/>
      <c r="B2714" s="1347"/>
      <c r="C2714" s="1348"/>
      <c r="D2714" s="1349"/>
      <c r="E2714" s="1350"/>
      <c r="F2714" s="1349"/>
      <c r="G2714" s="1349"/>
      <c r="H2714" s="1349"/>
      <c r="I2714" s="1349"/>
      <c r="J2714" s="1351"/>
      <c r="K2714" s="1352"/>
      <c r="L2714" s="1353"/>
      <c r="M2714" s="1354"/>
      <c r="N2714" s="1354"/>
      <c r="O2714" s="1354"/>
      <c r="P2714" s="1354"/>
      <c r="Q2714" s="1354"/>
      <c r="R2714" s="1355"/>
      <c r="S2714" s="1356"/>
      <c r="T2714" s="1357"/>
      <c r="U2714" s="1358"/>
      <c r="V2714" s="1420">
        <f>SUM(V2705:V2713)</f>
        <v>0</v>
      </c>
      <c r="AB2714" s="15"/>
    </row>
    <row r="2715" spans="1:36" s="352" customFormat="1" ht="15.6" hidden="1">
      <c r="A2715" s="351"/>
      <c r="B2715" s="1963" t="str">
        <f>VLOOKUP(A2723,'11 - FINANCEIRA'!_xlnm.Print_Area,1,FALSE)</f>
        <v>2.5.2.3.18</v>
      </c>
      <c r="C2715" s="1965" t="str">
        <f>VLOOKUP(A2723,'11 - FINANCEIRA'!_xlnm.Print_Area,3,FALSE)</f>
        <v>Cabo de cobre flexível isolado, 6 mm², anti-chama 450/750 v, para circuitos terminais - fornecimento e instalação. af_12/2015 - azul</v>
      </c>
      <c r="D2715" s="1967" t="s">
        <v>1503</v>
      </c>
      <c r="E2715" s="1968"/>
      <c r="F2715" s="1968"/>
      <c r="G2715" s="1968"/>
      <c r="H2715" s="1968"/>
      <c r="I2715" s="1969"/>
      <c r="J2715" s="1914" t="s">
        <v>1504</v>
      </c>
      <c r="K2715" s="1914" t="s">
        <v>1505</v>
      </c>
      <c r="L2715" s="1914" t="s">
        <v>1506</v>
      </c>
      <c r="M2715" s="1914" t="s">
        <v>1507</v>
      </c>
      <c r="N2715" s="1914" t="s">
        <v>1508</v>
      </c>
      <c r="O2715" s="1914" t="s">
        <v>1509</v>
      </c>
      <c r="P2715" s="1341" t="s">
        <v>1510</v>
      </c>
      <c r="Q2715" s="1914" t="s">
        <v>1493</v>
      </c>
      <c r="R2715" s="1916" t="s">
        <v>804</v>
      </c>
      <c r="S2715" s="1914" t="s">
        <v>1511</v>
      </c>
      <c r="T2715" s="1914" t="s">
        <v>1512</v>
      </c>
      <c r="U2715" s="1918" t="s">
        <v>1513</v>
      </c>
      <c r="V2715" s="1418">
        <f t="shared" ref="V2715:V2722" si="275">V2716</f>
        <v>0</v>
      </c>
      <c r="W2715" s="16"/>
      <c r="X2715" s="16"/>
      <c r="Y2715" s="16"/>
      <c r="Z2715" s="17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</row>
    <row r="2716" spans="1:36" s="352" customFormat="1" ht="15.6" hidden="1">
      <c r="A2716" s="351"/>
      <c r="B2716" s="1964" t="e">
        <f>LEFT(#REF!,5)</f>
        <v>#REF!</v>
      </c>
      <c r="C2716" s="1966" t="e">
        <f>VLOOKUP(LEFT(#REF!,5),'11 - FINANCEIRA'!_xlnm.Print_Area,2,FALSE)</f>
        <v>#REF!</v>
      </c>
      <c r="D2716" s="1920" t="s">
        <v>1514</v>
      </c>
      <c r="E2716" s="1921"/>
      <c r="F2716" s="1922"/>
      <c r="G2716" s="1923" t="s">
        <v>1515</v>
      </c>
      <c r="H2716" s="1924"/>
      <c r="I2716" s="1925"/>
      <c r="J2716" s="1915"/>
      <c r="K2716" s="1915"/>
      <c r="L2716" s="1915"/>
      <c r="M2716" s="1915"/>
      <c r="N2716" s="1915"/>
      <c r="O2716" s="1915"/>
      <c r="P2716" s="353" t="s">
        <v>1516</v>
      </c>
      <c r="Q2716" s="1915"/>
      <c r="R2716" s="1917"/>
      <c r="S2716" s="1915"/>
      <c r="T2716" s="1915"/>
      <c r="U2716" s="1919"/>
      <c r="V2716" s="1418">
        <f t="shared" si="275"/>
        <v>0</v>
      </c>
      <c r="W2716" s="16"/>
      <c r="X2716" s="16"/>
      <c r="Y2716" s="16"/>
      <c r="Z2716" s="17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</row>
    <row r="2717" spans="1:36" s="361" customFormat="1" ht="30" hidden="1">
      <c r="A2717" s="354"/>
      <c r="B2717" s="355"/>
      <c r="C2717" s="28" t="s">
        <v>1157</v>
      </c>
      <c r="D2717" s="18"/>
      <c r="E2717" s="19"/>
      <c r="F2717" s="20"/>
      <c r="G2717" s="18"/>
      <c r="H2717" s="19"/>
      <c r="I2717" s="20"/>
      <c r="J2717" s="21"/>
      <c r="K2717" s="22"/>
      <c r="L2717" s="23"/>
      <c r="M2717" s="24"/>
      <c r="N2717" s="728"/>
      <c r="O2717" s="25"/>
      <c r="P2717" s="23"/>
      <c r="Q2717" s="729"/>
      <c r="R2717" s="1109">
        <v>8</v>
      </c>
      <c r="S2717" s="730" t="s">
        <v>809</v>
      </c>
      <c r="T2717" s="446" t="s">
        <v>326</v>
      </c>
      <c r="U2717" s="44"/>
      <c r="V2717" s="1418">
        <f t="shared" si="275"/>
        <v>0</v>
      </c>
      <c r="W2717" s="357"/>
      <c r="X2717" s="357"/>
      <c r="Y2717" s="357"/>
      <c r="Z2717" s="358"/>
      <c r="AA2717" s="359"/>
      <c r="AB2717" s="360"/>
    </row>
    <row r="2718" spans="1:36" s="361" customFormat="1" ht="15" hidden="1" customHeight="1">
      <c r="A2718" s="354"/>
      <c r="B2718" s="355"/>
      <c r="C2718" s="32"/>
      <c r="D2718" s="33"/>
      <c r="E2718" s="34"/>
      <c r="F2718" s="35"/>
      <c r="G2718" s="33"/>
      <c r="H2718" s="34"/>
      <c r="I2718" s="35"/>
      <c r="J2718" s="43"/>
      <c r="K2718" s="42"/>
      <c r="L2718" s="39"/>
      <c r="M2718" s="41"/>
      <c r="N2718" s="356"/>
      <c r="O2718" s="40"/>
      <c r="P2718" s="39"/>
      <c r="Q2718" s="45"/>
      <c r="R2718" s="362"/>
      <c r="S2718" s="363"/>
      <c r="T2718" s="46"/>
      <c r="U2718" s="44"/>
      <c r="V2718" s="1418">
        <f t="shared" si="275"/>
        <v>0</v>
      </c>
      <c r="W2718" s="357"/>
      <c r="X2718" s="357"/>
      <c r="Y2718" s="357"/>
      <c r="Z2718" s="358"/>
      <c r="AA2718" s="359"/>
      <c r="AB2718" s="360"/>
    </row>
    <row r="2719" spans="1:36" s="369" customFormat="1" ht="15" hidden="1">
      <c r="A2719" s="364"/>
      <c r="B2719" s="355"/>
      <c r="C2719" s="32"/>
      <c r="D2719" s="33"/>
      <c r="E2719" s="34"/>
      <c r="F2719" s="35"/>
      <c r="G2719" s="33"/>
      <c r="H2719" s="34"/>
      <c r="I2719" s="35"/>
      <c r="J2719" s="43"/>
      <c r="K2719" s="42"/>
      <c r="L2719" s="39"/>
      <c r="M2719" s="41"/>
      <c r="N2719" s="40"/>
      <c r="O2719" s="40"/>
      <c r="P2719" s="39"/>
      <c r="Q2719" s="38"/>
      <c r="R2719" s="365"/>
      <c r="S2719" s="366"/>
      <c r="T2719" s="46"/>
      <c r="U2719" s="44"/>
      <c r="V2719" s="1418">
        <f t="shared" si="275"/>
        <v>0</v>
      </c>
      <c r="W2719" s="367"/>
      <c r="X2719" s="367"/>
      <c r="Y2719" s="367"/>
      <c r="Z2719" s="368"/>
    </row>
    <row r="2720" spans="1:36" s="77" customFormat="1" ht="15" hidden="1">
      <c r="A2720" s="370"/>
      <c r="B2720" s="29"/>
      <c r="C2720" s="30"/>
      <c r="D2720" s="18"/>
      <c r="E2720" s="19"/>
      <c r="F2720" s="20"/>
      <c r="G2720" s="18"/>
      <c r="H2720" s="19"/>
      <c r="I2720" s="20"/>
      <c r="J2720" s="21"/>
      <c r="K2720" s="22"/>
      <c r="L2720" s="23"/>
      <c r="M2720" s="24"/>
      <c r="N2720" s="25"/>
      <c r="O2720" s="25"/>
      <c r="P2720" s="23"/>
      <c r="Q2720" s="26"/>
      <c r="R2720" s="371"/>
      <c r="S2720" s="27"/>
      <c r="T2720" s="372"/>
      <c r="U2720" s="31"/>
      <c r="V2720" s="1418">
        <f t="shared" si="275"/>
        <v>0</v>
      </c>
      <c r="AB2720" s="15"/>
    </row>
    <row r="2721" spans="1:36" s="77" customFormat="1" ht="15.6" hidden="1">
      <c r="A2721" s="370"/>
      <c r="B2721" s="499"/>
      <c r="C2721" s="37"/>
      <c r="D2721" s="1929" t="s">
        <v>1520</v>
      </c>
      <c r="E2721" s="1930"/>
      <c r="F2721" s="1930"/>
      <c r="G2721" s="1930"/>
      <c r="H2721" s="1930"/>
      <c r="I2721" s="1931"/>
      <c r="J2721" s="1932">
        <f>VLOOKUP(A2723,'11 - FINANCEIRA'!_xlnm.Print_Area,6,FALSE)</f>
        <v>8</v>
      </c>
      <c r="K2721" s="1933"/>
      <c r="L2721" s="1343" t="str">
        <f>VLOOKUP(A2723,'11 - FINANCEIRA'!_xlnm.Print_Area,4,FALSE)</f>
        <v>m</v>
      </c>
      <c r="M2721" s="1934" t="s">
        <v>1521</v>
      </c>
      <c r="N2721" s="1935"/>
      <c r="O2721" s="1935"/>
      <c r="P2721" s="1935"/>
      <c r="Q2721" s="1936"/>
      <c r="R2721" s="726">
        <f>SUM(R2717:R2720)</f>
        <v>8</v>
      </c>
      <c r="S2721" s="1344" t="str">
        <f>L2721</f>
        <v>m</v>
      </c>
      <c r="T2721" s="373"/>
      <c r="U2721" s="486"/>
      <c r="V2721" s="1418">
        <f t="shared" si="275"/>
        <v>0</v>
      </c>
      <c r="AB2721" s="15"/>
    </row>
    <row r="2722" spans="1:36" s="77" customFormat="1" ht="15.6" hidden="1">
      <c r="A2722" s="370"/>
      <c r="B2722" s="499"/>
      <c r="C2722" s="725"/>
      <c r="D2722" s="1937" t="s">
        <v>1522</v>
      </c>
      <c r="E2722" s="1938"/>
      <c r="F2722" s="1938"/>
      <c r="G2722" s="1938"/>
      <c r="H2722" s="1938"/>
      <c r="I2722" s="1939"/>
      <c r="J2722" s="1943">
        <f>R2721/J2721</f>
        <v>1</v>
      </c>
      <c r="K2722" s="1944"/>
      <c r="L2722" s="1947"/>
      <c r="M2722" s="1934" t="s">
        <v>1523</v>
      </c>
      <c r="N2722" s="1935"/>
      <c r="O2722" s="1935"/>
      <c r="P2722" s="1935"/>
      <c r="Q2722" s="1936"/>
      <c r="R2722" s="726">
        <f>VLOOKUP(A2723,'11 - FINANCEIRA'!_xlnm.Print_Area,8,FALSE)</f>
        <v>8</v>
      </c>
      <c r="S2722" s="727" t="str">
        <f>L2721</f>
        <v>m</v>
      </c>
      <c r="T2722" s="373"/>
      <c r="U2722" s="486"/>
      <c r="V2722" s="1418">
        <f t="shared" si="275"/>
        <v>0</v>
      </c>
      <c r="AB2722" s="15"/>
    </row>
    <row r="2723" spans="1:36" s="77" customFormat="1" ht="15.6" hidden="1">
      <c r="A2723" s="364" t="s">
        <v>580</v>
      </c>
      <c r="B2723" s="499"/>
      <c r="C2723" s="37"/>
      <c r="D2723" s="2013"/>
      <c r="E2723" s="2014"/>
      <c r="F2723" s="2014"/>
      <c r="G2723" s="2014"/>
      <c r="H2723" s="2014"/>
      <c r="I2723" s="2015"/>
      <c r="J2723" s="2016"/>
      <c r="K2723" s="2017"/>
      <c r="L2723" s="1962"/>
      <c r="M2723" s="2007" t="s">
        <v>1524</v>
      </c>
      <c r="N2723" s="2008"/>
      <c r="O2723" s="2008"/>
      <c r="P2723" s="2008"/>
      <c r="Q2723" s="2009"/>
      <c r="R2723" s="1345">
        <f>R2721-R2722</f>
        <v>0</v>
      </c>
      <c r="S2723" s="1346" t="str">
        <f>L2721</f>
        <v>m</v>
      </c>
      <c r="T2723" s="373"/>
      <c r="U2723" s="486"/>
      <c r="V2723" s="1418">
        <f>R2723</f>
        <v>0</v>
      </c>
      <c r="AB2723" s="15"/>
    </row>
    <row r="2724" spans="1:36" s="77" customFormat="1" ht="15.6" hidden="1">
      <c r="A2724" s="370"/>
      <c r="B2724" s="1347"/>
      <c r="C2724" s="1348"/>
      <c r="D2724" s="1349"/>
      <c r="E2724" s="1350"/>
      <c r="F2724" s="1349"/>
      <c r="G2724" s="1349"/>
      <c r="H2724" s="1349"/>
      <c r="I2724" s="1349"/>
      <c r="J2724" s="1351"/>
      <c r="K2724" s="1352"/>
      <c r="L2724" s="1353"/>
      <c r="M2724" s="1354"/>
      <c r="N2724" s="1354"/>
      <c r="O2724" s="1354"/>
      <c r="P2724" s="1354"/>
      <c r="Q2724" s="1354"/>
      <c r="R2724" s="1355"/>
      <c r="S2724" s="1356"/>
      <c r="T2724" s="1357"/>
      <c r="U2724" s="1358"/>
      <c r="V2724" s="1420">
        <f>SUM(V2715:V2723)</f>
        <v>0</v>
      </c>
      <c r="AB2724" s="15"/>
    </row>
    <row r="2725" spans="1:36" s="352" customFormat="1" ht="15.6" hidden="1">
      <c r="A2725" s="351"/>
      <c r="B2725" s="1963" t="str">
        <f>VLOOKUP(A2733,'11 - FINANCEIRA'!_xlnm.Print_Area,1,FALSE)</f>
        <v>2.5.2.3.19</v>
      </c>
      <c r="C2725" s="1965" t="str">
        <f>VLOOKUP(A2733,'11 - FINANCEIRA'!_xlnm.Print_Area,3,FALSE)</f>
        <v>Cabo de cobre flexível isolado, 6 mm², anti-chama 450/750 v, para circuitos terminais - fornecimento e instalação. af_12/2015 - verde</v>
      </c>
      <c r="D2725" s="1967" t="s">
        <v>1503</v>
      </c>
      <c r="E2725" s="1968"/>
      <c r="F2725" s="1968"/>
      <c r="G2725" s="1968"/>
      <c r="H2725" s="1968"/>
      <c r="I2725" s="1969"/>
      <c r="J2725" s="1914" t="s">
        <v>1504</v>
      </c>
      <c r="K2725" s="1914" t="s">
        <v>1505</v>
      </c>
      <c r="L2725" s="1914" t="s">
        <v>1506</v>
      </c>
      <c r="M2725" s="1914" t="s">
        <v>1507</v>
      </c>
      <c r="N2725" s="1914" t="s">
        <v>1508</v>
      </c>
      <c r="O2725" s="1914" t="s">
        <v>1509</v>
      </c>
      <c r="P2725" s="1341" t="s">
        <v>1510</v>
      </c>
      <c r="Q2725" s="1914" t="s">
        <v>1493</v>
      </c>
      <c r="R2725" s="1916" t="s">
        <v>804</v>
      </c>
      <c r="S2725" s="1914" t="s">
        <v>1511</v>
      </c>
      <c r="T2725" s="1914" t="s">
        <v>1512</v>
      </c>
      <c r="U2725" s="1918" t="s">
        <v>1513</v>
      </c>
      <c r="V2725" s="1418">
        <f t="shared" ref="V2725:V2732" si="276">V2726</f>
        <v>0</v>
      </c>
      <c r="W2725" s="16"/>
      <c r="X2725" s="16"/>
      <c r="Y2725" s="16"/>
      <c r="Z2725" s="17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</row>
    <row r="2726" spans="1:36" s="352" customFormat="1" ht="15.6" hidden="1">
      <c r="A2726" s="351"/>
      <c r="B2726" s="1964" t="e">
        <f>LEFT(#REF!,5)</f>
        <v>#REF!</v>
      </c>
      <c r="C2726" s="1966" t="e">
        <f>VLOOKUP(LEFT(#REF!,5),'11 - FINANCEIRA'!_xlnm.Print_Area,2,FALSE)</f>
        <v>#REF!</v>
      </c>
      <c r="D2726" s="1920" t="s">
        <v>1514</v>
      </c>
      <c r="E2726" s="1921"/>
      <c r="F2726" s="1922"/>
      <c r="G2726" s="1923" t="s">
        <v>1515</v>
      </c>
      <c r="H2726" s="1924"/>
      <c r="I2726" s="1925"/>
      <c r="J2726" s="1915"/>
      <c r="K2726" s="1915"/>
      <c r="L2726" s="1915"/>
      <c r="M2726" s="1915"/>
      <c r="N2726" s="1915"/>
      <c r="O2726" s="1915"/>
      <c r="P2726" s="353" t="s">
        <v>1516</v>
      </c>
      <c r="Q2726" s="1915"/>
      <c r="R2726" s="1917"/>
      <c r="S2726" s="1915"/>
      <c r="T2726" s="1915"/>
      <c r="U2726" s="1919"/>
      <c r="V2726" s="1418">
        <f t="shared" si="276"/>
        <v>0</v>
      </c>
      <c r="W2726" s="16"/>
      <c r="X2726" s="16"/>
      <c r="Y2726" s="16"/>
      <c r="Z2726" s="17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</row>
    <row r="2727" spans="1:36" s="361" customFormat="1" ht="30" hidden="1">
      <c r="A2727" s="354"/>
      <c r="B2727" s="355"/>
      <c r="C2727" s="28" t="s">
        <v>1158</v>
      </c>
      <c r="D2727" s="18"/>
      <c r="E2727" s="19"/>
      <c r="F2727" s="20"/>
      <c r="G2727" s="18"/>
      <c r="H2727" s="19"/>
      <c r="I2727" s="20"/>
      <c r="J2727" s="21"/>
      <c r="K2727" s="22"/>
      <c r="L2727" s="23"/>
      <c r="M2727" s="24"/>
      <c r="N2727" s="728"/>
      <c r="O2727" s="25"/>
      <c r="P2727" s="23"/>
      <c r="Q2727" s="729"/>
      <c r="R2727" s="1109">
        <v>8</v>
      </c>
      <c r="S2727" s="730" t="s">
        <v>809</v>
      </c>
      <c r="T2727" s="446" t="s">
        <v>326</v>
      </c>
      <c r="U2727" s="44"/>
      <c r="V2727" s="1418">
        <f t="shared" si="276"/>
        <v>0</v>
      </c>
      <c r="W2727" s="357"/>
      <c r="X2727" s="357"/>
      <c r="Y2727" s="357"/>
      <c r="Z2727" s="358"/>
      <c r="AA2727" s="359"/>
      <c r="AB2727" s="360"/>
    </row>
    <row r="2728" spans="1:36" s="361" customFormat="1" ht="15" hidden="1" customHeight="1">
      <c r="A2728" s="354"/>
      <c r="B2728" s="355"/>
      <c r="C2728" s="32"/>
      <c r="D2728" s="33"/>
      <c r="E2728" s="34"/>
      <c r="F2728" s="35"/>
      <c r="G2728" s="33"/>
      <c r="H2728" s="34"/>
      <c r="I2728" s="35"/>
      <c r="J2728" s="43"/>
      <c r="K2728" s="42"/>
      <c r="L2728" s="39"/>
      <c r="M2728" s="41"/>
      <c r="N2728" s="356"/>
      <c r="O2728" s="40"/>
      <c r="P2728" s="39"/>
      <c r="Q2728" s="45"/>
      <c r="R2728" s="362"/>
      <c r="S2728" s="363"/>
      <c r="T2728" s="46"/>
      <c r="U2728" s="44"/>
      <c r="V2728" s="1418">
        <f t="shared" si="276"/>
        <v>0</v>
      </c>
      <c r="W2728" s="357"/>
      <c r="X2728" s="357"/>
      <c r="Y2728" s="357"/>
      <c r="Z2728" s="358"/>
      <c r="AA2728" s="359"/>
      <c r="AB2728" s="360"/>
    </row>
    <row r="2729" spans="1:36" s="369" customFormat="1" ht="15" hidden="1">
      <c r="A2729" s="364"/>
      <c r="B2729" s="355"/>
      <c r="C2729" s="32"/>
      <c r="D2729" s="33"/>
      <c r="E2729" s="34"/>
      <c r="F2729" s="35"/>
      <c r="G2729" s="33"/>
      <c r="H2729" s="34"/>
      <c r="I2729" s="35"/>
      <c r="J2729" s="43"/>
      <c r="K2729" s="42"/>
      <c r="L2729" s="39"/>
      <c r="M2729" s="41"/>
      <c r="N2729" s="40"/>
      <c r="O2729" s="40"/>
      <c r="P2729" s="39"/>
      <c r="Q2729" s="38"/>
      <c r="R2729" s="365"/>
      <c r="S2729" s="366"/>
      <c r="T2729" s="46"/>
      <c r="U2729" s="44"/>
      <c r="V2729" s="1418">
        <f t="shared" si="276"/>
        <v>0</v>
      </c>
      <c r="W2729" s="367"/>
      <c r="X2729" s="367"/>
      <c r="Y2729" s="367"/>
      <c r="Z2729" s="368"/>
    </row>
    <row r="2730" spans="1:36" s="77" customFormat="1" ht="15" hidden="1">
      <c r="A2730" s="370"/>
      <c r="B2730" s="29"/>
      <c r="C2730" s="30"/>
      <c r="D2730" s="18"/>
      <c r="E2730" s="19"/>
      <c r="F2730" s="20"/>
      <c r="G2730" s="18"/>
      <c r="H2730" s="19"/>
      <c r="I2730" s="20"/>
      <c r="J2730" s="21"/>
      <c r="K2730" s="22"/>
      <c r="L2730" s="23"/>
      <c r="M2730" s="24"/>
      <c r="N2730" s="25"/>
      <c r="O2730" s="25"/>
      <c r="P2730" s="23"/>
      <c r="Q2730" s="26"/>
      <c r="R2730" s="371"/>
      <c r="S2730" s="27"/>
      <c r="T2730" s="372"/>
      <c r="U2730" s="31"/>
      <c r="V2730" s="1418">
        <f t="shared" si="276"/>
        <v>0</v>
      </c>
      <c r="AB2730" s="15"/>
    </row>
    <row r="2731" spans="1:36" s="77" customFormat="1" ht="15.6" hidden="1">
      <c r="A2731" s="370"/>
      <c r="B2731" s="499"/>
      <c r="C2731" s="37"/>
      <c r="D2731" s="1929" t="s">
        <v>1520</v>
      </c>
      <c r="E2731" s="1930"/>
      <c r="F2731" s="1930"/>
      <c r="G2731" s="1930"/>
      <c r="H2731" s="1930"/>
      <c r="I2731" s="1931"/>
      <c r="J2731" s="1932">
        <f>VLOOKUP(A2733,'11 - FINANCEIRA'!_xlnm.Print_Area,6,FALSE)</f>
        <v>8</v>
      </c>
      <c r="K2731" s="1933"/>
      <c r="L2731" s="1343" t="str">
        <f>VLOOKUP(A2733,'11 - FINANCEIRA'!_xlnm.Print_Area,4,FALSE)</f>
        <v>m</v>
      </c>
      <c r="M2731" s="1934" t="s">
        <v>1521</v>
      </c>
      <c r="N2731" s="1935"/>
      <c r="O2731" s="1935"/>
      <c r="P2731" s="1935"/>
      <c r="Q2731" s="1936"/>
      <c r="R2731" s="726">
        <f>SUM(R2727:R2730)</f>
        <v>8</v>
      </c>
      <c r="S2731" s="1344" t="str">
        <f>L2731</f>
        <v>m</v>
      </c>
      <c r="T2731" s="373"/>
      <c r="U2731" s="486"/>
      <c r="V2731" s="1418">
        <f t="shared" si="276"/>
        <v>0</v>
      </c>
      <c r="AB2731" s="15"/>
    </row>
    <row r="2732" spans="1:36" s="77" customFormat="1" ht="15.6" hidden="1">
      <c r="A2732" s="370"/>
      <c r="B2732" s="499"/>
      <c r="C2732" s="725"/>
      <c r="D2732" s="1937" t="s">
        <v>1522</v>
      </c>
      <c r="E2732" s="1938"/>
      <c r="F2732" s="1938"/>
      <c r="G2732" s="1938"/>
      <c r="H2732" s="1938"/>
      <c r="I2732" s="1939"/>
      <c r="J2732" s="1943">
        <f>R2731/J2731</f>
        <v>1</v>
      </c>
      <c r="K2732" s="1944"/>
      <c r="L2732" s="1947"/>
      <c r="M2732" s="1934" t="s">
        <v>1523</v>
      </c>
      <c r="N2732" s="1935"/>
      <c r="O2732" s="1935"/>
      <c r="P2732" s="1935"/>
      <c r="Q2732" s="1936"/>
      <c r="R2732" s="726">
        <f>VLOOKUP(A2733,'11 - FINANCEIRA'!_xlnm.Print_Area,8,FALSE)</f>
        <v>8</v>
      </c>
      <c r="S2732" s="727" t="str">
        <f>L2731</f>
        <v>m</v>
      </c>
      <c r="T2732" s="373"/>
      <c r="U2732" s="486"/>
      <c r="V2732" s="1418">
        <f t="shared" si="276"/>
        <v>0</v>
      </c>
      <c r="AB2732" s="15"/>
    </row>
    <row r="2733" spans="1:36" s="77" customFormat="1" ht="15.6" hidden="1">
      <c r="A2733" s="364" t="s">
        <v>581</v>
      </c>
      <c r="B2733" s="499"/>
      <c r="C2733" s="37"/>
      <c r="D2733" s="2013"/>
      <c r="E2733" s="2014"/>
      <c r="F2733" s="2014"/>
      <c r="G2733" s="2014"/>
      <c r="H2733" s="2014"/>
      <c r="I2733" s="2015"/>
      <c r="J2733" s="2016"/>
      <c r="K2733" s="2017"/>
      <c r="L2733" s="1962"/>
      <c r="M2733" s="2007" t="s">
        <v>1524</v>
      </c>
      <c r="N2733" s="2008"/>
      <c r="O2733" s="2008"/>
      <c r="P2733" s="2008"/>
      <c r="Q2733" s="2009"/>
      <c r="R2733" s="1345">
        <f>R2731-R2732</f>
        <v>0</v>
      </c>
      <c r="S2733" s="1346" t="str">
        <f>L2731</f>
        <v>m</v>
      </c>
      <c r="T2733" s="373"/>
      <c r="U2733" s="486"/>
      <c r="V2733" s="1418">
        <f>R2733</f>
        <v>0</v>
      </c>
      <c r="AB2733" s="15"/>
    </row>
    <row r="2734" spans="1:36" s="77" customFormat="1" ht="15.6" hidden="1">
      <c r="A2734" s="370"/>
      <c r="B2734" s="1347"/>
      <c r="C2734" s="1348"/>
      <c r="D2734" s="1349"/>
      <c r="E2734" s="1350"/>
      <c r="F2734" s="1349"/>
      <c r="G2734" s="1349"/>
      <c r="H2734" s="1349"/>
      <c r="I2734" s="1349"/>
      <c r="J2734" s="1351"/>
      <c r="K2734" s="1352"/>
      <c r="L2734" s="1353"/>
      <c r="M2734" s="1354"/>
      <c r="N2734" s="1354"/>
      <c r="O2734" s="1354"/>
      <c r="P2734" s="1354"/>
      <c r="Q2734" s="1354"/>
      <c r="R2734" s="1355"/>
      <c r="S2734" s="1356"/>
      <c r="T2734" s="1357"/>
      <c r="U2734" s="1358"/>
      <c r="V2734" s="1420">
        <f>SUM(V2725:V2733)</f>
        <v>0</v>
      </c>
      <c r="AB2734" s="15"/>
    </row>
    <row r="2735" spans="1:36" s="352" customFormat="1" ht="15.6" hidden="1">
      <c r="A2735" s="351"/>
      <c r="B2735" s="1963" t="str">
        <f>VLOOKUP(A2743,'11 - FINANCEIRA'!_xlnm.Print_Area,1,FALSE)</f>
        <v>2.5.2.3.20</v>
      </c>
      <c r="C2735" s="1965" t="str">
        <f>VLOOKUP(A2743,'11 - FINANCEIRA'!_xlnm.Print_Area,3,FALSE)</f>
        <v>Cabo de cobre de média tensão isolado (xlpe/epr 15kv) 120,0mm², condutor em cobre eletrolítico nu, têmpera mole, encordoado circular compactado (classe 2). blindagem do condutor: composto termofixo semicondutor. isolação: composto termofixo de borracha epr 105 °c. blindagem da isolação: camada de composto termofixo semicondutor de fácil remoção a frio. blindagem metálica: fios de cobre nu. separador: fita não higroscópica de poliéster, aplicada em hélice cobrindo 100 % do cabo.</v>
      </c>
      <c r="D2735" s="1967" t="s">
        <v>1503</v>
      </c>
      <c r="E2735" s="1968"/>
      <c r="F2735" s="1968"/>
      <c r="G2735" s="1968"/>
      <c r="H2735" s="1968"/>
      <c r="I2735" s="1969"/>
      <c r="J2735" s="1914" t="s">
        <v>1504</v>
      </c>
      <c r="K2735" s="1914" t="s">
        <v>1505</v>
      </c>
      <c r="L2735" s="1914" t="s">
        <v>1506</v>
      </c>
      <c r="M2735" s="1914" t="s">
        <v>1507</v>
      </c>
      <c r="N2735" s="1914" t="s">
        <v>1508</v>
      </c>
      <c r="O2735" s="1914" t="s">
        <v>1509</v>
      </c>
      <c r="P2735" s="1341" t="s">
        <v>1510</v>
      </c>
      <c r="Q2735" s="1914" t="s">
        <v>1493</v>
      </c>
      <c r="R2735" s="1916" t="s">
        <v>804</v>
      </c>
      <c r="S2735" s="1914" t="s">
        <v>1511</v>
      </c>
      <c r="T2735" s="1914" t="s">
        <v>1512</v>
      </c>
      <c r="U2735" s="1918" t="s">
        <v>1513</v>
      </c>
      <c r="V2735" s="1418">
        <f t="shared" ref="V2735:V2742" si="277">V2736</f>
        <v>0</v>
      </c>
      <c r="W2735" s="16"/>
      <c r="X2735" s="16"/>
      <c r="Y2735" s="16"/>
      <c r="Z2735" s="17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</row>
    <row r="2736" spans="1:36" s="352" customFormat="1" ht="15.6" hidden="1">
      <c r="A2736" s="351"/>
      <c r="B2736" s="1964" t="e">
        <f>LEFT(#REF!,5)</f>
        <v>#REF!</v>
      </c>
      <c r="C2736" s="1966" t="e">
        <f>VLOOKUP(LEFT(#REF!,5),'11 - FINANCEIRA'!_xlnm.Print_Area,2,FALSE)</f>
        <v>#REF!</v>
      </c>
      <c r="D2736" s="1920" t="s">
        <v>1514</v>
      </c>
      <c r="E2736" s="1921"/>
      <c r="F2736" s="1922"/>
      <c r="G2736" s="1923" t="s">
        <v>1515</v>
      </c>
      <c r="H2736" s="1924"/>
      <c r="I2736" s="1925"/>
      <c r="J2736" s="1915"/>
      <c r="K2736" s="1915"/>
      <c r="L2736" s="1915"/>
      <c r="M2736" s="1915"/>
      <c r="N2736" s="1915"/>
      <c r="O2736" s="1915"/>
      <c r="P2736" s="353" t="s">
        <v>1516</v>
      </c>
      <c r="Q2736" s="1915"/>
      <c r="R2736" s="1917"/>
      <c r="S2736" s="1915"/>
      <c r="T2736" s="1915"/>
      <c r="U2736" s="1919"/>
      <c r="V2736" s="1418">
        <f t="shared" si="277"/>
        <v>0</v>
      </c>
      <c r="W2736" s="16"/>
      <c r="X2736" s="16"/>
      <c r="Y2736" s="16"/>
      <c r="Z2736" s="17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</row>
    <row r="2737" spans="1:36" s="361" customFormat="1" ht="15" hidden="1" customHeight="1">
      <c r="A2737" s="354"/>
      <c r="B2737" s="755" t="s">
        <v>1931</v>
      </c>
      <c r="C2737" s="28" t="s">
        <v>1160</v>
      </c>
      <c r="D2737" s="18"/>
      <c r="E2737" s="19"/>
      <c r="F2737" s="20"/>
      <c r="G2737" s="18"/>
      <c r="H2737" s="19"/>
      <c r="I2737" s="20"/>
      <c r="J2737" s="21"/>
      <c r="K2737" s="22"/>
      <c r="L2737" s="23"/>
      <c r="M2737" s="24"/>
      <c r="N2737" s="728"/>
      <c r="O2737" s="25"/>
      <c r="P2737" s="23"/>
      <c r="Q2737" s="729"/>
      <c r="R2737" s="1109">
        <v>200</v>
      </c>
      <c r="S2737" s="730" t="s">
        <v>809</v>
      </c>
      <c r="T2737" s="446" t="s">
        <v>324</v>
      </c>
      <c r="U2737" s="44"/>
      <c r="V2737" s="1418">
        <f t="shared" si="277"/>
        <v>0</v>
      </c>
      <c r="W2737" s="357"/>
      <c r="X2737" s="357"/>
      <c r="Y2737" s="357"/>
      <c r="Z2737" s="358"/>
      <c r="AA2737" s="359"/>
      <c r="AB2737" s="360"/>
    </row>
    <row r="2738" spans="1:36" s="361" customFormat="1" ht="15" hidden="1" customHeight="1">
      <c r="A2738" s="354"/>
      <c r="B2738" s="355"/>
      <c r="C2738" s="32"/>
      <c r="D2738" s="33"/>
      <c r="E2738" s="34"/>
      <c r="F2738" s="35"/>
      <c r="G2738" s="33"/>
      <c r="H2738" s="34"/>
      <c r="I2738" s="35"/>
      <c r="J2738" s="43"/>
      <c r="K2738" s="42"/>
      <c r="L2738" s="39"/>
      <c r="M2738" s="41"/>
      <c r="N2738" s="356"/>
      <c r="O2738" s="40"/>
      <c r="P2738" s="39"/>
      <c r="Q2738" s="45"/>
      <c r="R2738" s="362"/>
      <c r="S2738" s="363"/>
      <c r="T2738" s="46"/>
      <c r="U2738" s="44"/>
      <c r="V2738" s="1418">
        <f t="shared" si="277"/>
        <v>0</v>
      </c>
      <c r="W2738" s="357"/>
      <c r="X2738" s="357"/>
      <c r="Y2738" s="357"/>
      <c r="Z2738" s="358"/>
      <c r="AA2738" s="359"/>
      <c r="AB2738" s="360"/>
    </row>
    <row r="2739" spans="1:36" s="369" customFormat="1" ht="15" hidden="1">
      <c r="A2739" s="364"/>
      <c r="B2739" s="355"/>
      <c r="C2739" s="32"/>
      <c r="D2739" s="33"/>
      <c r="E2739" s="34"/>
      <c r="F2739" s="35"/>
      <c r="G2739" s="33"/>
      <c r="H2739" s="34"/>
      <c r="I2739" s="35"/>
      <c r="J2739" s="43"/>
      <c r="K2739" s="42"/>
      <c r="L2739" s="39"/>
      <c r="M2739" s="41"/>
      <c r="N2739" s="40"/>
      <c r="O2739" s="40"/>
      <c r="P2739" s="39"/>
      <c r="Q2739" s="38"/>
      <c r="R2739" s="365"/>
      <c r="S2739" s="366"/>
      <c r="T2739" s="46"/>
      <c r="U2739" s="44"/>
      <c r="V2739" s="1418">
        <f t="shared" si="277"/>
        <v>0</v>
      </c>
      <c r="W2739" s="367"/>
      <c r="X2739" s="367"/>
      <c r="Y2739" s="367"/>
      <c r="Z2739" s="368"/>
    </row>
    <row r="2740" spans="1:36" s="77" customFormat="1" ht="15" hidden="1">
      <c r="A2740" s="370"/>
      <c r="B2740" s="29"/>
      <c r="C2740" s="30"/>
      <c r="D2740" s="18"/>
      <c r="E2740" s="19"/>
      <c r="F2740" s="20"/>
      <c r="G2740" s="18"/>
      <c r="H2740" s="19"/>
      <c r="I2740" s="20"/>
      <c r="J2740" s="21"/>
      <c r="K2740" s="22"/>
      <c r="L2740" s="23"/>
      <c r="M2740" s="24"/>
      <c r="N2740" s="25"/>
      <c r="O2740" s="25"/>
      <c r="P2740" s="23"/>
      <c r="Q2740" s="26"/>
      <c r="R2740" s="371"/>
      <c r="S2740" s="27"/>
      <c r="T2740" s="372"/>
      <c r="U2740" s="31"/>
      <c r="V2740" s="1418">
        <f t="shared" si="277"/>
        <v>0</v>
      </c>
      <c r="AB2740" s="15"/>
    </row>
    <row r="2741" spans="1:36" s="77" customFormat="1" ht="15.6" hidden="1">
      <c r="A2741" s="370"/>
      <c r="B2741" s="499"/>
      <c r="C2741" s="37"/>
      <c r="D2741" s="1929" t="s">
        <v>1520</v>
      </c>
      <c r="E2741" s="1930"/>
      <c r="F2741" s="1930"/>
      <c r="G2741" s="1930"/>
      <c r="H2741" s="1930"/>
      <c r="I2741" s="1931"/>
      <c r="J2741" s="1932">
        <f>VLOOKUP(A2743,'11 - FINANCEIRA'!_xlnm.Print_Area,6,FALSE)</f>
        <v>200</v>
      </c>
      <c r="K2741" s="1933"/>
      <c r="L2741" s="1343" t="str">
        <f>VLOOKUP(A2743,'11 - FINANCEIRA'!_xlnm.Print_Area,4,FALSE)</f>
        <v>m</v>
      </c>
      <c r="M2741" s="1934" t="s">
        <v>1521</v>
      </c>
      <c r="N2741" s="1935"/>
      <c r="O2741" s="1935"/>
      <c r="P2741" s="1935"/>
      <c r="Q2741" s="1936"/>
      <c r="R2741" s="726">
        <f>SUM(R2737:R2740)</f>
        <v>200</v>
      </c>
      <c r="S2741" s="1344" t="str">
        <f>L2741</f>
        <v>m</v>
      </c>
      <c r="T2741" s="373"/>
      <c r="U2741" s="486"/>
      <c r="V2741" s="1418">
        <f t="shared" si="277"/>
        <v>0</v>
      </c>
      <c r="AB2741" s="15"/>
    </row>
    <row r="2742" spans="1:36" s="77" customFormat="1" ht="15.6" hidden="1">
      <c r="A2742" s="370"/>
      <c r="B2742" s="499"/>
      <c r="C2742" s="725"/>
      <c r="D2742" s="1937" t="s">
        <v>1522</v>
      </c>
      <c r="E2742" s="1938"/>
      <c r="F2742" s="1938"/>
      <c r="G2742" s="1938"/>
      <c r="H2742" s="1938"/>
      <c r="I2742" s="1939"/>
      <c r="J2742" s="1943">
        <f>R2741/J2741</f>
        <v>1</v>
      </c>
      <c r="K2742" s="1944"/>
      <c r="L2742" s="1947"/>
      <c r="M2742" s="1934" t="s">
        <v>1523</v>
      </c>
      <c r="N2742" s="1935"/>
      <c r="O2742" s="1935"/>
      <c r="P2742" s="1935"/>
      <c r="Q2742" s="1936"/>
      <c r="R2742" s="726">
        <f>VLOOKUP(A2743,'11 - FINANCEIRA'!_xlnm.Print_Area,8,FALSE)</f>
        <v>200</v>
      </c>
      <c r="S2742" s="727" t="str">
        <f>L2741</f>
        <v>m</v>
      </c>
      <c r="T2742" s="373"/>
      <c r="U2742" s="486"/>
      <c r="V2742" s="1418">
        <f t="shared" si="277"/>
        <v>0</v>
      </c>
      <c r="AB2742" s="15"/>
    </row>
    <row r="2743" spans="1:36" s="77" customFormat="1" ht="15.6" hidden="1">
      <c r="A2743" s="364" t="s">
        <v>582</v>
      </c>
      <c r="B2743" s="499"/>
      <c r="C2743" s="37"/>
      <c r="D2743" s="2013"/>
      <c r="E2743" s="2014"/>
      <c r="F2743" s="2014"/>
      <c r="G2743" s="2014"/>
      <c r="H2743" s="2014"/>
      <c r="I2743" s="2015"/>
      <c r="J2743" s="2016"/>
      <c r="K2743" s="2017"/>
      <c r="L2743" s="1962"/>
      <c r="M2743" s="2007" t="s">
        <v>1524</v>
      </c>
      <c r="N2743" s="2008"/>
      <c r="O2743" s="2008"/>
      <c r="P2743" s="2008"/>
      <c r="Q2743" s="2009"/>
      <c r="R2743" s="1345">
        <f>R2741-R2742</f>
        <v>0</v>
      </c>
      <c r="S2743" s="1346" t="str">
        <f>L2741</f>
        <v>m</v>
      </c>
      <c r="T2743" s="373"/>
      <c r="U2743" s="486"/>
      <c r="V2743" s="1418">
        <f>R2743</f>
        <v>0</v>
      </c>
      <c r="AB2743" s="15"/>
    </row>
    <row r="2744" spans="1:36" s="77" customFormat="1" ht="15.6" hidden="1">
      <c r="A2744" s="370"/>
      <c r="B2744" s="1347"/>
      <c r="C2744" s="1348"/>
      <c r="D2744" s="1349"/>
      <c r="E2744" s="1350"/>
      <c r="F2744" s="1349"/>
      <c r="G2744" s="1349"/>
      <c r="H2744" s="1349"/>
      <c r="I2744" s="1349"/>
      <c r="J2744" s="1351"/>
      <c r="K2744" s="1352"/>
      <c r="L2744" s="1353"/>
      <c r="M2744" s="1354"/>
      <c r="N2744" s="1354"/>
      <c r="O2744" s="1354"/>
      <c r="P2744" s="1354"/>
      <c r="Q2744" s="1354"/>
      <c r="R2744" s="1355"/>
      <c r="S2744" s="1356"/>
      <c r="T2744" s="1357"/>
      <c r="U2744" s="1358"/>
      <c r="V2744" s="1420">
        <f>SUM(V2735:V2743)</f>
        <v>0</v>
      </c>
      <c r="AB2744" s="15"/>
    </row>
    <row r="2745" spans="1:36" s="352" customFormat="1" ht="15.6" hidden="1">
      <c r="A2745" s="351"/>
      <c r="B2745" s="1963" t="str">
        <f>VLOOKUP(A2753,'11 - FINANCEIRA'!_xlnm.Print_Area,1,FALSE)</f>
        <v>2.5.2.3.21</v>
      </c>
      <c r="C2745" s="1965" t="str">
        <f>VLOOKUP(A2753,'11 - FINANCEIRA'!_xlnm.Print_Area,3,FALSE)</f>
        <v>Cabo de cobre flexível isolado, 95 mm², anti-chama 0,6/1,0 kv, para distribuição - fornecimento e instalação. af_12/2015</v>
      </c>
      <c r="D2745" s="1967" t="s">
        <v>1503</v>
      </c>
      <c r="E2745" s="1968"/>
      <c r="F2745" s="1968"/>
      <c r="G2745" s="1968"/>
      <c r="H2745" s="1968"/>
      <c r="I2745" s="1969"/>
      <c r="J2745" s="1914" t="s">
        <v>1504</v>
      </c>
      <c r="K2745" s="1914" t="s">
        <v>1505</v>
      </c>
      <c r="L2745" s="1914" t="s">
        <v>1506</v>
      </c>
      <c r="M2745" s="1914" t="s">
        <v>1507</v>
      </c>
      <c r="N2745" s="1914" t="s">
        <v>1508</v>
      </c>
      <c r="O2745" s="1914" t="s">
        <v>1509</v>
      </c>
      <c r="P2745" s="1341" t="s">
        <v>1510</v>
      </c>
      <c r="Q2745" s="1914" t="s">
        <v>1493</v>
      </c>
      <c r="R2745" s="1916" t="s">
        <v>804</v>
      </c>
      <c r="S2745" s="1914" t="s">
        <v>1511</v>
      </c>
      <c r="T2745" s="1914" t="s">
        <v>1512</v>
      </c>
      <c r="U2745" s="1918" t="s">
        <v>1513</v>
      </c>
      <c r="V2745" s="1418">
        <f t="shared" ref="V2745:V2752" si="278">V2746</f>
        <v>0</v>
      </c>
      <c r="W2745" s="16"/>
      <c r="X2745" s="16"/>
      <c r="Y2745" s="16"/>
      <c r="Z2745" s="17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</row>
    <row r="2746" spans="1:36" s="352" customFormat="1" ht="15.6" hidden="1">
      <c r="A2746" s="351"/>
      <c r="B2746" s="1964" t="e">
        <f>LEFT(#REF!,5)</f>
        <v>#REF!</v>
      </c>
      <c r="C2746" s="1966" t="e">
        <f>VLOOKUP(LEFT(#REF!,5),'11 - FINANCEIRA'!_xlnm.Print_Area,2,FALSE)</f>
        <v>#REF!</v>
      </c>
      <c r="D2746" s="1920" t="s">
        <v>1514</v>
      </c>
      <c r="E2746" s="1921"/>
      <c r="F2746" s="1922"/>
      <c r="G2746" s="1923" t="s">
        <v>1515</v>
      </c>
      <c r="H2746" s="1924"/>
      <c r="I2746" s="1925"/>
      <c r="J2746" s="1915"/>
      <c r="K2746" s="1915"/>
      <c r="L2746" s="1915"/>
      <c r="M2746" s="1915"/>
      <c r="N2746" s="1915"/>
      <c r="O2746" s="1915"/>
      <c r="P2746" s="353" t="s">
        <v>1516</v>
      </c>
      <c r="Q2746" s="1915"/>
      <c r="R2746" s="1917"/>
      <c r="S2746" s="1915"/>
      <c r="T2746" s="1915"/>
      <c r="U2746" s="1919"/>
      <c r="V2746" s="1418">
        <f t="shared" si="278"/>
        <v>0</v>
      </c>
      <c r="W2746" s="16"/>
      <c r="X2746" s="16"/>
      <c r="Y2746" s="16"/>
      <c r="Z2746" s="17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</row>
    <row r="2747" spans="1:36" s="361" customFormat="1" ht="30" hidden="1">
      <c r="A2747" s="354"/>
      <c r="B2747" s="355"/>
      <c r="C2747" s="28" t="s">
        <v>1162</v>
      </c>
      <c r="D2747" s="18"/>
      <c r="E2747" s="19"/>
      <c r="F2747" s="20"/>
      <c r="G2747" s="18"/>
      <c r="H2747" s="19"/>
      <c r="I2747" s="20"/>
      <c r="J2747" s="21"/>
      <c r="K2747" s="22"/>
      <c r="L2747" s="23"/>
      <c r="M2747" s="24"/>
      <c r="N2747" s="728"/>
      <c r="O2747" s="25"/>
      <c r="P2747" s="23"/>
      <c r="Q2747" s="729"/>
      <c r="R2747" s="1109">
        <v>50</v>
      </c>
      <c r="S2747" s="730" t="s">
        <v>809</v>
      </c>
      <c r="T2747" s="446" t="s">
        <v>326</v>
      </c>
      <c r="U2747" s="44"/>
      <c r="V2747" s="1418">
        <f t="shared" si="278"/>
        <v>0</v>
      </c>
      <c r="W2747" s="357"/>
      <c r="X2747" s="357"/>
      <c r="Y2747" s="357"/>
      <c r="Z2747" s="358"/>
      <c r="AA2747" s="359"/>
      <c r="AB2747" s="360"/>
    </row>
    <row r="2748" spans="1:36" s="361" customFormat="1" ht="15" hidden="1" customHeight="1">
      <c r="A2748" s="354"/>
      <c r="B2748" s="355"/>
      <c r="C2748" s="32"/>
      <c r="D2748" s="33"/>
      <c r="E2748" s="34"/>
      <c r="F2748" s="35"/>
      <c r="G2748" s="33"/>
      <c r="H2748" s="34"/>
      <c r="I2748" s="35"/>
      <c r="J2748" s="43"/>
      <c r="K2748" s="42"/>
      <c r="L2748" s="39"/>
      <c r="M2748" s="41"/>
      <c r="N2748" s="356"/>
      <c r="O2748" s="40"/>
      <c r="P2748" s="39"/>
      <c r="Q2748" s="45"/>
      <c r="R2748" s="362"/>
      <c r="S2748" s="363"/>
      <c r="T2748" s="46"/>
      <c r="U2748" s="44"/>
      <c r="V2748" s="1418">
        <f t="shared" si="278"/>
        <v>0</v>
      </c>
      <c r="W2748" s="357"/>
      <c r="X2748" s="357"/>
      <c r="Y2748" s="357"/>
      <c r="Z2748" s="358"/>
      <c r="AA2748" s="359"/>
      <c r="AB2748" s="360"/>
    </row>
    <row r="2749" spans="1:36" s="369" customFormat="1" ht="15" hidden="1">
      <c r="A2749" s="364"/>
      <c r="B2749" s="355"/>
      <c r="C2749" s="32"/>
      <c r="D2749" s="33"/>
      <c r="E2749" s="34"/>
      <c r="F2749" s="35"/>
      <c r="G2749" s="33"/>
      <c r="H2749" s="34"/>
      <c r="I2749" s="35"/>
      <c r="J2749" s="43"/>
      <c r="K2749" s="42"/>
      <c r="L2749" s="39"/>
      <c r="M2749" s="41"/>
      <c r="N2749" s="40"/>
      <c r="O2749" s="40"/>
      <c r="P2749" s="39"/>
      <c r="Q2749" s="38"/>
      <c r="R2749" s="365"/>
      <c r="S2749" s="366"/>
      <c r="T2749" s="46"/>
      <c r="U2749" s="44"/>
      <c r="V2749" s="1418">
        <f t="shared" si="278"/>
        <v>0</v>
      </c>
      <c r="W2749" s="367"/>
      <c r="X2749" s="367"/>
      <c r="Y2749" s="367"/>
      <c r="Z2749" s="368"/>
    </row>
    <row r="2750" spans="1:36" s="77" customFormat="1" ht="15" hidden="1">
      <c r="A2750" s="370"/>
      <c r="B2750" s="29"/>
      <c r="C2750" s="30"/>
      <c r="D2750" s="18"/>
      <c r="E2750" s="19"/>
      <c r="F2750" s="20"/>
      <c r="G2750" s="18"/>
      <c r="H2750" s="19"/>
      <c r="I2750" s="20"/>
      <c r="J2750" s="21"/>
      <c r="K2750" s="22"/>
      <c r="L2750" s="23"/>
      <c r="M2750" s="24"/>
      <c r="N2750" s="25"/>
      <c r="O2750" s="25"/>
      <c r="P2750" s="23"/>
      <c r="Q2750" s="26"/>
      <c r="R2750" s="371"/>
      <c r="S2750" s="27"/>
      <c r="T2750" s="372"/>
      <c r="U2750" s="31"/>
      <c r="V2750" s="1418">
        <f t="shared" si="278"/>
        <v>0</v>
      </c>
      <c r="AB2750" s="15"/>
    </row>
    <row r="2751" spans="1:36" s="77" customFormat="1" ht="15.6" hidden="1">
      <c r="A2751" s="370"/>
      <c r="B2751" s="499"/>
      <c r="C2751" s="37"/>
      <c r="D2751" s="1929" t="s">
        <v>1520</v>
      </c>
      <c r="E2751" s="1930"/>
      <c r="F2751" s="1930"/>
      <c r="G2751" s="1930"/>
      <c r="H2751" s="1930"/>
      <c r="I2751" s="1931"/>
      <c r="J2751" s="1932">
        <f>VLOOKUP(A2753,'11 - FINANCEIRA'!_xlnm.Print_Area,6,FALSE)</f>
        <v>50</v>
      </c>
      <c r="K2751" s="1933"/>
      <c r="L2751" s="1343" t="str">
        <f>VLOOKUP(A2753,'11 - FINANCEIRA'!_xlnm.Print_Area,4,FALSE)</f>
        <v>m</v>
      </c>
      <c r="M2751" s="1934" t="s">
        <v>1521</v>
      </c>
      <c r="N2751" s="1935"/>
      <c r="O2751" s="1935"/>
      <c r="P2751" s="1935"/>
      <c r="Q2751" s="1936"/>
      <c r="R2751" s="726">
        <f>SUM(R2747:R2750)</f>
        <v>50</v>
      </c>
      <c r="S2751" s="1344" t="str">
        <f>L2751</f>
        <v>m</v>
      </c>
      <c r="T2751" s="373"/>
      <c r="U2751" s="486"/>
      <c r="V2751" s="1418">
        <f t="shared" si="278"/>
        <v>0</v>
      </c>
      <c r="AB2751" s="15"/>
    </row>
    <row r="2752" spans="1:36" s="77" customFormat="1" ht="15.6" hidden="1">
      <c r="A2752" s="370"/>
      <c r="B2752" s="499"/>
      <c r="C2752" s="725"/>
      <c r="D2752" s="1937" t="s">
        <v>1522</v>
      </c>
      <c r="E2752" s="1938"/>
      <c r="F2752" s="1938"/>
      <c r="G2752" s="1938"/>
      <c r="H2752" s="1938"/>
      <c r="I2752" s="1939"/>
      <c r="J2752" s="1943">
        <f>R2751/J2751</f>
        <v>1</v>
      </c>
      <c r="K2752" s="1944"/>
      <c r="L2752" s="1947"/>
      <c r="M2752" s="1934" t="s">
        <v>1523</v>
      </c>
      <c r="N2752" s="1935"/>
      <c r="O2752" s="1935"/>
      <c r="P2752" s="1935"/>
      <c r="Q2752" s="1936"/>
      <c r="R2752" s="726">
        <f>VLOOKUP(A2753,'11 - FINANCEIRA'!_xlnm.Print_Area,8,FALSE)</f>
        <v>50</v>
      </c>
      <c r="S2752" s="727" t="str">
        <f>L2751</f>
        <v>m</v>
      </c>
      <c r="T2752" s="373"/>
      <c r="U2752" s="486"/>
      <c r="V2752" s="1418">
        <f t="shared" si="278"/>
        <v>0</v>
      </c>
      <c r="AB2752" s="15"/>
    </row>
    <row r="2753" spans="1:36" s="77" customFormat="1" ht="15.6" hidden="1">
      <c r="A2753" s="364" t="s">
        <v>583</v>
      </c>
      <c r="B2753" s="499"/>
      <c r="C2753" s="37"/>
      <c r="D2753" s="2013"/>
      <c r="E2753" s="2014"/>
      <c r="F2753" s="2014"/>
      <c r="G2753" s="2014"/>
      <c r="H2753" s="2014"/>
      <c r="I2753" s="2015"/>
      <c r="J2753" s="2016"/>
      <c r="K2753" s="2017"/>
      <c r="L2753" s="1962"/>
      <c r="M2753" s="2007" t="s">
        <v>1524</v>
      </c>
      <c r="N2753" s="2008"/>
      <c r="O2753" s="2008"/>
      <c r="P2753" s="2008"/>
      <c r="Q2753" s="2009"/>
      <c r="R2753" s="1345">
        <f>R2751-R2752</f>
        <v>0</v>
      </c>
      <c r="S2753" s="1346" t="str">
        <f>L2751</f>
        <v>m</v>
      </c>
      <c r="T2753" s="373"/>
      <c r="U2753" s="486"/>
      <c r="V2753" s="1418">
        <f>R2753</f>
        <v>0</v>
      </c>
      <c r="AB2753" s="15"/>
    </row>
    <row r="2754" spans="1:36" s="77" customFormat="1" ht="15.6" hidden="1">
      <c r="A2754" s="370"/>
      <c r="B2754" s="1347"/>
      <c r="C2754" s="1348"/>
      <c r="D2754" s="1349"/>
      <c r="E2754" s="1350"/>
      <c r="F2754" s="1349"/>
      <c r="G2754" s="1349"/>
      <c r="H2754" s="1349"/>
      <c r="I2754" s="1349"/>
      <c r="J2754" s="1351"/>
      <c r="K2754" s="1352"/>
      <c r="L2754" s="1353"/>
      <c r="M2754" s="1354"/>
      <c r="N2754" s="1354"/>
      <c r="O2754" s="1354"/>
      <c r="P2754" s="1354"/>
      <c r="Q2754" s="1354"/>
      <c r="R2754" s="1355"/>
      <c r="S2754" s="1356"/>
      <c r="T2754" s="1357"/>
      <c r="U2754" s="1358"/>
      <c r="V2754" s="1420">
        <f>SUM(V2745:V2753)</f>
        <v>0</v>
      </c>
      <c r="AB2754" s="15"/>
    </row>
    <row r="2755" spans="1:36" s="352" customFormat="1" ht="15.6" hidden="1">
      <c r="A2755" s="351"/>
      <c r="B2755" s="1963" t="str">
        <f>VLOOKUP(A2763,'11 - FINANCEIRA'!_xlnm.Print_Area,1,FALSE)</f>
        <v>2.5.2.3.22</v>
      </c>
      <c r="C2755" s="1965" t="str">
        <f>VLOOKUP(A2763,'11 - FINANCEIRA'!_xlnm.Print_Area,3,FALSE)</f>
        <v>Cabo de cobre flexível isolado, 6 mm², anti-chama 0,6/1,0 kv, para circuitos terminais - fornecimento e instalação. preto</v>
      </c>
      <c r="D2755" s="1967" t="s">
        <v>1503</v>
      </c>
      <c r="E2755" s="1968"/>
      <c r="F2755" s="1968"/>
      <c r="G2755" s="1968"/>
      <c r="H2755" s="1968"/>
      <c r="I2755" s="1969"/>
      <c r="J2755" s="1914" t="s">
        <v>1504</v>
      </c>
      <c r="K2755" s="1914" t="s">
        <v>1505</v>
      </c>
      <c r="L2755" s="1914" t="s">
        <v>1506</v>
      </c>
      <c r="M2755" s="1914" t="s">
        <v>1507</v>
      </c>
      <c r="N2755" s="1914" t="s">
        <v>1508</v>
      </c>
      <c r="O2755" s="1914" t="s">
        <v>1509</v>
      </c>
      <c r="P2755" s="1341" t="s">
        <v>1510</v>
      </c>
      <c r="Q2755" s="1914" t="s">
        <v>1493</v>
      </c>
      <c r="R2755" s="1916" t="s">
        <v>804</v>
      </c>
      <c r="S2755" s="1914" t="s">
        <v>1511</v>
      </c>
      <c r="T2755" s="1914" t="s">
        <v>1512</v>
      </c>
      <c r="U2755" s="1918" t="s">
        <v>1513</v>
      </c>
      <c r="V2755" s="1418">
        <f t="shared" ref="V2755:V2762" si="279">V2756</f>
        <v>0</v>
      </c>
      <c r="W2755" s="16"/>
      <c r="X2755" s="16"/>
      <c r="Y2755" s="16"/>
      <c r="Z2755" s="17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</row>
    <row r="2756" spans="1:36" s="352" customFormat="1" ht="15.6" hidden="1">
      <c r="A2756" s="351"/>
      <c r="B2756" s="1964" t="e">
        <f>LEFT(#REF!,5)</f>
        <v>#REF!</v>
      </c>
      <c r="C2756" s="1966" t="e">
        <f>VLOOKUP(LEFT(#REF!,5),'11 - FINANCEIRA'!_xlnm.Print_Area,2,FALSE)</f>
        <v>#REF!</v>
      </c>
      <c r="D2756" s="1920" t="s">
        <v>1514</v>
      </c>
      <c r="E2756" s="1921"/>
      <c r="F2756" s="1922"/>
      <c r="G2756" s="1923" t="s">
        <v>1515</v>
      </c>
      <c r="H2756" s="1924"/>
      <c r="I2756" s="1925"/>
      <c r="J2756" s="1915"/>
      <c r="K2756" s="1915"/>
      <c r="L2756" s="1915"/>
      <c r="M2756" s="1915"/>
      <c r="N2756" s="1915"/>
      <c r="O2756" s="1915"/>
      <c r="P2756" s="353" t="s">
        <v>1516</v>
      </c>
      <c r="Q2756" s="1915"/>
      <c r="R2756" s="1917"/>
      <c r="S2756" s="1915"/>
      <c r="T2756" s="1915"/>
      <c r="U2756" s="1919"/>
      <c r="V2756" s="1418">
        <f t="shared" si="279"/>
        <v>0</v>
      </c>
      <c r="W2756" s="16"/>
      <c r="X2756" s="16"/>
      <c r="Y2756" s="16"/>
      <c r="Z2756" s="17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</row>
    <row r="2757" spans="1:36" s="361" customFormat="1" ht="30" hidden="1">
      <c r="A2757" s="354"/>
      <c r="B2757" s="355"/>
      <c r="C2757" s="28" t="s">
        <v>1164</v>
      </c>
      <c r="D2757" s="18"/>
      <c r="E2757" s="19"/>
      <c r="F2757" s="20"/>
      <c r="G2757" s="18"/>
      <c r="H2757" s="19"/>
      <c r="I2757" s="20"/>
      <c r="J2757" s="21"/>
      <c r="K2757" s="22"/>
      <c r="L2757" s="23"/>
      <c r="M2757" s="24"/>
      <c r="N2757" s="728"/>
      <c r="O2757" s="25"/>
      <c r="P2757" s="23"/>
      <c r="Q2757" s="729"/>
      <c r="R2757" s="1109">
        <v>306</v>
      </c>
      <c r="S2757" s="730" t="s">
        <v>809</v>
      </c>
      <c r="T2757" s="446" t="s">
        <v>326</v>
      </c>
      <c r="U2757" s="44"/>
      <c r="V2757" s="1418">
        <f t="shared" si="279"/>
        <v>0</v>
      </c>
      <c r="W2757" s="357"/>
      <c r="X2757" s="357"/>
      <c r="Y2757" s="357"/>
      <c r="Z2757" s="358"/>
      <c r="AA2757" s="359"/>
      <c r="AB2757" s="360"/>
    </row>
    <row r="2758" spans="1:36" s="361" customFormat="1" ht="15" hidden="1" customHeight="1">
      <c r="A2758" s="354"/>
      <c r="B2758" s="355"/>
      <c r="C2758" s="32"/>
      <c r="D2758" s="33"/>
      <c r="E2758" s="34"/>
      <c r="F2758" s="35"/>
      <c r="G2758" s="33"/>
      <c r="H2758" s="34"/>
      <c r="I2758" s="35"/>
      <c r="J2758" s="43"/>
      <c r="K2758" s="42"/>
      <c r="L2758" s="39"/>
      <c r="M2758" s="41"/>
      <c r="N2758" s="356"/>
      <c r="O2758" s="40"/>
      <c r="P2758" s="39"/>
      <c r="Q2758" s="45"/>
      <c r="R2758" s="362"/>
      <c r="S2758" s="363"/>
      <c r="T2758" s="46"/>
      <c r="U2758" s="44"/>
      <c r="V2758" s="1418">
        <f t="shared" si="279"/>
        <v>0</v>
      </c>
      <c r="W2758" s="357"/>
      <c r="X2758" s="357"/>
      <c r="Y2758" s="357"/>
      <c r="Z2758" s="358"/>
      <c r="AA2758" s="359"/>
      <c r="AB2758" s="360"/>
    </row>
    <row r="2759" spans="1:36" s="369" customFormat="1" ht="15" hidden="1">
      <c r="A2759" s="364"/>
      <c r="B2759" s="355"/>
      <c r="C2759" s="32"/>
      <c r="D2759" s="33"/>
      <c r="E2759" s="34"/>
      <c r="F2759" s="35"/>
      <c r="G2759" s="33"/>
      <c r="H2759" s="34"/>
      <c r="I2759" s="35"/>
      <c r="J2759" s="43"/>
      <c r="K2759" s="42"/>
      <c r="L2759" s="39"/>
      <c r="M2759" s="41"/>
      <c r="N2759" s="40"/>
      <c r="O2759" s="40"/>
      <c r="P2759" s="39"/>
      <c r="Q2759" s="38"/>
      <c r="R2759" s="365"/>
      <c r="S2759" s="366"/>
      <c r="T2759" s="46"/>
      <c r="U2759" s="44"/>
      <c r="V2759" s="1418">
        <f t="shared" si="279"/>
        <v>0</v>
      </c>
      <c r="W2759" s="367"/>
      <c r="X2759" s="367"/>
      <c r="Y2759" s="367"/>
      <c r="Z2759" s="368"/>
    </row>
    <row r="2760" spans="1:36" s="77" customFormat="1" ht="15" hidden="1">
      <c r="A2760" s="370"/>
      <c r="B2760" s="29"/>
      <c r="C2760" s="30"/>
      <c r="D2760" s="18"/>
      <c r="E2760" s="19"/>
      <c r="F2760" s="20"/>
      <c r="G2760" s="18"/>
      <c r="H2760" s="19"/>
      <c r="I2760" s="20"/>
      <c r="J2760" s="21"/>
      <c r="K2760" s="22"/>
      <c r="L2760" s="23"/>
      <c r="M2760" s="24"/>
      <c r="N2760" s="25"/>
      <c r="O2760" s="25"/>
      <c r="P2760" s="23"/>
      <c r="Q2760" s="26"/>
      <c r="R2760" s="371"/>
      <c r="S2760" s="27"/>
      <c r="T2760" s="372"/>
      <c r="U2760" s="31"/>
      <c r="V2760" s="1418">
        <f t="shared" si="279"/>
        <v>0</v>
      </c>
      <c r="AB2760" s="15"/>
    </row>
    <row r="2761" spans="1:36" s="77" customFormat="1" ht="15.6" hidden="1">
      <c r="A2761" s="370"/>
      <c r="B2761" s="499"/>
      <c r="C2761" s="37"/>
      <c r="D2761" s="1929" t="s">
        <v>1520</v>
      </c>
      <c r="E2761" s="1930"/>
      <c r="F2761" s="1930"/>
      <c r="G2761" s="1930"/>
      <c r="H2761" s="1930"/>
      <c r="I2761" s="1931"/>
      <c r="J2761" s="1932">
        <f>VLOOKUP(A2763,'11 - FINANCEIRA'!_xlnm.Print_Area,6,FALSE)</f>
        <v>306</v>
      </c>
      <c r="K2761" s="1933"/>
      <c r="L2761" s="1343" t="str">
        <f>VLOOKUP(A2763,'11 - FINANCEIRA'!_xlnm.Print_Area,4,FALSE)</f>
        <v>m</v>
      </c>
      <c r="M2761" s="1934" t="s">
        <v>1521</v>
      </c>
      <c r="N2761" s="1935"/>
      <c r="O2761" s="1935"/>
      <c r="P2761" s="1935"/>
      <c r="Q2761" s="1936"/>
      <c r="R2761" s="726">
        <f>SUM(R2757:R2760)</f>
        <v>306</v>
      </c>
      <c r="S2761" s="1344" t="str">
        <f>L2761</f>
        <v>m</v>
      </c>
      <c r="T2761" s="373"/>
      <c r="U2761" s="486"/>
      <c r="V2761" s="1418">
        <f t="shared" si="279"/>
        <v>0</v>
      </c>
      <c r="AB2761" s="15"/>
    </row>
    <row r="2762" spans="1:36" s="77" customFormat="1" ht="15.6" hidden="1">
      <c r="A2762" s="370"/>
      <c r="B2762" s="499"/>
      <c r="C2762" s="725"/>
      <c r="D2762" s="1937" t="s">
        <v>1522</v>
      </c>
      <c r="E2762" s="1938"/>
      <c r="F2762" s="1938"/>
      <c r="G2762" s="1938"/>
      <c r="H2762" s="1938"/>
      <c r="I2762" s="1939"/>
      <c r="J2762" s="1943">
        <f>R2761/J2761</f>
        <v>1</v>
      </c>
      <c r="K2762" s="1944"/>
      <c r="L2762" s="1947"/>
      <c r="M2762" s="1934" t="s">
        <v>1523</v>
      </c>
      <c r="N2762" s="1935"/>
      <c r="O2762" s="1935"/>
      <c r="P2762" s="1935"/>
      <c r="Q2762" s="1936"/>
      <c r="R2762" s="726">
        <f>VLOOKUP(A2763,'11 - FINANCEIRA'!_xlnm.Print_Area,8,FALSE)</f>
        <v>306</v>
      </c>
      <c r="S2762" s="727" t="str">
        <f>L2761</f>
        <v>m</v>
      </c>
      <c r="T2762" s="373"/>
      <c r="U2762" s="486"/>
      <c r="V2762" s="1418">
        <f t="shared" si="279"/>
        <v>0</v>
      </c>
      <c r="AB2762" s="15"/>
    </row>
    <row r="2763" spans="1:36" s="77" customFormat="1" ht="15.6" hidden="1">
      <c r="A2763" s="364" t="s">
        <v>584</v>
      </c>
      <c r="B2763" s="499"/>
      <c r="C2763" s="37"/>
      <c r="D2763" s="2013"/>
      <c r="E2763" s="2014"/>
      <c r="F2763" s="2014"/>
      <c r="G2763" s="2014"/>
      <c r="H2763" s="2014"/>
      <c r="I2763" s="2015"/>
      <c r="J2763" s="2016"/>
      <c r="K2763" s="2017"/>
      <c r="L2763" s="1962"/>
      <c r="M2763" s="2007" t="s">
        <v>1524</v>
      </c>
      <c r="N2763" s="2008"/>
      <c r="O2763" s="2008"/>
      <c r="P2763" s="2008"/>
      <c r="Q2763" s="2009"/>
      <c r="R2763" s="1345">
        <f>R2761-R2762</f>
        <v>0</v>
      </c>
      <c r="S2763" s="1346" t="str">
        <f>L2761</f>
        <v>m</v>
      </c>
      <c r="T2763" s="373"/>
      <c r="U2763" s="486"/>
      <c r="V2763" s="1418">
        <f>R2763</f>
        <v>0</v>
      </c>
      <c r="AB2763" s="15"/>
    </row>
    <row r="2764" spans="1:36" s="77" customFormat="1" ht="15.6" hidden="1">
      <c r="A2764" s="370"/>
      <c r="B2764" s="1347"/>
      <c r="C2764" s="1348"/>
      <c r="D2764" s="1349"/>
      <c r="E2764" s="1350"/>
      <c r="F2764" s="1349"/>
      <c r="G2764" s="1349"/>
      <c r="H2764" s="1349"/>
      <c r="I2764" s="1349"/>
      <c r="J2764" s="1351"/>
      <c r="K2764" s="1352"/>
      <c r="L2764" s="1353"/>
      <c r="M2764" s="1354"/>
      <c r="N2764" s="1354"/>
      <c r="O2764" s="1354"/>
      <c r="P2764" s="1354"/>
      <c r="Q2764" s="1354"/>
      <c r="R2764" s="1355"/>
      <c r="S2764" s="1356"/>
      <c r="T2764" s="1357"/>
      <c r="U2764" s="1358"/>
      <c r="V2764" s="1420">
        <f>SUM(V2755:V2763)</f>
        <v>0</v>
      </c>
      <c r="AB2764" s="15"/>
    </row>
    <row r="2765" spans="1:36" s="352" customFormat="1" ht="15.6" hidden="1">
      <c r="A2765" s="351"/>
      <c r="B2765" s="1963" t="str">
        <f>VLOOKUP(A2773,'11 - FINANCEIRA'!_xlnm.Print_Area,1,FALSE)</f>
        <v>2.5.2.3.23</v>
      </c>
      <c r="C2765" s="1965" t="str">
        <f>VLOOKUP(A2773,'11 - FINANCEIRA'!_xlnm.Print_Area,3,FALSE)</f>
        <v>Cabo de cobre flexível isolado, 6 mm², anti-chama 0,6/1,0 kv, para circuitos terminais - fornecimento e instalação. verde</v>
      </c>
      <c r="D2765" s="1967" t="s">
        <v>1503</v>
      </c>
      <c r="E2765" s="1968"/>
      <c r="F2765" s="1968"/>
      <c r="G2765" s="1968"/>
      <c r="H2765" s="1968"/>
      <c r="I2765" s="1969"/>
      <c r="J2765" s="1914" t="s">
        <v>1504</v>
      </c>
      <c r="K2765" s="1914" t="s">
        <v>1505</v>
      </c>
      <c r="L2765" s="1914" t="s">
        <v>1506</v>
      </c>
      <c r="M2765" s="1914" t="s">
        <v>1507</v>
      </c>
      <c r="N2765" s="1914" t="s">
        <v>1508</v>
      </c>
      <c r="O2765" s="1914" t="s">
        <v>1509</v>
      </c>
      <c r="P2765" s="1341" t="s">
        <v>1510</v>
      </c>
      <c r="Q2765" s="1914" t="s">
        <v>1493</v>
      </c>
      <c r="R2765" s="1916" t="s">
        <v>804</v>
      </c>
      <c r="S2765" s="1914" t="s">
        <v>1511</v>
      </c>
      <c r="T2765" s="1914" t="s">
        <v>1512</v>
      </c>
      <c r="U2765" s="1918" t="s">
        <v>1513</v>
      </c>
      <c r="V2765" s="1418">
        <f t="shared" ref="V2765:V2772" si="280">V2766</f>
        <v>0</v>
      </c>
      <c r="W2765" s="16"/>
      <c r="X2765" s="16"/>
      <c r="Y2765" s="16"/>
      <c r="Z2765" s="17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</row>
    <row r="2766" spans="1:36" s="352" customFormat="1" ht="15.6" hidden="1">
      <c r="A2766" s="351"/>
      <c r="B2766" s="1964" t="e">
        <f>LEFT(#REF!,5)</f>
        <v>#REF!</v>
      </c>
      <c r="C2766" s="1966" t="e">
        <f>VLOOKUP(LEFT(#REF!,5),'11 - FINANCEIRA'!_xlnm.Print_Area,2,FALSE)</f>
        <v>#REF!</v>
      </c>
      <c r="D2766" s="1920" t="s">
        <v>1514</v>
      </c>
      <c r="E2766" s="1921"/>
      <c r="F2766" s="1922"/>
      <c r="G2766" s="1923" t="s">
        <v>1515</v>
      </c>
      <c r="H2766" s="1924"/>
      <c r="I2766" s="1925"/>
      <c r="J2766" s="1915"/>
      <c r="K2766" s="1915"/>
      <c r="L2766" s="1915"/>
      <c r="M2766" s="1915"/>
      <c r="N2766" s="1915"/>
      <c r="O2766" s="1915"/>
      <c r="P2766" s="353" t="s">
        <v>1516</v>
      </c>
      <c r="Q2766" s="1915"/>
      <c r="R2766" s="1917"/>
      <c r="S2766" s="1915"/>
      <c r="T2766" s="1915"/>
      <c r="U2766" s="1919"/>
      <c r="V2766" s="1418">
        <f t="shared" si="280"/>
        <v>0</v>
      </c>
      <c r="W2766" s="16"/>
      <c r="X2766" s="16"/>
      <c r="Y2766" s="16"/>
      <c r="Z2766" s="17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</row>
    <row r="2767" spans="1:36" s="361" customFormat="1" ht="30" hidden="1">
      <c r="A2767" s="354"/>
      <c r="B2767" s="355"/>
      <c r="C2767" s="28" t="s">
        <v>1165</v>
      </c>
      <c r="D2767" s="18"/>
      <c r="E2767" s="19"/>
      <c r="F2767" s="20"/>
      <c r="G2767" s="18"/>
      <c r="H2767" s="19"/>
      <c r="I2767" s="20"/>
      <c r="J2767" s="21"/>
      <c r="K2767" s="22"/>
      <c r="L2767" s="23"/>
      <c r="M2767" s="24"/>
      <c r="N2767" s="728"/>
      <c r="O2767" s="25"/>
      <c r="P2767" s="23"/>
      <c r="Q2767" s="729"/>
      <c r="R2767" s="1109">
        <v>306</v>
      </c>
      <c r="S2767" s="730" t="s">
        <v>809</v>
      </c>
      <c r="T2767" s="446" t="s">
        <v>326</v>
      </c>
      <c r="U2767" s="44"/>
      <c r="V2767" s="1418">
        <f t="shared" si="280"/>
        <v>0</v>
      </c>
      <c r="W2767" s="357"/>
      <c r="X2767" s="357"/>
      <c r="Y2767" s="357"/>
      <c r="Z2767" s="358"/>
      <c r="AA2767" s="359"/>
      <c r="AB2767" s="360"/>
    </row>
    <row r="2768" spans="1:36" s="361" customFormat="1" ht="15" hidden="1" customHeight="1">
      <c r="A2768" s="354"/>
      <c r="B2768" s="355"/>
      <c r="C2768" s="32"/>
      <c r="D2768" s="33"/>
      <c r="E2768" s="34"/>
      <c r="F2768" s="35"/>
      <c r="G2768" s="33"/>
      <c r="H2768" s="34"/>
      <c r="I2768" s="35"/>
      <c r="J2768" s="43"/>
      <c r="K2768" s="42"/>
      <c r="L2768" s="39"/>
      <c r="M2768" s="41"/>
      <c r="N2768" s="356"/>
      <c r="O2768" s="40"/>
      <c r="P2768" s="39"/>
      <c r="Q2768" s="45"/>
      <c r="R2768" s="362"/>
      <c r="S2768" s="363"/>
      <c r="T2768" s="46"/>
      <c r="U2768" s="44"/>
      <c r="V2768" s="1418">
        <f t="shared" si="280"/>
        <v>0</v>
      </c>
      <c r="W2768" s="357"/>
      <c r="X2768" s="357"/>
      <c r="Y2768" s="357"/>
      <c r="Z2768" s="358"/>
      <c r="AA2768" s="359"/>
      <c r="AB2768" s="360"/>
    </row>
    <row r="2769" spans="1:36" s="369" customFormat="1" ht="15" hidden="1">
      <c r="A2769" s="364"/>
      <c r="B2769" s="355"/>
      <c r="C2769" s="32"/>
      <c r="D2769" s="33"/>
      <c r="E2769" s="34"/>
      <c r="F2769" s="35"/>
      <c r="G2769" s="33"/>
      <c r="H2769" s="34"/>
      <c r="I2769" s="35"/>
      <c r="J2769" s="43"/>
      <c r="K2769" s="42"/>
      <c r="L2769" s="39"/>
      <c r="M2769" s="41"/>
      <c r="N2769" s="40"/>
      <c r="O2769" s="40"/>
      <c r="P2769" s="39"/>
      <c r="Q2769" s="38"/>
      <c r="R2769" s="365"/>
      <c r="S2769" s="366"/>
      <c r="T2769" s="46"/>
      <c r="U2769" s="44"/>
      <c r="V2769" s="1418">
        <f t="shared" si="280"/>
        <v>0</v>
      </c>
      <c r="W2769" s="367"/>
      <c r="X2769" s="367"/>
      <c r="Y2769" s="367"/>
      <c r="Z2769" s="368"/>
    </row>
    <row r="2770" spans="1:36" s="77" customFormat="1" ht="15" hidden="1">
      <c r="A2770" s="370"/>
      <c r="B2770" s="29"/>
      <c r="C2770" s="30"/>
      <c r="D2770" s="18"/>
      <c r="E2770" s="19"/>
      <c r="F2770" s="20"/>
      <c r="G2770" s="18"/>
      <c r="H2770" s="19"/>
      <c r="I2770" s="20"/>
      <c r="J2770" s="21"/>
      <c r="K2770" s="22"/>
      <c r="L2770" s="23"/>
      <c r="M2770" s="24"/>
      <c r="N2770" s="25"/>
      <c r="O2770" s="25"/>
      <c r="P2770" s="23"/>
      <c r="Q2770" s="26"/>
      <c r="R2770" s="371"/>
      <c r="S2770" s="27"/>
      <c r="T2770" s="372"/>
      <c r="U2770" s="31"/>
      <c r="V2770" s="1418">
        <f t="shared" si="280"/>
        <v>0</v>
      </c>
      <c r="AB2770" s="15"/>
    </row>
    <row r="2771" spans="1:36" s="77" customFormat="1" ht="15.6" hidden="1">
      <c r="A2771" s="370"/>
      <c r="B2771" s="499"/>
      <c r="C2771" s="37"/>
      <c r="D2771" s="1929" t="s">
        <v>1520</v>
      </c>
      <c r="E2771" s="1930"/>
      <c r="F2771" s="1930"/>
      <c r="G2771" s="1930"/>
      <c r="H2771" s="1930"/>
      <c r="I2771" s="1931"/>
      <c r="J2771" s="1932">
        <f>VLOOKUP(A2773,'11 - FINANCEIRA'!_xlnm.Print_Area,6,FALSE)</f>
        <v>306</v>
      </c>
      <c r="K2771" s="1933"/>
      <c r="L2771" s="1343" t="str">
        <f>VLOOKUP(A2773,'11 - FINANCEIRA'!_xlnm.Print_Area,4,FALSE)</f>
        <v>m</v>
      </c>
      <c r="M2771" s="1934" t="s">
        <v>1521</v>
      </c>
      <c r="N2771" s="1935"/>
      <c r="O2771" s="1935"/>
      <c r="P2771" s="1935"/>
      <c r="Q2771" s="1936"/>
      <c r="R2771" s="726">
        <f>SUM(R2767:R2770)</f>
        <v>306</v>
      </c>
      <c r="S2771" s="1344" t="str">
        <f>L2771</f>
        <v>m</v>
      </c>
      <c r="T2771" s="373"/>
      <c r="U2771" s="486"/>
      <c r="V2771" s="1418">
        <f t="shared" si="280"/>
        <v>0</v>
      </c>
      <c r="AB2771" s="15"/>
    </row>
    <row r="2772" spans="1:36" s="77" customFormat="1" ht="15.6" hidden="1">
      <c r="A2772" s="370"/>
      <c r="B2772" s="499"/>
      <c r="C2772" s="725"/>
      <c r="D2772" s="1937" t="s">
        <v>1522</v>
      </c>
      <c r="E2772" s="1938"/>
      <c r="F2772" s="1938"/>
      <c r="G2772" s="1938"/>
      <c r="H2772" s="1938"/>
      <c r="I2772" s="1939"/>
      <c r="J2772" s="1943">
        <f>R2771/J2771</f>
        <v>1</v>
      </c>
      <c r="K2772" s="1944"/>
      <c r="L2772" s="1947"/>
      <c r="M2772" s="1934" t="s">
        <v>1523</v>
      </c>
      <c r="N2772" s="1935"/>
      <c r="O2772" s="1935"/>
      <c r="P2772" s="1935"/>
      <c r="Q2772" s="1936"/>
      <c r="R2772" s="726">
        <f>VLOOKUP(A2773,'11 - FINANCEIRA'!_xlnm.Print_Area,8,FALSE)</f>
        <v>306</v>
      </c>
      <c r="S2772" s="727" t="str">
        <f>L2771</f>
        <v>m</v>
      </c>
      <c r="T2772" s="373"/>
      <c r="U2772" s="486"/>
      <c r="V2772" s="1418">
        <f t="shared" si="280"/>
        <v>0</v>
      </c>
      <c r="AB2772" s="15"/>
    </row>
    <row r="2773" spans="1:36" s="77" customFormat="1" ht="15.6" hidden="1">
      <c r="A2773" s="364" t="s">
        <v>585</v>
      </c>
      <c r="B2773" s="499"/>
      <c r="C2773" s="37"/>
      <c r="D2773" s="2013"/>
      <c r="E2773" s="2014"/>
      <c r="F2773" s="2014"/>
      <c r="G2773" s="2014"/>
      <c r="H2773" s="2014"/>
      <c r="I2773" s="2015"/>
      <c r="J2773" s="2016"/>
      <c r="K2773" s="2017"/>
      <c r="L2773" s="1962"/>
      <c r="M2773" s="2007" t="s">
        <v>1524</v>
      </c>
      <c r="N2773" s="2008"/>
      <c r="O2773" s="2008"/>
      <c r="P2773" s="2008"/>
      <c r="Q2773" s="2009"/>
      <c r="R2773" s="1345">
        <f>R2771-R2772</f>
        <v>0</v>
      </c>
      <c r="S2773" s="1346" t="str">
        <f>L2771</f>
        <v>m</v>
      </c>
      <c r="T2773" s="373"/>
      <c r="U2773" s="486"/>
      <c r="V2773" s="1418">
        <f>R2773</f>
        <v>0</v>
      </c>
      <c r="AB2773" s="15"/>
    </row>
    <row r="2774" spans="1:36" s="77" customFormat="1" ht="15.6" hidden="1">
      <c r="A2774" s="370"/>
      <c r="B2774" s="1347"/>
      <c r="C2774" s="1348"/>
      <c r="D2774" s="1349"/>
      <c r="E2774" s="1350"/>
      <c r="F2774" s="1349"/>
      <c r="G2774" s="1349"/>
      <c r="H2774" s="1349"/>
      <c r="I2774" s="1349"/>
      <c r="J2774" s="1351"/>
      <c r="K2774" s="1352"/>
      <c r="L2774" s="1353"/>
      <c r="M2774" s="1354"/>
      <c r="N2774" s="1354"/>
      <c r="O2774" s="1354"/>
      <c r="P2774" s="1354"/>
      <c r="Q2774" s="1354"/>
      <c r="R2774" s="1355"/>
      <c r="S2774" s="1356"/>
      <c r="T2774" s="1357"/>
      <c r="U2774" s="1358"/>
      <c r="V2774" s="1420">
        <f>SUM(V2765:V2773)</f>
        <v>0</v>
      </c>
      <c r="AB2774" s="15"/>
    </row>
    <row r="2775" spans="1:36" s="352" customFormat="1" ht="15.6" hidden="1">
      <c r="A2775" s="351"/>
      <c r="B2775" s="1963" t="str">
        <f>VLOOKUP(A2783,'11 - FINANCEIRA'!_xlnm.Print_Area,1,FALSE)</f>
        <v>2.5.2.3.24</v>
      </c>
      <c r="C2775" s="1965" t="str">
        <f>VLOOKUP(A2783,'11 - FINANCEIRA'!_xlnm.Print_Area,3,FALSE)</f>
        <v>Cabo de cobre flexível isolado, 6 mm², anti-chama 0,6/1,0 kv, para circuitos terminais - fornecimento e instalação. azul</v>
      </c>
      <c r="D2775" s="1967" t="s">
        <v>1503</v>
      </c>
      <c r="E2775" s="1968"/>
      <c r="F2775" s="1968"/>
      <c r="G2775" s="1968"/>
      <c r="H2775" s="1968"/>
      <c r="I2775" s="1969"/>
      <c r="J2775" s="1914" t="s">
        <v>1504</v>
      </c>
      <c r="K2775" s="1914" t="s">
        <v>1505</v>
      </c>
      <c r="L2775" s="1914" t="s">
        <v>1506</v>
      </c>
      <c r="M2775" s="1914" t="s">
        <v>1507</v>
      </c>
      <c r="N2775" s="1914" t="s">
        <v>1508</v>
      </c>
      <c r="O2775" s="1914" t="s">
        <v>1509</v>
      </c>
      <c r="P2775" s="1341" t="s">
        <v>1510</v>
      </c>
      <c r="Q2775" s="1914" t="s">
        <v>1493</v>
      </c>
      <c r="R2775" s="1916" t="s">
        <v>804</v>
      </c>
      <c r="S2775" s="1914" t="s">
        <v>1511</v>
      </c>
      <c r="T2775" s="1914" t="s">
        <v>1512</v>
      </c>
      <c r="U2775" s="1918" t="s">
        <v>1513</v>
      </c>
      <c r="V2775" s="1418">
        <f t="shared" ref="V2775:V2782" si="281">V2776</f>
        <v>0</v>
      </c>
      <c r="W2775" s="16"/>
      <c r="X2775" s="16"/>
      <c r="Y2775" s="16"/>
      <c r="Z2775" s="17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</row>
    <row r="2776" spans="1:36" s="352" customFormat="1" ht="15.6" hidden="1">
      <c r="A2776" s="351"/>
      <c r="B2776" s="1964" t="e">
        <f>LEFT(#REF!,5)</f>
        <v>#REF!</v>
      </c>
      <c r="C2776" s="1966" t="e">
        <f>VLOOKUP(LEFT(#REF!,5),'11 - FINANCEIRA'!_xlnm.Print_Area,2,FALSE)</f>
        <v>#REF!</v>
      </c>
      <c r="D2776" s="1920" t="s">
        <v>1514</v>
      </c>
      <c r="E2776" s="1921"/>
      <c r="F2776" s="1922"/>
      <c r="G2776" s="1923" t="s">
        <v>1515</v>
      </c>
      <c r="H2776" s="1924"/>
      <c r="I2776" s="1925"/>
      <c r="J2776" s="1915"/>
      <c r="K2776" s="1915"/>
      <c r="L2776" s="1915"/>
      <c r="M2776" s="1915"/>
      <c r="N2776" s="1915"/>
      <c r="O2776" s="1915"/>
      <c r="P2776" s="353" t="s">
        <v>1516</v>
      </c>
      <c r="Q2776" s="1915"/>
      <c r="R2776" s="1917"/>
      <c r="S2776" s="1915"/>
      <c r="T2776" s="1915"/>
      <c r="U2776" s="1919"/>
      <c r="V2776" s="1418">
        <f t="shared" si="281"/>
        <v>0</v>
      </c>
      <c r="W2776" s="16"/>
      <c r="X2776" s="16"/>
      <c r="Y2776" s="16"/>
      <c r="Z2776" s="17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</row>
    <row r="2777" spans="1:36" s="361" customFormat="1" ht="30" hidden="1">
      <c r="A2777" s="354"/>
      <c r="B2777" s="355"/>
      <c r="C2777" s="28" t="s">
        <v>1166</v>
      </c>
      <c r="D2777" s="18"/>
      <c r="E2777" s="19"/>
      <c r="F2777" s="20"/>
      <c r="G2777" s="18"/>
      <c r="H2777" s="19"/>
      <c r="I2777" s="20"/>
      <c r="J2777" s="21"/>
      <c r="K2777" s="22"/>
      <c r="L2777" s="23"/>
      <c r="M2777" s="24"/>
      <c r="N2777" s="728"/>
      <c r="O2777" s="25"/>
      <c r="P2777" s="23"/>
      <c r="Q2777" s="729"/>
      <c r="R2777" s="1109">
        <v>306</v>
      </c>
      <c r="S2777" s="730" t="s">
        <v>809</v>
      </c>
      <c r="T2777" s="446" t="s">
        <v>326</v>
      </c>
      <c r="U2777" s="44"/>
      <c r="V2777" s="1418">
        <f t="shared" si="281"/>
        <v>0</v>
      </c>
      <c r="W2777" s="357"/>
      <c r="X2777" s="357"/>
      <c r="Y2777" s="357"/>
      <c r="Z2777" s="358"/>
      <c r="AA2777" s="359"/>
      <c r="AB2777" s="360"/>
    </row>
    <row r="2778" spans="1:36" s="361" customFormat="1" ht="15" hidden="1" customHeight="1">
      <c r="A2778" s="354"/>
      <c r="B2778" s="355"/>
      <c r="C2778" s="32"/>
      <c r="D2778" s="33"/>
      <c r="E2778" s="34"/>
      <c r="F2778" s="35"/>
      <c r="G2778" s="33"/>
      <c r="H2778" s="34"/>
      <c r="I2778" s="35"/>
      <c r="J2778" s="43"/>
      <c r="K2778" s="42"/>
      <c r="L2778" s="39"/>
      <c r="M2778" s="41"/>
      <c r="N2778" s="356"/>
      <c r="O2778" s="40"/>
      <c r="P2778" s="39"/>
      <c r="Q2778" s="45"/>
      <c r="R2778" s="362"/>
      <c r="S2778" s="363"/>
      <c r="T2778" s="46"/>
      <c r="U2778" s="44"/>
      <c r="V2778" s="1418">
        <f t="shared" si="281"/>
        <v>0</v>
      </c>
      <c r="W2778" s="357"/>
      <c r="X2778" s="357"/>
      <c r="Y2778" s="357"/>
      <c r="Z2778" s="358"/>
      <c r="AA2778" s="359"/>
      <c r="AB2778" s="360"/>
    </row>
    <row r="2779" spans="1:36" s="369" customFormat="1" ht="15" hidden="1">
      <c r="A2779" s="364"/>
      <c r="B2779" s="355"/>
      <c r="C2779" s="32"/>
      <c r="D2779" s="33"/>
      <c r="E2779" s="34"/>
      <c r="F2779" s="35"/>
      <c r="G2779" s="33"/>
      <c r="H2779" s="34"/>
      <c r="I2779" s="35"/>
      <c r="J2779" s="43"/>
      <c r="K2779" s="42"/>
      <c r="L2779" s="39"/>
      <c r="M2779" s="41"/>
      <c r="N2779" s="40"/>
      <c r="O2779" s="40"/>
      <c r="P2779" s="39"/>
      <c r="Q2779" s="38"/>
      <c r="R2779" s="365"/>
      <c r="S2779" s="366"/>
      <c r="T2779" s="46"/>
      <c r="U2779" s="44"/>
      <c r="V2779" s="1418">
        <f t="shared" si="281"/>
        <v>0</v>
      </c>
      <c r="W2779" s="367"/>
      <c r="X2779" s="367"/>
      <c r="Y2779" s="367"/>
      <c r="Z2779" s="368"/>
    </row>
    <row r="2780" spans="1:36" s="77" customFormat="1" ht="15" hidden="1">
      <c r="A2780" s="370"/>
      <c r="B2780" s="29"/>
      <c r="C2780" s="30"/>
      <c r="D2780" s="18"/>
      <c r="E2780" s="19"/>
      <c r="F2780" s="20"/>
      <c r="G2780" s="18"/>
      <c r="H2780" s="19"/>
      <c r="I2780" s="20"/>
      <c r="J2780" s="21"/>
      <c r="K2780" s="22"/>
      <c r="L2780" s="23"/>
      <c r="M2780" s="24"/>
      <c r="N2780" s="25"/>
      <c r="O2780" s="25"/>
      <c r="P2780" s="23"/>
      <c r="Q2780" s="26"/>
      <c r="R2780" s="371"/>
      <c r="S2780" s="27"/>
      <c r="T2780" s="372"/>
      <c r="U2780" s="31"/>
      <c r="V2780" s="1418">
        <f t="shared" si="281"/>
        <v>0</v>
      </c>
      <c r="AB2780" s="15"/>
    </row>
    <row r="2781" spans="1:36" s="77" customFormat="1" ht="15.6" hidden="1">
      <c r="A2781" s="370"/>
      <c r="B2781" s="499"/>
      <c r="C2781" s="37"/>
      <c r="D2781" s="1929" t="s">
        <v>1520</v>
      </c>
      <c r="E2781" s="1930"/>
      <c r="F2781" s="1930"/>
      <c r="G2781" s="1930"/>
      <c r="H2781" s="1930"/>
      <c r="I2781" s="1931"/>
      <c r="J2781" s="1932">
        <f>VLOOKUP(A2783,'11 - FINANCEIRA'!_xlnm.Print_Area,6,FALSE)</f>
        <v>306</v>
      </c>
      <c r="K2781" s="1933"/>
      <c r="L2781" s="1343" t="str">
        <f>VLOOKUP(A2783,'11 - FINANCEIRA'!_xlnm.Print_Area,4,FALSE)</f>
        <v>m</v>
      </c>
      <c r="M2781" s="1934" t="s">
        <v>1521</v>
      </c>
      <c r="N2781" s="1935"/>
      <c r="O2781" s="1935"/>
      <c r="P2781" s="1935"/>
      <c r="Q2781" s="1936"/>
      <c r="R2781" s="726">
        <f>SUM(R2777:R2780)</f>
        <v>306</v>
      </c>
      <c r="S2781" s="1344" t="str">
        <f>L2781</f>
        <v>m</v>
      </c>
      <c r="T2781" s="373"/>
      <c r="U2781" s="486"/>
      <c r="V2781" s="1418">
        <f t="shared" si="281"/>
        <v>0</v>
      </c>
      <c r="AB2781" s="15"/>
    </row>
    <row r="2782" spans="1:36" s="77" customFormat="1" ht="15.6" hidden="1">
      <c r="A2782" s="370"/>
      <c r="B2782" s="499"/>
      <c r="C2782" s="725"/>
      <c r="D2782" s="1937" t="s">
        <v>1522</v>
      </c>
      <c r="E2782" s="1938"/>
      <c r="F2782" s="1938"/>
      <c r="G2782" s="1938"/>
      <c r="H2782" s="1938"/>
      <c r="I2782" s="1939"/>
      <c r="J2782" s="1943">
        <f>R2781/J2781</f>
        <v>1</v>
      </c>
      <c r="K2782" s="1944"/>
      <c r="L2782" s="1947"/>
      <c r="M2782" s="1934" t="s">
        <v>1523</v>
      </c>
      <c r="N2782" s="1935"/>
      <c r="O2782" s="1935"/>
      <c r="P2782" s="1935"/>
      <c r="Q2782" s="1936"/>
      <c r="R2782" s="726">
        <f>VLOOKUP(A2783,'11 - FINANCEIRA'!_xlnm.Print_Area,8,FALSE)</f>
        <v>306</v>
      </c>
      <c r="S2782" s="727" t="str">
        <f>L2781</f>
        <v>m</v>
      </c>
      <c r="T2782" s="373"/>
      <c r="U2782" s="486"/>
      <c r="V2782" s="1418">
        <f t="shared" si="281"/>
        <v>0</v>
      </c>
      <c r="AB2782" s="15"/>
    </row>
    <row r="2783" spans="1:36" s="77" customFormat="1" ht="15.6" hidden="1">
      <c r="A2783" s="364" t="s">
        <v>586</v>
      </c>
      <c r="B2783" s="499"/>
      <c r="C2783" s="37"/>
      <c r="D2783" s="2013"/>
      <c r="E2783" s="2014"/>
      <c r="F2783" s="2014"/>
      <c r="G2783" s="2014"/>
      <c r="H2783" s="2014"/>
      <c r="I2783" s="2015"/>
      <c r="J2783" s="2016"/>
      <c r="K2783" s="2017"/>
      <c r="L2783" s="1962"/>
      <c r="M2783" s="2007" t="s">
        <v>1524</v>
      </c>
      <c r="N2783" s="2008"/>
      <c r="O2783" s="2008"/>
      <c r="P2783" s="2008"/>
      <c r="Q2783" s="2009"/>
      <c r="R2783" s="1345">
        <f>R2781-R2782</f>
        <v>0</v>
      </c>
      <c r="S2783" s="1346" t="str">
        <f>L2781</f>
        <v>m</v>
      </c>
      <c r="T2783" s="373"/>
      <c r="U2783" s="486"/>
      <c r="V2783" s="1418">
        <f>R2783</f>
        <v>0</v>
      </c>
      <c r="AB2783" s="15"/>
    </row>
    <row r="2784" spans="1:36" s="77" customFormat="1" ht="15.6" hidden="1">
      <c r="A2784" s="370"/>
      <c r="B2784" s="1347"/>
      <c r="C2784" s="1348"/>
      <c r="D2784" s="1349"/>
      <c r="E2784" s="1350"/>
      <c r="F2784" s="1349"/>
      <c r="G2784" s="1349"/>
      <c r="H2784" s="1349"/>
      <c r="I2784" s="1349"/>
      <c r="J2784" s="1351"/>
      <c r="K2784" s="1352"/>
      <c r="L2784" s="1353"/>
      <c r="M2784" s="1354"/>
      <c r="N2784" s="1354"/>
      <c r="O2784" s="1354"/>
      <c r="P2784" s="1354"/>
      <c r="Q2784" s="1354"/>
      <c r="R2784" s="1355"/>
      <c r="S2784" s="1356"/>
      <c r="T2784" s="1357"/>
      <c r="U2784" s="1358"/>
      <c r="V2784" s="1420">
        <f>SUM(V2775:V2783)</f>
        <v>0</v>
      </c>
      <c r="AB2784" s="15"/>
    </row>
    <row r="2785" spans="1:36" s="352" customFormat="1" ht="15.6" hidden="1">
      <c r="A2785" s="351"/>
      <c r="B2785" s="1963" t="str">
        <f>VLOOKUP(A2793,'11 - FINANCEIRA'!_xlnm.Print_Area,1,FALSE)</f>
        <v>2.5.2.3.25</v>
      </c>
      <c r="C2785" s="1965" t="str">
        <f>VLOOKUP(A2793,'11 - FINANCEIRA'!_xlnm.Print_Area,3,FALSE)</f>
        <v>Cabo de cobre termoplástico, com isolamento para 1000v, seção de 25.0 mm² verde</v>
      </c>
      <c r="D2785" s="1967" t="s">
        <v>1503</v>
      </c>
      <c r="E2785" s="1968"/>
      <c r="F2785" s="1968"/>
      <c r="G2785" s="1968"/>
      <c r="H2785" s="1968"/>
      <c r="I2785" s="1969"/>
      <c r="J2785" s="1914" t="s">
        <v>1504</v>
      </c>
      <c r="K2785" s="1914" t="s">
        <v>1505</v>
      </c>
      <c r="L2785" s="1914" t="s">
        <v>1506</v>
      </c>
      <c r="M2785" s="1914" t="s">
        <v>1507</v>
      </c>
      <c r="N2785" s="1914" t="s">
        <v>1508</v>
      </c>
      <c r="O2785" s="1914" t="s">
        <v>1509</v>
      </c>
      <c r="P2785" s="1341" t="s">
        <v>1510</v>
      </c>
      <c r="Q2785" s="1914" t="s">
        <v>1493</v>
      </c>
      <c r="R2785" s="1916" t="s">
        <v>804</v>
      </c>
      <c r="S2785" s="1914" t="s">
        <v>1511</v>
      </c>
      <c r="T2785" s="1914" t="s">
        <v>1512</v>
      </c>
      <c r="U2785" s="1918" t="s">
        <v>1513</v>
      </c>
      <c r="V2785" s="1418">
        <f t="shared" ref="V2785:V2792" si="282">V2786</f>
        <v>0</v>
      </c>
      <c r="W2785" s="16"/>
      <c r="X2785" s="16"/>
      <c r="Y2785" s="16"/>
      <c r="Z2785" s="17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</row>
    <row r="2786" spans="1:36" s="352" customFormat="1" ht="15.6" hidden="1">
      <c r="A2786" s="351"/>
      <c r="B2786" s="1964" t="e">
        <f>LEFT(#REF!,5)</f>
        <v>#REF!</v>
      </c>
      <c r="C2786" s="1966" t="e">
        <f>VLOOKUP(LEFT(#REF!,5),'11 - FINANCEIRA'!_xlnm.Print_Area,2,FALSE)</f>
        <v>#REF!</v>
      </c>
      <c r="D2786" s="1920" t="s">
        <v>1514</v>
      </c>
      <c r="E2786" s="1921"/>
      <c r="F2786" s="1922"/>
      <c r="G2786" s="1923" t="s">
        <v>1515</v>
      </c>
      <c r="H2786" s="1924"/>
      <c r="I2786" s="1925"/>
      <c r="J2786" s="1915"/>
      <c r="K2786" s="1915"/>
      <c r="L2786" s="1915"/>
      <c r="M2786" s="1915"/>
      <c r="N2786" s="1915"/>
      <c r="O2786" s="1915"/>
      <c r="P2786" s="353" t="s">
        <v>1516</v>
      </c>
      <c r="Q2786" s="1915"/>
      <c r="R2786" s="1917"/>
      <c r="S2786" s="1915"/>
      <c r="T2786" s="1915"/>
      <c r="U2786" s="1919"/>
      <c r="V2786" s="1418">
        <f t="shared" si="282"/>
        <v>0</v>
      </c>
      <c r="W2786" s="16"/>
      <c r="X2786" s="16"/>
      <c r="Y2786" s="16"/>
      <c r="Z2786" s="17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</row>
    <row r="2787" spans="1:36" s="361" customFormat="1" ht="15" hidden="1" customHeight="1">
      <c r="A2787" s="354"/>
      <c r="B2787" s="755" t="s">
        <v>1932</v>
      </c>
      <c r="C2787" s="28" t="s">
        <v>1168</v>
      </c>
      <c r="D2787" s="18"/>
      <c r="E2787" s="19"/>
      <c r="F2787" s="20"/>
      <c r="G2787" s="18"/>
      <c r="H2787" s="19"/>
      <c r="I2787" s="20"/>
      <c r="J2787" s="21"/>
      <c r="K2787" s="22"/>
      <c r="L2787" s="23"/>
      <c r="M2787" s="24"/>
      <c r="N2787" s="728"/>
      <c r="O2787" s="25"/>
      <c r="P2787" s="23"/>
      <c r="Q2787" s="729"/>
      <c r="R2787" s="1109">
        <v>50</v>
      </c>
      <c r="S2787" s="730" t="s">
        <v>809</v>
      </c>
      <c r="T2787" s="446" t="s">
        <v>324</v>
      </c>
      <c r="U2787" s="44"/>
      <c r="V2787" s="1418">
        <f t="shared" si="282"/>
        <v>0</v>
      </c>
      <c r="W2787" s="357"/>
      <c r="X2787" s="357"/>
      <c r="Y2787" s="357"/>
      <c r="Z2787" s="358"/>
      <c r="AA2787" s="359"/>
      <c r="AB2787" s="360"/>
    </row>
    <row r="2788" spans="1:36" s="361" customFormat="1" ht="15" hidden="1" customHeight="1">
      <c r="A2788" s="354"/>
      <c r="B2788" s="355"/>
      <c r="C2788" s="32"/>
      <c r="D2788" s="33"/>
      <c r="E2788" s="34"/>
      <c r="F2788" s="35"/>
      <c r="G2788" s="33"/>
      <c r="H2788" s="34"/>
      <c r="I2788" s="35"/>
      <c r="J2788" s="43"/>
      <c r="K2788" s="42"/>
      <c r="L2788" s="39"/>
      <c r="M2788" s="41"/>
      <c r="N2788" s="356"/>
      <c r="O2788" s="40"/>
      <c r="P2788" s="39"/>
      <c r="Q2788" s="45"/>
      <c r="R2788" s="362"/>
      <c r="S2788" s="363"/>
      <c r="T2788" s="46"/>
      <c r="U2788" s="44"/>
      <c r="V2788" s="1418">
        <f t="shared" si="282"/>
        <v>0</v>
      </c>
      <c r="W2788" s="357"/>
      <c r="X2788" s="357"/>
      <c r="Y2788" s="357"/>
      <c r="Z2788" s="358"/>
      <c r="AA2788" s="359"/>
      <c r="AB2788" s="360"/>
    </row>
    <row r="2789" spans="1:36" s="369" customFormat="1" ht="15" hidden="1">
      <c r="A2789" s="364"/>
      <c r="B2789" s="355"/>
      <c r="C2789" s="32"/>
      <c r="D2789" s="33"/>
      <c r="E2789" s="34"/>
      <c r="F2789" s="35"/>
      <c r="G2789" s="33"/>
      <c r="H2789" s="34"/>
      <c r="I2789" s="35"/>
      <c r="J2789" s="43"/>
      <c r="K2789" s="42"/>
      <c r="L2789" s="39"/>
      <c r="M2789" s="41"/>
      <c r="N2789" s="40"/>
      <c r="O2789" s="40"/>
      <c r="P2789" s="39"/>
      <c r="Q2789" s="38"/>
      <c r="R2789" s="365"/>
      <c r="S2789" s="366"/>
      <c r="T2789" s="46"/>
      <c r="U2789" s="44"/>
      <c r="V2789" s="1418">
        <f t="shared" si="282"/>
        <v>0</v>
      </c>
      <c r="W2789" s="367"/>
      <c r="X2789" s="367"/>
      <c r="Y2789" s="367"/>
      <c r="Z2789" s="368"/>
    </row>
    <row r="2790" spans="1:36" s="77" customFormat="1" ht="15" hidden="1">
      <c r="A2790" s="370"/>
      <c r="B2790" s="29"/>
      <c r="C2790" s="30"/>
      <c r="D2790" s="18"/>
      <c r="E2790" s="19"/>
      <c r="F2790" s="20"/>
      <c r="G2790" s="18"/>
      <c r="H2790" s="19"/>
      <c r="I2790" s="20"/>
      <c r="J2790" s="21"/>
      <c r="K2790" s="22"/>
      <c r="L2790" s="23"/>
      <c r="M2790" s="24"/>
      <c r="N2790" s="25"/>
      <c r="O2790" s="25"/>
      <c r="P2790" s="23"/>
      <c r="Q2790" s="26"/>
      <c r="R2790" s="371"/>
      <c r="S2790" s="27"/>
      <c r="T2790" s="372"/>
      <c r="U2790" s="31"/>
      <c r="V2790" s="1418">
        <f t="shared" si="282"/>
        <v>0</v>
      </c>
      <c r="AB2790" s="15"/>
    </row>
    <row r="2791" spans="1:36" s="77" customFormat="1" ht="15.6" hidden="1">
      <c r="A2791" s="370"/>
      <c r="B2791" s="499"/>
      <c r="C2791" s="37"/>
      <c r="D2791" s="1929" t="s">
        <v>1520</v>
      </c>
      <c r="E2791" s="1930"/>
      <c r="F2791" s="1930"/>
      <c r="G2791" s="1930"/>
      <c r="H2791" s="1930"/>
      <c r="I2791" s="1931"/>
      <c r="J2791" s="1932">
        <f>VLOOKUP(A2793,'11 - FINANCEIRA'!_xlnm.Print_Area,6,FALSE)</f>
        <v>50</v>
      </c>
      <c r="K2791" s="1933"/>
      <c r="L2791" s="1343" t="str">
        <f>VLOOKUP(A2793,'11 - FINANCEIRA'!_xlnm.Print_Area,4,FALSE)</f>
        <v>m</v>
      </c>
      <c r="M2791" s="1934" t="s">
        <v>1521</v>
      </c>
      <c r="N2791" s="1935"/>
      <c r="O2791" s="1935"/>
      <c r="P2791" s="1935"/>
      <c r="Q2791" s="1936"/>
      <c r="R2791" s="726">
        <f>SUM(R2787:R2790)</f>
        <v>50</v>
      </c>
      <c r="S2791" s="1344" t="str">
        <f>L2791</f>
        <v>m</v>
      </c>
      <c r="T2791" s="373"/>
      <c r="U2791" s="486"/>
      <c r="V2791" s="1418">
        <f t="shared" si="282"/>
        <v>0</v>
      </c>
      <c r="AB2791" s="15"/>
    </row>
    <row r="2792" spans="1:36" s="77" customFormat="1" ht="15.6" hidden="1">
      <c r="A2792" s="370"/>
      <c r="B2792" s="499"/>
      <c r="C2792" s="725"/>
      <c r="D2792" s="1937" t="s">
        <v>1522</v>
      </c>
      <c r="E2792" s="1938"/>
      <c r="F2792" s="1938"/>
      <c r="G2792" s="1938"/>
      <c r="H2792" s="1938"/>
      <c r="I2792" s="1939"/>
      <c r="J2792" s="1943">
        <f>R2791/J2791</f>
        <v>1</v>
      </c>
      <c r="K2792" s="1944"/>
      <c r="L2792" s="1947"/>
      <c r="M2792" s="1934" t="s">
        <v>1523</v>
      </c>
      <c r="N2792" s="1935"/>
      <c r="O2792" s="1935"/>
      <c r="P2792" s="1935"/>
      <c r="Q2792" s="1936"/>
      <c r="R2792" s="726">
        <f>VLOOKUP(A2793,'11 - FINANCEIRA'!_xlnm.Print_Area,8,FALSE)</f>
        <v>50</v>
      </c>
      <c r="S2792" s="727" t="str">
        <f>L2791</f>
        <v>m</v>
      </c>
      <c r="T2792" s="373"/>
      <c r="U2792" s="486"/>
      <c r="V2792" s="1418">
        <f t="shared" si="282"/>
        <v>0</v>
      </c>
      <c r="AB2792" s="15"/>
    </row>
    <row r="2793" spans="1:36" s="77" customFormat="1" ht="15.6" hidden="1">
      <c r="A2793" s="364" t="s">
        <v>587</v>
      </c>
      <c r="B2793" s="499"/>
      <c r="C2793" s="37"/>
      <c r="D2793" s="2013"/>
      <c r="E2793" s="2014"/>
      <c r="F2793" s="2014"/>
      <c r="G2793" s="2014"/>
      <c r="H2793" s="2014"/>
      <c r="I2793" s="2015"/>
      <c r="J2793" s="2016"/>
      <c r="K2793" s="2017"/>
      <c r="L2793" s="1962"/>
      <c r="M2793" s="2007" t="s">
        <v>1524</v>
      </c>
      <c r="N2793" s="2008"/>
      <c r="O2793" s="2008"/>
      <c r="P2793" s="2008"/>
      <c r="Q2793" s="2009"/>
      <c r="R2793" s="1345">
        <f>R2791-R2792</f>
        <v>0</v>
      </c>
      <c r="S2793" s="1346" t="str">
        <f>L2791</f>
        <v>m</v>
      </c>
      <c r="T2793" s="373"/>
      <c r="U2793" s="486"/>
      <c r="V2793" s="1418">
        <f>R2793</f>
        <v>0</v>
      </c>
      <c r="AB2793" s="15"/>
    </row>
    <row r="2794" spans="1:36" s="77" customFormat="1" ht="15.6" hidden="1">
      <c r="A2794" s="370"/>
      <c r="B2794" s="1347"/>
      <c r="C2794" s="1348"/>
      <c r="D2794" s="1349"/>
      <c r="E2794" s="1350"/>
      <c r="F2794" s="1349"/>
      <c r="G2794" s="1349"/>
      <c r="H2794" s="1349"/>
      <c r="I2794" s="1349"/>
      <c r="J2794" s="1351"/>
      <c r="K2794" s="1352"/>
      <c r="L2794" s="1353"/>
      <c r="M2794" s="1354"/>
      <c r="N2794" s="1354"/>
      <c r="O2794" s="1354"/>
      <c r="P2794" s="1354"/>
      <c r="Q2794" s="1354"/>
      <c r="R2794" s="1355"/>
      <c r="S2794" s="1356"/>
      <c r="T2794" s="1357"/>
      <c r="U2794" s="1358"/>
      <c r="V2794" s="1420">
        <f>SUM(V2785:V2793)</f>
        <v>0</v>
      </c>
      <c r="AB2794" s="15"/>
    </row>
    <row r="2795" spans="1:36" s="352" customFormat="1" ht="15.6" hidden="1">
      <c r="A2795" s="351"/>
      <c r="B2795" s="1963" t="str">
        <f>VLOOKUP(A2803,'11 - FINANCEIRA'!_xlnm.Print_Area,1,FALSE)</f>
        <v>2.5.2.3.26</v>
      </c>
      <c r="C2795" s="1965" t="str">
        <f>VLOOKUP(A2803,'11 - FINANCEIRA'!_xlnm.Print_Area,3,FALSE)</f>
        <v>Cabo de cobre termoplástico, com isolamento para 1000v, seção de 25.0 mm² preto</v>
      </c>
      <c r="D2795" s="1967" t="s">
        <v>1503</v>
      </c>
      <c r="E2795" s="1968"/>
      <c r="F2795" s="1968"/>
      <c r="G2795" s="1968"/>
      <c r="H2795" s="1968"/>
      <c r="I2795" s="1969"/>
      <c r="J2795" s="1914" t="s">
        <v>1504</v>
      </c>
      <c r="K2795" s="1914" t="s">
        <v>1505</v>
      </c>
      <c r="L2795" s="1914" t="s">
        <v>1506</v>
      </c>
      <c r="M2795" s="1914" t="s">
        <v>1507</v>
      </c>
      <c r="N2795" s="1914" t="s">
        <v>1508</v>
      </c>
      <c r="O2795" s="1914" t="s">
        <v>1509</v>
      </c>
      <c r="P2795" s="1341" t="s">
        <v>1510</v>
      </c>
      <c r="Q2795" s="1914" t="s">
        <v>1493</v>
      </c>
      <c r="R2795" s="1916" t="s">
        <v>804</v>
      </c>
      <c r="S2795" s="1914" t="s">
        <v>1511</v>
      </c>
      <c r="T2795" s="1914" t="s">
        <v>1512</v>
      </c>
      <c r="U2795" s="1918" t="s">
        <v>1513</v>
      </c>
      <c r="V2795" s="1418">
        <f t="shared" ref="V2795:V2802" si="283">V2796</f>
        <v>0</v>
      </c>
      <c r="W2795" s="16"/>
      <c r="X2795" s="16"/>
      <c r="Y2795" s="16"/>
      <c r="Z2795" s="17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</row>
    <row r="2796" spans="1:36" s="352" customFormat="1" ht="15.6" hidden="1">
      <c r="A2796" s="351"/>
      <c r="B2796" s="1964" t="e">
        <f>LEFT(#REF!,5)</f>
        <v>#REF!</v>
      </c>
      <c r="C2796" s="1966" t="e">
        <f>VLOOKUP(LEFT(#REF!,5),'11 - FINANCEIRA'!_xlnm.Print_Area,2,FALSE)</f>
        <v>#REF!</v>
      </c>
      <c r="D2796" s="1920" t="s">
        <v>1514</v>
      </c>
      <c r="E2796" s="1921"/>
      <c r="F2796" s="1922"/>
      <c r="G2796" s="1923" t="s">
        <v>1515</v>
      </c>
      <c r="H2796" s="1924"/>
      <c r="I2796" s="1925"/>
      <c r="J2796" s="1915"/>
      <c r="K2796" s="1915"/>
      <c r="L2796" s="1915"/>
      <c r="M2796" s="1915"/>
      <c r="N2796" s="1915"/>
      <c r="O2796" s="1915"/>
      <c r="P2796" s="353" t="s">
        <v>1516</v>
      </c>
      <c r="Q2796" s="1915"/>
      <c r="R2796" s="1917"/>
      <c r="S2796" s="1915"/>
      <c r="T2796" s="1915"/>
      <c r="U2796" s="1919"/>
      <c r="V2796" s="1418">
        <f t="shared" si="283"/>
        <v>0</v>
      </c>
      <c r="W2796" s="16"/>
      <c r="X2796" s="16"/>
      <c r="Y2796" s="16"/>
      <c r="Z2796" s="17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</row>
    <row r="2797" spans="1:36" s="361" customFormat="1" ht="15" hidden="1" customHeight="1">
      <c r="A2797" s="354"/>
      <c r="B2797" s="755" t="s">
        <v>1933</v>
      </c>
      <c r="C2797" s="28" t="s">
        <v>1169</v>
      </c>
      <c r="D2797" s="18"/>
      <c r="E2797" s="19"/>
      <c r="F2797" s="20"/>
      <c r="G2797" s="18"/>
      <c r="H2797" s="19"/>
      <c r="I2797" s="20"/>
      <c r="J2797" s="21"/>
      <c r="K2797" s="22"/>
      <c r="L2797" s="23"/>
      <c r="M2797" s="24"/>
      <c r="N2797" s="728"/>
      <c r="O2797" s="25"/>
      <c r="P2797" s="23"/>
      <c r="Q2797" s="729"/>
      <c r="R2797" s="1109">
        <v>150</v>
      </c>
      <c r="S2797" s="730" t="s">
        <v>809</v>
      </c>
      <c r="T2797" s="446" t="s">
        <v>324</v>
      </c>
      <c r="U2797" s="44"/>
      <c r="V2797" s="1418">
        <f t="shared" si="283"/>
        <v>0</v>
      </c>
      <c r="W2797" s="357"/>
      <c r="X2797" s="357"/>
      <c r="Y2797" s="357"/>
      <c r="Z2797" s="358"/>
      <c r="AA2797" s="359"/>
      <c r="AB2797" s="360"/>
    </row>
    <row r="2798" spans="1:36" s="361" customFormat="1" ht="15" hidden="1" customHeight="1">
      <c r="A2798" s="354"/>
      <c r="B2798" s="355"/>
      <c r="C2798" s="32"/>
      <c r="D2798" s="33"/>
      <c r="E2798" s="34"/>
      <c r="F2798" s="35"/>
      <c r="G2798" s="33"/>
      <c r="H2798" s="34"/>
      <c r="I2798" s="35"/>
      <c r="J2798" s="43"/>
      <c r="K2798" s="42"/>
      <c r="L2798" s="39"/>
      <c r="M2798" s="41"/>
      <c r="N2798" s="356"/>
      <c r="O2798" s="40"/>
      <c r="P2798" s="39"/>
      <c r="Q2798" s="45"/>
      <c r="R2798" s="362"/>
      <c r="S2798" s="363"/>
      <c r="T2798" s="46"/>
      <c r="U2798" s="44"/>
      <c r="V2798" s="1418">
        <f t="shared" si="283"/>
        <v>0</v>
      </c>
      <c r="W2798" s="357"/>
      <c r="X2798" s="357"/>
      <c r="Y2798" s="357"/>
      <c r="Z2798" s="358"/>
      <c r="AA2798" s="359"/>
      <c r="AB2798" s="360"/>
    </row>
    <row r="2799" spans="1:36" s="369" customFormat="1" ht="15" hidden="1">
      <c r="A2799" s="364"/>
      <c r="B2799" s="355"/>
      <c r="C2799" s="32"/>
      <c r="D2799" s="33"/>
      <c r="E2799" s="34"/>
      <c r="F2799" s="35"/>
      <c r="G2799" s="33"/>
      <c r="H2799" s="34"/>
      <c r="I2799" s="35"/>
      <c r="J2799" s="43"/>
      <c r="K2799" s="42"/>
      <c r="L2799" s="39"/>
      <c r="M2799" s="41"/>
      <c r="N2799" s="40"/>
      <c r="O2799" s="40"/>
      <c r="P2799" s="39"/>
      <c r="Q2799" s="38"/>
      <c r="R2799" s="365"/>
      <c r="S2799" s="366"/>
      <c r="T2799" s="46"/>
      <c r="U2799" s="44"/>
      <c r="V2799" s="1418">
        <f t="shared" si="283"/>
        <v>0</v>
      </c>
      <c r="W2799" s="367"/>
      <c r="X2799" s="367"/>
      <c r="Y2799" s="367"/>
      <c r="Z2799" s="368"/>
    </row>
    <row r="2800" spans="1:36" s="77" customFormat="1" ht="15" hidden="1">
      <c r="A2800" s="370"/>
      <c r="B2800" s="29"/>
      <c r="C2800" s="30"/>
      <c r="D2800" s="18"/>
      <c r="E2800" s="19"/>
      <c r="F2800" s="20"/>
      <c r="G2800" s="18"/>
      <c r="H2800" s="19"/>
      <c r="I2800" s="20"/>
      <c r="J2800" s="21"/>
      <c r="K2800" s="22"/>
      <c r="L2800" s="23"/>
      <c r="M2800" s="24"/>
      <c r="N2800" s="25"/>
      <c r="O2800" s="25"/>
      <c r="P2800" s="23"/>
      <c r="Q2800" s="26"/>
      <c r="R2800" s="371"/>
      <c r="S2800" s="27"/>
      <c r="T2800" s="372"/>
      <c r="U2800" s="31"/>
      <c r="V2800" s="1418">
        <f t="shared" si="283"/>
        <v>0</v>
      </c>
      <c r="AB2800" s="15"/>
    </row>
    <row r="2801" spans="1:36" s="77" customFormat="1" ht="15.6" hidden="1">
      <c r="A2801" s="370"/>
      <c r="B2801" s="499"/>
      <c r="C2801" s="37"/>
      <c r="D2801" s="1929" t="s">
        <v>1520</v>
      </c>
      <c r="E2801" s="1930"/>
      <c r="F2801" s="1930"/>
      <c r="G2801" s="1930"/>
      <c r="H2801" s="1930"/>
      <c r="I2801" s="1931"/>
      <c r="J2801" s="1932">
        <f>VLOOKUP(A2803,'11 - FINANCEIRA'!_xlnm.Print_Area,6,FALSE)</f>
        <v>150</v>
      </c>
      <c r="K2801" s="1933"/>
      <c r="L2801" s="1343" t="str">
        <f>VLOOKUP(A2803,'11 - FINANCEIRA'!_xlnm.Print_Area,4,FALSE)</f>
        <v>m</v>
      </c>
      <c r="M2801" s="1934" t="s">
        <v>1521</v>
      </c>
      <c r="N2801" s="1935"/>
      <c r="O2801" s="1935"/>
      <c r="P2801" s="1935"/>
      <c r="Q2801" s="1936"/>
      <c r="R2801" s="726">
        <f>SUM(R2797:R2800)</f>
        <v>150</v>
      </c>
      <c r="S2801" s="1344" t="str">
        <f>L2801</f>
        <v>m</v>
      </c>
      <c r="T2801" s="373"/>
      <c r="U2801" s="486"/>
      <c r="V2801" s="1418">
        <f t="shared" si="283"/>
        <v>0</v>
      </c>
      <c r="AB2801" s="15"/>
    </row>
    <row r="2802" spans="1:36" s="77" customFormat="1" ht="15.6" hidden="1">
      <c r="A2802" s="370"/>
      <c r="B2802" s="499"/>
      <c r="C2802" s="725"/>
      <c r="D2802" s="1937" t="s">
        <v>1522</v>
      </c>
      <c r="E2802" s="1938"/>
      <c r="F2802" s="1938"/>
      <c r="G2802" s="1938"/>
      <c r="H2802" s="1938"/>
      <c r="I2802" s="1939"/>
      <c r="J2802" s="1943">
        <f>R2801/J2801</f>
        <v>1</v>
      </c>
      <c r="K2802" s="1944"/>
      <c r="L2802" s="1947"/>
      <c r="M2802" s="1934" t="s">
        <v>1523</v>
      </c>
      <c r="N2802" s="1935"/>
      <c r="O2802" s="1935"/>
      <c r="P2802" s="1935"/>
      <c r="Q2802" s="1936"/>
      <c r="R2802" s="726">
        <f>VLOOKUP(A2803,'11 - FINANCEIRA'!_xlnm.Print_Area,8,FALSE)</f>
        <v>150</v>
      </c>
      <c r="S2802" s="727" t="str">
        <f>L2801</f>
        <v>m</v>
      </c>
      <c r="T2802" s="373"/>
      <c r="U2802" s="486"/>
      <c r="V2802" s="1418">
        <f t="shared" si="283"/>
        <v>0</v>
      </c>
      <c r="AB2802" s="15"/>
    </row>
    <row r="2803" spans="1:36" s="77" customFormat="1" ht="15.6" hidden="1">
      <c r="A2803" s="364" t="s">
        <v>588</v>
      </c>
      <c r="B2803" s="499"/>
      <c r="C2803" s="37"/>
      <c r="D2803" s="2013"/>
      <c r="E2803" s="2014"/>
      <c r="F2803" s="2014"/>
      <c r="G2803" s="2014"/>
      <c r="H2803" s="2014"/>
      <c r="I2803" s="2015"/>
      <c r="J2803" s="2016"/>
      <c r="K2803" s="2017"/>
      <c r="L2803" s="1962"/>
      <c r="M2803" s="2007" t="s">
        <v>1524</v>
      </c>
      <c r="N2803" s="2008"/>
      <c r="O2803" s="2008"/>
      <c r="P2803" s="2008"/>
      <c r="Q2803" s="2009"/>
      <c r="R2803" s="1345">
        <f>R2801-R2802</f>
        <v>0</v>
      </c>
      <c r="S2803" s="1346" t="str">
        <f>L2801</f>
        <v>m</v>
      </c>
      <c r="T2803" s="373"/>
      <c r="U2803" s="486"/>
      <c r="V2803" s="1418">
        <f>R2803</f>
        <v>0</v>
      </c>
      <c r="AB2803" s="15"/>
    </row>
    <row r="2804" spans="1:36" s="77" customFormat="1" ht="15.6" hidden="1">
      <c r="A2804" s="370"/>
      <c r="B2804" s="1347"/>
      <c r="C2804" s="1348"/>
      <c r="D2804" s="1349"/>
      <c r="E2804" s="1350"/>
      <c r="F2804" s="1349"/>
      <c r="G2804" s="1349"/>
      <c r="H2804" s="1349"/>
      <c r="I2804" s="1349"/>
      <c r="J2804" s="1351"/>
      <c r="K2804" s="1352"/>
      <c r="L2804" s="1353"/>
      <c r="M2804" s="1354"/>
      <c r="N2804" s="1354"/>
      <c r="O2804" s="1354"/>
      <c r="P2804" s="1354"/>
      <c r="Q2804" s="1354"/>
      <c r="R2804" s="1355"/>
      <c r="S2804" s="1356"/>
      <c r="T2804" s="1357"/>
      <c r="U2804" s="1358"/>
      <c r="V2804" s="1420">
        <f>SUM(V2795:V2803)</f>
        <v>0</v>
      </c>
      <c r="AB2804" s="15"/>
    </row>
    <row r="2805" spans="1:36" s="352" customFormat="1" ht="15.6" hidden="1">
      <c r="A2805" s="351"/>
      <c r="B2805" s="1963" t="str">
        <f>VLOOKUP(A2813,'11 - FINANCEIRA'!_xlnm.Print_Area,1,FALSE)</f>
        <v>2.5.2.3.27</v>
      </c>
      <c r="C2805" s="1965" t="str">
        <f>VLOOKUP(A2813,'11 - FINANCEIRA'!_xlnm.Print_Area,3,FALSE)</f>
        <v>Cabo de cobre termoplástico, com isolamento para 1000v, seção de 25.0 mm² azul</v>
      </c>
      <c r="D2805" s="1967" t="s">
        <v>1503</v>
      </c>
      <c r="E2805" s="1968"/>
      <c r="F2805" s="1968"/>
      <c r="G2805" s="1968"/>
      <c r="H2805" s="1968"/>
      <c r="I2805" s="1969"/>
      <c r="J2805" s="1914" t="s">
        <v>1504</v>
      </c>
      <c r="K2805" s="1914" t="s">
        <v>1505</v>
      </c>
      <c r="L2805" s="1914" t="s">
        <v>1506</v>
      </c>
      <c r="M2805" s="1914" t="s">
        <v>1507</v>
      </c>
      <c r="N2805" s="1914" t="s">
        <v>1508</v>
      </c>
      <c r="O2805" s="1914" t="s">
        <v>1509</v>
      </c>
      <c r="P2805" s="1341" t="s">
        <v>1510</v>
      </c>
      <c r="Q2805" s="1914" t="s">
        <v>1493</v>
      </c>
      <c r="R2805" s="1916" t="s">
        <v>804</v>
      </c>
      <c r="S2805" s="1914" t="s">
        <v>1511</v>
      </c>
      <c r="T2805" s="1914" t="s">
        <v>1512</v>
      </c>
      <c r="U2805" s="1918" t="s">
        <v>1513</v>
      </c>
      <c r="V2805" s="1418">
        <f t="shared" ref="V2805:V2812" si="284">V2806</f>
        <v>0</v>
      </c>
      <c r="W2805" s="16"/>
      <c r="X2805" s="16"/>
      <c r="Y2805" s="16"/>
      <c r="Z2805" s="17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</row>
    <row r="2806" spans="1:36" s="352" customFormat="1" ht="15.6" hidden="1">
      <c r="A2806" s="351"/>
      <c r="B2806" s="1964" t="e">
        <f>LEFT(#REF!,5)</f>
        <v>#REF!</v>
      </c>
      <c r="C2806" s="1966" t="e">
        <f>VLOOKUP(LEFT(#REF!,5),'11 - FINANCEIRA'!_xlnm.Print_Area,2,FALSE)</f>
        <v>#REF!</v>
      </c>
      <c r="D2806" s="1920" t="s">
        <v>1514</v>
      </c>
      <c r="E2806" s="1921"/>
      <c r="F2806" s="1922"/>
      <c r="G2806" s="1923" t="s">
        <v>1515</v>
      </c>
      <c r="H2806" s="1924"/>
      <c r="I2806" s="1925"/>
      <c r="J2806" s="1915"/>
      <c r="K2806" s="1915"/>
      <c r="L2806" s="1915"/>
      <c r="M2806" s="1915"/>
      <c r="N2806" s="1915"/>
      <c r="O2806" s="1915"/>
      <c r="P2806" s="353" t="s">
        <v>1516</v>
      </c>
      <c r="Q2806" s="1915"/>
      <c r="R2806" s="1917"/>
      <c r="S2806" s="1915"/>
      <c r="T2806" s="1915"/>
      <c r="U2806" s="1919"/>
      <c r="V2806" s="1418">
        <f t="shared" si="284"/>
        <v>0</v>
      </c>
      <c r="W2806" s="16"/>
      <c r="X2806" s="16"/>
      <c r="Y2806" s="16"/>
      <c r="Z2806" s="17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</row>
    <row r="2807" spans="1:36" s="361" customFormat="1" ht="15" hidden="1" customHeight="1">
      <c r="A2807" s="354"/>
      <c r="B2807" s="755" t="s">
        <v>1934</v>
      </c>
      <c r="C2807" s="28" t="s">
        <v>1170</v>
      </c>
      <c r="D2807" s="18"/>
      <c r="E2807" s="19"/>
      <c r="F2807" s="20"/>
      <c r="G2807" s="18"/>
      <c r="H2807" s="19"/>
      <c r="I2807" s="20"/>
      <c r="J2807" s="21"/>
      <c r="K2807" s="22"/>
      <c r="L2807" s="23"/>
      <c r="M2807" s="24"/>
      <c r="N2807" s="728"/>
      <c r="O2807" s="25"/>
      <c r="P2807" s="23"/>
      <c r="Q2807" s="729"/>
      <c r="R2807" s="1109">
        <v>50</v>
      </c>
      <c r="S2807" s="730" t="s">
        <v>809</v>
      </c>
      <c r="T2807" s="446" t="s">
        <v>324</v>
      </c>
      <c r="U2807" s="44"/>
      <c r="V2807" s="1418">
        <f t="shared" si="284"/>
        <v>0</v>
      </c>
      <c r="W2807" s="357"/>
      <c r="X2807" s="357"/>
      <c r="Y2807" s="357"/>
      <c r="Z2807" s="358"/>
      <c r="AA2807" s="359"/>
      <c r="AB2807" s="360"/>
    </row>
    <row r="2808" spans="1:36" s="361" customFormat="1" ht="15" hidden="1" customHeight="1">
      <c r="A2808" s="354"/>
      <c r="B2808" s="755"/>
      <c r="C2808" s="28"/>
      <c r="D2808" s="18"/>
      <c r="E2808" s="19"/>
      <c r="F2808" s="20"/>
      <c r="G2808" s="18"/>
      <c r="H2808" s="19"/>
      <c r="I2808" s="20"/>
      <c r="J2808" s="21"/>
      <c r="K2808" s="22"/>
      <c r="L2808" s="23"/>
      <c r="M2808" s="24"/>
      <c r="N2808" s="728"/>
      <c r="O2808" s="25"/>
      <c r="P2808" s="23"/>
      <c r="Q2808" s="729"/>
      <c r="R2808" s="445"/>
      <c r="S2808" s="792"/>
      <c r="T2808" s="446"/>
      <c r="U2808" s="44"/>
      <c r="V2808" s="1418">
        <f t="shared" si="284"/>
        <v>0</v>
      </c>
      <c r="W2808" s="357"/>
      <c r="X2808" s="357"/>
      <c r="Y2808" s="357"/>
      <c r="Z2808" s="358"/>
      <c r="AA2808" s="359"/>
      <c r="AB2808" s="360"/>
    </row>
    <row r="2809" spans="1:36" s="369" customFormat="1" ht="15" hidden="1">
      <c r="A2809" s="364"/>
      <c r="B2809" s="355"/>
      <c r="C2809" s="32"/>
      <c r="D2809" s="33"/>
      <c r="E2809" s="34"/>
      <c r="F2809" s="35"/>
      <c r="G2809" s="33"/>
      <c r="H2809" s="34"/>
      <c r="I2809" s="35"/>
      <c r="J2809" s="43"/>
      <c r="K2809" s="42"/>
      <c r="L2809" s="39"/>
      <c r="M2809" s="41"/>
      <c r="N2809" s="40"/>
      <c r="O2809" s="40"/>
      <c r="P2809" s="39"/>
      <c r="Q2809" s="38"/>
      <c r="R2809" s="365"/>
      <c r="S2809" s="366"/>
      <c r="T2809" s="46"/>
      <c r="U2809" s="44"/>
      <c r="V2809" s="1418">
        <f t="shared" si="284"/>
        <v>0</v>
      </c>
      <c r="W2809" s="367"/>
      <c r="X2809" s="367"/>
      <c r="Y2809" s="367"/>
      <c r="Z2809" s="368"/>
    </row>
    <row r="2810" spans="1:36" s="77" customFormat="1" ht="15" hidden="1">
      <c r="A2810" s="370"/>
      <c r="B2810" s="29"/>
      <c r="C2810" s="30"/>
      <c r="D2810" s="18"/>
      <c r="E2810" s="19"/>
      <c r="F2810" s="20"/>
      <c r="G2810" s="18"/>
      <c r="H2810" s="19"/>
      <c r="I2810" s="20"/>
      <c r="J2810" s="21"/>
      <c r="K2810" s="22"/>
      <c r="L2810" s="23"/>
      <c r="M2810" s="24"/>
      <c r="N2810" s="25"/>
      <c r="O2810" s="25"/>
      <c r="P2810" s="23"/>
      <c r="Q2810" s="26"/>
      <c r="R2810" s="371"/>
      <c r="S2810" s="27"/>
      <c r="T2810" s="372"/>
      <c r="U2810" s="31"/>
      <c r="V2810" s="1418">
        <f t="shared" si="284"/>
        <v>0</v>
      </c>
      <c r="AB2810" s="15"/>
    </row>
    <row r="2811" spans="1:36" s="77" customFormat="1" ht="15.6" hidden="1">
      <c r="A2811" s="370"/>
      <c r="B2811" s="499"/>
      <c r="C2811" s="37"/>
      <c r="D2811" s="1929" t="s">
        <v>1520</v>
      </c>
      <c r="E2811" s="1930"/>
      <c r="F2811" s="1930"/>
      <c r="G2811" s="1930"/>
      <c r="H2811" s="1930"/>
      <c r="I2811" s="1931"/>
      <c r="J2811" s="1932">
        <f>VLOOKUP(A2813,'11 - FINANCEIRA'!_xlnm.Print_Area,6,FALSE)</f>
        <v>50</v>
      </c>
      <c r="K2811" s="1933"/>
      <c r="L2811" s="1343" t="str">
        <f>VLOOKUP(A2813,'11 - FINANCEIRA'!_xlnm.Print_Area,4,FALSE)</f>
        <v>m</v>
      </c>
      <c r="M2811" s="1934" t="s">
        <v>1521</v>
      </c>
      <c r="N2811" s="1935"/>
      <c r="O2811" s="1935"/>
      <c r="P2811" s="1935"/>
      <c r="Q2811" s="1936"/>
      <c r="R2811" s="726">
        <f>SUM(R2807:R2810)</f>
        <v>50</v>
      </c>
      <c r="S2811" s="1344" t="str">
        <f>L2811</f>
        <v>m</v>
      </c>
      <c r="T2811" s="373"/>
      <c r="U2811" s="486"/>
      <c r="V2811" s="1418">
        <f t="shared" si="284"/>
        <v>0</v>
      </c>
      <c r="AB2811" s="15"/>
    </row>
    <row r="2812" spans="1:36" s="77" customFormat="1" ht="15.6" hidden="1">
      <c r="A2812" s="370"/>
      <c r="B2812" s="499"/>
      <c r="C2812" s="725"/>
      <c r="D2812" s="1937" t="s">
        <v>1522</v>
      </c>
      <c r="E2812" s="1938"/>
      <c r="F2812" s="1938"/>
      <c r="G2812" s="1938"/>
      <c r="H2812" s="1938"/>
      <c r="I2812" s="1939"/>
      <c r="J2812" s="1943">
        <f>R2811/J2811</f>
        <v>1</v>
      </c>
      <c r="K2812" s="1944"/>
      <c r="L2812" s="1947"/>
      <c r="M2812" s="1934" t="s">
        <v>1523</v>
      </c>
      <c r="N2812" s="1935"/>
      <c r="O2812" s="1935"/>
      <c r="P2812" s="1935"/>
      <c r="Q2812" s="1936"/>
      <c r="R2812" s="726">
        <f>VLOOKUP(A2813,'11 - FINANCEIRA'!_xlnm.Print_Area,8,FALSE)</f>
        <v>50</v>
      </c>
      <c r="S2812" s="727" t="str">
        <f>L2811</f>
        <v>m</v>
      </c>
      <c r="T2812" s="373"/>
      <c r="U2812" s="486"/>
      <c r="V2812" s="1418">
        <f t="shared" si="284"/>
        <v>0</v>
      </c>
      <c r="AB2812" s="15"/>
    </row>
    <row r="2813" spans="1:36" s="77" customFormat="1" ht="15.6" hidden="1">
      <c r="A2813" s="364" t="s">
        <v>589</v>
      </c>
      <c r="B2813" s="499"/>
      <c r="C2813" s="37"/>
      <c r="D2813" s="2013"/>
      <c r="E2813" s="2014"/>
      <c r="F2813" s="2014"/>
      <c r="G2813" s="2014"/>
      <c r="H2813" s="2014"/>
      <c r="I2813" s="2015"/>
      <c r="J2813" s="2016"/>
      <c r="K2813" s="2017"/>
      <c r="L2813" s="1962"/>
      <c r="M2813" s="2007" t="s">
        <v>1524</v>
      </c>
      <c r="N2813" s="2008"/>
      <c r="O2813" s="2008"/>
      <c r="P2813" s="2008"/>
      <c r="Q2813" s="2009"/>
      <c r="R2813" s="1345">
        <f>R2811-R2812</f>
        <v>0</v>
      </c>
      <c r="S2813" s="1346" t="str">
        <f>L2811</f>
        <v>m</v>
      </c>
      <c r="T2813" s="373"/>
      <c r="U2813" s="486"/>
      <c r="V2813" s="1418">
        <f>R2813</f>
        <v>0</v>
      </c>
      <c r="AB2813" s="15"/>
    </row>
    <row r="2814" spans="1:36" s="77" customFormat="1" ht="15.6" hidden="1">
      <c r="A2814" s="370"/>
      <c r="B2814" s="1347"/>
      <c r="C2814" s="1348"/>
      <c r="D2814" s="1349"/>
      <c r="E2814" s="1350"/>
      <c r="F2814" s="1349"/>
      <c r="G2814" s="1349"/>
      <c r="H2814" s="1349"/>
      <c r="I2814" s="1349"/>
      <c r="J2814" s="1351"/>
      <c r="K2814" s="1352"/>
      <c r="L2814" s="1353"/>
      <c r="M2814" s="1354"/>
      <c r="N2814" s="1354"/>
      <c r="O2814" s="1354"/>
      <c r="P2814" s="1354"/>
      <c r="Q2814" s="1354"/>
      <c r="R2814" s="1355"/>
      <c r="S2814" s="1356"/>
      <c r="T2814" s="1357"/>
      <c r="U2814" s="1358"/>
      <c r="V2814" s="1420">
        <f>SUM(V2805:V2813)</f>
        <v>0</v>
      </c>
      <c r="AB2814" s="15"/>
    </row>
    <row r="2815" spans="1:36" s="352" customFormat="1" ht="15.6" hidden="1">
      <c r="A2815" s="351"/>
      <c r="B2815" s="1963" t="str">
        <f>VLOOKUP(A2823,'11 - FINANCEIRA'!_xlnm.Print_Area,1,FALSE)</f>
        <v>2.5.2.3.28</v>
      </c>
      <c r="C2815" s="1965" t="str">
        <f>VLOOKUP(A2823,'11 - FINANCEIRA'!_xlnm.Print_Area,3,FALSE)</f>
        <v>Terminal a compressao em cobre estanhado para cabo 16 mm², 1 furo e 1 compressao, para parafuso de fixacao m6</v>
      </c>
      <c r="D2815" s="1967" t="s">
        <v>1503</v>
      </c>
      <c r="E2815" s="1968"/>
      <c r="F2815" s="1968"/>
      <c r="G2815" s="1968"/>
      <c r="H2815" s="1968"/>
      <c r="I2815" s="1969"/>
      <c r="J2815" s="1914" t="s">
        <v>1504</v>
      </c>
      <c r="K2815" s="1914" t="s">
        <v>1505</v>
      </c>
      <c r="L2815" s="1914" t="s">
        <v>1506</v>
      </c>
      <c r="M2815" s="1914" t="s">
        <v>1507</v>
      </c>
      <c r="N2815" s="1914" t="s">
        <v>1508</v>
      </c>
      <c r="O2815" s="1914" t="s">
        <v>1509</v>
      </c>
      <c r="P2815" s="1341" t="s">
        <v>1510</v>
      </c>
      <c r="Q2815" s="1914" t="s">
        <v>1493</v>
      </c>
      <c r="R2815" s="1916" t="s">
        <v>804</v>
      </c>
      <c r="S2815" s="1914" t="s">
        <v>1511</v>
      </c>
      <c r="T2815" s="1914" t="s">
        <v>1512</v>
      </c>
      <c r="U2815" s="1918" t="s">
        <v>1513</v>
      </c>
      <c r="V2815" s="1418">
        <f t="shared" ref="V2815:V2822" si="285">V2816</f>
        <v>0</v>
      </c>
      <c r="W2815" s="16"/>
      <c r="X2815" s="16"/>
      <c r="Y2815" s="16"/>
      <c r="Z2815" s="17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</row>
    <row r="2816" spans="1:36" s="352" customFormat="1" ht="15.6" hidden="1">
      <c r="A2816" s="351"/>
      <c r="B2816" s="1964" t="e">
        <f>LEFT(#REF!,5)</f>
        <v>#REF!</v>
      </c>
      <c r="C2816" s="1966" t="e">
        <f>VLOOKUP(LEFT(#REF!,5),'11 - FINANCEIRA'!_xlnm.Print_Area,2,FALSE)</f>
        <v>#REF!</v>
      </c>
      <c r="D2816" s="1920" t="s">
        <v>1514</v>
      </c>
      <c r="E2816" s="1921"/>
      <c r="F2816" s="1922"/>
      <c r="G2816" s="1923" t="s">
        <v>1515</v>
      </c>
      <c r="H2816" s="1924"/>
      <c r="I2816" s="1925"/>
      <c r="J2816" s="1915"/>
      <c r="K2816" s="1915"/>
      <c r="L2816" s="1915"/>
      <c r="M2816" s="1915"/>
      <c r="N2816" s="1915"/>
      <c r="O2816" s="1915"/>
      <c r="P2816" s="353" t="s">
        <v>1516</v>
      </c>
      <c r="Q2816" s="1915"/>
      <c r="R2816" s="1917"/>
      <c r="S2816" s="1915"/>
      <c r="T2816" s="1915"/>
      <c r="U2816" s="1919"/>
      <c r="V2816" s="1418">
        <f t="shared" si="285"/>
        <v>0</v>
      </c>
      <c r="W2816" s="16"/>
      <c r="X2816" s="16"/>
      <c r="Y2816" s="16"/>
      <c r="Z2816" s="17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</row>
    <row r="2817" spans="1:36" s="361" customFormat="1" ht="15" hidden="1" customHeight="1">
      <c r="A2817" s="354"/>
      <c r="B2817" s="755" t="s">
        <v>1935</v>
      </c>
      <c r="C2817" s="28" t="s">
        <v>1172</v>
      </c>
      <c r="D2817" s="18"/>
      <c r="E2817" s="19"/>
      <c r="F2817" s="20"/>
      <c r="G2817" s="18"/>
      <c r="H2817" s="19"/>
      <c r="I2817" s="20"/>
      <c r="J2817" s="21"/>
      <c r="K2817" s="22"/>
      <c r="L2817" s="23"/>
      <c r="M2817" s="24"/>
      <c r="N2817" s="728"/>
      <c r="O2817" s="25"/>
      <c r="P2817" s="23"/>
      <c r="Q2817" s="729"/>
      <c r="R2817" s="1109">
        <v>88</v>
      </c>
      <c r="S2817" s="730" t="s">
        <v>816</v>
      </c>
      <c r="T2817" s="446" t="s">
        <v>324</v>
      </c>
      <c r="U2817" s="44"/>
      <c r="V2817" s="1418">
        <f t="shared" si="285"/>
        <v>0</v>
      </c>
      <c r="W2817" s="357"/>
      <c r="X2817" s="357"/>
      <c r="Y2817" s="357"/>
      <c r="Z2817" s="358"/>
      <c r="AA2817" s="359"/>
      <c r="AB2817" s="360"/>
    </row>
    <row r="2818" spans="1:36" s="361" customFormat="1" ht="15" hidden="1" customHeight="1">
      <c r="A2818" s="354"/>
      <c r="B2818" s="355"/>
      <c r="C2818" s="32"/>
      <c r="D2818" s="33"/>
      <c r="E2818" s="34"/>
      <c r="F2818" s="35"/>
      <c r="G2818" s="33"/>
      <c r="H2818" s="34"/>
      <c r="I2818" s="35"/>
      <c r="J2818" s="43"/>
      <c r="K2818" s="42"/>
      <c r="L2818" s="39"/>
      <c r="M2818" s="41"/>
      <c r="N2818" s="356"/>
      <c r="O2818" s="40"/>
      <c r="P2818" s="39"/>
      <c r="Q2818" s="45"/>
      <c r="R2818" s="362"/>
      <c r="S2818" s="363"/>
      <c r="T2818" s="46"/>
      <c r="U2818" s="44"/>
      <c r="V2818" s="1418">
        <f t="shared" si="285"/>
        <v>0</v>
      </c>
      <c r="W2818" s="357"/>
      <c r="X2818" s="357"/>
      <c r="Y2818" s="357"/>
      <c r="Z2818" s="358"/>
      <c r="AA2818" s="359"/>
      <c r="AB2818" s="360"/>
    </row>
    <row r="2819" spans="1:36" s="369" customFormat="1" ht="15" hidden="1">
      <c r="A2819" s="364"/>
      <c r="B2819" s="355"/>
      <c r="C2819" s="32"/>
      <c r="D2819" s="33"/>
      <c r="E2819" s="34"/>
      <c r="F2819" s="35"/>
      <c r="G2819" s="33"/>
      <c r="H2819" s="34"/>
      <c r="I2819" s="35"/>
      <c r="J2819" s="43"/>
      <c r="K2819" s="42"/>
      <c r="L2819" s="39"/>
      <c r="M2819" s="41"/>
      <c r="N2819" s="40"/>
      <c r="O2819" s="40"/>
      <c r="P2819" s="39"/>
      <c r="Q2819" s="38"/>
      <c r="R2819" s="365"/>
      <c r="S2819" s="366"/>
      <c r="T2819" s="46"/>
      <c r="U2819" s="44"/>
      <c r="V2819" s="1418">
        <f t="shared" si="285"/>
        <v>0</v>
      </c>
      <c r="W2819" s="367"/>
      <c r="X2819" s="367"/>
      <c r="Y2819" s="367"/>
      <c r="Z2819" s="368"/>
    </row>
    <row r="2820" spans="1:36" s="77" customFormat="1" ht="15" hidden="1">
      <c r="A2820" s="370"/>
      <c r="B2820" s="29"/>
      <c r="C2820" s="30"/>
      <c r="D2820" s="18"/>
      <c r="E2820" s="19"/>
      <c r="F2820" s="20"/>
      <c r="G2820" s="18"/>
      <c r="H2820" s="19"/>
      <c r="I2820" s="20"/>
      <c r="J2820" s="21"/>
      <c r="K2820" s="22"/>
      <c r="L2820" s="23"/>
      <c r="M2820" s="24"/>
      <c r="N2820" s="25"/>
      <c r="O2820" s="25"/>
      <c r="P2820" s="23"/>
      <c r="Q2820" s="26"/>
      <c r="R2820" s="371"/>
      <c r="S2820" s="27"/>
      <c r="T2820" s="372"/>
      <c r="U2820" s="31"/>
      <c r="V2820" s="1418">
        <f t="shared" si="285"/>
        <v>0</v>
      </c>
      <c r="AB2820" s="15"/>
    </row>
    <row r="2821" spans="1:36" s="77" customFormat="1" ht="15.6" hidden="1">
      <c r="A2821" s="370"/>
      <c r="B2821" s="499"/>
      <c r="C2821" s="37"/>
      <c r="D2821" s="1929" t="s">
        <v>1520</v>
      </c>
      <c r="E2821" s="1930"/>
      <c r="F2821" s="1930"/>
      <c r="G2821" s="1930"/>
      <c r="H2821" s="1930"/>
      <c r="I2821" s="1931"/>
      <c r="J2821" s="1932">
        <f>VLOOKUP(A2823,'11 - FINANCEIRA'!_xlnm.Print_Area,6,FALSE)</f>
        <v>88</v>
      </c>
      <c r="K2821" s="1933"/>
      <c r="L2821" s="1343" t="str">
        <f>VLOOKUP(A2823,'11 - FINANCEIRA'!_xlnm.Print_Area,4,FALSE)</f>
        <v>und</v>
      </c>
      <c r="M2821" s="1934" t="s">
        <v>1521</v>
      </c>
      <c r="N2821" s="1935"/>
      <c r="O2821" s="1935"/>
      <c r="P2821" s="1935"/>
      <c r="Q2821" s="1936"/>
      <c r="R2821" s="726">
        <f>SUM(R2817:R2820)</f>
        <v>88</v>
      </c>
      <c r="S2821" s="1344" t="str">
        <f>L2821</f>
        <v>und</v>
      </c>
      <c r="T2821" s="373"/>
      <c r="U2821" s="486"/>
      <c r="V2821" s="1418">
        <f t="shared" si="285"/>
        <v>0</v>
      </c>
      <c r="AB2821" s="15"/>
    </row>
    <row r="2822" spans="1:36" s="77" customFormat="1" ht="15.6" hidden="1">
      <c r="A2822" s="370"/>
      <c r="B2822" s="499"/>
      <c r="C2822" s="725"/>
      <c r="D2822" s="1937" t="s">
        <v>1522</v>
      </c>
      <c r="E2822" s="1938"/>
      <c r="F2822" s="1938"/>
      <c r="G2822" s="1938"/>
      <c r="H2822" s="1938"/>
      <c r="I2822" s="1939"/>
      <c r="J2822" s="1943">
        <f>R2821/J2821</f>
        <v>1</v>
      </c>
      <c r="K2822" s="1944"/>
      <c r="L2822" s="1947"/>
      <c r="M2822" s="1934" t="s">
        <v>1523</v>
      </c>
      <c r="N2822" s="1935"/>
      <c r="O2822" s="1935"/>
      <c r="P2822" s="1935"/>
      <c r="Q2822" s="1936"/>
      <c r="R2822" s="726">
        <f>VLOOKUP(A2823,'11 - FINANCEIRA'!_xlnm.Print_Area,8,FALSE)</f>
        <v>88</v>
      </c>
      <c r="S2822" s="727" t="str">
        <f>L2821</f>
        <v>und</v>
      </c>
      <c r="T2822" s="373"/>
      <c r="U2822" s="486"/>
      <c r="V2822" s="1418">
        <f t="shared" si="285"/>
        <v>0</v>
      </c>
      <c r="AB2822" s="15"/>
    </row>
    <row r="2823" spans="1:36" s="77" customFormat="1" ht="15.6" hidden="1">
      <c r="A2823" s="364" t="s">
        <v>590</v>
      </c>
      <c r="B2823" s="499"/>
      <c r="C2823" s="37"/>
      <c r="D2823" s="2013"/>
      <c r="E2823" s="2014"/>
      <c r="F2823" s="2014"/>
      <c r="G2823" s="2014"/>
      <c r="H2823" s="2014"/>
      <c r="I2823" s="2015"/>
      <c r="J2823" s="2016"/>
      <c r="K2823" s="2017"/>
      <c r="L2823" s="1962"/>
      <c r="M2823" s="2007" t="s">
        <v>1524</v>
      </c>
      <c r="N2823" s="2008"/>
      <c r="O2823" s="2008"/>
      <c r="P2823" s="2008"/>
      <c r="Q2823" s="2009"/>
      <c r="R2823" s="1345">
        <f>R2821-R2822</f>
        <v>0</v>
      </c>
      <c r="S2823" s="1346" t="str">
        <f>L2821</f>
        <v>und</v>
      </c>
      <c r="T2823" s="373"/>
      <c r="U2823" s="486"/>
      <c r="V2823" s="1418">
        <f>R2823</f>
        <v>0</v>
      </c>
      <c r="AB2823" s="15"/>
    </row>
    <row r="2824" spans="1:36" s="77" customFormat="1" ht="15.6" hidden="1">
      <c r="A2824" s="370"/>
      <c r="B2824" s="1347"/>
      <c r="C2824" s="1348"/>
      <c r="D2824" s="1349"/>
      <c r="E2824" s="1350"/>
      <c r="F2824" s="1349"/>
      <c r="G2824" s="1349"/>
      <c r="H2824" s="1349"/>
      <c r="I2824" s="1349"/>
      <c r="J2824" s="1351"/>
      <c r="K2824" s="1352"/>
      <c r="L2824" s="1353"/>
      <c r="M2824" s="1354"/>
      <c r="N2824" s="1354"/>
      <c r="O2824" s="1354"/>
      <c r="P2824" s="1354"/>
      <c r="Q2824" s="1354"/>
      <c r="R2824" s="1355"/>
      <c r="S2824" s="1356"/>
      <c r="T2824" s="1357"/>
      <c r="U2824" s="1358"/>
      <c r="V2824" s="1420">
        <f>SUM(V2815:V2823)</f>
        <v>0</v>
      </c>
      <c r="AB2824" s="15"/>
    </row>
    <row r="2825" spans="1:36" s="352" customFormat="1" ht="15.6" hidden="1">
      <c r="A2825" s="351"/>
      <c r="B2825" s="1963" t="str">
        <f>VLOOKUP(A2833,'11 - FINANCEIRA'!_xlnm.Print_Area,1,FALSE)</f>
        <v>2.5.2.3.29</v>
      </c>
      <c r="C2825" s="1965" t="str">
        <f>VLOOKUP(A2833,'11 - FINANCEIRA'!_xlnm.Print_Area,3,FALSE)</f>
        <v>Terminal metalico a pressao para 1 cabo de 25 mm², com 1 furo de fixacao</v>
      </c>
      <c r="D2825" s="1967" t="s">
        <v>1503</v>
      </c>
      <c r="E2825" s="1968"/>
      <c r="F2825" s="1968"/>
      <c r="G2825" s="1968"/>
      <c r="H2825" s="1968"/>
      <c r="I2825" s="1969"/>
      <c r="J2825" s="1914" t="s">
        <v>1504</v>
      </c>
      <c r="K2825" s="1914" t="s">
        <v>1505</v>
      </c>
      <c r="L2825" s="1914" t="s">
        <v>1506</v>
      </c>
      <c r="M2825" s="1914" t="s">
        <v>1507</v>
      </c>
      <c r="N2825" s="1914" t="s">
        <v>1508</v>
      </c>
      <c r="O2825" s="1914" t="s">
        <v>1509</v>
      </c>
      <c r="P2825" s="1341" t="s">
        <v>1510</v>
      </c>
      <c r="Q2825" s="1914" t="s">
        <v>1493</v>
      </c>
      <c r="R2825" s="1916" t="s">
        <v>804</v>
      </c>
      <c r="S2825" s="1914" t="s">
        <v>1511</v>
      </c>
      <c r="T2825" s="1914" t="s">
        <v>1512</v>
      </c>
      <c r="U2825" s="1918" t="s">
        <v>1513</v>
      </c>
      <c r="V2825" s="1418">
        <f t="shared" ref="V2825:V2832" si="286">V2826</f>
        <v>0</v>
      </c>
      <c r="W2825" s="16"/>
      <c r="X2825" s="16"/>
      <c r="Y2825" s="16"/>
      <c r="Z2825" s="17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</row>
    <row r="2826" spans="1:36" s="352" customFormat="1" ht="15.6" hidden="1">
      <c r="A2826" s="354"/>
      <c r="B2826" s="1964" t="e">
        <f>LEFT(#REF!,5)</f>
        <v>#REF!</v>
      </c>
      <c r="C2826" s="1966" t="e">
        <f>VLOOKUP(LEFT(#REF!,5),'11 - FINANCEIRA'!_xlnm.Print_Area,2,FALSE)</f>
        <v>#REF!</v>
      </c>
      <c r="D2826" s="1920" t="s">
        <v>1514</v>
      </c>
      <c r="E2826" s="1921"/>
      <c r="F2826" s="1922"/>
      <c r="G2826" s="1923" t="s">
        <v>1515</v>
      </c>
      <c r="H2826" s="1924"/>
      <c r="I2826" s="1925"/>
      <c r="J2826" s="1915"/>
      <c r="K2826" s="1915"/>
      <c r="L2826" s="1915"/>
      <c r="M2826" s="1915"/>
      <c r="N2826" s="1915"/>
      <c r="O2826" s="1915"/>
      <c r="P2826" s="353" t="s">
        <v>1516</v>
      </c>
      <c r="Q2826" s="1915"/>
      <c r="R2826" s="1917"/>
      <c r="S2826" s="1915"/>
      <c r="T2826" s="1915"/>
      <c r="U2826" s="1919"/>
      <c r="V2826" s="1418">
        <f t="shared" si="286"/>
        <v>0</v>
      </c>
      <c r="W2826" s="16"/>
      <c r="X2826" s="16"/>
      <c r="Y2826" s="16"/>
      <c r="Z2826" s="17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</row>
    <row r="2827" spans="1:36" s="361" customFormat="1" ht="15" hidden="1" customHeight="1">
      <c r="A2827" s="354"/>
      <c r="B2827" s="755" t="s">
        <v>1936</v>
      </c>
      <c r="C2827" s="28" t="s">
        <v>1174</v>
      </c>
      <c r="D2827" s="18"/>
      <c r="E2827" s="19"/>
      <c r="F2827" s="20"/>
      <c r="G2827" s="18"/>
      <c r="H2827" s="19"/>
      <c r="I2827" s="20"/>
      <c r="J2827" s="21"/>
      <c r="K2827" s="22"/>
      <c r="L2827" s="23"/>
      <c r="M2827" s="24"/>
      <c r="N2827" s="728"/>
      <c r="O2827" s="25"/>
      <c r="P2827" s="23"/>
      <c r="Q2827" s="729"/>
      <c r="R2827" s="1109">
        <v>10</v>
      </c>
      <c r="S2827" s="730" t="s">
        <v>816</v>
      </c>
      <c r="T2827" s="446" t="s">
        <v>324</v>
      </c>
      <c r="U2827" s="44"/>
      <c r="V2827" s="1418">
        <f t="shared" si="286"/>
        <v>0</v>
      </c>
      <c r="W2827" s="357"/>
      <c r="X2827" s="357"/>
      <c r="Y2827" s="357"/>
      <c r="Z2827" s="358"/>
      <c r="AA2827" s="359"/>
      <c r="AB2827" s="360"/>
    </row>
    <row r="2828" spans="1:36" s="361" customFormat="1" ht="15" hidden="1" customHeight="1">
      <c r="A2828" s="364"/>
      <c r="B2828" s="355"/>
      <c r="C2828" s="32"/>
      <c r="D2828" s="33"/>
      <c r="E2828" s="34"/>
      <c r="F2828" s="35"/>
      <c r="G2828" s="33"/>
      <c r="H2828" s="34"/>
      <c r="I2828" s="35"/>
      <c r="J2828" s="43"/>
      <c r="K2828" s="42"/>
      <c r="L2828" s="39"/>
      <c r="M2828" s="41"/>
      <c r="N2828" s="356"/>
      <c r="O2828" s="40"/>
      <c r="P2828" s="39"/>
      <c r="Q2828" s="45"/>
      <c r="R2828" s="362"/>
      <c r="S2828" s="363"/>
      <c r="T2828" s="46"/>
      <c r="U2828" s="44"/>
      <c r="V2828" s="1418">
        <f t="shared" si="286"/>
        <v>0</v>
      </c>
      <c r="W2828" s="357"/>
      <c r="X2828" s="357"/>
      <c r="Y2828" s="357"/>
      <c r="Z2828" s="358"/>
      <c r="AA2828" s="359"/>
      <c r="AB2828" s="360"/>
    </row>
    <row r="2829" spans="1:36" s="369" customFormat="1" ht="15" hidden="1">
      <c r="A2829" s="370"/>
      <c r="B2829" s="355"/>
      <c r="C2829" s="32"/>
      <c r="D2829" s="33"/>
      <c r="E2829" s="34"/>
      <c r="F2829" s="35"/>
      <c r="G2829" s="33"/>
      <c r="H2829" s="34"/>
      <c r="I2829" s="35"/>
      <c r="J2829" s="43"/>
      <c r="K2829" s="42"/>
      <c r="L2829" s="39"/>
      <c r="M2829" s="41"/>
      <c r="N2829" s="40"/>
      <c r="O2829" s="40"/>
      <c r="P2829" s="39"/>
      <c r="Q2829" s="38"/>
      <c r="R2829" s="365"/>
      <c r="S2829" s="366"/>
      <c r="T2829" s="46"/>
      <c r="U2829" s="44"/>
      <c r="V2829" s="1418">
        <f t="shared" si="286"/>
        <v>0</v>
      </c>
      <c r="W2829" s="367"/>
      <c r="X2829" s="367"/>
      <c r="Y2829" s="367"/>
      <c r="Z2829" s="368"/>
    </row>
    <row r="2830" spans="1:36" s="77" customFormat="1" ht="15" hidden="1">
      <c r="A2830" s="370"/>
      <c r="B2830" s="29"/>
      <c r="C2830" s="30"/>
      <c r="D2830" s="18"/>
      <c r="E2830" s="19"/>
      <c r="F2830" s="20"/>
      <c r="G2830" s="18"/>
      <c r="H2830" s="19"/>
      <c r="I2830" s="20"/>
      <c r="J2830" s="21"/>
      <c r="K2830" s="22"/>
      <c r="L2830" s="23"/>
      <c r="M2830" s="24"/>
      <c r="N2830" s="25"/>
      <c r="O2830" s="25"/>
      <c r="P2830" s="23"/>
      <c r="Q2830" s="26"/>
      <c r="R2830" s="371"/>
      <c r="S2830" s="27"/>
      <c r="T2830" s="372"/>
      <c r="U2830" s="31"/>
      <c r="V2830" s="1418">
        <f t="shared" si="286"/>
        <v>0</v>
      </c>
      <c r="AB2830" s="15"/>
    </row>
    <row r="2831" spans="1:36" s="77" customFormat="1" ht="15.6" hidden="1">
      <c r="A2831" s="370"/>
      <c r="B2831" s="499"/>
      <c r="C2831" s="37"/>
      <c r="D2831" s="1929" t="s">
        <v>1520</v>
      </c>
      <c r="E2831" s="1930"/>
      <c r="F2831" s="1930"/>
      <c r="G2831" s="1930"/>
      <c r="H2831" s="1930"/>
      <c r="I2831" s="1931"/>
      <c r="J2831" s="1932">
        <f>VLOOKUP(A2833,'11 - FINANCEIRA'!_xlnm.Print_Area,6,FALSE)</f>
        <v>10</v>
      </c>
      <c r="K2831" s="1933"/>
      <c r="L2831" s="1343" t="str">
        <f>VLOOKUP(A2833,'11 - FINANCEIRA'!_xlnm.Print_Area,4,FALSE)</f>
        <v>und</v>
      </c>
      <c r="M2831" s="1934" t="s">
        <v>1521</v>
      </c>
      <c r="N2831" s="1935"/>
      <c r="O2831" s="1935"/>
      <c r="P2831" s="1935"/>
      <c r="Q2831" s="1936"/>
      <c r="R2831" s="726">
        <f>SUM(R2827:R2830)</f>
        <v>10</v>
      </c>
      <c r="S2831" s="1344" t="str">
        <f>L2831</f>
        <v>und</v>
      </c>
      <c r="T2831" s="373"/>
      <c r="U2831" s="486"/>
      <c r="V2831" s="1418">
        <f t="shared" si="286"/>
        <v>0</v>
      </c>
      <c r="AB2831" s="15"/>
    </row>
    <row r="2832" spans="1:36" s="77" customFormat="1" ht="15.6" hidden="1">
      <c r="A2832" s="364"/>
      <c r="B2832" s="499"/>
      <c r="C2832" s="725"/>
      <c r="D2832" s="1937" t="s">
        <v>1522</v>
      </c>
      <c r="E2832" s="1938"/>
      <c r="F2832" s="1938"/>
      <c r="G2832" s="1938"/>
      <c r="H2832" s="1938"/>
      <c r="I2832" s="1939"/>
      <c r="J2832" s="1943">
        <f>R2831/J2831</f>
        <v>1</v>
      </c>
      <c r="K2832" s="1944"/>
      <c r="L2832" s="1947"/>
      <c r="M2832" s="1934" t="s">
        <v>1523</v>
      </c>
      <c r="N2832" s="1935"/>
      <c r="O2832" s="1935"/>
      <c r="P2832" s="1935"/>
      <c r="Q2832" s="1936"/>
      <c r="R2832" s="726">
        <f>VLOOKUP(A2833,'11 - FINANCEIRA'!_xlnm.Print_Area,8,FALSE)</f>
        <v>10</v>
      </c>
      <c r="S2832" s="727" t="str">
        <f>L2831</f>
        <v>und</v>
      </c>
      <c r="T2832" s="373"/>
      <c r="U2832" s="486"/>
      <c r="V2832" s="1418">
        <f t="shared" si="286"/>
        <v>0</v>
      </c>
      <c r="AB2832" s="15"/>
    </row>
    <row r="2833" spans="1:36" s="77" customFormat="1" ht="15.6" hidden="1">
      <c r="A2833" s="364" t="s">
        <v>591</v>
      </c>
      <c r="B2833" s="499"/>
      <c r="C2833" s="37"/>
      <c r="D2833" s="2013"/>
      <c r="E2833" s="2014"/>
      <c r="F2833" s="2014"/>
      <c r="G2833" s="2014"/>
      <c r="H2833" s="2014"/>
      <c r="I2833" s="2015"/>
      <c r="J2833" s="2016"/>
      <c r="K2833" s="2017"/>
      <c r="L2833" s="1962"/>
      <c r="M2833" s="2007" t="s">
        <v>1524</v>
      </c>
      <c r="N2833" s="2008"/>
      <c r="O2833" s="2008"/>
      <c r="P2833" s="2008"/>
      <c r="Q2833" s="2009"/>
      <c r="R2833" s="1345">
        <f>R2831-R2832</f>
        <v>0</v>
      </c>
      <c r="S2833" s="1346" t="str">
        <f>L2831</f>
        <v>und</v>
      </c>
      <c r="T2833" s="373"/>
      <c r="U2833" s="486"/>
      <c r="V2833" s="1418">
        <f>R2833</f>
        <v>0</v>
      </c>
      <c r="AB2833" s="15"/>
    </row>
    <row r="2834" spans="1:36" s="77" customFormat="1" ht="15.6" hidden="1">
      <c r="A2834" s="370"/>
      <c r="B2834" s="1347"/>
      <c r="C2834" s="1348"/>
      <c r="D2834" s="1349"/>
      <c r="E2834" s="1350"/>
      <c r="F2834" s="1349"/>
      <c r="G2834" s="1349"/>
      <c r="H2834" s="1349"/>
      <c r="I2834" s="1349"/>
      <c r="J2834" s="1351"/>
      <c r="K2834" s="1352"/>
      <c r="L2834" s="1353"/>
      <c r="M2834" s="1354"/>
      <c r="N2834" s="1354"/>
      <c r="O2834" s="1354"/>
      <c r="P2834" s="1354"/>
      <c r="Q2834" s="1354"/>
      <c r="R2834" s="1355"/>
      <c r="S2834" s="1356"/>
      <c r="T2834" s="1357"/>
      <c r="U2834" s="1358"/>
      <c r="V2834" s="1420">
        <f>SUM(V2825:V2833)</f>
        <v>0</v>
      </c>
      <c r="AB2834" s="15"/>
    </row>
    <row r="2835" spans="1:36" s="352" customFormat="1" ht="15.6" hidden="1">
      <c r="A2835" s="351"/>
      <c r="B2835" s="1963" t="str">
        <f>VLOOKUP(A2843,'11 - FINANCEIRA'!_xlnm.Print_Area,1,FALSE)</f>
        <v>2.5.2.3.30</v>
      </c>
      <c r="C2835" s="1965" t="str">
        <f>VLOOKUP(A2843,'11 - FINANCEIRA'!_xlnm.Print_Area,3,FALSE)</f>
        <v>Terminal a compressao em cobre estanhado para cabo 95 mm², 1 furo e 1 compressao, para parafuso de fixacao m12</v>
      </c>
      <c r="D2835" s="1967" t="s">
        <v>1503</v>
      </c>
      <c r="E2835" s="1968"/>
      <c r="F2835" s="1968"/>
      <c r="G2835" s="1968"/>
      <c r="H2835" s="1968"/>
      <c r="I2835" s="1969"/>
      <c r="J2835" s="1914" t="s">
        <v>1504</v>
      </c>
      <c r="K2835" s="1914" t="s">
        <v>1505</v>
      </c>
      <c r="L2835" s="1914" t="s">
        <v>1506</v>
      </c>
      <c r="M2835" s="1914" t="s">
        <v>1507</v>
      </c>
      <c r="N2835" s="1914" t="s">
        <v>1508</v>
      </c>
      <c r="O2835" s="1914" t="s">
        <v>1509</v>
      </c>
      <c r="P2835" s="1341" t="s">
        <v>1510</v>
      </c>
      <c r="Q2835" s="1914" t="s">
        <v>1493</v>
      </c>
      <c r="R2835" s="1916" t="s">
        <v>804</v>
      </c>
      <c r="S2835" s="1914" t="s">
        <v>1511</v>
      </c>
      <c r="T2835" s="1914" t="s">
        <v>1512</v>
      </c>
      <c r="U2835" s="1918" t="s">
        <v>1513</v>
      </c>
      <c r="V2835" s="1418">
        <f t="shared" ref="V2835:V2842" si="287">V2836</f>
        <v>0</v>
      </c>
      <c r="W2835" s="16"/>
      <c r="X2835" s="16"/>
      <c r="Y2835" s="16"/>
      <c r="Z2835" s="17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</row>
    <row r="2836" spans="1:36" s="352" customFormat="1" ht="15.6" hidden="1">
      <c r="A2836" s="351"/>
      <c r="B2836" s="1964" t="e">
        <f>LEFT(#REF!,5)</f>
        <v>#REF!</v>
      </c>
      <c r="C2836" s="1966" t="e">
        <f>VLOOKUP(LEFT(#REF!,5),'11 - FINANCEIRA'!_xlnm.Print_Area,2,FALSE)</f>
        <v>#REF!</v>
      </c>
      <c r="D2836" s="1920" t="s">
        <v>1514</v>
      </c>
      <c r="E2836" s="1921"/>
      <c r="F2836" s="1922"/>
      <c r="G2836" s="1923" t="s">
        <v>1515</v>
      </c>
      <c r="H2836" s="1924"/>
      <c r="I2836" s="1925"/>
      <c r="J2836" s="1915"/>
      <c r="K2836" s="1915"/>
      <c r="L2836" s="1915"/>
      <c r="M2836" s="1915"/>
      <c r="N2836" s="1915"/>
      <c r="O2836" s="1915"/>
      <c r="P2836" s="353" t="s">
        <v>1516</v>
      </c>
      <c r="Q2836" s="1915"/>
      <c r="R2836" s="1917"/>
      <c r="S2836" s="1915"/>
      <c r="T2836" s="1915"/>
      <c r="U2836" s="1919"/>
      <c r="V2836" s="1418">
        <f t="shared" si="287"/>
        <v>0</v>
      </c>
      <c r="W2836" s="16"/>
      <c r="X2836" s="16"/>
      <c r="Y2836" s="16"/>
      <c r="Z2836" s="17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</row>
    <row r="2837" spans="1:36" s="361" customFormat="1" ht="15" hidden="1" customHeight="1">
      <c r="A2837" s="354"/>
      <c r="B2837" s="755" t="s">
        <v>1937</v>
      </c>
      <c r="C2837" s="28" t="s">
        <v>1176</v>
      </c>
      <c r="D2837" s="18"/>
      <c r="E2837" s="19"/>
      <c r="F2837" s="20"/>
      <c r="G2837" s="18"/>
      <c r="H2837" s="19"/>
      <c r="I2837" s="20"/>
      <c r="J2837" s="21"/>
      <c r="K2837" s="22"/>
      <c r="L2837" s="23"/>
      <c r="M2837" s="24"/>
      <c r="N2837" s="728"/>
      <c r="O2837" s="25"/>
      <c r="P2837" s="23"/>
      <c r="Q2837" s="729"/>
      <c r="R2837" s="1109">
        <v>48</v>
      </c>
      <c r="S2837" s="730" t="s">
        <v>816</v>
      </c>
      <c r="T2837" s="446" t="s">
        <v>324</v>
      </c>
      <c r="U2837" s="44"/>
      <c r="V2837" s="1418">
        <f t="shared" si="287"/>
        <v>0</v>
      </c>
      <c r="W2837" s="357"/>
      <c r="X2837" s="357"/>
      <c r="Y2837" s="357"/>
      <c r="Z2837" s="358"/>
      <c r="AA2837" s="359"/>
      <c r="AB2837" s="360"/>
    </row>
    <row r="2838" spans="1:36" s="361" customFormat="1" ht="15" hidden="1" customHeight="1">
      <c r="A2838" s="354"/>
      <c r="B2838" s="355"/>
      <c r="C2838" s="32"/>
      <c r="D2838" s="33"/>
      <c r="E2838" s="34"/>
      <c r="F2838" s="35"/>
      <c r="G2838" s="33"/>
      <c r="H2838" s="34"/>
      <c r="I2838" s="35"/>
      <c r="J2838" s="43"/>
      <c r="K2838" s="42"/>
      <c r="L2838" s="39"/>
      <c r="M2838" s="41"/>
      <c r="N2838" s="356"/>
      <c r="O2838" s="40"/>
      <c r="P2838" s="39"/>
      <c r="Q2838" s="45"/>
      <c r="R2838" s="362"/>
      <c r="S2838" s="363"/>
      <c r="T2838" s="46"/>
      <c r="U2838" s="44"/>
      <c r="V2838" s="1418">
        <f t="shared" si="287"/>
        <v>0</v>
      </c>
      <c r="W2838" s="357"/>
      <c r="X2838" s="357"/>
      <c r="Y2838" s="357"/>
      <c r="Z2838" s="358"/>
      <c r="AA2838" s="359"/>
      <c r="AB2838" s="360"/>
    </row>
    <row r="2839" spans="1:36" s="369" customFormat="1" ht="15" hidden="1">
      <c r="A2839" s="364"/>
      <c r="B2839" s="355"/>
      <c r="C2839" s="32"/>
      <c r="D2839" s="33"/>
      <c r="E2839" s="34"/>
      <c r="F2839" s="35"/>
      <c r="G2839" s="33"/>
      <c r="H2839" s="34"/>
      <c r="I2839" s="35"/>
      <c r="J2839" s="43"/>
      <c r="K2839" s="42"/>
      <c r="L2839" s="39"/>
      <c r="M2839" s="41"/>
      <c r="N2839" s="40"/>
      <c r="O2839" s="40"/>
      <c r="P2839" s="39"/>
      <c r="Q2839" s="38"/>
      <c r="R2839" s="365"/>
      <c r="S2839" s="366"/>
      <c r="T2839" s="46"/>
      <c r="U2839" s="44"/>
      <c r="V2839" s="1418">
        <f t="shared" si="287"/>
        <v>0</v>
      </c>
      <c r="W2839" s="367"/>
      <c r="X2839" s="367"/>
      <c r="Y2839" s="367"/>
      <c r="Z2839" s="368"/>
    </row>
    <row r="2840" spans="1:36" s="77" customFormat="1" ht="15" hidden="1">
      <c r="A2840" s="370"/>
      <c r="B2840" s="29"/>
      <c r="C2840" s="30"/>
      <c r="D2840" s="18"/>
      <c r="E2840" s="19"/>
      <c r="F2840" s="20"/>
      <c r="G2840" s="18"/>
      <c r="H2840" s="19"/>
      <c r="I2840" s="20"/>
      <c r="J2840" s="21"/>
      <c r="K2840" s="22"/>
      <c r="L2840" s="23"/>
      <c r="M2840" s="24"/>
      <c r="N2840" s="25"/>
      <c r="O2840" s="25"/>
      <c r="P2840" s="23"/>
      <c r="Q2840" s="26"/>
      <c r="R2840" s="371"/>
      <c r="S2840" s="27"/>
      <c r="T2840" s="372"/>
      <c r="U2840" s="31"/>
      <c r="V2840" s="1418">
        <f t="shared" si="287"/>
        <v>0</v>
      </c>
      <c r="AB2840" s="15"/>
    </row>
    <row r="2841" spans="1:36" s="77" customFormat="1" ht="15.6" hidden="1">
      <c r="A2841" s="370"/>
      <c r="B2841" s="499"/>
      <c r="C2841" s="37"/>
      <c r="D2841" s="1929" t="s">
        <v>1520</v>
      </c>
      <c r="E2841" s="1930"/>
      <c r="F2841" s="1930"/>
      <c r="G2841" s="1930"/>
      <c r="H2841" s="1930"/>
      <c r="I2841" s="1931"/>
      <c r="J2841" s="1932">
        <f>VLOOKUP(A2843,'11 - FINANCEIRA'!_xlnm.Print_Area,6,FALSE)</f>
        <v>48</v>
      </c>
      <c r="K2841" s="1933"/>
      <c r="L2841" s="1343" t="str">
        <f>VLOOKUP(A2843,'11 - FINANCEIRA'!_xlnm.Print_Area,4,FALSE)</f>
        <v>und</v>
      </c>
      <c r="M2841" s="1934" t="s">
        <v>1521</v>
      </c>
      <c r="N2841" s="1935"/>
      <c r="O2841" s="1935"/>
      <c r="P2841" s="1935"/>
      <c r="Q2841" s="1936"/>
      <c r="R2841" s="726">
        <f>SUM(R2837:R2840)</f>
        <v>48</v>
      </c>
      <c r="S2841" s="1344" t="str">
        <f>L2841</f>
        <v>und</v>
      </c>
      <c r="T2841" s="373"/>
      <c r="U2841" s="486"/>
      <c r="V2841" s="1418">
        <f t="shared" si="287"/>
        <v>0</v>
      </c>
      <c r="AB2841" s="15"/>
    </row>
    <row r="2842" spans="1:36" s="77" customFormat="1" ht="15.6" hidden="1">
      <c r="A2842" s="370"/>
      <c r="B2842" s="499"/>
      <c r="C2842" s="725"/>
      <c r="D2842" s="1937" t="s">
        <v>1522</v>
      </c>
      <c r="E2842" s="1938"/>
      <c r="F2842" s="1938"/>
      <c r="G2842" s="1938"/>
      <c r="H2842" s="1938"/>
      <c r="I2842" s="1939"/>
      <c r="J2842" s="1943">
        <f>R2841/J2841</f>
        <v>1</v>
      </c>
      <c r="K2842" s="1944"/>
      <c r="L2842" s="1947"/>
      <c r="M2842" s="1934" t="s">
        <v>1523</v>
      </c>
      <c r="N2842" s="1935"/>
      <c r="O2842" s="1935"/>
      <c r="P2842" s="1935"/>
      <c r="Q2842" s="1936"/>
      <c r="R2842" s="726">
        <f>VLOOKUP(A2843,'11 - FINANCEIRA'!_xlnm.Print_Area,8,FALSE)</f>
        <v>48</v>
      </c>
      <c r="S2842" s="727" t="str">
        <f>L2841</f>
        <v>und</v>
      </c>
      <c r="T2842" s="373"/>
      <c r="U2842" s="486"/>
      <c r="V2842" s="1418">
        <f t="shared" si="287"/>
        <v>0</v>
      </c>
      <c r="AB2842" s="15"/>
    </row>
    <row r="2843" spans="1:36" s="77" customFormat="1" ht="15.6" hidden="1">
      <c r="A2843" s="364" t="s">
        <v>592</v>
      </c>
      <c r="B2843" s="499"/>
      <c r="C2843" s="37"/>
      <c r="D2843" s="2013"/>
      <c r="E2843" s="2014"/>
      <c r="F2843" s="2014"/>
      <c r="G2843" s="2014"/>
      <c r="H2843" s="2014"/>
      <c r="I2843" s="2015"/>
      <c r="J2843" s="2016"/>
      <c r="K2843" s="2017"/>
      <c r="L2843" s="1962"/>
      <c r="M2843" s="2007" t="s">
        <v>1524</v>
      </c>
      <c r="N2843" s="2008"/>
      <c r="O2843" s="2008"/>
      <c r="P2843" s="2008"/>
      <c r="Q2843" s="2009"/>
      <c r="R2843" s="1345">
        <f>R2841-R2842</f>
        <v>0</v>
      </c>
      <c r="S2843" s="1346" t="str">
        <f>L2841</f>
        <v>und</v>
      </c>
      <c r="T2843" s="373"/>
      <c r="U2843" s="486"/>
      <c r="V2843" s="1418">
        <f>R2843</f>
        <v>0</v>
      </c>
      <c r="AB2843" s="15"/>
    </row>
    <row r="2844" spans="1:36" s="77" customFormat="1" ht="15.6" hidden="1">
      <c r="A2844" s="370"/>
      <c r="B2844" s="1347"/>
      <c r="C2844" s="1348"/>
      <c r="D2844" s="1349"/>
      <c r="E2844" s="1350"/>
      <c r="F2844" s="1349"/>
      <c r="G2844" s="1349"/>
      <c r="H2844" s="1349"/>
      <c r="I2844" s="1349"/>
      <c r="J2844" s="1351"/>
      <c r="K2844" s="1352"/>
      <c r="L2844" s="1353"/>
      <c r="M2844" s="1354"/>
      <c r="N2844" s="1354"/>
      <c r="O2844" s="1354"/>
      <c r="P2844" s="1354"/>
      <c r="Q2844" s="1354"/>
      <c r="R2844" s="1355"/>
      <c r="S2844" s="1356"/>
      <c r="T2844" s="1357"/>
      <c r="U2844" s="1358"/>
      <c r="V2844" s="1420">
        <f>SUM(V2835:V2843)</f>
        <v>0</v>
      </c>
      <c r="AB2844" s="15"/>
    </row>
    <row r="2845" spans="1:36" s="352" customFormat="1" ht="15.6" hidden="1">
      <c r="A2845" s="351"/>
      <c r="B2845" s="1963" t="str">
        <f>VLOOKUP(A2853,'11 - FINANCEIRA'!_xlnm.Print_Area,1,FALSE)</f>
        <v>2.5.2.3.31</v>
      </c>
      <c r="C2845" s="1965" t="str">
        <f>VLOOKUP(A2853,'11 - FINANCEIRA'!_xlnm.Print_Area,3,FALSE)</f>
        <v>Terminal metalico a pressao para 1 cabo de 95 a 120 mm², com 2 furos para fixacao</v>
      </c>
      <c r="D2845" s="1967" t="s">
        <v>1503</v>
      </c>
      <c r="E2845" s="1968"/>
      <c r="F2845" s="1968"/>
      <c r="G2845" s="1968"/>
      <c r="H2845" s="1968"/>
      <c r="I2845" s="1969"/>
      <c r="J2845" s="1914" t="s">
        <v>1504</v>
      </c>
      <c r="K2845" s="1914" t="s">
        <v>1505</v>
      </c>
      <c r="L2845" s="1914" t="s">
        <v>1506</v>
      </c>
      <c r="M2845" s="1914" t="s">
        <v>1507</v>
      </c>
      <c r="N2845" s="1914" t="s">
        <v>1508</v>
      </c>
      <c r="O2845" s="1914" t="s">
        <v>1509</v>
      </c>
      <c r="P2845" s="1341" t="s">
        <v>1510</v>
      </c>
      <c r="Q2845" s="1914" t="s">
        <v>1493</v>
      </c>
      <c r="R2845" s="1916" t="s">
        <v>804</v>
      </c>
      <c r="S2845" s="1914" t="s">
        <v>1511</v>
      </c>
      <c r="T2845" s="1914" t="s">
        <v>1512</v>
      </c>
      <c r="U2845" s="1918" t="s">
        <v>1513</v>
      </c>
      <c r="V2845" s="1418">
        <f t="shared" ref="V2845:V2852" si="288">V2846</f>
        <v>0</v>
      </c>
      <c r="W2845" s="16"/>
      <c r="X2845" s="16"/>
      <c r="Y2845" s="16"/>
      <c r="Z2845" s="17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</row>
    <row r="2846" spans="1:36" s="352" customFormat="1" ht="15.6" hidden="1">
      <c r="A2846" s="351"/>
      <c r="B2846" s="1964" t="e">
        <f>LEFT(#REF!,5)</f>
        <v>#REF!</v>
      </c>
      <c r="C2846" s="1966" t="e">
        <f>VLOOKUP(LEFT(#REF!,5),'11 - FINANCEIRA'!_xlnm.Print_Area,2,FALSE)</f>
        <v>#REF!</v>
      </c>
      <c r="D2846" s="1920" t="s">
        <v>1514</v>
      </c>
      <c r="E2846" s="1921"/>
      <c r="F2846" s="1922"/>
      <c r="G2846" s="1923" t="s">
        <v>1515</v>
      </c>
      <c r="H2846" s="1924"/>
      <c r="I2846" s="1925"/>
      <c r="J2846" s="1915"/>
      <c r="K2846" s="1915"/>
      <c r="L2846" s="1915"/>
      <c r="M2846" s="1915"/>
      <c r="N2846" s="1915"/>
      <c r="O2846" s="1915"/>
      <c r="P2846" s="353" t="s">
        <v>1516</v>
      </c>
      <c r="Q2846" s="1915"/>
      <c r="R2846" s="1917"/>
      <c r="S2846" s="1915"/>
      <c r="T2846" s="1915"/>
      <c r="U2846" s="1919"/>
      <c r="V2846" s="1418">
        <f t="shared" si="288"/>
        <v>0</v>
      </c>
      <c r="W2846" s="16"/>
      <c r="X2846" s="16"/>
      <c r="Y2846" s="16"/>
      <c r="Z2846" s="17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</row>
    <row r="2847" spans="1:36" s="361" customFormat="1" ht="15" hidden="1" customHeight="1">
      <c r="A2847" s="354"/>
      <c r="B2847" s="355"/>
      <c r="C2847" s="28" t="s">
        <v>1178</v>
      </c>
      <c r="D2847" s="18"/>
      <c r="E2847" s="19"/>
      <c r="F2847" s="20"/>
      <c r="G2847" s="18"/>
      <c r="H2847" s="19"/>
      <c r="I2847" s="20"/>
      <c r="J2847" s="21"/>
      <c r="K2847" s="22"/>
      <c r="L2847" s="23"/>
      <c r="M2847" s="24"/>
      <c r="N2847" s="728"/>
      <c r="O2847" s="25"/>
      <c r="P2847" s="23"/>
      <c r="Q2847" s="729"/>
      <c r="R2847" s="1109">
        <v>24</v>
      </c>
      <c r="S2847" s="730" t="s">
        <v>816</v>
      </c>
      <c r="T2847" s="446" t="s">
        <v>325</v>
      </c>
      <c r="U2847" s="44"/>
      <c r="V2847" s="1418">
        <f t="shared" si="288"/>
        <v>0</v>
      </c>
      <c r="W2847" s="357"/>
      <c r="X2847" s="357"/>
      <c r="Y2847" s="357"/>
      <c r="Z2847" s="358"/>
      <c r="AA2847" s="359"/>
      <c r="AB2847" s="360"/>
    </row>
    <row r="2848" spans="1:36" s="361" customFormat="1" ht="15" hidden="1" customHeight="1">
      <c r="A2848" s="354"/>
      <c r="B2848" s="355"/>
      <c r="C2848" s="32"/>
      <c r="D2848" s="33"/>
      <c r="E2848" s="34"/>
      <c r="F2848" s="35"/>
      <c r="G2848" s="33"/>
      <c r="H2848" s="34"/>
      <c r="I2848" s="35"/>
      <c r="J2848" s="43"/>
      <c r="K2848" s="42"/>
      <c r="L2848" s="39"/>
      <c r="M2848" s="41"/>
      <c r="N2848" s="356"/>
      <c r="O2848" s="40"/>
      <c r="P2848" s="39"/>
      <c r="Q2848" s="45"/>
      <c r="R2848" s="362"/>
      <c r="S2848" s="363"/>
      <c r="T2848" s="46"/>
      <c r="U2848" s="44"/>
      <c r="V2848" s="1418">
        <f t="shared" si="288"/>
        <v>0</v>
      </c>
      <c r="W2848" s="357"/>
      <c r="X2848" s="357"/>
      <c r="Y2848" s="357"/>
      <c r="Z2848" s="358"/>
      <c r="AA2848" s="359"/>
      <c r="AB2848" s="360"/>
    </row>
    <row r="2849" spans="1:36" s="369" customFormat="1" ht="15" hidden="1">
      <c r="A2849" s="364"/>
      <c r="B2849" s="355"/>
      <c r="C2849" s="32"/>
      <c r="D2849" s="33"/>
      <c r="E2849" s="34"/>
      <c r="F2849" s="35"/>
      <c r="G2849" s="33"/>
      <c r="H2849" s="34"/>
      <c r="I2849" s="35"/>
      <c r="J2849" s="43"/>
      <c r="K2849" s="42"/>
      <c r="L2849" s="39"/>
      <c r="M2849" s="41"/>
      <c r="N2849" s="40"/>
      <c r="O2849" s="40"/>
      <c r="P2849" s="39"/>
      <c r="Q2849" s="38"/>
      <c r="R2849" s="365"/>
      <c r="S2849" s="366"/>
      <c r="T2849" s="46"/>
      <c r="U2849" s="44"/>
      <c r="V2849" s="1418">
        <f t="shared" si="288"/>
        <v>0</v>
      </c>
      <c r="W2849" s="367"/>
      <c r="X2849" s="367"/>
      <c r="Y2849" s="367"/>
      <c r="Z2849" s="368"/>
    </row>
    <row r="2850" spans="1:36" s="77" customFormat="1" ht="15" hidden="1">
      <c r="A2850" s="370"/>
      <c r="B2850" s="29"/>
      <c r="C2850" s="30"/>
      <c r="D2850" s="18"/>
      <c r="E2850" s="19"/>
      <c r="F2850" s="20"/>
      <c r="G2850" s="18"/>
      <c r="H2850" s="19"/>
      <c r="I2850" s="20"/>
      <c r="J2850" s="21"/>
      <c r="K2850" s="22"/>
      <c r="L2850" s="23"/>
      <c r="M2850" s="24"/>
      <c r="N2850" s="25"/>
      <c r="O2850" s="25"/>
      <c r="P2850" s="23"/>
      <c r="Q2850" s="26"/>
      <c r="R2850" s="371"/>
      <c r="S2850" s="27"/>
      <c r="T2850" s="372"/>
      <c r="U2850" s="31"/>
      <c r="V2850" s="1418">
        <f t="shared" si="288"/>
        <v>0</v>
      </c>
      <c r="AB2850" s="15"/>
    </row>
    <row r="2851" spans="1:36" s="77" customFormat="1" ht="15.6" hidden="1">
      <c r="A2851" s="370"/>
      <c r="B2851" s="499"/>
      <c r="C2851" s="37"/>
      <c r="D2851" s="1929" t="s">
        <v>1520</v>
      </c>
      <c r="E2851" s="1930"/>
      <c r="F2851" s="1930"/>
      <c r="G2851" s="1930"/>
      <c r="H2851" s="1930"/>
      <c r="I2851" s="1931"/>
      <c r="J2851" s="1932">
        <f>VLOOKUP(A2853,'11 - FINANCEIRA'!_xlnm.Print_Area,6,FALSE)</f>
        <v>24</v>
      </c>
      <c r="K2851" s="1933"/>
      <c r="L2851" s="1343" t="str">
        <f>VLOOKUP(A2853,'11 - FINANCEIRA'!_xlnm.Print_Area,4,FALSE)</f>
        <v>und</v>
      </c>
      <c r="M2851" s="1934" t="s">
        <v>1521</v>
      </c>
      <c r="N2851" s="1935"/>
      <c r="O2851" s="1935"/>
      <c r="P2851" s="1935"/>
      <c r="Q2851" s="1936"/>
      <c r="R2851" s="726">
        <f>SUM(R2847:R2850)</f>
        <v>24</v>
      </c>
      <c r="S2851" s="1344" t="str">
        <f>L2851</f>
        <v>und</v>
      </c>
      <c r="T2851" s="373"/>
      <c r="U2851" s="486"/>
      <c r="V2851" s="1418">
        <f t="shared" si="288"/>
        <v>0</v>
      </c>
      <c r="AB2851" s="15"/>
    </row>
    <row r="2852" spans="1:36" s="77" customFormat="1" ht="15.6" hidden="1">
      <c r="A2852" s="370"/>
      <c r="B2852" s="499"/>
      <c r="C2852" s="725"/>
      <c r="D2852" s="1937" t="s">
        <v>1522</v>
      </c>
      <c r="E2852" s="1938"/>
      <c r="F2852" s="1938"/>
      <c r="G2852" s="1938"/>
      <c r="H2852" s="1938"/>
      <c r="I2852" s="1939"/>
      <c r="J2852" s="1943">
        <f>R2851/J2851</f>
        <v>1</v>
      </c>
      <c r="K2852" s="1944"/>
      <c r="L2852" s="1947"/>
      <c r="M2852" s="1934" t="s">
        <v>1523</v>
      </c>
      <c r="N2852" s="1935"/>
      <c r="O2852" s="1935"/>
      <c r="P2852" s="1935"/>
      <c r="Q2852" s="1936"/>
      <c r="R2852" s="726">
        <f>VLOOKUP(A2853,'11 - FINANCEIRA'!_xlnm.Print_Area,8,FALSE)</f>
        <v>24</v>
      </c>
      <c r="S2852" s="727" t="str">
        <f>L2851</f>
        <v>und</v>
      </c>
      <c r="T2852" s="373"/>
      <c r="U2852" s="486"/>
      <c r="V2852" s="1418">
        <f t="shared" si="288"/>
        <v>0</v>
      </c>
      <c r="AB2852" s="15"/>
    </row>
    <row r="2853" spans="1:36" s="77" customFormat="1" ht="15.6" hidden="1">
      <c r="A2853" s="364" t="s">
        <v>593</v>
      </c>
      <c r="B2853" s="499"/>
      <c r="C2853" s="37"/>
      <c r="D2853" s="2013"/>
      <c r="E2853" s="2014"/>
      <c r="F2853" s="2014"/>
      <c r="G2853" s="2014"/>
      <c r="H2853" s="2014"/>
      <c r="I2853" s="2015"/>
      <c r="J2853" s="2016"/>
      <c r="K2853" s="2017"/>
      <c r="L2853" s="1962"/>
      <c r="M2853" s="2007" t="s">
        <v>1524</v>
      </c>
      <c r="N2853" s="2008"/>
      <c r="O2853" s="2008"/>
      <c r="P2853" s="2008"/>
      <c r="Q2853" s="2009"/>
      <c r="R2853" s="1345">
        <f>R2851-R2852</f>
        <v>0</v>
      </c>
      <c r="S2853" s="1346" t="str">
        <f>L2851</f>
        <v>und</v>
      </c>
      <c r="T2853" s="373"/>
      <c r="U2853" s="486"/>
      <c r="V2853" s="1418">
        <f>R2853</f>
        <v>0</v>
      </c>
      <c r="AB2853" s="15"/>
    </row>
    <row r="2854" spans="1:36" s="77" customFormat="1" ht="15.6" hidden="1">
      <c r="A2854" s="370"/>
      <c r="B2854" s="1347"/>
      <c r="C2854" s="1348"/>
      <c r="D2854" s="1349"/>
      <c r="E2854" s="1350"/>
      <c r="F2854" s="1349"/>
      <c r="G2854" s="1349"/>
      <c r="H2854" s="1349"/>
      <c r="I2854" s="1349"/>
      <c r="J2854" s="1351"/>
      <c r="K2854" s="1352"/>
      <c r="L2854" s="1353"/>
      <c r="M2854" s="1354"/>
      <c r="N2854" s="1354"/>
      <c r="O2854" s="1354"/>
      <c r="P2854" s="1354"/>
      <c r="Q2854" s="1354"/>
      <c r="R2854" s="1355"/>
      <c r="S2854" s="1356"/>
      <c r="T2854" s="1357"/>
      <c r="U2854" s="1358"/>
      <c r="V2854" s="1420">
        <f>SUM(V2845:V2853)</f>
        <v>0</v>
      </c>
      <c r="AB2854" s="15"/>
    </row>
    <row r="2855" spans="1:36" s="352" customFormat="1" ht="15.6" hidden="1">
      <c r="A2855" s="351"/>
      <c r="B2855" s="1963" t="str">
        <f>VLOOKUP(A2863,'11 - FINANCEIRA'!_xlnm.Print_Area,1,FALSE)</f>
        <v>2.5.2.3.32</v>
      </c>
      <c r="C2855" s="1965" t="str">
        <f>VLOOKUP(A2863,'11 - FINANCEIRA'!_xlnm.Print_Area,3,FALSE)</f>
        <v>Terminal metalico a pressao para 1 cabo de 150 mm², com 1 furo de fixacao</v>
      </c>
      <c r="D2855" s="1967" t="s">
        <v>1503</v>
      </c>
      <c r="E2855" s="1968"/>
      <c r="F2855" s="1968"/>
      <c r="G2855" s="1968"/>
      <c r="H2855" s="1968"/>
      <c r="I2855" s="1969"/>
      <c r="J2855" s="1914" t="s">
        <v>1504</v>
      </c>
      <c r="K2855" s="1914" t="s">
        <v>1505</v>
      </c>
      <c r="L2855" s="1914" t="s">
        <v>1506</v>
      </c>
      <c r="M2855" s="1914" t="s">
        <v>1507</v>
      </c>
      <c r="N2855" s="1914" t="s">
        <v>1508</v>
      </c>
      <c r="O2855" s="1914" t="s">
        <v>1509</v>
      </c>
      <c r="P2855" s="1341" t="s">
        <v>1510</v>
      </c>
      <c r="Q2855" s="1914" t="s">
        <v>1493</v>
      </c>
      <c r="R2855" s="1916" t="s">
        <v>804</v>
      </c>
      <c r="S2855" s="1914" t="s">
        <v>1511</v>
      </c>
      <c r="T2855" s="1914" t="s">
        <v>1512</v>
      </c>
      <c r="U2855" s="1918" t="s">
        <v>1513</v>
      </c>
      <c r="V2855" s="1418">
        <f t="shared" ref="V2855:V2862" si="289">V2856</f>
        <v>0</v>
      </c>
      <c r="W2855" s="16"/>
      <c r="X2855" s="16"/>
      <c r="Y2855" s="16"/>
      <c r="Z2855" s="17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</row>
    <row r="2856" spans="1:36" s="352" customFormat="1" ht="15.6" hidden="1">
      <c r="A2856" s="351"/>
      <c r="B2856" s="1964" t="e">
        <f>LEFT(#REF!,5)</f>
        <v>#REF!</v>
      </c>
      <c r="C2856" s="1966" t="e">
        <f>VLOOKUP(LEFT(#REF!,5),'11 - FINANCEIRA'!_xlnm.Print_Area,2,FALSE)</f>
        <v>#REF!</v>
      </c>
      <c r="D2856" s="1920" t="s">
        <v>1514</v>
      </c>
      <c r="E2856" s="1921"/>
      <c r="F2856" s="1922"/>
      <c r="G2856" s="1923" t="s">
        <v>1515</v>
      </c>
      <c r="H2856" s="1924"/>
      <c r="I2856" s="1925"/>
      <c r="J2856" s="1915"/>
      <c r="K2856" s="1915"/>
      <c r="L2856" s="1915"/>
      <c r="M2856" s="1915"/>
      <c r="N2856" s="1915"/>
      <c r="O2856" s="1915"/>
      <c r="P2856" s="353" t="s">
        <v>1516</v>
      </c>
      <c r="Q2856" s="1915"/>
      <c r="R2856" s="1917"/>
      <c r="S2856" s="1915"/>
      <c r="T2856" s="1915"/>
      <c r="U2856" s="1919"/>
      <c r="V2856" s="1418">
        <f t="shared" si="289"/>
        <v>0</v>
      </c>
      <c r="W2856" s="16"/>
      <c r="X2856" s="16"/>
      <c r="Y2856" s="16"/>
      <c r="Z2856" s="17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</row>
    <row r="2857" spans="1:36" s="361" customFormat="1" ht="15" hidden="1" customHeight="1">
      <c r="A2857" s="354"/>
      <c r="B2857" s="355"/>
      <c r="C2857" s="28" t="s">
        <v>1180</v>
      </c>
      <c r="D2857" s="18"/>
      <c r="E2857" s="19"/>
      <c r="F2857" s="20"/>
      <c r="G2857" s="18"/>
      <c r="H2857" s="19"/>
      <c r="I2857" s="20"/>
      <c r="J2857" s="21"/>
      <c r="K2857" s="22"/>
      <c r="L2857" s="23"/>
      <c r="M2857" s="24"/>
      <c r="N2857" s="728"/>
      <c r="O2857" s="25"/>
      <c r="P2857" s="23"/>
      <c r="Q2857" s="729"/>
      <c r="R2857" s="1109">
        <v>144</v>
      </c>
      <c r="S2857" s="730" t="s">
        <v>816</v>
      </c>
      <c r="T2857" s="446" t="s">
        <v>325</v>
      </c>
      <c r="U2857" s="44"/>
      <c r="V2857" s="1418">
        <f t="shared" si="289"/>
        <v>0</v>
      </c>
      <c r="W2857" s="357"/>
      <c r="X2857" s="357"/>
      <c r="Y2857" s="357"/>
      <c r="Z2857" s="358"/>
      <c r="AA2857" s="359"/>
      <c r="AB2857" s="360"/>
    </row>
    <row r="2858" spans="1:36" s="361" customFormat="1" ht="15" hidden="1" customHeight="1">
      <c r="A2858" s="354"/>
      <c r="B2858" s="355"/>
      <c r="C2858" s="32"/>
      <c r="D2858" s="33"/>
      <c r="E2858" s="34"/>
      <c r="F2858" s="35"/>
      <c r="G2858" s="33"/>
      <c r="H2858" s="34"/>
      <c r="I2858" s="35"/>
      <c r="J2858" s="43"/>
      <c r="K2858" s="42"/>
      <c r="L2858" s="39"/>
      <c r="M2858" s="41"/>
      <c r="N2858" s="356"/>
      <c r="O2858" s="40"/>
      <c r="P2858" s="39"/>
      <c r="Q2858" s="45"/>
      <c r="R2858" s="362"/>
      <c r="S2858" s="363"/>
      <c r="T2858" s="46"/>
      <c r="U2858" s="44"/>
      <c r="V2858" s="1418">
        <f t="shared" si="289"/>
        <v>0</v>
      </c>
      <c r="W2858" s="357"/>
      <c r="X2858" s="357"/>
      <c r="Y2858" s="357"/>
      <c r="Z2858" s="358"/>
      <c r="AA2858" s="359"/>
      <c r="AB2858" s="360"/>
    </row>
    <row r="2859" spans="1:36" s="369" customFormat="1" ht="15" hidden="1">
      <c r="A2859" s="364"/>
      <c r="B2859" s="355"/>
      <c r="C2859" s="32"/>
      <c r="D2859" s="33"/>
      <c r="E2859" s="34"/>
      <c r="F2859" s="35"/>
      <c r="G2859" s="33"/>
      <c r="H2859" s="34"/>
      <c r="I2859" s="35"/>
      <c r="J2859" s="43"/>
      <c r="K2859" s="42"/>
      <c r="L2859" s="39"/>
      <c r="M2859" s="41"/>
      <c r="N2859" s="40"/>
      <c r="O2859" s="40"/>
      <c r="P2859" s="39"/>
      <c r="Q2859" s="38"/>
      <c r="R2859" s="365"/>
      <c r="S2859" s="366"/>
      <c r="T2859" s="46"/>
      <c r="U2859" s="44"/>
      <c r="V2859" s="1418">
        <f t="shared" si="289"/>
        <v>0</v>
      </c>
      <c r="W2859" s="367"/>
      <c r="X2859" s="367"/>
      <c r="Y2859" s="367"/>
      <c r="Z2859" s="368"/>
    </row>
    <row r="2860" spans="1:36" s="77" customFormat="1" ht="15" hidden="1">
      <c r="A2860" s="370"/>
      <c r="B2860" s="29"/>
      <c r="C2860" s="30"/>
      <c r="D2860" s="18"/>
      <c r="E2860" s="19"/>
      <c r="F2860" s="20"/>
      <c r="G2860" s="18"/>
      <c r="H2860" s="19"/>
      <c r="I2860" s="20"/>
      <c r="J2860" s="21"/>
      <c r="K2860" s="22"/>
      <c r="L2860" s="23"/>
      <c r="M2860" s="24"/>
      <c r="N2860" s="25"/>
      <c r="O2860" s="25"/>
      <c r="P2860" s="23"/>
      <c r="Q2860" s="26"/>
      <c r="R2860" s="371"/>
      <c r="S2860" s="27"/>
      <c r="T2860" s="372"/>
      <c r="U2860" s="31"/>
      <c r="V2860" s="1418">
        <f t="shared" si="289"/>
        <v>0</v>
      </c>
      <c r="AB2860" s="15"/>
    </row>
    <row r="2861" spans="1:36" s="77" customFormat="1" ht="15.6" hidden="1">
      <c r="A2861" s="370"/>
      <c r="B2861" s="499"/>
      <c r="C2861" s="37"/>
      <c r="D2861" s="1929" t="s">
        <v>1520</v>
      </c>
      <c r="E2861" s="1930"/>
      <c r="F2861" s="1930"/>
      <c r="G2861" s="1930"/>
      <c r="H2861" s="1930"/>
      <c r="I2861" s="1931"/>
      <c r="J2861" s="1932">
        <f>VLOOKUP(A2863,'11 - FINANCEIRA'!_xlnm.Print_Area,6,FALSE)</f>
        <v>144</v>
      </c>
      <c r="K2861" s="1933"/>
      <c r="L2861" s="1343" t="str">
        <f>VLOOKUP(A2863,'11 - FINANCEIRA'!_xlnm.Print_Area,4,FALSE)</f>
        <v>und</v>
      </c>
      <c r="M2861" s="1934" t="s">
        <v>1521</v>
      </c>
      <c r="N2861" s="1935"/>
      <c r="O2861" s="1935"/>
      <c r="P2861" s="1935"/>
      <c r="Q2861" s="1936"/>
      <c r="R2861" s="726">
        <f>SUM(R2857:R2860)</f>
        <v>144</v>
      </c>
      <c r="S2861" s="1344" t="str">
        <f>L2861</f>
        <v>und</v>
      </c>
      <c r="T2861" s="373"/>
      <c r="U2861" s="486"/>
      <c r="V2861" s="1418">
        <f t="shared" si="289"/>
        <v>0</v>
      </c>
      <c r="AB2861" s="15"/>
    </row>
    <row r="2862" spans="1:36" s="77" customFormat="1" ht="15.6" hidden="1">
      <c r="A2862" s="370"/>
      <c r="B2862" s="499"/>
      <c r="C2862" s="725"/>
      <c r="D2862" s="1937" t="s">
        <v>1522</v>
      </c>
      <c r="E2862" s="1938"/>
      <c r="F2862" s="1938"/>
      <c r="G2862" s="1938"/>
      <c r="H2862" s="1938"/>
      <c r="I2862" s="1939"/>
      <c r="J2862" s="1943">
        <f>R2861/J2861</f>
        <v>1</v>
      </c>
      <c r="K2862" s="1944"/>
      <c r="L2862" s="1947"/>
      <c r="M2862" s="1934" t="s">
        <v>1523</v>
      </c>
      <c r="N2862" s="1935"/>
      <c r="O2862" s="1935"/>
      <c r="P2862" s="1935"/>
      <c r="Q2862" s="1936"/>
      <c r="R2862" s="726">
        <f>VLOOKUP(A2863,'11 - FINANCEIRA'!_xlnm.Print_Area,8,FALSE)</f>
        <v>144</v>
      </c>
      <c r="S2862" s="727" t="str">
        <f>L2861</f>
        <v>und</v>
      </c>
      <c r="T2862" s="373"/>
      <c r="U2862" s="486"/>
      <c r="V2862" s="1418">
        <f t="shared" si="289"/>
        <v>0</v>
      </c>
      <c r="AB2862" s="15"/>
    </row>
    <row r="2863" spans="1:36" s="77" customFormat="1" ht="15.6" hidden="1">
      <c r="A2863" s="364" t="s">
        <v>594</v>
      </c>
      <c r="B2863" s="499"/>
      <c r="C2863" s="37"/>
      <c r="D2863" s="2013"/>
      <c r="E2863" s="2014"/>
      <c r="F2863" s="2014"/>
      <c r="G2863" s="2014"/>
      <c r="H2863" s="2014"/>
      <c r="I2863" s="2015"/>
      <c r="J2863" s="2016"/>
      <c r="K2863" s="2017"/>
      <c r="L2863" s="1962"/>
      <c r="M2863" s="2007" t="s">
        <v>1524</v>
      </c>
      <c r="N2863" s="2008"/>
      <c r="O2863" s="2008"/>
      <c r="P2863" s="2008"/>
      <c r="Q2863" s="2009"/>
      <c r="R2863" s="1345">
        <f>R2861-R2862</f>
        <v>0</v>
      </c>
      <c r="S2863" s="1346" t="str">
        <f>L2861</f>
        <v>und</v>
      </c>
      <c r="T2863" s="373"/>
      <c r="U2863" s="486"/>
      <c r="V2863" s="1418">
        <f>R2863</f>
        <v>0</v>
      </c>
      <c r="AB2863" s="15"/>
    </row>
    <row r="2864" spans="1:36" s="77" customFormat="1" ht="15.6" hidden="1">
      <c r="A2864" s="370"/>
      <c r="B2864" s="1347"/>
      <c r="C2864" s="1348"/>
      <c r="D2864" s="1349"/>
      <c r="E2864" s="1350"/>
      <c r="F2864" s="1349"/>
      <c r="G2864" s="1349"/>
      <c r="H2864" s="1349"/>
      <c r="I2864" s="1349"/>
      <c r="J2864" s="1351"/>
      <c r="K2864" s="1352"/>
      <c r="L2864" s="1353"/>
      <c r="M2864" s="1354"/>
      <c r="N2864" s="1354"/>
      <c r="O2864" s="1354"/>
      <c r="P2864" s="1354"/>
      <c r="Q2864" s="1354"/>
      <c r="R2864" s="1355"/>
      <c r="S2864" s="1356"/>
      <c r="T2864" s="1357"/>
      <c r="U2864" s="1358"/>
      <c r="V2864" s="1420">
        <f>SUM(V2855:V2863)</f>
        <v>0</v>
      </c>
      <c r="AB2864" s="15"/>
    </row>
    <row r="2865" spans="1:36" s="352" customFormat="1" ht="15.6" hidden="1">
      <c r="A2865" s="351"/>
      <c r="B2865" s="1963" t="str">
        <f>VLOOKUP(A2873,'11 - FINANCEIRA'!_xlnm.Print_Area,1,FALSE)</f>
        <v>2.5.2.3.33</v>
      </c>
      <c r="C2865" s="1965" t="str">
        <f>VLOOKUP(A2873,'11 - FINANCEIRA'!_xlnm.Print_Area,3,FALSE)</f>
        <v>Terminal metalico a pressao para 1 cabo de 240 mm², com 1 furo de fixacao</v>
      </c>
      <c r="D2865" s="1967" t="s">
        <v>1503</v>
      </c>
      <c r="E2865" s="1968"/>
      <c r="F2865" s="1968"/>
      <c r="G2865" s="1968"/>
      <c r="H2865" s="1968"/>
      <c r="I2865" s="1969"/>
      <c r="J2865" s="1914" t="s">
        <v>1504</v>
      </c>
      <c r="K2865" s="1914" t="s">
        <v>1505</v>
      </c>
      <c r="L2865" s="1914" t="s">
        <v>1506</v>
      </c>
      <c r="M2865" s="1914" t="s">
        <v>1507</v>
      </c>
      <c r="N2865" s="1914" t="s">
        <v>1508</v>
      </c>
      <c r="O2865" s="1914" t="s">
        <v>1509</v>
      </c>
      <c r="P2865" s="1341" t="s">
        <v>1510</v>
      </c>
      <c r="Q2865" s="1914" t="s">
        <v>1493</v>
      </c>
      <c r="R2865" s="1916" t="s">
        <v>804</v>
      </c>
      <c r="S2865" s="1914" t="s">
        <v>1511</v>
      </c>
      <c r="T2865" s="1914" t="s">
        <v>1512</v>
      </c>
      <c r="U2865" s="1918" t="s">
        <v>1513</v>
      </c>
      <c r="V2865" s="1418">
        <f t="shared" ref="V2865:V2872" si="290">V2866</f>
        <v>0</v>
      </c>
      <c r="W2865" s="16"/>
      <c r="X2865" s="16"/>
      <c r="Y2865" s="16"/>
      <c r="Z2865" s="17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</row>
    <row r="2866" spans="1:36" s="352" customFormat="1" ht="15.6" hidden="1">
      <c r="A2866" s="351"/>
      <c r="B2866" s="1964" t="e">
        <f>LEFT(#REF!,5)</f>
        <v>#REF!</v>
      </c>
      <c r="C2866" s="1966" t="e">
        <f>VLOOKUP(LEFT(#REF!,5),'11 - FINANCEIRA'!_xlnm.Print_Area,2,FALSE)</f>
        <v>#REF!</v>
      </c>
      <c r="D2866" s="1920" t="s">
        <v>1514</v>
      </c>
      <c r="E2866" s="1921"/>
      <c r="F2866" s="1922"/>
      <c r="G2866" s="1923" t="s">
        <v>1515</v>
      </c>
      <c r="H2866" s="1924"/>
      <c r="I2866" s="1925"/>
      <c r="J2866" s="1915"/>
      <c r="K2866" s="1915"/>
      <c r="L2866" s="1915"/>
      <c r="M2866" s="1915"/>
      <c r="N2866" s="1915"/>
      <c r="O2866" s="1915"/>
      <c r="P2866" s="353" t="s">
        <v>1516</v>
      </c>
      <c r="Q2866" s="1915"/>
      <c r="R2866" s="1917"/>
      <c r="S2866" s="1915"/>
      <c r="T2866" s="1915"/>
      <c r="U2866" s="1919"/>
      <c r="V2866" s="1418">
        <f t="shared" si="290"/>
        <v>0</v>
      </c>
      <c r="W2866" s="16"/>
      <c r="X2866" s="16"/>
      <c r="Y2866" s="16"/>
      <c r="Z2866" s="17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</row>
    <row r="2867" spans="1:36" s="361" customFormat="1" ht="15" hidden="1" customHeight="1">
      <c r="A2867" s="354"/>
      <c r="B2867" s="355"/>
      <c r="C2867" s="28" t="s">
        <v>1182</v>
      </c>
      <c r="D2867" s="18"/>
      <c r="E2867" s="19"/>
      <c r="F2867" s="20"/>
      <c r="G2867" s="18"/>
      <c r="H2867" s="19"/>
      <c r="I2867" s="20"/>
      <c r="J2867" s="21"/>
      <c r="K2867" s="22"/>
      <c r="L2867" s="23"/>
      <c r="M2867" s="24"/>
      <c r="N2867" s="728"/>
      <c r="O2867" s="25"/>
      <c r="P2867" s="23"/>
      <c r="Q2867" s="729"/>
      <c r="R2867" s="1109">
        <v>96</v>
      </c>
      <c r="S2867" s="730" t="s">
        <v>816</v>
      </c>
      <c r="T2867" s="446" t="s">
        <v>325</v>
      </c>
      <c r="U2867" s="44"/>
      <c r="V2867" s="1418">
        <f t="shared" si="290"/>
        <v>0</v>
      </c>
      <c r="W2867" s="357"/>
      <c r="X2867" s="357"/>
      <c r="Y2867" s="357"/>
      <c r="Z2867" s="358"/>
      <c r="AA2867" s="359"/>
      <c r="AB2867" s="360"/>
    </row>
    <row r="2868" spans="1:36" s="361" customFormat="1" ht="15" hidden="1" customHeight="1">
      <c r="A2868" s="354"/>
      <c r="B2868" s="355"/>
      <c r="C2868" s="28"/>
      <c r="D2868" s="18"/>
      <c r="E2868" s="19"/>
      <c r="F2868" s="20"/>
      <c r="G2868" s="18"/>
      <c r="H2868" s="19"/>
      <c r="I2868" s="20"/>
      <c r="J2868" s="21"/>
      <c r="K2868" s="22"/>
      <c r="L2868" s="23"/>
      <c r="M2868" s="24"/>
      <c r="N2868" s="728"/>
      <c r="O2868" s="25"/>
      <c r="P2868" s="23"/>
      <c r="Q2868" s="729"/>
      <c r="R2868" s="445"/>
      <c r="S2868" s="792"/>
      <c r="T2868" s="446"/>
      <c r="U2868" s="44"/>
      <c r="V2868" s="1418">
        <f t="shared" si="290"/>
        <v>0</v>
      </c>
      <c r="W2868" s="357"/>
      <c r="X2868" s="357"/>
      <c r="Y2868" s="357"/>
      <c r="Z2868" s="358"/>
      <c r="AA2868" s="359"/>
      <c r="AB2868" s="360"/>
    </row>
    <row r="2869" spans="1:36" s="369" customFormat="1" ht="15" hidden="1">
      <c r="A2869" s="364"/>
      <c r="B2869" s="355"/>
      <c r="C2869" s="32"/>
      <c r="D2869" s="33"/>
      <c r="E2869" s="34"/>
      <c r="F2869" s="35"/>
      <c r="G2869" s="33"/>
      <c r="H2869" s="34"/>
      <c r="I2869" s="35"/>
      <c r="J2869" s="43"/>
      <c r="K2869" s="42"/>
      <c r="L2869" s="39"/>
      <c r="M2869" s="41"/>
      <c r="N2869" s="40"/>
      <c r="O2869" s="40"/>
      <c r="P2869" s="39"/>
      <c r="Q2869" s="38"/>
      <c r="R2869" s="365"/>
      <c r="S2869" s="366"/>
      <c r="T2869" s="46"/>
      <c r="U2869" s="44"/>
      <c r="V2869" s="1418">
        <f t="shared" si="290"/>
        <v>0</v>
      </c>
      <c r="W2869" s="367"/>
      <c r="X2869" s="367"/>
      <c r="Y2869" s="367"/>
      <c r="Z2869" s="368"/>
    </row>
    <row r="2870" spans="1:36" s="77" customFormat="1" ht="15" hidden="1">
      <c r="A2870" s="370"/>
      <c r="B2870" s="29"/>
      <c r="C2870" s="30"/>
      <c r="D2870" s="18"/>
      <c r="E2870" s="19"/>
      <c r="F2870" s="20"/>
      <c r="G2870" s="18"/>
      <c r="H2870" s="19"/>
      <c r="I2870" s="20"/>
      <c r="J2870" s="21"/>
      <c r="K2870" s="22"/>
      <c r="L2870" s="23"/>
      <c r="M2870" s="24"/>
      <c r="N2870" s="25"/>
      <c r="O2870" s="25"/>
      <c r="P2870" s="23"/>
      <c r="Q2870" s="26"/>
      <c r="R2870" s="371"/>
      <c r="S2870" s="27"/>
      <c r="T2870" s="372"/>
      <c r="U2870" s="31"/>
      <c r="V2870" s="1418">
        <f t="shared" si="290"/>
        <v>0</v>
      </c>
      <c r="AB2870" s="15"/>
    </row>
    <row r="2871" spans="1:36" s="77" customFormat="1" ht="15.6" hidden="1">
      <c r="A2871" s="370"/>
      <c r="B2871" s="499"/>
      <c r="C2871" s="37"/>
      <c r="D2871" s="1929" t="s">
        <v>1520</v>
      </c>
      <c r="E2871" s="1930"/>
      <c r="F2871" s="1930"/>
      <c r="G2871" s="1930"/>
      <c r="H2871" s="1930"/>
      <c r="I2871" s="1931"/>
      <c r="J2871" s="1932">
        <f>VLOOKUP(A2873,'11 - FINANCEIRA'!_xlnm.Print_Area,6,FALSE)</f>
        <v>96</v>
      </c>
      <c r="K2871" s="1933"/>
      <c r="L2871" s="1343" t="str">
        <f>VLOOKUP(A2873,'11 - FINANCEIRA'!_xlnm.Print_Area,4,FALSE)</f>
        <v>und</v>
      </c>
      <c r="M2871" s="1934" t="s">
        <v>1521</v>
      </c>
      <c r="N2871" s="1935"/>
      <c r="O2871" s="1935"/>
      <c r="P2871" s="1935"/>
      <c r="Q2871" s="1936"/>
      <c r="R2871" s="726">
        <f>SUM(R2867:R2870)</f>
        <v>96</v>
      </c>
      <c r="S2871" s="1344" t="str">
        <f>L2871</f>
        <v>und</v>
      </c>
      <c r="T2871" s="373"/>
      <c r="U2871" s="486"/>
      <c r="V2871" s="1418">
        <f t="shared" si="290"/>
        <v>0</v>
      </c>
      <c r="AB2871" s="15"/>
    </row>
    <row r="2872" spans="1:36" s="77" customFormat="1" ht="15.6" hidden="1">
      <c r="A2872" s="370"/>
      <c r="B2872" s="499"/>
      <c r="C2872" s="725"/>
      <c r="D2872" s="1937" t="s">
        <v>1522</v>
      </c>
      <c r="E2872" s="1938"/>
      <c r="F2872" s="1938"/>
      <c r="G2872" s="1938"/>
      <c r="H2872" s="1938"/>
      <c r="I2872" s="1939"/>
      <c r="J2872" s="1943">
        <f>R2871/J2871</f>
        <v>1</v>
      </c>
      <c r="K2872" s="1944"/>
      <c r="L2872" s="1947"/>
      <c r="M2872" s="1934" t="s">
        <v>1523</v>
      </c>
      <c r="N2872" s="1935"/>
      <c r="O2872" s="1935"/>
      <c r="P2872" s="1935"/>
      <c r="Q2872" s="1936"/>
      <c r="R2872" s="726">
        <f>VLOOKUP(A2873,'11 - FINANCEIRA'!_xlnm.Print_Area,8,FALSE)</f>
        <v>96</v>
      </c>
      <c r="S2872" s="727" t="str">
        <f>L2871</f>
        <v>und</v>
      </c>
      <c r="T2872" s="373"/>
      <c r="U2872" s="486"/>
      <c r="V2872" s="1418">
        <f t="shared" si="290"/>
        <v>0</v>
      </c>
      <c r="AB2872" s="15"/>
    </row>
    <row r="2873" spans="1:36" s="77" customFormat="1" ht="15.6" hidden="1">
      <c r="A2873" s="364" t="s">
        <v>595</v>
      </c>
      <c r="B2873" s="499"/>
      <c r="C2873" s="37"/>
      <c r="D2873" s="2013"/>
      <c r="E2873" s="2014"/>
      <c r="F2873" s="2014"/>
      <c r="G2873" s="2014"/>
      <c r="H2873" s="2014"/>
      <c r="I2873" s="2015"/>
      <c r="J2873" s="2016"/>
      <c r="K2873" s="2017"/>
      <c r="L2873" s="1962"/>
      <c r="M2873" s="2007" t="s">
        <v>1524</v>
      </c>
      <c r="N2873" s="2008"/>
      <c r="O2873" s="2008"/>
      <c r="P2873" s="2008"/>
      <c r="Q2873" s="2009"/>
      <c r="R2873" s="1345">
        <f>R2871-R2872</f>
        <v>0</v>
      </c>
      <c r="S2873" s="1346" t="str">
        <f>L2871</f>
        <v>und</v>
      </c>
      <c r="T2873" s="373"/>
      <c r="U2873" s="486"/>
      <c r="V2873" s="1418">
        <f>R2873</f>
        <v>0</v>
      </c>
      <c r="AB2873" s="15"/>
    </row>
    <row r="2874" spans="1:36" s="77" customFormat="1" ht="15.6" hidden="1">
      <c r="A2874" s="370"/>
      <c r="B2874" s="1347"/>
      <c r="C2874" s="1348"/>
      <c r="D2874" s="1349"/>
      <c r="E2874" s="1350"/>
      <c r="F2874" s="1349"/>
      <c r="G2874" s="1349"/>
      <c r="H2874" s="1349"/>
      <c r="I2874" s="1349"/>
      <c r="J2874" s="1351"/>
      <c r="K2874" s="1352"/>
      <c r="L2874" s="1353"/>
      <c r="M2874" s="1354"/>
      <c r="N2874" s="1354"/>
      <c r="O2874" s="1354"/>
      <c r="P2874" s="1354"/>
      <c r="Q2874" s="1354"/>
      <c r="R2874" s="1355"/>
      <c r="S2874" s="1356"/>
      <c r="T2874" s="1357"/>
      <c r="U2874" s="1358"/>
      <c r="V2874" s="1420">
        <f>SUM(V2865:V2873)</f>
        <v>0</v>
      </c>
      <c r="AB2874" s="15"/>
    </row>
    <row r="2875" spans="1:36" s="632" customFormat="1" ht="15.6" hidden="1">
      <c r="A2875" s="630"/>
      <c r="B2875" s="1333" t="str">
        <f>LEFT(A2884,7)</f>
        <v>2.5.2.4</v>
      </c>
      <c r="C2875" s="1334" t="str">
        <f>VLOOKUP(LEFT(A2884,7),'11 - FINANCEIRA'!_xlnm.Print_Area,2,FALSE)</f>
        <v>Calhas e Dutos</v>
      </c>
      <c r="D2875" s="1334"/>
      <c r="E2875" s="1335"/>
      <c r="F2875" s="1334"/>
      <c r="G2875" s="2071"/>
      <c r="H2875" s="2072"/>
      <c r="I2875" s="2072"/>
      <c r="J2875" s="2072"/>
      <c r="K2875" s="2072"/>
      <c r="L2875" s="2072"/>
      <c r="M2875" s="1338"/>
      <c r="N2875" s="1339"/>
      <c r="O2875" s="2072"/>
      <c r="P2875" s="2072"/>
      <c r="Q2875" s="2072"/>
      <c r="R2875" s="2082"/>
      <c r="S2875" s="633"/>
      <c r="V2875" s="631">
        <f>SUM(V2876:V3045)</f>
        <v>0</v>
      </c>
    </row>
    <row r="2876" spans="1:36" s="352" customFormat="1" ht="15.6" hidden="1">
      <c r="A2876" s="351"/>
      <c r="B2876" s="1963" t="str">
        <f>VLOOKUP(A2884,'11 - FINANCEIRA'!_xlnm.Print_Area,1,FALSE)</f>
        <v>2.5.2.4.1</v>
      </c>
      <c r="C2876" s="1965" t="str">
        <f>VLOOKUP(A2884,'11 - FINANCEIRA'!_xlnm.Print_Area,3,FALSE)</f>
        <v>Eletroduto pead, cor preta, diam. 1.1/2", marca ref. kanaflex ou equivalente</v>
      </c>
      <c r="D2876" s="1967" t="s">
        <v>1503</v>
      </c>
      <c r="E2876" s="1968"/>
      <c r="F2876" s="1968"/>
      <c r="G2876" s="1968"/>
      <c r="H2876" s="1968"/>
      <c r="I2876" s="1969"/>
      <c r="J2876" s="1914" t="s">
        <v>1504</v>
      </c>
      <c r="K2876" s="1914" t="s">
        <v>1505</v>
      </c>
      <c r="L2876" s="1914" t="s">
        <v>1506</v>
      </c>
      <c r="M2876" s="1914" t="s">
        <v>1507</v>
      </c>
      <c r="N2876" s="1914" t="s">
        <v>1508</v>
      </c>
      <c r="O2876" s="1914" t="s">
        <v>1509</v>
      </c>
      <c r="P2876" s="1341" t="s">
        <v>1510</v>
      </c>
      <c r="Q2876" s="1914" t="s">
        <v>1493</v>
      </c>
      <c r="R2876" s="1916" t="s">
        <v>804</v>
      </c>
      <c r="S2876" s="1914" t="s">
        <v>1511</v>
      </c>
      <c r="T2876" s="1914" t="s">
        <v>1512</v>
      </c>
      <c r="U2876" s="1918" t="s">
        <v>1513</v>
      </c>
      <c r="V2876" s="1418">
        <f t="shared" ref="V2876:V2883" si="291">V2877</f>
        <v>0</v>
      </c>
      <c r="W2876" s="16"/>
      <c r="X2876" s="16"/>
      <c r="Y2876" s="16"/>
      <c r="Z2876" s="17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</row>
    <row r="2877" spans="1:36" s="352" customFormat="1" ht="15.6" hidden="1">
      <c r="A2877" s="351"/>
      <c r="B2877" s="1964" t="e">
        <f>LEFT(#REF!,5)</f>
        <v>#REF!</v>
      </c>
      <c r="C2877" s="1966" t="e">
        <f>VLOOKUP(LEFT(#REF!,5),'11 - FINANCEIRA'!_xlnm.Print_Area,2,FALSE)</f>
        <v>#REF!</v>
      </c>
      <c r="D2877" s="1920" t="s">
        <v>1514</v>
      </c>
      <c r="E2877" s="1921"/>
      <c r="F2877" s="1922"/>
      <c r="G2877" s="1923" t="s">
        <v>1515</v>
      </c>
      <c r="H2877" s="1924"/>
      <c r="I2877" s="1925"/>
      <c r="J2877" s="1915"/>
      <c r="K2877" s="1915"/>
      <c r="L2877" s="1915"/>
      <c r="M2877" s="1915"/>
      <c r="N2877" s="1915"/>
      <c r="O2877" s="1915"/>
      <c r="P2877" s="353" t="s">
        <v>1516</v>
      </c>
      <c r="Q2877" s="1915"/>
      <c r="R2877" s="1917"/>
      <c r="S2877" s="1915"/>
      <c r="T2877" s="1915"/>
      <c r="U2877" s="1919"/>
      <c r="V2877" s="1418">
        <f t="shared" si="291"/>
        <v>0</v>
      </c>
      <c r="W2877" s="16"/>
      <c r="X2877" s="16"/>
      <c r="Y2877" s="16"/>
      <c r="Z2877" s="17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</row>
    <row r="2878" spans="1:36" s="361" customFormat="1" ht="15" hidden="1" customHeight="1">
      <c r="A2878" s="354"/>
      <c r="B2878" s="755" t="s">
        <v>1938</v>
      </c>
      <c r="C2878" s="28" t="s">
        <v>1939</v>
      </c>
      <c r="D2878" s="18"/>
      <c r="E2878" s="19"/>
      <c r="F2878" s="20"/>
      <c r="G2878" s="18"/>
      <c r="H2878" s="19"/>
      <c r="I2878" s="20"/>
      <c r="J2878" s="21"/>
      <c r="K2878" s="22"/>
      <c r="L2878" s="23"/>
      <c r="M2878" s="24"/>
      <c r="N2878" s="728"/>
      <c r="O2878" s="25"/>
      <c r="P2878" s="23"/>
      <c r="Q2878" s="729"/>
      <c r="R2878" s="1109">
        <v>32</v>
      </c>
      <c r="S2878" s="730" t="s">
        <v>809</v>
      </c>
      <c r="T2878" s="446" t="s">
        <v>322</v>
      </c>
      <c r="U2878" s="44"/>
      <c r="V2878" s="1418">
        <f t="shared" si="291"/>
        <v>0</v>
      </c>
      <c r="W2878" s="357"/>
      <c r="X2878" s="357"/>
      <c r="Y2878" s="357"/>
      <c r="Z2878" s="358"/>
      <c r="AA2878" s="359"/>
      <c r="AB2878" s="360"/>
    </row>
    <row r="2879" spans="1:36" s="361" customFormat="1" ht="15" hidden="1" customHeight="1">
      <c r="A2879" s="354"/>
      <c r="B2879" s="755" t="s">
        <v>1940</v>
      </c>
      <c r="C2879" s="28" t="s">
        <v>1939</v>
      </c>
      <c r="D2879" s="18"/>
      <c r="E2879" s="19"/>
      <c r="F2879" s="20"/>
      <c r="G2879" s="18"/>
      <c r="H2879" s="19"/>
      <c r="I2879" s="20"/>
      <c r="J2879" s="21"/>
      <c r="K2879" s="22"/>
      <c r="L2879" s="23"/>
      <c r="M2879" s="24"/>
      <c r="N2879" s="728"/>
      <c r="O2879" s="25"/>
      <c r="P2879" s="23"/>
      <c r="Q2879" s="729"/>
      <c r="R2879" s="445">
        <v>43</v>
      </c>
      <c r="S2879" s="792" t="s">
        <v>809</v>
      </c>
      <c r="T2879" s="446" t="s">
        <v>324</v>
      </c>
      <c r="U2879" s="44"/>
      <c r="V2879" s="1418">
        <f t="shared" si="291"/>
        <v>0</v>
      </c>
      <c r="W2879" s="357"/>
      <c r="X2879" s="357"/>
      <c r="Y2879" s="357"/>
      <c r="Z2879" s="358"/>
      <c r="AA2879" s="359"/>
      <c r="AB2879" s="360"/>
    </row>
    <row r="2880" spans="1:36" s="369" customFormat="1" ht="15" hidden="1">
      <c r="A2880" s="364"/>
      <c r="B2880" s="355"/>
      <c r="C2880" s="32"/>
      <c r="D2880" s="33"/>
      <c r="E2880" s="34"/>
      <c r="F2880" s="35"/>
      <c r="G2880" s="33"/>
      <c r="H2880" s="34"/>
      <c r="I2880" s="35"/>
      <c r="J2880" s="43"/>
      <c r="K2880" s="42"/>
      <c r="L2880" s="39"/>
      <c r="M2880" s="41"/>
      <c r="N2880" s="40"/>
      <c r="O2880" s="40"/>
      <c r="P2880" s="39"/>
      <c r="Q2880" s="38"/>
      <c r="R2880" s="365"/>
      <c r="S2880" s="366"/>
      <c r="T2880" s="46"/>
      <c r="U2880" s="44"/>
      <c r="V2880" s="1418">
        <f t="shared" si="291"/>
        <v>0</v>
      </c>
      <c r="W2880" s="367"/>
      <c r="X2880" s="367"/>
      <c r="Y2880" s="367"/>
      <c r="Z2880" s="368"/>
    </row>
    <row r="2881" spans="1:36" s="77" customFormat="1" ht="15" hidden="1">
      <c r="A2881" s="370"/>
      <c r="B2881" s="29"/>
      <c r="C2881" s="30"/>
      <c r="D2881" s="18"/>
      <c r="E2881" s="19"/>
      <c r="F2881" s="20"/>
      <c r="G2881" s="18"/>
      <c r="H2881" s="19"/>
      <c r="I2881" s="20"/>
      <c r="J2881" s="21"/>
      <c r="K2881" s="22"/>
      <c r="L2881" s="23"/>
      <c r="M2881" s="24"/>
      <c r="N2881" s="25"/>
      <c r="O2881" s="25"/>
      <c r="P2881" s="23"/>
      <c r="Q2881" s="26"/>
      <c r="R2881" s="371"/>
      <c r="S2881" s="27"/>
      <c r="T2881" s="372"/>
      <c r="U2881" s="31"/>
      <c r="V2881" s="1418">
        <f t="shared" si="291"/>
        <v>0</v>
      </c>
      <c r="AB2881" s="15"/>
    </row>
    <row r="2882" spans="1:36" s="77" customFormat="1" ht="15.6" hidden="1">
      <c r="A2882" s="370"/>
      <c r="B2882" s="499"/>
      <c r="C2882" s="37"/>
      <c r="D2882" s="1929" t="s">
        <v>1520</v>
      </c>
      <c r="E2882" s="1930"/>
      <c r="F2882" s="1930"/>
      <c r="G2882" s="1930"/>
      <c r="H2882" s="1930"/>
      <c r="I2882" s="1931"/>
      <c r="J2882" s="1932">
        <f>VLOOKUP(A2884,'11 - FINANCEIRA'!_xlnm.Print_Area,6,FALSE)</f>
        <v>75</v>
      </c>
      <c r="K2882" s="1933"/>
      <c r="L2882" s="1343" t="str">
        <f>VLOOKUP(A2884,'11 - FINANCEIRA'!_xlnm.Print_Area,4,FALSE)</f>
        <v>m</v>
      </c>
      <c r="M2882" s="1934" t="s">
        <v>1521</v>
      </c>
      <c r="N2882" s="1935"/>
      <c r="O2882" s="1935"/>
      <c r="P2882" s="1935"/>
      <c r="Q2882" s="1936"/>
      <c r="R2882" s="726">
        <f>SUM(R2878:R2881)</f>
        <v>75</v>
      </c>
      <c r="S2882" s="1344" t="str">
        <f>L2882</f>
        <v>m</v>
      </c>
      <c r="T2882" s="373"/>
      <c r="U2882" s="486"/>
      <c r="V2882" s="1418">
        <f t="shared" si="291"/>
        <v>0</v>
      </c>
      <c r="AB2882" s="15"/>
    </row>
    <row r="2883" spans="1:36" s="77" customFormat="1" ht="15.6" hidden="1">
      <c r="A2883" s="370"/>
      <c r="B2883" s="499"/>
      <c r="C2883" s="725"/>
      <c r="D2883" s="1937" t="s">
        <v>1522</v>
      </c>
      <c r="E2883" s="1938"/>
      <c r="F2883" s="1938"/>
      <c r="G2883" s="1938"/>
      <c r="H2883" s="1938"/>
      <c r="I2883" s="1939"/>
      <c r="J2883" s="1943">
        <f>R2882/J2882</f>
        <v>1</v>
      </c>
      <c r="K2883" s="1944"/>
      <c r="L2883" s="1947"/>
      <c r="M2883" s="1934" t="s">
        <v>1523</v>
      </c>
      <c r="N2883" s="1935"/>
      <c r="O2883" s="1935"/>
      <c r="P2883" s="1935"/>
      <c r="Q2883" s="1936"/>
      <c r="R2883" s="726">
        <f>VLOOKUP(A2884,'11 - FINANCEIRA'!_xlnm.Print_Area,8,FALSE)</f>
        <v>75</v>
      </c>
      <c r="S2883" s="727" t="str">
        <f>L2882</f>
        <v>m</v>
      </c>
      <c r="T2883" s="373"/>
      <c r="U2883" s="486"/>
      <c r="V2883" s="1418">
        <f t="shared" si="291"/>
        <v>0</v>
      </c>
      <c r="AB2883" s="15"/>
    </row>
    <row r="2884" spans="1:36" s="77" customFormat="1" ht="15.6" hidden="1">
      <c r="A2884" s="364" t="s">
        <v>597</v>
      </c>
      <c r="B2884" s="499"/>
      <c r="C2884" s="37"/>
      <c r="D2884" s="2013"/>
      <c r="E2884" s="2014"/>
      <c r="F2884" s="2014"/>
      <c r="G2884" s="2014"/>
      <c r="H2884" s="2014"/>
      <c r="I2884" s="2015"/>
      <c r="J2884" s="2016"/>
      <c r="K2884" s="2017"/>
      <c r="L2884" s="1962"/>
      <c r="M2884" s="2007" t="s">
        <v>1524</v>
      </c>
      <c r="N2884" s="2008"/>
      <c r="O2884" s="2008"/>
      <c r="P2884" s="2008"/>
      <c r="Q2884" s="2009"/>
      <c r="R2884" s="1345">
        <f>R2882-R2883</f>
        <v>0</v>
      </c>
      <c r="S2884" s="1346" t="str">
        <f>L2882</f>
        <v>m</v>
      </c>
      <c r="T2884" s="373"/>
      <c r="U2884" s="486"/>
      <c r="V2884" s="1418">
        <f>R2884</f>
        <v>0</v>
      </c>
      <c r="AB2884" s="15"/>
    </row>
    <row r="2885" spans="1:36" s="77" customFormat="1" ht="15.6" hidden="1">
      <c r="A2885" s="370"/>
      <c r="B2885" s="1347"/>
      <c r="C2885" s="1348"/>
      <c r="D2885" s="1349"/>
      <c r="E2885" s="1350"/>
      <c r="F2885" s="1349"/>
      <c r="G2885" s="1349"/>
      <c r="H2885" s="1349"/>
      <c r="I2885" s="1349"/>
      <c r="J2885" s="1351"/>
      <c r="K2885" s="1352"/>
      <c r="L2885" s="1353"/>
      <c r="M2885" s="1354"/>
      <c r="N2885" s="1354"/>
      <c r="O2885" s="1354"/>
      <c r="P2885" s="1354"/>
      <c r="Q2885" s="1354"/>
      <c r="R2885" s="1355"/>
      <c r="S2885" s="1356"/>
      <c r="T2885" s="1357"/>
      <c r="U2885" s="1358"/>
      <c r="V2885" s="1420">
        <f>SUM(V2876:V2884)</f>
        <v>0</v>
      </c>
      <c r="AB2885" s="15"/>
    </row>
    <row r="2886" spans="1:36" s="352" customFormat="1" ht="15.6" hidden="1">
      <c r="A2886" s="351"/>
      <c r="B2886" s="1963" t="str">
        <f>VLOOKUP(A2894,'11 - FINANCEIRA'!_xlnm.Print_Area,1,FALSE)</f>
        <v>2.5.2.4.2</v>
      </c>
      <c r="C2886" s="1965" t="str">
        <f>VLOOKUP(A2894,'11 - FINANCEIRA'!_xlnm.Print_Area,3,FALSE)</f>
        <v>Eletroduto pead, cor preta, diam. 2", marca ref. kanaflex ou equivalente</v>
      </c>
      <c r="D2886" s="1967" t="s">
        <v>1503</v>
      </c>
      <c r="E2886" s="1968"/>
      <c r="F2886" s="1968"/>
      <c r="G2886" s="1968"/>
      <c r="H2886" s="1968"/>
      <c r="I2886" s="1969"/>
      <c r="J2886" s="1914" t="s">
        <v>1504</v>
      </c>
      <c r="K2886" s="1914" t="s">
        <v>1505</v>
      </c>
      <c r="L2886" s="1914" t="s">
        <v>1506</v>
      </c>
      <c r="M2886" s="1914" t="s">
        <v>1507</v>
      </c>
      <c r="N2886" s="1914" t="s">
        <v>1508</v>
      </c>
      <c r="O2886" s="1914" t="s">
        <v>1509</v>
      </c>
      <c r="P2886" s="1341" t="s">
        <v>1510</v>
      </c>
      <c r="Q2886" s="1914" t="s">
        <v>1493</v>
      </c>
      <c r="R2886" s="1916" t="s">
        <v>804</v>
      </c>
      <c r="S2886" s="1914" t="s">
        <v>1511</v>
      </c>
      <c r="T2886" s="1914" t="s">
        <v>1512</v>
      </c>
      <c r="U2886" s="1918" t="s">
        <v>1513</v>
      </c>
      <c r="V2886" s="1418">
        <f t="shared" ref="V2886:V2893" si="292">V2887</f>
        <v>0</v>
      </c>
      <c r="W2886" s="16"/>
      <c r="X2886" s="16"/>
      <c r="Y2886" s="16"/>
      <c r="Z2886" s="17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</row>
    <row r="2887" spans="1:36" s="352" customFormat="1" ht="15.6" hidden="1">
      <c r="A2887" s="351"/>
      <c r="B2887" s="1964" t="e">
        <f>LEFT(#REF!,5)</f>
        <v>#REF!</v>
      </c>
      <c r="C2887" s="1966" t="e">
        <f>VLOOKUP(LEFT(#REF!,5),'11 - FINANCEIRA'!_xlnm.Print_Area,2,FALSE)</f>
        <v>#REF!</v>
      </c>
      <c r="D2887" s="1920" t="s">
        <v>1514</v>
      </c>
      <c r="E2887" s="1921"/>
      <c r="F2887" s="1922"/>
      <c r="G2887" s="1923" t="s">
        <v>1515</v>
      </c>
      <c r="H2887" s="1924"/>
      <c r="I2887" s="1925"/>
      <c r="J2887" s="1915"/>
      <c r="K2887" s="1915"/>
      <c r="L2887" s="1915"/>
      <c r="M2887" s="1915"/>
      <c r="N2887" s="1915"/>
      <c r="O2887" s="1915"/>
      <c r="P2887" s="353" t="s">
        <v>1516</v>
      </c>
      <c r="Q2887" s="1915"/>
      <c r="R2887" s="1917"/>
      <c r="S2887" s="1915"/>
      <c r="T2887" s="1915"/>
      <c r="U2887" s="1919"/>
      <c r="V2887" s="1418">
        <f t="shared" si="292"/>
        <v>0</v>
      </c>
      <c r="W2887" s="16"/>
      <c r="X2887" s="16"/>
      <c r="Y2887" s="16"/>
      <c r="Z2887" s="17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</row>
    <row r="2888" spans="1:36" s="361" customFormat="1" ht="15" hidden="1">
      <c r="A2888" s="354"/>
      <c r="B2888" s="755" t="s">
        <v>1941</v>
      </c>
      <c r="C2888" s="28" t="s">
        <v>1942</v>
      </c>
      <c r="D2888" s="18"/>
      <c r="E2888" s="19"/>
      <c r="F2888" s="20"/>
      <c r="G2888" s="18"/>
      <c r="H2888" s="19"/>
      <c r="I2888" s="20"/>
      <c r="J2888" s="21"/>
      <c r="K2888" s="22"/>
      <c r="L2888" s="23"/>
      <c r="M2888" s="24"/>
      <c r="N2888" s="728"/>
      <c r="O2888" s="25"/>
      <c r="P2888" s="23"/>
      <c r="Q2888" s="729"/>
      <c r="R2888" s="1109">
        <f>2*(13+7+7.5+6)</f>
        <v>67</v>
      </c>
      <c r="S2888" s="730" t="s">
        <v>809</v>
      </c>
      <c r="T2888" s="446" t="s">
        <v>320</v>
      </c>
      <c r="U2888" s="793"/>
      <c r="V2888" s="1418">
        <f t="shared" si="292"/>
        <v>0</v>
      </c>
      <c r="W2888" s="357"/>
      <c r="X2888" s="357"/>
      <c r="Y2888" s="357"/>
      <c r="Z2888" s="358"/>
      <c r="AA2888" s="359"/>
      <c r="AB2888" s="360"/>
    </row>
    <row r="2889" spans="1:36" s="361" customFormat="1" ht="15" hidden="1">
      <c r="A2889" s="354"/>
      <c r="B2889" s="755" t="s">
        <v>1943</v>
      </c>
      <c r="C2889" s="28" t="s">
        <v>1942</v>
      </c>
      <c r="D2889" s="18"/>
      <c r="E2889" s="19"/>
      <c r="F2889" s="20"/>
      <c r="G2889" s="18"/>
      <c r="H2889" s="19"/>
      <c r="I2889" s="20"/>
      <c r="J2889" s="21"/>
      <c r="K2889" s="22"/>
      <c r="L2889" s="23"/>
      <c r="M2889" s="24"/>
      <c r="N2889" s="728"/>
      <c r="O2889" s="25"/>
      <c r="P2889" s="23"/>
      <c r="Q2889" s="729"/>
      <c r="R2889" s="445">
        <v>33</v>
      </c>
      <c r="S2889" s="792" t="s">
        <v>809</v>
      </c>
      <c r="T2889" s="446" t="s">
        <v>324</v>
      </c>
      <c r="U2889" s="44"/>
      <c r="V2889" s="1418">
        <f t="shared" si="292"/>
        <v>0</v>
      </c>
      <c r="W2889" s="357"/>
      <c r="X2889" s="357"/>
      <c r="Y2889" s="357"/>
      <c r="Z2889" s="358"/>
      <c r="AA2889" s="359"/>
      <c r="AB2889" s="360"/>
    </row>
    <row r="2890" spans="1:36" s="369" customFormat="1" ht="15" hidden="1">
      <c r="A2890" s="364"/>
      <c r="B2890" s="355"/>
      <c r="C2890" s="32"/>
      <c r="D2890" s="33"/>
      <c r="E2890" s="34"/>
      <c r="F2890" s="35"/>
      <c r="G2890" s="33"/>
      <c r="H2890" s="34"/>
      <c r="I2890" s="35"/>
      <c r="J2890" s="43"/>
      <c r="K2890" s="42"/>
      <c r="L2890" s="39"/>
      <c r="M2890" s="41"/>
      <c r="N2890" s="40"/>
      <c r="O2890" s="40"/>
      <c r="P2890" s="39"/>
      <c r="Q2890" s="38"/>
      <c r="R2890" s="365"/>
      <c r="S2890" s="366"/>
      <c r="T2890" s="46"/>
      <c r="U2890" s="44"/>
      <c r="V2890" s="1418">
        <f t="shared" si="292"/>
        <v>0</v>
      </c>
      <c r="W2890" s="367"/>
      <c r="X2890" s="367"/>
      <c r="Y2890" s="367"/>
      <c r="Z2890" s="368"/>
    </row>
    <row r="2891" spans="1:36" s="77" customFormat="1" ht="15" hidden="1">
      <c r="A2891" s="370"/>
      <c r="B2891" s="29"/>
      <c r="C2891" s="30"/>
      <c r="D2891" s="18"/>
      <c r="E2891" s="19"/>
      <c r="F2891" s="20"/>
      <c r="G2891" s="18"/>
      <c r="H2891" s="19"/>
      <c r="I2891" s="20"/>
      <c r="J2891" s="21"/>
      <c r="K2891" s="22"/>
      <c r="L2891" s="23"/>
      <c r="M2891" s="24"/>
      <c r="N2891" s="25"/>
      <c r="O2891" s="25"/>
      <c r="P2891" s="23"/>
      <c r="Q2891" s="26"/>
      <c r="R2891" s="371"/>
      <c r="S2891" s="27"/>
      <c r="T2891" s="372"/>
      <c r="U2891" s="31"/>
      <c r="V2891" s="1418">
        <f t="shared" si="292"/>
        <v>0</v>
      </c>
      <c r="AB2891" s="15"/>
    </row>
    <row r="2892" spans="1:36" s="77" customFormat="1" ht="15.6" hidden="1">
      <c r="A2892" s="370"/>
      <c r="B2892" s="499"/>
      <c r="C2892" s="37"/>
      <c r="D2892" s="1929" t="s">
        <v>1520</v>
      </c>
      <c r="E2892" s="1930"/>
      <c r="F2892" s="1930"/>
      <c r="G2892" s="1930"/>
      <c r="H2892" s="1930"/>
      <c r="I2892" s="1931"/>
      <c r="J2892" s="1932">
        <f>VLOOKUP(A2894,'11 - FINANCEIRA'!_xlnm.Print_Area,6,FALSE)</f>
        <v>100</v>
      </c>
      <c r="K2892" s="1933"/>
      <c r="L2892" s="1343" t="str">
        <f>VLOOKUP(A2894,'11 - FINANCEIRA'!_xlnm.Print_Area,4,FALSE)</f>
        <v>m</v>
      </c>
      <c r="M2892" s="1934" t="s">
        <v>1521</v>
      </c>
      <c r="N2892" s="1935"/>
      <c r="O2892" s="1935"/>
      <c r="P2892" s="1935"/>
      <c r="Q2892" s="1936"/>
      <c r="R2892" s="726">
        <f>SUM(R2888:R2891)</f>
        <v>100</v>
      </c>
      <c r="S2892" s="1344" t="str">
        <f>L2892</f>
        <v>m</v>
      </c>
      <c r="T2892" s="373"/>
      <c r="U2892" s="486"/>
      <c r="V2892" s="1418">
        <f t="shared" si="292"/>
        <v>0</v>
      </c>
      <c r="AB2892" s="15"/>
    </row>
    <row r="2893" spans="1:36" s="77" customFormat="1" ht="15.6" hidden="1">
      <c r="A2893" s="370"/>
      <c r="B2893" s="499"/>
      <c r="C2893" s="725"/>
      <c r="D2893" s="1937" t="s">
        <v>1522</v>
      </c>
      <c r="E2893" s="1938"/>
      <c r="F2893" s="1938"/>
      <c r="G2893" s="1938"/>
      <c r="H2893" s="1938"/>
      <c r="I2893" s="1939"/>
      <c r="J2893" s="1943">
        <f>R2892/J2892</f>
        <v>1</v>
      </c>
      <c r="K2893" s="1944"/>
      <c r="L2893" s="1947"/>
      <c r="M2893" s="1934" t="s">
        <v>1523</v>
      </c>
      <c r="N2893" s="1935"/>
      <c r="O2893" s="1935"/>
      <c r="P2893" s="1935"/>
      <c r="Q2893" s="1936"/>
      <c r="R2893" s="726">
        <f>VLOOKUP(A2894,'11 - FINANCEIRA'!_xlnm.Print_Area,8,FALSE)</f>
        <v>100</v>
      </c>
      <c r="S2893" s="727" t="str">
        <f>L2892</f>
        <v>m</v>
      </c>
      <c r="T2893" s="373"/>
      <c r="U2893" s="486"/>
      <c r="V2893" s="1418">
        <f t="shared" si="292"/>
        <v>0</v>
      </c>
      <c r="AB2893" s="15"/>
    </row>
    <row r="2894" spans="1:36" s="77" customFormat="1" ht="15.6" hidden="1">
      <c r="A2894" s="364" t="s">
        <v>598</v>
      </c>
      <c r="B2894" s="499"/>
      <c r="C2894" s="37"/>
      <c r="D2894" s="2013"/>
      <c r="E2894" s="2014"/>
      <c r="F2894" s="2014"/>
      <c r="G2894" s="2014"/>
      <c r="H2894" s="2014"/>
      <c r="I2894" s="2015"/>
      <c r="J2894" s="2016"/>
      <c r="K2894" s="2017"/>
      <c r="L2894" s="1962"/>
      <c r="M2894" s="2007" t="s">
        <v>1524</v>
      </c>
      <c r="N2894" s="2008"/>
      <c r="O2894" s="2008"/>
      <c r="P2894" s="2008"/>
      <c r="Q2894" s="2009"/>
      <c r="R2894" s="1345">
        <f>R2892-R2893</f>
        <v>0</v>
      </c>
      <c r="S2894" s="1346" t="str">
        <f>L2892</f>
        <v>m</v>
      </c>
      <c r="T2894" s="373"/>
      <c r="U2894" s="486"/>
      <c r="V2894" s="1418">
        <f>R2894</f>
        <v>0</v>
      </c>
      <c r="AB2894" s="15"/>
    </row>
    <row r="2895" spans="1:36" s="77" customFormat="1" ht="15.6" hidden="1">
      <c r="A2895" s="370"/>
      <c r="B2895" s="1347"/>
      <c r="C2895" s="1348"/>
      <c r="D2895" s="1349"/>
      <c r="E2895" s="1350"/>
      <c r="F2895" s="1349"/>
      <c r="G2895" s="1349"/>
      <c r="H2895" s="1349"/>
      <c r="I2895" s="1349"/>
      <c r="J2895" s="1351"/>
      <c r="K2895" s="1352"/>
      <c r="L2895" s="1353"/>
      <c r="M2895" s="1354"/>
      <c r="N2895" s="1354"/>
      <c r="O2895" s="1354"/>
      <c r="P2895" s="1354"/>
      <c r="Q2895" s="1354"/>
      <c r="R2895" s="1355"/>
      <c r="S2895" s="1356"/>
      <c r="T2895" s="1357"/>
      <c r="U2895" s="1358"/>
      <c r="V2895" s="1420">
        <f>SUM(V2886:V2894)</f>
        <v>0</v>
      </c>
      <c r="AB2895" s="15"/>
    </row>
    <row r="2896" spans="1:36" s="352" customFormat="1" ht="15.6" hidden="1">
      <c r="A2896" s="351"/>
      <c r="B2896" s="1963" t="str">
        <f>VLOOKUP(A2904,'11 - FINANCEIRA'!_xlnm.Print_Area,1,FALSE)</f>
        <v>2.5.2.4.3</v>
      </c>
      <c r="C2896" s="1965" t="str">
        <f>VLOOKUP(A2904,'11 - FINANCEIRA'!_xlnm.Print_Area,3,FALSE)</f>
        <v>Eletroduto pead, cor preta, diam. 3", marca ref. kanaflex ou equivalente</v>
      </c>
      <c r="D2896" s="1967" t="s">
        <v>1503</v>
      </c>
      <c r="E2896" s="1968"/>
      <c r="F2896" s="1968"/>
      <c r="G2896" s="1968"/>
      <c r="H2896" s="1968"/>
      <c r="I2896" s="1969"/>
      <c r="J2896" s="1914" t="s">
        <v>1504</v>
      </c>
      <c r="K2896" s="1914" t="s">
        <v>1505</v>
      </c>
      <c r="L2896" s="1914" t="s">
        <v>1506</v>
      </c>
      <c r="M2896" s="1914" t="s">
        <v>1507</v>
      </c>
      <c r="N2896" s="1914" t="s">
        <v>1508</v>
      </c>
      <c r="O2896" s="1914" t="s">
        <v>1509</v>
      </c>
      <c r="P2896" s="1341" t="s">
        <v>1510</v>
      </c>
      <c r="Q2896" s="1914" t="s">
        <v>1493</v>
      </c>
      <c r="R2896" s="1916" t="s">
        <v>804</v>
      </c>
      <c r="S2896" s="1914" t="s">
        <v>1511</v>
      </c>
      <c r="T2896" s="1914" t="s">
        <v>1512</v>
      </c>
      <c r="U2896" s="1918" t="s">
        <v>1513</v>
      </c>
      <c r="V2896" s="1418">
        <f t="shared" ref="V2896:V2903" si="293">V2897</f>
        <v>0</v>
      </c>
      <c r="W2896" s="16"/>
      <c r="X2896" s="16"/>
      <c r="Y2896" s="16"/>
      <c r="Z2896" s="17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</row>
    <row r="2897" spans="1:36" s="352" customFormat="1" ht="15.6" hidden="1">
      <c r="A2897" s="351"/>
      <c r="B2897" s="1964" t="e">
        <f>LEFT(#REF!,5)</f>
        <v>#REF!</v>
      </c>
      <c r="C2897" s="1966" t="e">
        <f>VLOOKUP(LEFT(#REF!,5),'11 - FINANCEIRA'!_xlnm.Print_Area,2,FALSE)</f>
        <v>#REF!</v>
      </c>
      <c r="D2897" s="1920" t="s">
        <v>1514</v>
      </c>
      <c r="E2897" s="1921"/>
      <c r="F2897" s="1922"/>
      <c r="G2897" s="1923" t="s">
        <v>1515</v>
      </c>
      <c r="H2897" s="1924"/>
      <c r="I2897" s="1925"/>
      <c r="J2897" s="1915"/>
      <c r="K2897" s="1915"/>
      <c r="L2897" s="1915"/>
      <c r="M2897" s="1915"/>
      <c r="N2897" s="1915"/>
      <c r="O2897" s="1915"/>
      <c r="P2897" s="353" t="s">
        <v>1516</v>
      </c>
      <c r="Q2897" s="1915"/>
      <c r="R2897" s="1917"/>
      <c r="S2897" s="1915"/>
      <c r="T2897" s="1915"/>
      <c r="U2897" s="1919"/>
      <c r="V2897" s="1418">
        <f t="shared" si="293"/>
        <v>0</v>
      </c>
      <c r="W2897" s="16"/>
      <c r="X2897" s="16"/>
      <c r="Y2897" s="16"/>
      <c r="Z2897" s="17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</row>
    <row r="2898" spans="1:36" s="361" customFormat="1" ht="15" hidden="1">
      <c r="A2898" s="354"/>
      <c r="B2898" s="355"/>
      <c r="C2898" s="28" t="s">
        <v>1944</v>
      </c>
      <c r="D2898" s="18"/>
      <c r="E2898" s="19"/>
      <c r="F2898" s="20"/>
      <c r="G2898" s="18"/>
      <c r="H2898" s="19"/>
      <c r="I2898" s="20"/>
      <c r="J2898" s="21"/>
      <c r="K2898" s="22"/>
      <c r="L2898" s="23"/>
      <c r="M2898" s="24"/>
      <c r="N2898" s="728"/>
      <c r="O2898" s="25"/>
      <c r="P2898" s="23"/>
      <c r="Q2898" s="729"/>
      <c r="R2898" s="1109">
        <v>45</v>
      </c>
      <c r="S2898" s="730" t="s">
        <v>809</v>
      </c>
      <c r="T2898" s="446" t="s">
        <v>320</v>
      </c>
      <c r="U2898" s="44"/>
      <c r="V2898" s="1418">
        <f t="shared" si="293"/>
        <v>0</v>
      </c>
      <c r="W2898" s="357"/>
      <c r="X2898" s="357"/>
      <c r="Y2898" s="357"/>
      <c r="Z2898" s="358"/>
      <c r="AA2898" s="359"/>
      <c r="AB2898" s="360"/>
    </row>
    <row r="2899" spans="1:36" s="361" customFormat="1" ht="15" hidden="1">
      <c r="A2899" s="354"/>
      <c r="B2899" s="355"/>
      <c r="C2899" s="28"/>
      <c r="D2899" s="18"/>
      <c r="E2899" s="19"/>
      <c r="F2899" s="20"/>
      <c r="G2899" s="18"/>
      <c r="H2899" s="19"/>
      <c r="I2899" s="20"/>
      <c r="J2899" s="21"/>
      <c r="K2899" s="22"/>
      <c r="L2899" s="23"/>
      <c r="M2899" s="24"/>
      <c r="N2899" s="728"/>
      <c r="O2899" s="25"/>
      <c r="P2899" s="23"/>
      <c r="Q2899" s="729"/>
      <c r="R2899" s="445"/>
      <c r="S2899" s="792"/>
      <c r="T2899" s="446"/>
      <c r="U2899" s="44"/>
      <c r="V2899" s="1418">
        <f t="shared" si="293"/>
        <v>0</v>
      </c>
      <c r="W2899" s="357"/>
      <c r="X2899" s="357"/>
      <c r="Y2899" s="357"/>
      <c r="Z2899" s="358"/>
      <c r="AA2899" s="359"/>
      <c r="AB2899" s="360"/>
    </row>
    <row r="2900" spans="1:36" s="369" customFormat="1" ht="15" hidden="1">
      <c r="A2900" s="364"/>
      <c r="B2900" s="355"/>
      <c r="C2900" s="32"/>
      <c r="D2900" s="33"/>
      <c r="E2900" s="34"/>
      <c r="F2900" s="35"/>
      <c r="G2900" s="33"/>
      <c r="H2900" s="34"/>
      <c r="I2900" s="35"/>
      <c r="J2900" s="43"/>
      <c r="K2900" s="42"/>
      <c r="L2900" s="39"/>
      <c r="M2900" s="41"/>
      <c r="N2900" s="40"/>
      <c r="O2900" s="40"/>
      <c r="P2900" s="39"/>
      <c r="Q2900" s="38"/>
      <c r="R2900" s="365"/>
      <c r="S2900" s="366"/>
      <c r="T2900" s="46"/>
      <c r="U2900" s="44"/>
      <c r="V2900" s="1418">
        <f t="shared" si="293"/>
        <v>0</v>
      </c>
      <c r="W2900" s="367"/>
      <c r="X2900" s="367"/>
      <c r="Y2900" s="367"/>
      <c r="Z2900" s="368"/>
    </row>
    <row r="2901" spans="1:36" s="77" customFormat="1" ht="15" hidden="1">
      <c r="A2901" s="370"/>
      <c r="B2901" s="29"/>
      <c r="C2901" s="30"/>
      <c r="D2901" s="18"/>
      <c r="E2901" s="19"/>
      <c r="F2901" s="20"/>
      <c r="G2901" s="18"/>
      <c r="H2901" s="19"/>
      <c r="I2901" s="20"/>
      <c r="J2901" s="21"/>
      <c r="K2901" s="22"/>
      <c r="L2901" s="23"/>
      <c r="M2901" s="24"/>
      <c r="N2901" s="25"/>
      <c r="O2901" s="25"/>
      <c r="P2901" s="23"/>
      <c r="Q2901" s="26"/>
      <c r="R2901" s="371"/>
      <c r="S2901" s="27"/>
      <c r="T2901" s="372"/>
      <c r="U2901" s="31"/>
      <c r="V2901" s="1418">
        <f t="shared" si="293"/>
        <v>0</v>
      </c>
      <c r="AB2901" s="15"/>
    </row>
    <row r="2902" spans="1:36" s="77" customFormat="1" ht="15.6" hidden="1">
      <c r="A2902" s="370"/>
      <c r="B2902" s="499"/>
      <c r="C2902" s="37"/>
      <c r="D2902" s="1929" t="s">
        <v>1520</v>
      </c>
      <c r="E2902" s="1930"/>
      <c r="F2902" s="1930"/>
      <c r="G2902" s="1930"/>
      <c r="H2902" s="1930"/>
      <c r="I2902" s="1931"/>
      <c r="J2902" s="1932">
        <f>VLOOKUP(A2904,'11 - FINANCEIRA'!_xlnm.Print_Area,6,FALSE)</f>
        <v>45</v>
      </c>
      <c r="K2902" s="1933"/>
      <c r="L2902" s="1343" t="str">
        <f>VLOOKUP(A2904,'11 - FINANCEIRA'!_xlnm.Print_Area,4,FALSE)</f>
        <v>m</v>
      </c>
      <c r="M2902" s="1934" t="s">
        <v>1521</v>
      </c>
      <c r="N2902" s="1935"/>
      <c r="O2902" s="1935"/>
      <c r="P2902" s="1935"/>
      <c r="Q2902" s="1936"/>
      <c r="R2902" s="726">
        <f>SUM(R2898:R2901)</f>
        <v>45</v>
      </c>
      <c r="S2902" s="1344" t="str">
        <f>L2902</f>
        <v>m</v>
      </c>
      <c r="T2902" s="373"/>
      <c r="U2902" s="486"/>
      <c r="V2902" s="1418">
        <f t="shared" si="293"/>
        <v>0</v>
      </c>
      <c r="AB2902" s="15"/>
    </row>
    <row r="2903" spans="1:36" s="77" customFormat="1" ht="15.6" hidden="1">
      <c r="A2903" s="370"/>
      <c r="B2903" s="499"/>
      <c r="C2903" s="725"/>
      <c r="D2903" s="1937" t="s">
        <v>1522</v>
      </c>
      <c r="E2903" s="1938"/>
      <c r="F2903" s="1938"/>
      <c r="G2903" s="1938"/>
      <c r="H2903" s="1938"/>
      <c r="I2903" s="1939"/>
      <c r="J2903" s="1943">
        <f>R2902/J2902</f>
        <v>1</v>
      </c>
      <c r="K2903" s="1944"/>
      <c r="L2903" s="1947"/>
      <c r="M2903" s="1934" t="s">
        <v>1523</v>
      </c>
      <c r="N2903" s="1935"/>
      <c r="O2903" s="1935"/>
      <c r="P2903" s="1935"/>
      <c r="Q2903" s="1936"/>
      <c r="R2903" s="726">
        <f>VLOOKUP(A2904,'11 - FINANCEIRA'!_xlnm.Print_Area,8,FALSE)</f>
        <v>45</v>
      </c>
      <c r="S2903" s="727" t="str">
        <f>L2902</f>
        <v>m</v>
      </c>
      <c r="T2903" s="373"/>
      <c r="U2903" s="486"/>
      <c r="V2903" s="1418">
        <f t="shared" si="293"/>
        <v>0</v>
      </c>
      <c r="AB2903" s="15"/>
    </row>
    <row r="2904" spans="1:36" s="77" customFormat="1" ht="15.6" hidden="1">
      <c r="A2904" s="364" t="s">
        <v>599</v>
      </c>
      <c r="B2904" s="499"/>
      <c r="C2904" s="37"/>
      <c r="D2904" s="2013"/>
      <c r="E2904" s="2014"/>
      <c r="F2904" s="2014"/>
      <c r="G2904" s="2014"/>
      <c r="H2904" s="2014"/>
      <c r="I2904" s="2015"/>
      <c r="J2904" s="2016"/>
      <c r="K2904" s="2017"/>
      <c r="L2904" s="1962"/>
      <c r="M2904" s="2007" t="s">
        <v>1524</v>
      </c>
      <c r="N2904" s="2008"/>
      <c r="O2904" s="2008"/>
      <c r="P2904" s="2008"/>
      <c r="Q2904" s="2009"/>
      <c r="R2904" s="1345">
        <f>R2902-R2903</f>
        <v>0</v>
      </c>
      <c r="S2904" s="1346" t="str">
        <f>L2902</f>
        <v>m</v>
      </c>
      <c r="T2904" s="373"/>
      <c r="U2904" s="486"/>
      <c r="V2904" s="1418">
        <f>R2904</f>
        <v>0</v>
      </c>
      <c r="AB2904" s="15"/>
    </row>
    <row r="2905" spans="1:36" s="77" customFormat="1" ht="15.6" hidden="1">
      <c r="A2905" s="370"/>
      <c r="B2905" s="1347"/>
      <c r="C2905" s="1348"/>
      <c r="D2905" s="1349"/>
      <c r="E2905" s="1350"/>
      <c r="F2905" s="1349"/>
      <c r="G2905" s="1349"/>
      <c r="H2905" s="1349"/>
      <c r="I2905" s="1349"/>
      <c r="J2905" s="1351"/>
      <c r="K2905" s="1352"/>
      <c r="L2905" s="1353"/>
      <c r="M2905" s="1354"/>
      <c r="N2905" s="1354"/>
      <c r="O2905" s="1354"/>
      <c r="P2905" s="1354"/>
      <c r="Q2905" s="1354"/>
      <c r="R2905" s="1355"/>
      <c r="S2905" s="1356"/>
      <c r="T2905" s="1357"/>
      <c r="U2905" s="1358"/>
      <c r="V2905" s="1420">
        <f>SUM(V2896:V2904)</f>
        <v>0</v>
      </c>
      <c r="AB2905" s="15"/>
    </row>
    <row r="2906" spans="1:36" s="352" customFormat="1" ht="15.6" hidden="1">
      <c r="A2906" s="351"/>
      <c r="B2906" s="1963" t="str">
        <f>VLOOKUP(A2914,'11 - FINANCEIRA'!_xlnm.Print_Area,1,FALSE)</f>
        <v>2.5.2.4.4</v>
      </c>
      <c r="C2906" s="1965" t="str">
        <f>VLOOKUP(A2914,'11 - FINANCEIRA'!_xlnm.Print_Area,3,FALSE)</f>
        <v>Eletroduto pead, cor preta, diam. 4", marca ref. kanaflex ou equivalente</v>
      </c>
      <c r="D2906" s="1967" t="s">
        <v>1503</v>
      </c>
      <c r="E2906" s="1968"/>
      <c r="F2906" s="1968"/>
      <c r="G2906" s="1968"/>
      <c r="H2906" s="1968"/>
      <c r="I2906" s="1969"/>
      <c r="J2906" s="1914" t="s">
        <v>1504</v>
      </c>
      <c r="K2906" s="1914" t="s">
        <v>1505</v>
      </c>
      <c r="L2906" s="1914" t="s">
        <v>1506</v>
      </c>
      <c r="M2906" s="1914" t="s">
        <v>1507</v>
      </c>
      <c r="N2906" s="1914" t="s">
        <v>1508</v>
      </c>
      <c r="O2906" s="1914" t="s">
        <v>1509</v>
      </c>
      <c r="P2906" s="1341" t="s">
        <v>1510</v>
      </c>
      <c r="Q2906" s="1914" t="s">
        <v>1493</v>
      </c>
      <c r="R2906" s="1916" t="s">
        <v>804</v>
      </c>
      <c r="S2906" s="1914" t="s">
        <v>1511</v>
      </c>
      <c r="T2906" s="1914" t="s">
        <v>1512</v>
      </c>
      <c r="U2906" s="1918" t="s">
        <v>1513</v>
      </c>
      <c r="V2906" s="1418">
        <f t="shared" ref="V2906:V2913" si="294">V2907</f>
        <v>0</v>
      </c>
      <c r="W2906" s="16"/>
      <c r="X2906" s="16"/>
      <c r="Y2906" s="16"/>
      <c r="Z2906" s="17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</row>
    <row r="2907" spans="1:36" s="352" customFormat="1" ht="15.6" hidden="1">
      <c r="A2907" s="351"/>
      <c r="B2907" s="1964" t="e">
        <f>LEFT(#REF!,5)</f>
        <v>#REF!</v>
      </c>
      <c r="C2907" s="1966" t="e">
        <f>VLOOKUP(LEFT(#REF!,5),'11 - FINANCEIRA'!_xlnm.Print_Area,2,FALSE)</f>
        <v>#REF!</v>
      </c>
      <c r="D2907" s="1920" t="s">
        <v>1514</v>
      </c>
      <c r="E2907" s="1921"/>
      <c r="F2907" s="1922"/>
      <c r="G2907" s="1923" t="s">
        <v>1515</v>
      </c>
      <c r="H2907" s="1924"/>
      <c r="I2907" s="1925"/>
      <c r="J2907" s="1915"/>
      <c r="K2907" s="1915"/>
      <c r="L2907" s="1915"/>
      <c r="M2907" s="1915"/>
      <c r="N2907" s="1915"/>
      <c r="O2907" s="1915"/>
      <c r="P2907" s="353" t="s">
        <v>1516</v>
      </c>
      <c r="Q2907" s="1915"/>
      <c r="R2907" s="1917"/>
      <c r="S2907" s="1915"/>
      <c r="T2907" s="1915"/>
      <c r="U2907" s="1919"/>
      <c r="V2907" s="1418">
        <f t="shared" si="294"/>
        <v>0</v>
      </c>
      <c r="W2907" s="16"/>
      <c r="X2907" s="16"/>
      <c r="Y2907" s="16"/>
      <c r="Z2907" s="17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</row>
    <row r="2908" spans="1:36" s="361" customFormat="1" ht="15" hidden="1">
      <c r="A2908" s="354"/>
      <c r="B2908" s="355"/>
      <c r="C2908" s="28" t="s">
        <v>1945</v>
      </c>
      <c r="D2908" s="18"/>
      <c r="E2908" s="19"/>
      <c r="F2908" s="20"/>
      <c r="G2908" s="18"/>
      <c r="H2908" s="19"/>
      <c r="I2908" s="20"/>
      <c r="J2908" s="21"/>
      <c r="K2908" s="22"/>
      <c r="L2908" s="23"/>
      <c r="M2908" s="24"/>
      <c r="N2908" s="728"/>
      <c r="O2908" s="25"/>
      <c r="P2908" s="23"/>
      <c r="Q2908" s="729"/>
      <c r="R2908" s="1109">
        <f>6*15+9.5</f>
        <v>99.5</v>
      </c>
      <c r="S2908" s="730" t="s">
        <v>809</v>
      </c>
      <c r="T2908" s="446" t="s">
        <v>320</v>
      </c>
      <c r="U2908" s="44"/>
      <c r="V2908" s="1418">
        <f t="shared" si="294"/>
        <v>0</v>
      </c>
      <c r="W2908" s="357"/>
      <c r="X2908" s="357"/>
      <c r="Y2908" s="357"/>
      <c r="Z2908" s="358"/>
      <c r="AA2908" s="359"/>
      <c r="AB2908" s="360"/>
    </row>
    <row r="2909" spans="1:36" s="361" customFormat="1" ht="15" hidden="1">
      <c r="A2909" s="354"/>
      <c r="B2909" s="355"/>
      <c r="C2909" s="28" t="s">
        <v>1945</v>
      </c>
      <c r="D2909" s="18"/>
      <c r="E2909" s="19"/>
      <c r="F2909" s="20"/>
      <c r="G2909" s="18"/>
      <c r="H2909" s="19"/>
      <c r="I2909" s="20"/>
      <c r="J2909" s="21"/>
      <c r="K2909" s="22"/>
      <c r="L2909" s="23"/>
      <c r="M2909" s="24"/>
      <c r="N2909" s="728"/>
      <c r="O2909" s="25"/>
      <c r="P2909" s="23"/>
      <c r="Q2909" s="729"/>
      <c r="R2909" s="445">
        <v>32</v>
      </c>
      <c r="S2909" s="792" t="s">
        <v>809</v>
      </c>
      <c r="T2909" s="446" t="s">
        <v>322</v>
      </c>
      <c r="U2909" s="44"/>
      <c r="V2909" s="1418">
        <f t="shared" si="294"/>
        <v>0</v>
      </c>
      <c r="W2909" s="357"/>
      <c r="X2909" s="357"/>
      <c r="Y2909" s="357"/>
      <c r="Z2909" s="358"/>
      <c r="AA2909" s="359"/>
      <c r="AB2909" s="360"/>
    </row>
    <row r="2910" spans="1:36" s="369" customFormat="1" ht="15" hidden="1">
      <c r="A2910" s="364"/>
      <c r="B2910" s="355"/>
      <c r="C2910" s="28" t="s">
        <v>1945</v>
      </c>
      <c r="D2910" s="18"/>
      <c r="E2910" s="19"/>
      <c r="F2910" s="20"/>
      <c r="G2910" s="18"/>
      <c r="H2910" s="19"/>
      <c r="I2910" s="20"/>
      <c r="J2910" s="21"/>
      <c r="K2910" s="22"/>
      <c r="L2910" s="23"/>
      <c r="M2910" s="24"/>
      <c r="N2910" s="25"/>
      <c r="O2910" s="25"/>
      <c r="P2910" s="23"/>
      <c r="Q2910" s="26"/>
      <c r="R2910" s="849">
        <v>368.5</v>
      </c>
      <c r="S2910" s="447" t="s">
        <v>809</v>
      </c>
      <c r="T2910" s="446" t="s">
        <v>324</v>
      </c>
      <c r="U2910" s="44"/>
      <c r="V2910" s="1418">
        <f t="shared" si="294"/>
        <v>0</v>
      </c>
      <c r="W2910" s="367"/>
      <c r="X2910" s="367"/>
      <c r="Y2910" s="367"/>
      <c r="Z2910" s="368"/>
    </row>
    <row r="2911" spans="1:36" s="77" customFormat="1" ht="15" hidden="1">
      <c r="A2911" s="370"/>
      <c r="B2911" s="29"/>
      <c r="C2911" s="30"/>
      <c r="D2911" s="18"/>
      <c r="E2911" s="19"/>
      <c r="F2911" s="20"/>
      <c r="G2911" s="18"/>
      <c r="H2911" s="19"/>
      <c r="I2911" s="20"/>
      <c r="J2911" s="21"/>
      <c r="K2911" s="22"/>
      <c r="L2911" s="23"/>
      <c r="M2911" s="24"/>
      <c r="N2911" s="25"/>
      <c r="O2911" s="25"/>
      <c r="P2911" s="23"/>
      <c r="Q2911" s="26"/>
      <c r="R2911" s="371"/>
      <c r="S2911" s="27"/>
      <c r="T2911" s="372"/>
      <c r="U2911" s="31"/>
      <c r="V2911" s="1418">
        <f t="shared" si="294"/>
        <v>0</v>
      </c>
      <c r="AB2911" s="15"/>
    </row>
    <row r="2912" spans="1:36" s="77" customFormat="1" ht="15.6" hidden="1">
      <c r="A2912" s="370"/>
      <c r="B2912" s="499"/>
      <c r="C2912" s="37"/>
      <c r="D2912" s="1929" t="s">
        <v>1520</v>
      </c>
      <c r="E2912" s="1930"/>
      <c r="F2912" s="1930"/>
      <c r="G2912" s="1930"/>
      <c r="H2912" s="1930"/>
      <c r="I2912" s="1931"/>
      <c r="J2912" s="1932">
        <f>VLOOKUP(A2914,'11 - FINANCEIRA'!_xlnm.Print_Area,6,FALSE)</f>
        <v>500</v>
      </c>
      <c r="K2912" s="1933"/>
      <c r="L2912" s="1343" t="str">
        <f>VLOOKUP(A2914,'11 - FINANCEIRA'!_xlnm.Print_Area,4,FALSE)</f>
        <v>m</v>
      </c>
      <c r="M2912" s="1934" t="s">
        <v>1521</v>
      </c>
      <c r="N2912" s="1935"/>
      <c r="O2912" s="1935"/>
      <c r="P2912" s="1935"/>
      <c r="Q2912" s="1936"/>
      <c r="R2912" s="726">
        <f>SUM(R2908:R2911)</f>
        <v>500</v>
      </c>
      <c r="S2912" s="1344" t="str">
        <f>L2912</f>
        <v>m</v>
      </c>
      <c r="T2912" s="373"/>
      <c r="U2912" s="486"/>
      <c r="V2912" s="1418">
        <f t="shared" si="294"/>
        <v>0</v>
      </c>
      <c r="AB2912" s="15"/>
    </row>
    <row r="2913" spans="1:36" s="77" customFormat="1" ht="15.6" hidden="1">
      <c r="A2913" s="370"/>
      <c r="B2913" s="499"/>
      <c r="C2913" s="725"/>
      <c r="D2913" s="1937" t="s">
        <v>1522</v>
      </c>
      <c r="E2913" s="1938"/>
      <c r="F2913" s="1938"/>
      <c r="G2913" s="1938"/>
      <c r="H2913" s="1938"/>
      <c r="I2913" s="1939"/>
      <c r="J2913" s="1943">
        <f>R2912/J2912</f>
        <v>1</v>
      </c>
      <c r="K2913" s="1944"/>
      <c r="L2913" s="1947"/>
      <c r="M2913" s="1934" t="s">
        <v>1523</v>
      </c>
      <c r="N2913" s="1935"/>
      <c r="O2913" s="1935"/>
      <c r="P2913" s="1935"/>
      <c r="Q2913" s="1936"/>
      <c r="R2913" s="726">
        <f>VLOOKUP(A2914,'11 - FINANCEIRA'!_xlnm.Print_Area,8,FALSE)</f>
        <v>500</v>
      </c>
      <c r="S2913" s="727" t="str">
        <f>L2912</f>
        <v>m</v>
      </c>
      <c r="T2913" s="373"/>
      <c r="U2913" s="486"/>
      <c r="V2913" s="1418">
        <f t="shared" si="294"/>
        <v>0</v>
      </c>
      <c r="AB2913" s="15"/>
    </row>
    <row r="2914" spans="1:36" s="77" customFormat="1" ht="15.6" hidden="1">
      <c r="A2914" s="364" t="s">
        <v>600</v>
      </c>
      <c r="B2914" s="499"/>
      <c r="C2914" s="37"/>
      <c r="D2914" s="2013"/>
      <c r="E2914" s="2014"/>
      <c r="F2914" s="2014"/>
      <c r="G2914" s="2014"/>
      <c r="H2914" s="2014"/>
      <c r="I2914" s="2015"/>
      <c r="J2914" s="2016"/>
      <c r="K2914" s="2017"/>
      <c r="L2914" s="1962"/>
      <c r="M2914" s="2007" t="s">
        <v>1524</v>
      </c>
      <c r="N2914" s="2008"/>
      <c r="O2914" s="2008"/>
      <c r="P2914" s="2008"/>
      <c r="Q2914" s="2009"/>
      <c r="R2914" s="1345">
        <f>R2912-R2913</f>
        <v>0</v>
      </c>
      <c r="S2914" s="1346" t="str">
        <f>L2912</f>
        <v>m</v>
      </c>
      <c r="T2914" s="373"/>
      <c r="U2914" s="486"/>
      <c r="V2914" s="1418">
        <f>R2914</f>
        <v>0</v>
      </c>
      <c r="AB2914" s="15"/>
    </row>
    <row r="2915" spans="1:36" s="77" customFormat="1" ht="15.6" hidden="1">
      <c r="A2915" s="370"/>
      <c r="B2915" s="1347"/>
      <c r="C2915" s="1348"/>
      <c r="D2915" s="1349"/>
      <c r="E2915" s="1350"/>
      <c r="F2915" s="1349"/>
      <c r="G2915" s="1349"/>
      <c r="H2915" s="1349"/>
      <c r="I2915" s="1349"/>
      <c r="J2915" s="1351"/>
      <c r="K2915" s="1352"/>
      <c r="L2915" s="1353"/>
      <c r="M2915" s="1354"/>
      <c r="N2915" s="1354"/>
      <c r="O2915" s="1354"/>
      <c r="P2915" s="1354"/>
      <c r="Q2915" s="1354"/>
      <c r="R2915" s="1355"/>
      <c r="S2915" s="1356"/>
      <c r="T2915" s="1357"/>
      <c r="U2915" s="1358"/>
      <c r="V2915" s="1420">
        <f>SUM(V2906:V2914)</f>
        <v>0</v>
      </c>
      <c r="AB2915" s="15"/>
    </row>
    <row r="2916" spans="1:36" s="352" customFormat="1" ht="15.6" hidden="1">
      <c r="A2916" s="351"/>
      <c r="B2916" s="1963" t="str">
        <f>VLOOKUP(A2924,'11 - FINANCEIRA'!_xlnm.Print_Area,1,FALSE)</f>
        <v>2.5.2.4.5</v>
      </c>
      <c r="C2916" s="1965" t="str">
        <f>VLOOKUP(A2924,'11 - FINANCEIRA'!_xlnm.Print_Area,3,FALSE)</f>
        <v>Eletroduto pead, cor preta, diam. 6", marca ref. kanaflex ou equivalente</v>
      </c>
      <c r="D2916" s="1967" t="s">
        <v>1503</v>
      </c>
      <c r="E2916" s="1968"/>
      <c r="F2916" s="1968"/>
      <c r="G2916" s="1968"/>
      <c r="H2916" s="1968"/>
      <c r="I2916" s="1969"/>
      <c r="J2916" s="1914" t="s">
        <v>1504</v>
      </c>
      <c r="K2916" s="1914" t="s">
        <v>1505</v>
      </c>
      <c r="L2916" s="1914" t="s">
        <v>1506</v>
      </c>
      <c r="M2916" s="1914" t="s">
        <v>1507</v>
      </c>
      <c r="N2916" s="1914" t="s">
        <v>1508</v>
      </c>
      <c r="O2916" s="1914" t="s">
        <v>1509</v>
      </c>
      <c r="P2916" s="1341" t="s">
        <v>1510</v>
      </c>
      <c r="Q2916" s="1914" t="s">
        <v>1493</v>
      </c>
      <c r="R2916" s="1916" t="s">
        <v>804</v>
      </c>
      <c r="S2916" s="1914" t="s">
        <v>1511</v>
      </c>
      <c r="T2916" s="1914" t="s">
        <v>1512</v>
      </c>
      <c r="U2916" s="1918" t="s">
        <v>1513</v>
      </c>
      <c r="V2916" s="1418">
        <f t="shared" ref="V2916:V2923" si="295">V2917</f>
        <v>0</v>
      </c>
      <c r="W2916" s="16"/>
      <c r="X2916" s="16"/>
      <c r="Y2916" s="16"/>
      <c r="Z2916" s="17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</row>
    <row r="2917" spans="1:36" s="352" customFormat="1" ht="15.6" hidden="1">
      <c r="A2917" s="351"/>
      <c r="B2917" s="1964" t="e">
        <f>LEFT(#REF!,5)</f>
        <v>#REF!</v>
      </c>
      <c r="C2917" s="1966" t="e">
        <f>VLOOKUP(LEFT(#REF!,5),'11 - FINANCEIRA'!_xlnm.Print_Area,2,FALSE)</f>
        <v>#REF!</v>
      </c>
      <c r="D2917" s="1920" t="s">
        <v>1514</v>
      </c>
      <c r="E2917" s="1921"/>
      <c r="F2917" s="1922"/>
      <c r="G2917" s="1923" t="s">
        <v>1515</v>
      </c>
      <c r="H2917" s="1924"/>
      <c r="I2917" s="1925"/>
      <c r="J2917" s="1915"/>
      <c r="K2917" s="1915"/>
      <c r="L2917" s="1915"/>
      <c r="M2917" s="1915"/>
      <c r="N2917" s="1915"/>
      <c r="O2917" s="1915"/>
      <c r="P2917" s="353" t="s">
        <v>1516</v>
      </c>
      <c r="Q2917" s="1915"/>
      <c r="R2917" s="1917"/>
      <c r="S2917" s="1915"/>
      <c r="T2917" s="1915"/>
      <c r="U2917" s="1919"/>
      <c r="V2917" s="1418">
        <f t="shared" si="295"/>
        <v>0</v>
      </c>
      <c r="W2917" s="16"/>
      <c r="X2917" s="16"/>
      <c r="Y2917" s="16"/>
      <c r="Z2917" s="17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</row>
    <row r="2918" spans="1:36" s="361" customFormat="1" ht="15" hidden="1">
      <c r="A2918" s="354"/>
      <c r="B2918" s="355"/>
      <c r="C2918" s="28" t="s">
        <v>1946</v>
      </c>
      <c r="D2918" s="18"/>
      <c r="E2918" s="19"/>
      <c r="F2918" s="20"/>
      <c r="G2918" s="18"/>
      <c r="H2918" s="19"/>
      <c r="I2918" s="20"/>
      <c r="J2918" s="21"/>
      <c r="K2918" s="22"/>
      <c r="L2918" s="23"/>
      <c r="M2918" s="24"/>
      <c r="N2918" s="728"/>
      <c r="O2918" s="25"/>
      <c r="P2918" s="23"/>
      <c r="Q2918" s="729"/>
      <c r="R2918" s="1109">
        <f>3*9.5</f>
        <v>28.5</v>
      </c>
      <c r="S2918" s="730" t="s">
        <v>809</v>
      </c>
      <c r="T2918" s="446" t="s">
        <v>320</v>
      </c>
      <c r="U2918" s="44"/>
      <c r="V2918" s="1418">
        <f t="shared" si="295"/>
        <v>0</v>
      </c>
      <c r="W2918" s="357"/>
      <c r="X2918" s="357"/>
      <c r="Y2918" s="357"/>
      <c r="Z2918" s="358"/>
      <c r="AA2918" s="359"/>
      <c r="AB2918" s="360"/>
    </row>
    <row r="2919" spans="1:36" s="361" customFormat="1" ht="15" hidden="1">
      <c r="A2919" s="354"/>
      <c r="B2919" s="355"/>
      <c r="C2919" s="28" t="s">
        <v>1946</v>
      </c>
      <c r="D2919" s="18"/>
      <c r="E2919" s="19"/>
      <c r="F2919" s="20"/>
      <c r="G2919" s="18"/>
      <c r="H2919" s="19"/>
      <c r="I2919" s="20"/>
      <c r="J2919" s="21"/>
      <c r="K2919" s="22"/>
      <c r="L2919" s="23"/>
      <c r="M2919" s="24"/>
      <c r="N2919" s="728"/>
      <c r="O2919" s="25"/>
      <c r="P2919" s="23"/>
      <c r="Q2919" s="729"/>
      <c r="R2919" s="445">
        <v>64</v>
      </c>
      <c r="S2919" s="792" t="s">
        <v>809</v>
      </c>
      <c r="T2919" s="446" t="s">
        <v>322</v>
      </c>
      <c r="U2919" s="44"/>
      <c r="V2919" s="1418">
        <f t="shared" si="295"/>
        <v>0</v>
      </c>
      <c r="W2919" s="357"/>
      <c r="X2919" s="357"/>
      <c r="Y2919" s="357"/>
      <c r="Z2919" s="358"/>
      <c r="AA2919" s="359"/>
      <c r="AB2919" s="360"/>
    </row>
    <row r="2920" spans="1:36" s="369" customFormat="1" ht="15" hidden="1">
      <c r="A2920" s="364"/>
      <c r="B2920" s="355"/>
      <c r="C2920" s="28" t="s">
        <v>1946</v>
      </c>
      <c r="D2920" s="18"/>
      <c r="E2920" s="19"/>
      <c r="F2920" s="20"/>
      <c r="G2920" s="18"/>
      <c r="H2920" s="19"/>
      <c r="I2920" s="20"/>
      <c r="J2920" s="21"/>
      <c r="K2920" s="22"/>
      <c r="L2920" s="23"/>
      <c r="M2920" s="24"/>
      <c r="N2920" s="25"/>
      <c r="O2920" s="25"/>
      <c r="P2920" s="23"/>
      <c r="Q2920" s="26"/>
      <c r="R2920" s="849">
        <v>147.5</v>
      </c>
      <c r="S2920" s="447" t="s">
        <v>809</v>
      </c>
      <c r="T2920" s="446" t="s">
        <v>324</v>
      </c>
      <c r="U2920" s="44"/>
      <c r="V2920" s="1418">
        <f t="shared" si="295"/>
        <v>0</v>
      </c>
      <c r="W2920" s="367"/>
      <c r="X2920" s="367"/>
      <c r="Y2920" s="367"/>
      <c r="Z2920" s="368"/>
    </row>
    <row r="2921" spans="1:36" s="77" customFormat="1" ht="15" hidden="1">
      <c r="A2921" s="370"/>
      <c r="B2921" s="29"/>
      <c r="C2921" s="30"/>
      <c r="D2921" s="18"/>
      <c r="E2921" s="19"/>
      <c r="F2921" s="20"/>
      <c r="G2921" s="18"/>
      <c r="H2921" s="19"/>
      <c r="I2921" s="20"/>
      <c r="J2921" s="21"/>
      <c r="K2921" s="22"/>
      <c r="L2921" s="23"/>
      <c r="M2921" s="24"/>
      <c r="N2921" s="25"/>
      <c r="O2921" s="25"/>
      <c r="P2921" s="23"/>
      <c r="Q2921" s="26"/>
      <c r="R2921" s="371"/>
      <c r="S2921" s="27"/>
      <c r="T2921" s="372"/>
      <c r="U2921" s="31"/>
      <c r="V2921" s="1418">
        <f t="shared" si="295"/>
        <v>0</v>
      </c>
      <c r="AB2921" s="15"/>
    </row>
    <row r="2922" spans="1:36" s="77" customFormat="1" ht="15.6" hidden="1">
      <c r="A2922" s="370"/>
      <c r="B2922" s="499"/>
      <c r="C2922" s="37"/>
      <c r="D2922" s="1929" t="s">
        <v>1520</v>
      </c>
      <c r="E2922" s="1930"/>
      <c r="F2922" s="1930"/>
      <c r="G2922" s="1930"/>
      <c r="H2922" s="1930"/>
      <c r="I2922" s="1931"/>
      <c r="J2922" s="1932">
        <f>VLOOKUP(A2924,'11 - FINANCEIRA'!_xlnm.Print_Area,6,FALSE)</f>
        <v>240</v>
      </c>
      <c r="K2922" s="1933"/>
      <c r="L2922" s="1343" t="str">
        <f>VLOOKUP(A2924,'11 - FINANCEIRA'!_xlnm.Print_Area,4,FALSE)</f>
        <v>m</v>
      </c>
      <c r="M2922" s="1934" t="s">
        <v>1521</v>
      </c>
      <c r="N2922" s="1935"/>
      <c r="O2922" s="1935"/>
      <c r="P2922" s="1935"/>
      <c r="Q2922" s="1936"/>
      <c r="R2922" s="726">
        <f>SUM(R2918:R2921)</f>
        <v>240</v>
      </c>
      <c r="S2922" s="1344" t="str">
        <f>L2922</f>
        <v>m</v>
      </c>
      <c r="T2922" s="373"/>
      <c r="U2922" s="486"/>
      <c r="V2922" s="1418">
        <f t="shared" si="295"/>
        <v>0</v>
      </c>
      <c r="AB2922" s="15"/>
    </row>
    <row r="2923" spans="1:36" s="77" customFormat="1" ht="15.6" hidden="1">
      <c r="A2923" s="370"/>
      <c r="B2923" s="499"/>
      <c r="C2923" s="725"/>
      <c r="D2923" s="1937" t="s">
        <v>1522</v>
      </c>
      <c r="E2923" s="1938"/>
      <c r="F2923" s="1938"/>
      <c r="G2923" s="1938"/>
      <c r="H2923" s="1938"/>
      <c r="I2923" s="1939"/>
      <c r="J2923" s="1943">
        <f>R2922/J2922</f>
        <v>1</v>
      </c>
      <c r="K2923" s="1944"/>
      <c r="L2923" s="1947"/>
      <c r="M2923" s="1934" t="s">
        <v>1523</v>
      </c>
      <c r="N2923" s="1935"/>
      <c r="O2923" s="1935"/>
      <c r="P2923" s="1935"/>
      <c r="Q2923" s="1936"/>
      <c r="R2923" s="726">
        <f>VLOOKUP(A2924,'11 - FINANCEIRA'!_xlnm.Print_Area,8,FALSE)</f>
        <v>240</v>
      </c>
      <c r="S2923" s="727" t="str">
        <f>L2922</f>
        <v>m</v>
      </c>
      <c r="T2923" s="373"/>
      <c r="U2923" s="486"/>
      <c r="V2923" s="1418">
        <f t="shared" si="295"/>
        <v>0</v>
      </c>
      <c r="AB2923" s="15"/>
    </row>
    <row r="2924" spans="1:36" s="77" customFormat="1" ht="15.6" hidden="1">
      <c r="A2924" s="364" t="s">
        <v>601</v>
      </c>
      <c r="B2924" s="499"/>
      <c r="C2924" s="37"/>
      <c r="D2924" s="2013"/>
      <c r="E2924" s="2014"/>
      <c r="F2924" s="2014"/>
      <c r="G2924" s="2014"/>
      <c r="H2924" s="2014"/>
      <c r="I2924" s="2015"/>
      <c r="J2924" s="2016"/>
      <c r="K2924" s="2017"/>
      <c r="L2924" s="1962"/>
      <c r="M2924" s="2007" t="s">
        <v>1524</v>
      </c>
      <c r="N2924" s="2008"/>
      <c r="O2924" s="2008"/>
      <c r="P2924" s="2008"/>
      <c r="Q2924" s="2009"/>
      <c r="R2924" s="1345">
        <f>R2922-R2923</f>
        <v>0</v>
      </c>
      <c r="S2924" s="1346" t="str">
        <f>L2922</f>
        <v>m</v>
      </c>
      <c r="T2924" s="373"/>
      <c r="U2924" s="486"/>
      <c r="V2924" s="1418">
        <f>R2924</f>
        <v>0</v>
      </c>
      <c r="AB2924" s="15"/>
    </row>
    <row r="2925" spans="1:36" s="77" customFormat="1" ht="15.6" hidden="1">
      <c r="A2925" s="370"/>
      <c r="B2925" s="1347"/>
      <c r="C2925" s="1348"/>
      <c r="D2925" s="1349"/>
      <c r="E2925" s="1350"/>
      <c r="F2925" s="1349"/>
      <c r="G2925" s="1349"/>
      <c r="H2925" s="1349"/>
      <c r="I2925" s="1349"/>
      <c r="J2925" s="1351"/>
      <c r="K2925" s="1352"/>
      <c r="L2925" s="1353"/>
      <c r="M2925" s="1354"/>
      <c r="N2925" s="1354"/>
      <c r="O2925" s="1354"/>
      <c r="P2925" s="1354"/>
      <c r="Q2925" s="1354"/>
      <c r="R2925" s="1355"/>
      <c r="S2925" s="1356"/>
      <c r="T2925" s="1357"/>
      <c r="U2925" s="1358"/>
      <c r="V2925" s="1420">
        <f>SUM(V2916:V2924)</f>
        <v>0</v>
      </c>
      <c r="AB2925" s="15"/>
    </row>
    <row r="2926" spans="1:36" s="352" customFormat="1" ht="15.6" hidden="1">
      <c r="A2926" s="351"/>
      <c r="B2926" s="1963" t="str">
        <f>VLOOKUP(A2934,'11 - FINANCEIRA'!_xlnm.Print_Area,1,FALSE)</f>
        <v>2.5.2.4.6</v>
      </c>
      <c r="C2926" s="1965" t="str">
        <f>VLOOKUP(A2934,'11 - FINANCEIRA'!_xlnm.Print_Area,3,FALSE)</f>
        <v>Eletroduto rígido roscável, pvc, dn 25 mm (3/4"), para circuitos terminais, instalado em forro - fornecimento e instalação. af_12/2015</v>
      </c>
      <c r="D2926" s="1967" t="s">
        <v>1503</v>
      </c>
      <c r="E2926" s="1968"/>
      <c r="F2926" s="1968"/>
      <c r="G2926" s="1968"/>
      <c r="H2926" s="1968"/>
      <c r="I2926" s="1969"/>
      <c r="J2926" s="1914" t="s">
        <v>1504</v>
      </c>
      <c r="K2926" s="1914" t="s">
        <v>1505</v>
      </c>
      <c r="L2926" s="1914" t="s">
        <v>1506</v>
      </c>
      <c r="M2926" s="1914" t="s">
        <v>1507</v>
      </c>
      <c r="N2926" s="1914" t="s">
        <v>1508</v>
      </c>
      <c r="O2926" s="1914" t="s">
        <v>1509</v>
      </c>
      <c r="P2926" s="1341" t="s">
        <v>1510</v>
      </c>
      <c r="Q2926" s="1914" t="s">
        <v>1493</v>
      </c>
      <c r="R2926" s="1916" t="s">
        <v>804</v>
      </c>
      <c r="S2926" s="1914" t="s">
        <v>1511</v>
      </c>
      <c r="T2926" s="1914" t="s">
        <v>1512</v>
      </c>
      <c r="U2926" s="1918" t="s">
        <v>1513</v>
      </c>
      <c r="V2926" s="1418">
        <f t="shared" ref="V2926:V2933" si="296">V2927</f>
        <v>0</v>
      </c>
      <c r="W2926" s="16"/>
      <c r="X2926" s="16"/>
      <c r="Y2926" s="16"/>
      <c r="Z2926" s="17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</row>
    <row r="2927" spans="1:36" s="352" customFormat="1" ht="15.6" hidden="1">
      <c r="A2927" s="351"/>
      <c r="B2927" s="1964" t="e">
        <f>LEFT(#REF!,5)</f>
        <v>#REF!</v>
      </c>
      <c r="C2927" s="1966" t="e">
        <f>VLOOKUP(LEFT(#REF!,5),'11 - FINANCEIRA'!_xlnm.Print_Area,2,FALSE)</f>
        <v>#REF!</v>
      </c>
      <c r="D2927" s="1920" t="s">
        <v>1514</v>
      </c>
      <c r="E2927" s="1921"/>
      <c r="F2927" s="1922"/>
      <c r="G2927" s="1923" t="s">
        <v>1515</v>
      </c>
      <c r="H2927" s="1924"/>
      <c r="I2927" s="1925"/>
      <c r="J2927" s="1915"/>
      <c r="K2927" s="1915"/>
      <c r="L2927" s="1915"/>
      <c r="M2927" s="1915"/>
      <c r="N2927" s="1915"/>
      <c r="O2927" s="1915"/>
      <c r="P2927" s="353" t="s">
        <v>1516</v>
      </c>
      <c r="Q2927" s="1915"/>
      <c r="R2927" s="1917"/>
      <c r="S2927" s="1915"/>
      <c r="T2927" s="1915"/>
      <c r="U2927" s="1919"/>
      <c r="V2927" s="1418">
        <f t="shared" si="296"/>
        <v>0</v>
      </c>
      <c r="W2927" s="16"/>
      <c r="X2927" s="16"/>
      <c r="Y2927" s="16"/>
      <c r="Z2927" s="17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</row>
    <row r="2928" spans="1:36" s="361" customFormat="1" ht="30" hidden="1">
      <c r="A2928" s="354"/>
      <c r="B2928" s="355"/>
      <c r="C2928" s="28" t="s">
        <v>157</v>
      </c>
      <c r="D2928" s="18"/>
      <c r="E2928" s="19"/>
      <c r="F2928" s="20"/>
      <c r="G2928" s="18"/>
      <c r="H2928" s="19"/>
      <c r="I2928" s="20"/>
      <c r="J2928" s="21"/>
      <c r="K2928" s="22"/>
      <c r="L2928" s="23"/>
      <c r="M2928" s="24"/>
      <c r="N2928" s="728"/>
      <c r="O2928" s="25"/>
      <c r="P2928" s="23"/>
      <c r="Q2928" s="729"/>
      <c r="R2928" s="1109">
        <v>36</v>
      </c>
      <c r="S2928" s="730" t="s">
        <v>902</v>
      </c>
      <c r="T2928" s="446" t="s">
        <v>327</v>
      </c>
      <c r="U2928" s="44"/>
      <c r="V2928" s="1418">
        <f t="shared" si="296"/>
        <v>0</v>
      </c>
      <c r="W2928" s="357"/>
      <c r="X2928" s="357"/>
      <c r="Y2928" s="357"/>
      <c r="Z2928" s="358"/>
      <c r="AA2928" s="359"/>
      <c r="AB2928" s="360"/>
    </row>
    <row r="2929" spans="1:36" s="361" customFormat="1" ht="15" hidden="1" customHeight="1">
      <c r="A2929" s="354"/>
      <c r="B2929" s="355"/>
      <c r="C2929" s="32"/>
      <c r="D2929" s="33"/>
      <c r="E2929" s="34"/>
      <c r="F2929" s="35"/>
      <c r="G2929" s="33"/>
      <c r="H2929" s="34"/>
      <c r="I2929" s="35"/>
      <c r="J2929" s="43"/>
      <c r="K2929" s="42"/>
      <c r="L2929" s="39"/>
      <c r="M2929" s="41"/>
      <c r="N2929" s="356"/>
      <c r="O2929" s="40"/>
      <c r="P2929" s="39"/>
      <c r="Q2929" s="45"/>
      <c r="R2929" s="362"/>
      <c r="S2929" s="363"/>
      <c r="T2929" s="46"/>
      <c r="U2929" s="44"/>
      <c r="V2929" s="1418">
        <f t="shared" si="296"/>
        <v>0</v>
      </c>
      <c r="W2929" s="357"/>
      <c r="X2929" s="357"/>
      <c r="Y2929" s="357"/>
      <c r="Z2929" s="358"/>
      <c r="AA2929" s="359"/>
      <c r="AB2929" s="360"/>
    </row>
    <row r="2930" spans="1:36" s="369" customFormat="1" ht="15" hidden="1">
      <c r="A2930" s="364"/>
      <c r="B2930" s="355"/>
      <c r="C2930" s="32"/>
      <c r="D2930" s="33"/>
      <c r="E2930" s="34"/>
      <c r="F2930" s="35"/>
      <c r="G2930" s="33"/>
      <c r="H2930" s="34"/>
      <c r="I2930" s="35"/>
      <c r="J2930" s="43"/>
      <c r="K2930" s="42"/>
      <c r="L2930" s="39"/>
      <c r="M2930" s="41"/>
      <c r="N2930" s="40"/>
      <c r="O2930" s="40"/>
      <c r="P2930" s="39"/>
      <c r="Q2930" s="38"/>
      <c r="R2930" s="365"/>
      <c r="S2930" s="366"/>
      <c r="T2930" s="46"/>
      <c r="U2930" s="44"/>
      <c r="V2930" s="1418">
        <f t="shared" si="296"/>
        <v>0</v>
      </c>
      <c r="W2930" s="367"/>
      <c r="X2930" s="367"/>
      <c r="Y2930" s="367"/>
      <c r="Z2930" s="368"/>
    </row>
    <row r="2931" spans="1:36" s="77" customFormat="1" ht="15" hidden="1">
      <c r="A2931" s="370"/>
      <c r="B2931" s="29"/>
      <c r="C2931" s="30"/>
      <c r="D2931" s="18"/>
      <c r="E2931" s="19"/>
      <c r="F2931" s="20"/>
      <c r="G2931" s="18"/>
      <c r="H2931" s="19"/>
      <c r="I2931" s="20"/>
      <c r="J2931" s="21"/>
      <c r="K2931" s="22"/>
      <c r="L2931" s="23"/>
      <c r="M2931" s="24"/>
      <c r="N2931" s="25"/>
      <c r="O2931" s="25"/>
      <c r="P2931" s="23"/>
      <c r="Q2931" s="26"/>
      <c r="R2931" s="371"/>
      <c r="S2931" s="27"/>
      <c r="T2931" s="372"/>
      <c r="U2931" s="31"/>
      <c r="V2931" s="1418">
        <f t="shared" si="296"/>
        <v>0</v>
      </c>
      <c r="AB2931" s="15"/>
    </row>
    <row r="2932" spans="1:36" s="77" customFormat="1" ht="15.6" hidden="1">
      <c r="A2932" s="370"/>
      <c r="B2932" s="499"/>
      <c r="C2932" s="37"/>
      <c r="D2932" s="1929" t="s">
        <v>1520</v>
      </c>
      <c r="E2932" s="1930"/>
      <c r="F2932" s="1930"/>
      <c r="G2932" s="1930"/>
      <c r="H2932" s="1930"/>
      <c r="I2932" s="1931"/>
      <c r="J2932" s="1932">
        <f>VLOOKUP(A2934,'11 - FINANCEIRA'!_xlnm.Print_Area,6,FALSE)</f>
        <v>36</v>
      </c>
      <c r="K2932" s="1933"/>
      <c r="L2932" s="1343" t="str">
        <f>VLOOKUP(A2934,'11 - FINANCEIRA'!_xlnm.Print_Area,4,FALSE)</f>
        <v>M</v>
      </c>
      <c r="M2932" s="1934" t="s">
        <v>1521</v>
      </c>
      <c r="N2932" s="1935"/>
      <c r="O2932" s="1935"/>
      <c r="P2932" s="1935"/>
      <c r="Q2932" s="1936"/>
      <c r="R2932" s="726">
        <f>SUM(R2928:R2931)</f>
        <v>36</v>
      </c>
      <c r="S2932" s="1344" t="str">
        <f>L2932</f>
        <v>M</v>
      </c>
      <c r="T2932" s="373"/>
      <c r="U2932" s="486"/>
      <c r="V2932" s="1418">
        <f t="shared" si="296"/>
        <v>0</v>
      </c>
      <c r="AB2932" s="15"/>
    </row>
    <row r="2933" spans="1:36" s="77" customFormat="1" ht="15.6" hidden="1">
      <c r="A2933" s="370"/>
      <c r="B2933" s="499"/>
      <c r="C2933" s="725"/>
      <c r="D2933" s="1937" t="s">
        <v>1522</v>
      </c>
      <c r="E2933" s="1938"/>
      <c r="F2933" s="1938"/>
      <c r="G2933" s="1938"/>
      <c r="H2933" s="1938"/>
      <c r="I2933" s="1939"/>
      <c r="J2933" s="1943">
        <f>R2932/J2932</f>
        <v>1</v>
      </c>
      <c r="K2933" s="1944"/>
      <c r="L2933" s="1947"/>
      <c r="M2933" s="1934" t="s">
        <v>1523</v>
      </c>
      <c r="N2933" s="1935"/>
      <c r="O2933" s="1935"/>
      <c r="P2933" s="1935"/>
      <c r="Q2933" s="1936"/>
      <c r="R2933" s="726">
        <f>VLOOKUP(A2934,'11 - FINANCEIRA'!_xlnm.Print_Area,8,FALSE)</f>
        <v>36</v>
      </c>
      <c r="S2933" s="727" t="str">
        <f>L2932</f>
        <v>M</v>
      </c>
      <c r="T2933" s="373"/>
      <c r="U2933" s="486"/>
      <c r="V2933" s="1418">
        <f t="shared" si="296"/>
        <v>0</v>
      </c>
      <c r="AB2933" s="15"/>
    </row>
    <row r="2934" spans="1:36" s="77" customFormat="1" ht="15.6" hidden="1">
      <c r="A2934" s="364" t="s">
        <v>602</v>
      </c>
      <c r="B2934" s="499"/>
      <c r="C2934" s="37"/>
      <c r="D2934" s="2013"/>
      <c r="E2934" s="2014"/>
      <c r="F2934" s="2014"/>
      <c r="G2934" s="2014"/>
      <c r="H2934" s="2014"/>
      <c r="I2934" s="2015"/>
      <c r="J2934" s="2016"/>
      <c r="K2934" s="2017"/>
      <c r="L2934" s="1962"/>
      <c r="M2934" s="2007" t="s">
        <v>1524</v>
      </c>
      <c r="N2934" s="2008"/>
      <c r="O2934" s="2008"/>
      <c r="P2934" s="2008"/>
      <c r="Q2934" s="2009"/>
      <c r="R2934" s="1345">
        <f>R2932-R2933</f>
        <v>0</v>
      </c>
      <c r="S2934" s="1346" t="str">
        <f>L2932</f>
        <v>M</v>
      </c>
      <c r="T2934" s="373"/>
      <c r="U2934" s="486"/>
      <c r="V2934" s="1418">
        <f>R2934</f>
        <v>0</v>
      </c>
      <c r="AB2934" s="15"/>
    </row>
    <row r="2935" spans="1:36" s="77" customFormat="1" ht="15.6" hidden="1">
      <c r="A2935" s="370"/>
      <c r="B2935" s="1347"/>
      <c r="C2935" s="1348"/>
      <c r="D2935" s="1349"/>
      <c r="E2935" s="1350"/>
      <c r="F2935" s="1349"/>
      <c r="G2935" s="1349"/>
      <c r="H2935" s="1349"/>
      <c r="I2935" s="1349"/>
      <c r="J2935" s="1351"/>
      <c r="K2935" s="1352"/>
      <c r="L2935" s="1353"/>
      <c r="M2935" s="1354"/>
      <c r="N2935" s="1354"/>
      <c r="O2935" s="1354"/>
      <c r="P2935" s="1354"/>
      <c r="Q2935" s="1354"/>
      <c r="R2935" s="1355"/>
      <c r="S2935" s="1356"/>
      <c r="T2935" s="1357"/>
      <c r="U2935" s="1358"/>
      <c r="V2935" s="1420">
        <f>SUM(V2926:V2934)</f>
        <v>0</v>
      </c>
      <c r="AB2935" s="15"/>
    </row>
    <row r="2936" spans="1:36" s="352" customFormat="1" ht="15.6" hidden="1">
      <c r="A2936" s="351"/>
      <c r="B2936" s="1963" t="str">
        <f>VLOOKUP(A2944,'11 - FINANCEIRA'!_xlnm.Print_Area,1,FALSE)</f>
        <v>2.5.2.4.7</v>
      </c>
      <c r="C2936" s="1965" t="str">
        <f>VLOOKUP(A2944,'11 - FINANCEIRA'!_xlnm.Print_Area,3,FALSE)</f>
        <v>Eletroduto rígido roscável, pvc, dn 60 mm (2") - fornecimento e instalação. af_12/2015</v>
      </c>
      <c r="D2936" s="1967" t="s">
        <v>1503</v>
      </c>
      <c r="E2936" s="1968"/>
      <c r="F2936" s="1968"/>
      <c r="G2936" s="1968"/>
      <c r="H2936" s="1968"/>
      <c r="I2936" s="1969"/>
      <c r="J2936" s="1914" t="s">
        <v>1504</v>
      </c>
      <c r="K2936" s="1914" t="s">
        <v>1505</v>
      </c>
      <c r="L2936" s="1914" t="s">
        <v>1506</v>
      </c>
      <c r="M2936" s="1914" t="s">
        <v>1507</v>
      </c>
      <c r="N2936" s="1914" t="s">
        <v>1508</v>
      </c>
      <c r="O2936" s="1914" t="s">
        <v>1509</v>
      </c>
      <c r="P2936" s="1341" t="s">
        <v>1510</v>
      </c>
      <c r="Q2936" s="1914" t="s">
        <v>1493</v>
      </c>
      <c r="R2936" s="1916" t="s">
        <v>804</v>
      </c>
      <c r="S2936" s="1914" t="s">
        <v>1511</v>
      </c>
      <c r="T2936" s="1914" t="s">
        <v>1512</v>
      </c>
      <c r="U2936" s="1918" t="s">
        <v>1513</v>
      </c>
      <c r="V2936" s="1418">
        <f t="shared" ref="V2936:V2943" si="297">V2937</f>
        <v>0</v>
      </c>
      <c r="W2936" s="16"/>
      <c r="X2936" s="16"/>
      <c r="Y2936" s="16"/>
      <c r="Z2936" s="17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</row>
    <row r="2937" spans="1:36" s="352" customFormat="1" ht="15.6" hidden="1">
      <c r="A2937" s="351"/>
      <c r="B2937" s="1964" t="e">
        <f>LEFT(#REF!,5)</f>
        <v>#REF!</v>
      </c>
      <c r="C2937" s="1966" t="e">
        <f>VLOOKUP(LEFT(#REF!,5),'11 - FINANCEIRA'!_xlnm.Print_Area,2,FALSE)</f>
        <v>#REF!</v>
      </c>
      <c r="D2937" s="1920" t="s">
        <v>1514</v>
      </c>
      <c r="E2937" s="1921"/>
      <c r="F2937" s="1922"/>
      <c r="G2937" s="1923" t="s">
        <v>1515</v>
      </c>
      <c r="H2937" s="1924"/>
      <c r="I2937" s="1925"/>
      <c r="J2937" s="1915"/>
      <c r="K2937" s="1915"/>
      <c r="L2937" s="1915"/>
      <c r="M2937" s="1915"/>
      <c r="N2937" s="1915"/>
      <c r="O2937" s="1915"/>
      <c r="P2937" s="353" t="s">
        <v>1516</v>
      </c>
      <c r="Q2937" s="1915"/>
      <c r="R2937" s="1917"/>
      <c r="S2937" s="1915"/>
      <c r="T2937" s="1915"/>
      <c r="U2937" s="1919"/>
      <c r="V2937" s="1418">
        <f t="shared" si="297"/>
        <v>0</v>
      </c>
      <c r="W2937" s="16"/>
      <c r="X2937" s="16"/>
      <c r="Y2937" s="16"/>
      <c r="Z2937" s="17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</row>
    <row r="2938" spans="1:36" s="361" customFormat="1" ht="15" hidden="1">
      <c r="A2938" s="354"/>
      <c r="B2938" s="355"/>
      <c r="C2938" s="28" t="s">
        <v>1110</v>
      </c>
      <c r="D2938" s="18"/>
      <c r="E2938" s="19"/>
      <c r="F2938" s="20"/>
      <c r="G2938" s="18"/>
      <c r="H2938" s="19"/>
      <c r="I2938" s="20"/>
      <c r="J2938" s="21"/>
      <c r="K2938" s="22"/>
      <c r="L2938" s="23"/>
      <c r="M2938" s="24"/>
      <c r="N2938" s="728"/>
      <c r="O2938" s="25"/>
      <c r="P2938" s="23"/>
      <c r="Q2938" s="729"/>
      <c r="R2938" s="1109">
        <v>18</v>
      </c>
      <c r="S2938" s="730" t="s">
        <v>902</v>
      </c>
      <c r="T2938" s="446" t="s">
        <v>327</v>
      </c>
      <c r="U2938" s="44"/>
      <c r="V2938" s="1418">
        <f t="shared" si="297"/>
        <v>0</v>
      </c>
      <c r="W2938" s="357"/>
      <c r="X2938" s="357"/>
      <c r="Y2938" s="357"/>
      <c r="Z2938" s="358"/>
      <c r="AA2938" s="359"/>
      <c r="AB2938" s="360"/>
    </row>
    <row r="2939" spans="1:36" s="361" customFormat="1" ht="15" hidden="1" customHeight="1">
      <c r="A2939" s="354"/>
      <c r="B2939" s="355"/>
      <c r="C2939" s="32"/>
      <c r="D2939" s="33"/>
      <c r="E2939" s="34"/>
      <c r="F2939" s="35"/>
      <c r="G2939" s="33"/>
      <c r="H2939" s="34"/>
      <c r="I2939" s="35"/>
      <c r="J2939" s="43"/>
      <c r="K2939" s="42"/>
      <c r="L2939" s="39"/>
      <c r="M2939" s="41"/>
      <c r="N2939" s="356"/>
      <c r="O2939" s="40"/>
      <c r="P2939" s="39"/>
      <c r="Q2939" s="45"/>
      <c r="R2939" s="362"/>
      <c r="S2939" s="363"/>
      <c r="T2939" s="46"/>
      <c r="U2939" s="44"/>
      <c r="V2939" s="1418">
        <f t="shared" si="297"/>
        <v>0</v>
      </c>
      <c r="W2939" s="357"/>
      <c r="X2939" s="357"/>
      <c r="Y2939" s="357"/>
      <c r="Z2939" s="358"/>
      <c r="AA2939" s="359"/>
      <c r="AB2939" s="360"/>
    </row>
    <row r="2940" spans="1:36" s="369" customFormat="1" ht="15" hidden="1">
      <c r="A2940" s="364"/>
      <c r="B2940" s="355"/>
      <c r="C2940" s="32"/>
      <c r="D2940" s="33"/>
      <c r="E2940" s="34"/>
      <c r="F2940" s="35"/>
      <c r="G2940" s="33"/>
      <c r="H2940" s="34"/>
      <c r="I2940" s="35"/>
      <c r="J2940" s="43"/>
      <c r="K2940" s="42"/>
      <c r="L2940" s="39"/>
      <c r="M2940" s="41"/>
      <c r="N2940" s="40"/>
      <c r="O2940" s="40"/>
      <c r="P2940" s="39"/>
      <c r="Q2940" s="38"/>
      <c r="R2940" s="365"/>
      <c r="S2940" s="366"/>
      <c r="T2940" s="46"/>
      <c r="U2940" s="44"/>
      <c r="V2940" s="1418">
        <f t="shared" si="297"/>
        <v>0</v>
      </c>
      <c r="W2940" s="367"/>
      <c r="X2940" s="367"/>
      <c r="Y2940" s="367"/>
      <c r="Z2940" s="368"/>
    </row>
    <row r="2941" spans="1:36" s="77" customFormat="1" ht="15" hidden="1">
      <c r="A2941" s="370"/>
      <c r="B2941" s="29"/>
      <c r="C2941" s="30"/>
      <c r="D2941" s="18"/>
      <c r="E2941" s="19"/>
      <c r="F2941" s="20"/>
      <c r="G2941" s="18"/>
      <c r="H2941" s="19"/>
      <c r="I2941" s="20"/>
      <c r="J2941" s="21"/>
      <c r="K2941" s="22"/>
      <c r="L2941" s="23"/>
      <c r="M2941" s="24"/>
      <c r="N2941" s="25"/>
      <c r="O2941" s="25"/>
      <c r="P2941" s="23"/>
      <c r="Q2941" s="26"/>
      <c r="R2941" s="371"/>
      <c r="S2941" s="27"/>
      <c r="T2941" s="372"/>
      <c r="U2941" s="31"/>
      <c r="V2941" s="1418">
        <f t="shared" si="297"/>
        <v>0</v>
      </c>
      <c r="AB2941" s="15"/>
    </row>
    <row r="2942" spans="1:36" s="77" customFormat="1" ht="15.6" hidden="1">
      <c r="A2942" s="370"/>
      <c r="B2942" s="499"/>
      <c r="C2942" s="37"/>
      <c r="D2942" s="1929" t="s">
        <v>1520</v>
      </c>
      <c r="E2942" s="1930"/>
      <c r="F2942" s="1930"/>
      <c r="G2942" s="1930"/>
      <c r="H2942" s="1930"/>
      <c r="I2942" s="1931"/>
      <c r="J2942" s="1932">
        <f>VLOOKUP(A2944,'11 - FINANCEIRA'!_xlnm.Print_Area,6,FALSE)</f>
        <v>18</v>
      </c>
      <c r="K2942" s="1933"/>
      <c r="L2942" s="1343" t="str">
        <f>VLOOKUP(A2944,'11 - FINANCEIRA'!_xlnm.Print_Area,4,FALSE)</f>
        <v>M</v>
      </c>
      <c r="M2942" s="1934" t="s">
        <v>1521</v>
      </c>
      <c r="N2942" s="1935"/>
      <c r="O2942" s="1935"/>
      <c r="P2942" s="1935"/>
      <c r="Q2942" s="1936"/>
      <c r="R2942" s="726">
        <f>SUM(R2938:R2941)</f>
        <v>18</v>
      </c>
      <c r="S2942" s="1344" t="str">
        <f>L2942</f>
        <v>M</v>
      </c>
      <c r="T2942" s="373"/>
      <c r="U2942" s="486"/>
      <c r="V2942" s="1418">
        <f t="shared" si="297"/>
        <v>0</v>
      </c>
      <c r="AB2942" s="15"/>
    </row>
    <row r="2943" spans="1:36" s="77" customFormat="1" ht="15.6" hidden="1">
      <c r="A2943" s="370"/>
      <c r="B2943" s="499"/>
      <c r="C2943" s="725"/>
      <c r="D2943" s="1937" t="s">
        <v>1522</v>
      </c>
      <c r="E2943" s="1938"/>
      <c r="F2943" s="1938"/>
      <c r="G2943" s="1938"/>
      <c r="H2943" s="1938"/>
      <c r="I2943" s="1939"/>
      <c r="J2943" s="1943">
        <f>R2942/J2942</f>
        <v>1</v>
      </c>
      <c r="K2943" s="1944"/>
      <c r="L2943" s="1947"/>
      <c r="M2943" s="1934" t="s">
        <v>1523</v>
      </c>
      <c r="N2943" s="1935"/>
      <c r="O2943" s="1935"/>
      <c r="P2943" s="1935"/>
      <c r="Q2943" s="1936"/>
      <c r="R2943" s="726">
        <f>VLOOKUP(A2944,'11 - FINANCEIRA'!_xlnm.Print_Area,8,FALSE)</f>
        <v>18</v>
      </c>
      <c r="S2943" s="727" t="str">
        <f>L2942</f>
        <v>M</v>
      </c>
      <c r="T2943" s="373"/>
      <c r="U2943" s="486"/>
      <c r="V2943" s="1418">
        <f t="shared" si="297"/>
        <v>0</v>
      </c>
      <c r="AB2943" s="15"/>
    </row>
    <row r="2944" spans="1:36" s="77" customFormat="1" ht="15.6" hidden="1">
      <c r="A2944" s="364" t="s">
        <v>603</v>
      </c>
      <c r="B2944" s="499"/>
      <c r="C2944" s="37"/>
      <c r="D2944" s="2013"/>
      <c r="E2944" s="2014"/>
      <c r="F2944" s="2014"/>
      <c r="G2944" s="2014"/>
      <c r="H2944" s="2014"/>
      <c r="I2944" s="2015"/>
      <c r="J2944" s="2016"/>
      <c r="K2944" s="2017"/>
      <c r="L2944" s="1962"/>
      <c r="M2944" s="2007" t="s">
        <v>1524</v>
      </c>
      <c r="N2944" s="2008"/>
      <c r="O2944" s="2008"/>
      <c r="P2944" s="2008"/>
      <c r="Q2944" s="2009"/>
      <c r="R2944" s="1345">
        <f>R2942-R2943</f>
        <v>0</v>
      </c>
      <c r="S2944" s="1346" t="str">
        <f>L2942</f>
        <v>M</v>
      </c>
      <c r="T2944" s="373"/>
      <c r="U2944" s="486"/>
      <c r="V2944" s="1418">
        <f>R2944</f>
        <v>0</v>
      </c>
      <c r="AB2944" s="15"/>
    </row>
    <row r="2945" spans="1:36" s="77" customFormat="1" ht="15.6" hidden="1">
      <c r="A2945" s="370"/>
      <c r="B2945" s="1347"/>
      <c r="C2945" s="1348"/>
      <c r="D2945" s="1349"/>
      <c r="E2945" s="1350"/>
      <c r="F2945" s="1349"/>
      <c r="G2945" s="1349"/>
      <c r="H2945" s="1349"/>
      <c r="I2945" s="1349"/>
      <c r="J2945" s="1351"/>
      <c r="K2945" s="1352"/>
      <c r="L2945" s="1353"/>
      <c r="M2945" s="1354"/>
      <c r="N2945" s="1354"/>
      <c r="O2945" s="1354"/>
      <c r="P2945" s="1354"/>
      <c r="Q2945" s="1354"/>
      <c r="R2945" s="1355"/>
      <c r="S2945" s="1356"/>
      <c r="T2945" s="1357"/>
      <c r="U2945" s="1358"/>
      <c r="V2945" s="1420">
        <f>SUM(V2936:V2944)</f>
        <v>0</v>
      </c>
      <c r="AB2945" s="15"/>
    </row>
    <row r="2946" spans="1:36" s="352" customFormat="1" ht="15.6" hidden="1">
      <c r="A2946" s="351"/>
      <c r="B2946" s="1963" t="str">
        <f>VLOOKUP(A2954,'11 - FINANCEIRA'!_xlnm.Print_Area,1,FALSE)</f>
        <v>2.5.2.4.8</v>
      </c>
      <c r="C2946" s="1965" t="str">
        <f>VLOOKUP(A2954,'11 - FINANCEIRA'!_xlnm.Print_Area,3,FALSE)</f>
        <v>Eletroduto flexível corrugado 3/4" , marca de referência tigre</v>
      </c>
      <c r="D2946" s="1967" t="s">
        <v>1503</v>
      </c>
      <c r="E2946" s="1968"/>
      <c r="F2946" s="1968"/>
      <c r="G2946" s="1968"/>
      <c r="H2946" s="1968"/>
      <c r="I2946" s="1969"/>
      <c r="J2946" s="1914" t="s">
        <v>1504</v>
      </c>
      <c r="K2946" s="1914" t="s">
        <v>1505</v>
      </c>
      <c r="L2946" s="1914" t="s">
        <v>1506</v>
      </c>
      <c r="M2946" s="1914" t="s">
        <v>1507</v>
      </c>
      <c r="N2946" s="1914" t="s">
        <v>1508</v>
      </c>
      <c r="O2946" s="1914" t="s">
        <v>1509</v>
      </c>
      <c r="P2946" s="1341" t="s">
        <v>1510</v>
      </c>
      <c r="Q2946" s="1914" t="s">
        <v>1493</v>
      </c>
      <c r="R2946" s="1916" t="s">
        <v>804</v>
      </c>
      <c r="S2946" s="1914" t="s">
        <v>1511</v>
      </c>
      <c r="T2946" s="1914" t="s">
        <v>1512</v>
      </c>
      <c r="U2946" s="1918" t="s">
        <v>1513</v>
      </c>
      <c r="V2946" s="1418">
        <f t="shared" ref="V2946:V2953" si="298">V2947</f>
        <v>0</v>
      </c>
      <c r="W2946" s="16"/>
      <c r="X2946" s="16"/>
      <c r="Y2946" s="16"/>
      <c r="Z2946" s="17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</row>
    <row r="2947" spans="1:36" s="352" customFormat="1" ht="15.6" hidden="1">
      <c r="A2947" s="351"/>
      <c r="B2947" s="1964" t="e">
        <f>LEFT(#REF!,5)</f>
        <v>#REF!</v>
      </c>
      <c r="C2947" s="1966" t="e">
        <f>VLOOKUP(LEFT(#REF!,5),'11 - FINANCEIRA'!_xlnm.Print_Area,2,FALSE)</f>
        <v>#REF!</v>
      </c>
      <c r="D2947" s="1920" t="s">
        <v>1514</v>
      </c>
      <c r="E2947" s="1921"/>
      <c r="F2947" s="1922"/>
      <c r="G2947" s="1923" t="s">
        <v>1515</v>
      </c>
      <c r="H2947" s="1924"/>
      <c r="I2947" s="1925"/>
      <c r="J2947" s="1915"/>
      <c r="K2947" s="1915"/>
      <c r="L2947" s="1915"/>
      <c r="M2947" s="1915"/>
      <c r="N2947" s="1915"/>
      <c r="O2947" s="1915"/>
      <c r="P2947" s="353" t="s">
        <v>1516</v>
      </c>
      <c r="Q2947" s="1915"/>
      <c r="R2947" s="1917"/>
      <c r="S2947" s="1915"/>
      <c r="T2947" s="1915"/>
      <c r="U2947" s="1919"/>
      <c r="V2947" s="1418">
        <f t="shared" si="298"/>
        <v>0</v>
      </c>
      <c r="W2947" s="16"/>
      <c r="X2947" s="16"/>
      <c r="Y2947" s="16"/>
      <c r="Z2947" s="17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</row>
    <row r="2948" spans="1:36" s="361" customFormat="1" ht="15" hidden="1" customHeight="1">
      <c r="A2948" s="354"/>
      <c r="B2948" s="355"/>
      <c r="C2948" s="32" t="s">
        <v>1190</v>
      </c>
      <c r="D2948" s="33"/>
      <c r="E2948" s="34"/>
      <c r="F2948" s="35"/>
      <c r="G2948" s="33"/>
      <c r="H2948" s="34"/>
      <c r="I2948" s="35"/>
      <c r="J2948" s="43"/>
      <c r="K2948" s="42"/>
      <c r="L2948" s="39"/>
      <c r="M2948" s="41"/>
      <c r="N2948" s="356"/>
      <c r="O2948" s="40"/>
      <c r="P2948" s="39"/>
      <c r="Q2948" s="45"/>
      <c r="R2948" s="1359">
        <v>150</v>
      </c>
      <c r="S2948" s="1265" t="s">
        <v>809</v>
      </c>
      <c r="T2948" s="46" t="s">
        <v>331</v>
      </c>
      <c r="U2948" s="44"/>
      <c r="V2948" s="1418">
        <f t="shared" si="298"/>
        <v>0</v>
      </c>
      <c r="W2948" s="357"/>
      <c r="X2948" s="357"/>
      <c r="Y2948" s="357"/>
      <c r="Z2948" s="358"/>
      <c r="AA2948" s="359"/>
      <c r="AB2948" s="360"/>
    </row>
    <row r="2949" spans="1:36" s="361" customFormat="1" ht="15" hidden="1" customHeight="1">
      <c r="A2949" s="354"/>
      <c r="B2949" s="355"/>
      <c r="C2949" s="32"/>
      <c r="D2949" s="33"/>
      <c r="E2949" s="34"/>
      <c r="F2949" s="35"/>
      <c r="G2949" s="33"/>
      <c r="H2949" s="34"/>
      <c r="I2949" s="35"/>
      <c r="J2949" s="43"/>
      <c r="K2949" s="42"/>
      <c r="L2949" s="39"/>
      <c r="M2949" s="41"/>
      <c r="N2949" s="356"/>
      <c r="O2949" s="40"/>
      <c r="P2949" s="39"/>
      <c r="Q2949" s="45"/>
      <c r="R2949" s="362"/>
      <c r="S2949" s="363"/>
      <c r="T2949" s="46"/>
      <c r="U2949" s="44"/>
      <c r="V2949" s="1418">
        <f t="shared" si="298"/>
        <v>0</v>
      </c>
      <c r="W2949" s="357"/>
      <c r="X2949" s="357"/>
      <c r="Y2949" s="357"/>
      <c r="Z2949" s="358"/>
      <c r="AA2949" s="359"/>
      <c r="AB2949" s="360"/>
    </row>
    <row r="2950" spans="1:36" s="369" customFormat="1" ht="15" hidden="1">
      <c r="A2950" s="364"/>
      <c r="B2950" s="355"/>
      <c r="C2950" s="32"/>
      <c r="D2950" s="33"/>
      <c r="E2950" s="34"/>
      <c r="F2950" s="35"/>
      <c r="G2950" s="33"/>
      <c r="H2950" s="34"/>
      <c r="I2950" s="35"/>
      <c r="J2950" s="43"/>
      <c r="K2950" s="42"/>
      <c r="L2950" s="39"/>
      <c r="M2950" s="41"/>
      <c r="N2950" s="40"/>
      <c r="O2950" s="40"/>
      <c r="P2950" s="39"/>
      <c r="Q2950" s="38"/>
      <c r="R2950" s="365"/>
      <c r="S2950" s="366"/>
      <c r="T2950" s="46"/>
      <c r="U2950" s="44"/>
      <c r="V2950" s="1418">
        <f t="shared" si="298"/>
        <v>0</v>
      </c>
      <c r="W2950" s="367"/>
      <c r="X2950" s="367"/>
      <c r="Y2950" s="367"/>
      <c r="Z2950" s="368"/>
    </row>
    <row r="2951" spans="1:36" s="77" customFormat="1" ht="15" hidden="1">
      <c r="A2951" s="370"/>
      <c r="B2951" s="29"/>
      <c r="C2951" s="30"/>
      <c r="D2951" s="18"/>
      <c r="E2951" s="19"/>
      <c r="F2951" s="20"/>
      <c r="G2951" s="18"/>
      <c r="H2951" s="19"/>
      <c r="I2951" s="20"/>
      <c r="J2951" s="21"/>
      <c r="K2951" s="22"/>
      <c r="L2951" s="23"/>
      <c r="M2951" s="24"/>
      <c r="N2951" s="25"/>
      <c r="O2951" s="25"/>
      <c r="P2951" s="23"/>
      <c r="Q2951" s="26"/>
      <c r="R2951" s="371"/>
      <c r="S2951" s="27"/>
      <c r="T2951" s="372"/>
      <c r="U2951" s="31"/>
      <c r="V2951" s="1418">
        <f t="shared" si="298"/>
        <v>0</v>
      </c>
      <c r="AB2951" s="15"/>
    </row>
    <row r="2952" spans="1:36" s="77" customFormat="1" ht="15.6" hidden="1">
      <c r="A2952" s="370"/>
      <c r="B2952" s="499"/>
      <c r="C2952" s="37"/>
      <c r="D2952" s="1929" t="s">
        <v>1520</v>
      </c>
      <c r="E2952" s="1930"/>
      <c r="F2952" s="1930"/>
      <c r="G2952" s="1930"/>
      <c r="H2952" s="1930"/>
      <c r="I2952" s="1931"/>
      <c r="J2952" s="1932">
        <f>VLOOKUP(A2954,'11 - FINANCEIRA'!_xlnm.Print_Area,6,FALSE)</f>
        <v>150</v>
      </c>
      <c r="K2952" s="1933"/>
      <c r="L2952" s="1343" t="str">
        <f>VLOOKUP(A2954,'11 - FINANCEIRA'!_xlnm.Print_Area,4,FALSE)</f>
        <v>m</v>
      </c>
      <c r="M2952" s="1934" t="s">
        <v>1521</v>
      </c>
      <c r="N2952" s="1935"/>
      <c r="O2952" s="1935"/>
      <c r="P2952" s="1935"/>
      <c r="Q2952" s="1936"/>
      <c r="R2952" s="726">
        <f>SUM(R2948:R2951)</f>
        <v>150</v>
      </c>
      <c r="S2952" s="1344" t="str">
        <f>L2952</f>
        <v>m</v>
      </c>
      <c r="T2952" s="373"/>
      <c r="U2952" s="486"/>
      <c r="V2952" s="1418">
        <f t="shared" si="298"/>
        <v>0</v>
      </c>
      <c r="AB2952" s="15"/>
    </row>
    <row r="2953" spans="1:36" s="77" customFormat="1" ht="15.6" hidden="1">
      <c r="A2953" s="370"/>
      <c r="B2953" s="499"/>
      <c r="C2953" s="725"/>
      <c r="D2953" s="1937" t="s">
        <v>1522</v>
      </c>
      <c r="E2953" s="1938"/>
      <c r="F2953" s="1938"/>
      <c r="G2953" s="1938"/>
      <c r="H2953" s="1938"/>
      <c r="I2953" s="1939"/>
      <c r="J2953" s="1943">
        <f>R2952/J2952</f>
        <v>1</v>
      </c>
      <c r="K2953" s="1944"/>
      <c r="L2953" s="1947"/>
      <c r="M2953" s="1934" t="s">
        <v>1523</v>
      </c>
      <c r="N2953" s="1935"/>
      <c r="O2953" s="1935"/>
      <c r="P2953" s="1935"/>
      <c r="Q2953" s="1936"/>
      <c r="R2953" s="726">
        <f>VLOOKUP(A2954,'11 - FINANCEIRA'!_xlnm.Print_Area,8,FALSE)</f>
        <v>150</v>
      </c>
      <c r="S2953" s="727" t="str">
        <f>L2952</f>
        <v>m</v>
      </c>
      <c r="T2953" s="373"/>
      <c r="U2953" s="486"/>
      <c r="V2953" s="1418">
        <f t="shared" si="298"/>
        <v>0</v>
      </c>
      <c r="AB2953" s="15"/>
    </row>
    <row r="2954" spans="1:36" s="77" customFormat="1" ht="15.6" hidden="1">
      <c r="A2954" s="364" t="s">
        <v>604</v>
      </c>
      <c r="B2954" s="499"/>
      <c r="C2954" s="37"/>
      <c r="D2954" s="2013"/>
      <c r="E2954" s="2014"/>
      <c r="F2954" s="2014"/>
      <c r="G2954" s="2014"/>
      <c r="H2954" s="2014"/>
      <c r="I2954" s="2015"/>
      <c r="J2954" s="2016"/>
      <c r="K2954" s="2017"/>
      <c r="L2954" s="1962"/>
      <c r="M2954" s="2007" t="s">
        <v>1524</v>
      </c>
      <c r="N2954" s="2008"/>
      <c r="O2954" s="2008"/>
      <c r="P2954" s="2008"/>
      <c r="Q2954" s="2009"/>
      <c r="R2954" s="1345">
        <f>R2952-R2953</f>
        <v>0</v>
      </c>
      <c r="S2954" s="1346" t="str">
        <f>L2952</f>
        <v>m</v>
      </c>
      <c r="T2954" s="373"/>
      <c r="U2954" s="486"/>
      <c r="V2954" s="1418">
        <f>R2954</f>
        <v>0</v>
      </c>
      <c r="AB2954" s="15"/>
    </row>
    <row r="2955" spans="1:36" s="77" customFormat="1" ht="15.6" hidden="1">
      <c r="A2955" s="370"/>
      <c r="B2955" s="1347"/>
      <c r="C2955" s="1348"/>
      <c r="D2955" s="1349"/>
      <c r="E2955" s="1350"/>
      <c r="F2955" s="1349"/>
      <c r="G2955" s="1349"/>
      <c r="H2955" s="1349"/>
      <c r="I2955" s="1349"/>
      <c r="J2955" s="1351"/>
      <c r="K2955" s="1352"/>
      <c r="L2955" s="1353"/>
      <c r="M2955" s="1354"/>
      <c r="N2955" s="1354"/>
      <c r="O2955" s="1354"/>
      <c r="P2955" s="1354"/>
      <c r="Q2955" s="1354"/>
      <c r="R2955" s="1355"/>
      <c r="S2955" s="1356"/>
      <c r="T2955" s="1357"/>
      <c r="U2955" s="1358"/>
      <c r="V2955" s="1420">
        <f>SUM(V2946:V2954)</f>
        <v>0</v>
      </c>
      <c r="AB2955" s="15"/>
    </row>
    <row r="2956" spans="1:36" s="352" customFormat="1" ht="15.6" hidden="1">
      <c r="A2956" s="351"/>
      <c r="B2956" s="1963" t="str">
        <f>VLOOKUP(A2964,'11 - FINANCEIRA'!_xlnm.Print_Area,1,FALSE)</f>
        <v>2.5.2.4.9</v>
      </c>
      <c r="C2956" s="1965" t="str">
        <f>VLOOKUP(A2964,'11 - FINANCEIRA'!_xlnm.Print_Area,3,FALSE)</f>
        <v>Eletroduto flexível corrugado 1", marca de referência tigre</v>
      </c>
      <c r="D2956" s="1967" t="s">
        <v>1503</v>
      </c>
      <c r="E2956" s="1968"/>
      <c r="F2956" s="1968"/>
      <c r="G2956" s="1968"/>
      <c r="H2956" s="1968"/>
      <c r="I2956" s="1969"/>
      <c r="J2956" s="1914" t="s">
        <v>1504</v>
      </c>
      <c r="K2956" s="1914" t="s">
        <v>1505</v>
      </c>
      <c r="L2956" s="1914" t="s">
        <v>1506</v>
      </c>
      <c r="M2956" s="1914" t="s">
        <v>1507</v>
      </c>
      <c r="N2956" s="1914" t="s">
        <v>1508</v>
      </c>
      <c r="O2956" s="1914" t="s">
        <v>1509</v>
      </c>
      <c r="P2956" s="1341" t="s">
        <v>1510</v>
      </c>
      <c r="Q2956" s="1914" t="s">
        <v>1493</v>
      </c>
      <c r="R2956" s="1916" t="s">
        <v>804</v>
      </c>
      <c r="S2956" s="1914" t="s">
        <v>1511</v>
      </c>
      <c r="T2956" s="1914" t="s">
        <v>1512</v>
      </c>
      <c r="U2956" s="1918" t="s">
        <v>1513</v>
      </c>
      <c r="V2956" s="1418">
        <f t="shared" ref="V2956:V2963" si="299">V2957</f>
        <v>0</v>
      </c>
      <c r="W2956" s="16"/>
      <c r="X2956" s="16"/>
      <c r="Y2956" s="16"/>
      <c r="Z2956" s="17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</row>
    <row r="2957" spans="1:36" s="352" customFormat="1" ht="15.6" hidden="1">
      <c r="A2957" s="351"/>
      <c r="B2957" s="1964" t="e">
        <f>LEFT(#REF!,5)</f>
        <v>#REF!</v>
      </c>
      <c r="C2957" s="1966" t="e">
        <f>VLOOKUP(LEFT(#REF!,5),'11 - FINANCEIRA'!_xlnm.Print_Area,2,FALSE)</f>
        <v>#REF!</v>
      </c>
      <c r="D2957" s="1920" t="s">
        <v>1514</v>
      </c>
      <c r="E2957" s="1921"/>
      <c r="F2957" s="1922"/>
      <c r="G2957" s="1923" t="s">
        <v>1515</v>
      </c>
      <c r="H2957" s="1924"/>
      <c r="I2957" s="1925"/>
      <c r="J2957" s="1915"/>
      <c r="K2957" s="1915"/>
      <c r="L2957" s="1915"/>
      <c r="M2957" s="1915"/>
      <c r="N2957" s="1915"/>
      <c r="O2957" s="1915"/>
      <c r="P2957" s="353" t="s">
        <v>1516</v>
      </c>
      <c r="Q2957" s="1915"/>
      <c r="R2957" s="1917"/>
      <c r="S2957" s="1915"/>
      <c r="T2957" s="1915"/>
      <c r="U2957" s="1919"/>
      <c r="V2957" s="1418">
        <f t="shared" si="299"/>
        <v>0</v>
      </c>
      <c r="W2957" s="16"/>
      <c r="X2957" s="16"/>
      <c r="Y2957" s="16"/>
      <c r="Z2957" s="17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</row>
    <row r="2958" spans="1:36" s="361" customFormat="1" ht="15" hidden="1" customHeight="1">
      <c r="A2958" s="354"/>
      <c r="B2958" s="355"/>
      <c r="C2958" s="28" t="s">
        <v>1192</v>
      </c>
      <c r="D2958" s="18"/>
      <c r="E2958" s="19"/>
      <c r="F2958" s="20"/>
      <c r="G2958" s="18"/>
      <c r="H2958" s="19"/>
      <c r="I2958" s="20"/>
      <c r="J2958" s="21"/>
      <c r="K2958" s="22"/>
      <c r="L2958" s="23"/>
      <c r="M2958" s="24"/>
      <c r="N2958" s="728"/>
      <c r="O2958" s="25"/>
      <c r="P2958" s="23"/>
      <c r="Q2958" s="729"/>
      <c r="R2958" s="1109">
        <v>70</v>
      </c>
      <c r="S2958" s="730" t="s">
        <v>809</v>
      </c>
      <c r="T2958" s="446" t="s">
        <v>325</v>
      </c>
      <c r="U2958" s="44"/>
      <c r="V2958" s="1418">
        <f t="shared" si="299"/>
        <v>0</v>
      </c>
      <c r="W2958" s="357"/>
      <c r="X2958" s="357"/>
      <c r="Y2958" s="357"/>
      <c r="Z2958" s="358"/>
      <c r="AA2958" s="359"/>
      <c r="AB2958" s="360"/>
    </row>
    <row r="2959" spans="1:36" s="361" customFormat="1" ht="15" hidden="1" customHeight="1">
      <c r="A2959" s="354"/>
      <c r="B2959" s="355"/>
      <c r="C2959" s="32"/>
      <c r="D2959" s="33"/>
      <c r="E2959" s="34"/>
      <c r="F2959" s="35"/>
      <c r="G2959" s="33"/>
      <c r="H2959" s="34"/>
      <c r="I2959" s="35"/>
      <c r="J2959" s="43"/>
      <c r="K2959" s="42"/>
      <c r="L2959" s="39"/>
      <c r="M2959" s="41"/>
      <c r="N2959" s="356"/>
      <c r="O2959" s="40"/>
      <c r="P2959" s="39"/>
      <c r="Q2959" s="45"/>
      <c r="R2959" s="362"/>
      <c r="S2959" s="363"/>
      <c r="T2959" s="46"/>
      <c r="U2959" s="44"/>
      <c r="V2959" s="1418">
        <f t="shared" si="299"/>
        <v>0</v>
      </c>
      <c r="W2959" s="357"/>
      <c r="X2959" s="357"/>
      <c r="Y2959" s="357"/>
      <c r="Z2959" s="358"/>
      <c r="AA2959" s="359"/>
      <c r="AB2959" s="360"/>
    </row>
    <row r="2960" spans="1:36" s="369" customFormat="1" ht="15" hidden="1">
      <c r="A2960" s="364"/>
      <c r="B2960" s="355"/>
      <c r="C2960" s="32"/>
      <c r="D2960" s="33"/>
      <c r="E2960" s="34"/>
      <c r="F2960" s="35"/>
      <c r="G2960" s="33"/>
      <c r="H2960" s="34"/>
      <c r="I2960" s="35"/>
      <c r="J2960" s="43"/>
      <c r="K2960" s="42"/>
      <c r="L2960" s="39"/>
      <c r="M2960" s="41"/>
      <c r="N2960" s="40"/>
      <c r="O2960" s="40"/>
      <c r="P2960" s="39"/>
      <c r="Q2960" s="38"/>
      <c r="R2960" s="365"/>
      <c r="S2960" s="366"/>
      <c r="T2960" s="46"/>
      <c r="U2960" s="44"/>
      <c r="V2960" s="1418">
        <f t="shared" si="299"/>
        <v>0</v>
      </c>
      <c r="W2960" s="367"/>
      <c r="X2960" s="367"/>
      <c r="Y2960" s="367"/>
      <c r="Z2960" s="368"/>
    </row>
    <row r="2961" spans="1:36" s="77" customFormat="1" ht="15" hidden="1">
      <c r="A2961" s="370"/>
      <c r="B2961" s="29"/>
      <c r="C2961" s="30"/>
      <c r="D2961" s="18"/>
      <c r="E2961" s="19"/>
      <c r="F2961" s="20"/>
      <c r="G2961" s="18"/>
      <c r="H2961" s="19"/>
      <c r="I2961" s="20"/>
      <c r="J2961" s="21"/>
      <c r="K2961" s="22"/>
      <c r="L2961" s="23"/>
      <c r="M2961" s="24"/>
      <c r="N2961" s="25"/>
      <c r="O2961" s="25"/>
      <c r="P2961" s="23"/>
      <c r="Q2961" s="26"/>
      <c r="R2961" s="371"/>
      <c r="S2961" s="27"/>
      <c r="T2961" s="372"/>
      <c r="U2961" s="31"/>
      <c r="V2961" s="1418">
        <f t="shared" si="299"/>
        <v>0</v>
      </c>
      <c r="AB2961" s="15"/>
    </row>
    <row r="2962" spans="1:36" s="77" customFormat="1" ht="15.6" hidden="1">
      <c r="A2962" s="370"/>
      <c r="B2962" s="499"/>
      <c r="C2962" s="37"/>
      <c r="D2962" s="1929" t="s">
        <v>1520</v>
      </c>
      <c r="E2962" s="1930"/>
      <c r="F2962" s="1930"/>
      <c r="G2962" s="1930"/>
      <c r="H2962" s="1930"/>
      <c r="I2962" s="1931"/>
      <c r="J2962" s="1932">
        <f>VLOOKUP(A2964,'11 - FINANCEIRA'!_xlnm.Print_Area,6,FALSE)</f>
        <v>70</v>
      </c>
      <c r="K2962" s="1933"/>
      <c r="L2962" s="1343" t="str">
        <f>VLOOKUP(A2964,'11 - FINANCEIRA'!_xlnm.Print_Area,4,FALSE)</f>
        <v>m</v>
      </c>
      <c r="M2962" s="1934" t="s">
        <v>1521</v>
      </c>
      <c r="N2962" s="1935"/>
      <c r="O2962" s="1935"/>
      <c r="P2962" s="1935"/>
      <c r="Q2962" s="1936"/>
      <c r="R2962" s="726">
        <f>SUM(R2958:R2961)</f>
        <v>70</v>
      </c>
      <c r="S2962" s="1344" t="str">
        <f>L2962</f>
        <v>m</v>
      </c>
      <c r="T2962" s="373"/>
      <c r="U2962" s="486"/>
      <c r="V2962" s="1418">
        <f t="shared" si="299"/>
        <v>0</v>
      </c>
      <c r="AB2962" s="15"/>
    </row>
    <row r="2963" spans="1:36" s="77" customFormat="1" ht="15.6" hidden="1">
      <c r="A2963" s="370"/>
      <c r="B2963" s="499"/>
      <c r="C2963" s="725"/>
      <c r="D2963" s="1937" t="s">
        <v>1522</v>
      </c>
      <c r="E2963" s="1938"/>
      <c r="F2963" s="1938"/>
      <c r="G2963" s="1938"/>
      <c r="H2963" s="1938"/>
      <c r="I2963" s="1939"/>
      <c r="J2963" s="1943">
        <f>R2962/J2962</f>
        <v>1</v>
      </c>
      <c r="K2963" s="1944"/>
      <c r="L2963" s="1947"/>
      <c r="M2963" s="1934" t="s">
        <v>1523</v>
      </c>
      <c r="N2963" s="1935"/>
      <c r="O2963" s="1935"/>
      <c r="P2963" s="1935"/>
      <c r="Q2963" s="1936"/>
      <c r="R2963" s="726">
        <f>VLOOKUP(A2964,'11 - FINANCEIRA'!_xlnm.Print_Area,8,FALSE)</f>
        <v>70</v>
      </c>
      <c r="S2963" s="727" t="str">
        <f>L2962</f>
        <v>m</v>
      </c>
      <c r="T2963" s="373"/>
      <c r="U2963" s="486"/>
      <c r="V2963" s="1418">
        <f t="shared" si="299"/>
        <v>0</v>
      </c>
      <c r="AB2963" s="15"/>
    </row>
    <row r="2964" spans="1:36" s="77" customFormat="1" ht="15.6" hidden="1">
      <c r="A2964" s="364" t="s">
        <v>605</v>
      </c>
      <c r="B2964" s="499"/>
      <c r="C2964" s="37"/>
      <c r="D2964" s="2013"/>
      <c r="E2964" s="2014"/>
      <c r="F2964" s="2014"/>
      <c r="G2964" s="2014"/>
      <c r="H2964" s="2014"/>
      <c r="I2964" s="2015"/>
      <c r="J2964" s="2016"/>
      <c r="K2964" s="2017"/>
      <c r="L2964" s="1962"/>
      <c r="M2964" s="2007" t="s">
        <v>1524</v>
      </c>
      <c r="N2964" s="2008"/>
      <c r="O2964" s="2008"/>
      <c r="P2964" s="2008"/>
      <c r="Q2964" s="2009"/>
      <c r="R2964" s="1345">
        <f>R2962-R2963</f>
        <v>0</v>
      </c>
      <c r="S2964" s="1346" t="str">
        <f>L2962</f>
        <v>m</v>
      </c>
      <c r="T2964" s="373"/>
      <c r="U2964" s="486"/>
      <c r="V2964" s="1418">
        <f>R2964</f>
        <v>0</v>
      </c>
      <c r="AB2964" s="15"/>
    </row>
    <row r="2965" spans="1:36" s="77" customFormat="1" ht="15.6" hidden="1">
      <c r="A2965" s="370"/>
      <c r="B2965" s="1347"/>
      <c r="C2965" s="1348"/>
      <c r="D2965" s="1349"/>
      <c r="E2965" s="1350"/>
      <c r="F2965" s="1349"/>
      <c r="G2965" s="1349"/>
      <c r="H2965" s="1349"/>
      <c r="I2965" s="1349"/>
      <c r="J2965" s="1351"/>
      <c r="K2965" s="1352"/>
      <c r="L2965" s="1353"/>
      <c r="M2965" s="1354"/>
      <c r="N2965" s="1354"/>
      <c r="O2965" s="1354"/>
      <c r="P2965" s="1354"/>
      <c r="Q2965" s="1354"/>
      <c r="R2965" s="1355"/>
      <c r="S2965" s="1356"/>
      <c r="T2965" s="1357"/>
      <c r="U2965" s="1358"/>
      <c r="V2965" s="1420">
        <f>SUM(V2956:V2964)</f>
        <v>0</v>
      </c>
      <c r="AB2965" s="15"/>
    </row>
    <row r="2966" spans="1:36" s="352" customFormat="1" ht="15.6" hidden="1">
      <c r="A2966" s="351"/>
      <c r="B2966" s="1963" t="str">
        <f>VLOOKUP(A2974,'11 - FINANCEIRA'!_xlnm.Print_Area,1,FALSE)</f>
        <v>2.5.2.4.10</v>
      </c>
      <c r="C2966" s="1965" t="str">
        <f>VLOOKUP(A2974,'11 - FINANCEIRA'!_xlnm.Print_Area,3,FALSE)</f>
        <v>Eletrocalha perfurada galvanizada eletrolítica chapa 14 - 200 x 150 mm com tampa, inclusive conexão e suporte</v>
      </c>
      <c r="D2966" s="1967" t="s">
        <v>1503</v>
      </c>
      <c r="E2966" s="1968"/>
      <c r="F2966" s="1968"/>
      <c r="G2966" s="1968"/>
      <c r="H2966" s="1968"/>
      <c r="I2966" s="1969"/>
      <c r="J2966" s="1914" t="s">
        <v>1504</v>
      </c>
      <c r="K2966" s="1914" t="s">
        <v>1505</v>
      </c>
      <c r="L2966" s="1914" t="s">
        <v>1506</v>
      </c>
      <c r="M2966" s="1914" t="s">
        <v>1507</v>
      </c>
      <c r="N2966" s="1914" t="s">
        <v>1508</v>
      </c>
      <c r="O2966" s="1914" t="s">
        <v>1509</v>
      </c>
      <c r="P2966" s="1341" t="s">
        <v>1510</v>
      </c>
      <c r="Q2966" s="1914" t="s">
        <v>1493</v>
      </c>
      <c r="R2966" s="1916" t="s">
        <v>804</v>
      </c>
      <c r="S2966" s="1914" t="s">
        <v>1511</v>
      </c>
      <c r="T2966" s="1914" t="s">
        <v>1512</v>
      </c>
      <c r="U2966" s="1918" t="s">
        <v>1513</v>
      </c>
      <c r="V2966" s="1418">
        <f t="shared" ref="V2966:V2973" si="300">V2967</f>
        <v>0</v>
      </c>
      <c r="W2966" s="16"/>
      <c r="X2966" s="16"/>
      <c r="Y2966" s="16"/>
      <c r="Z2966" s="17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</row>
    <row r="2967" spans="1:36" s="352" customFormat="1" ht="15.6" hidden="1">
      <c r="A2967" s="351"/>
      <c r="B2967" s="1964" t="e">
        <f>LEFT(#REF!,5)</f>
        <v>#REF!</v>
      </c>
      <c r="C2967" s="1966" t="e">
        <f>VLOOKUP(LEFT(#REF!,5),'11 - FINANCEIRA'!_xlnm.Print_Area,2,FALSE)</f>
        <v>#REF!</v>
      </c>
      <c r="D2967" s="1920" t="s">
        <v>1514</v>
      </c>
      <c r="E2967" s="1921"/>
      <c r="F2967" s="1922"/>
      <c r="G2967" s="1923" t="s">
        <v>1515</v>
      </c>
      <c r="H2967" s="1924"/>
      <c r="I2967" s="1925"/>
      <c r="J2967" s="1915"/>
      <c r="K2967" s="1915"/>
      <c r="L2967" s="1915"/>
      <c r="M2967" s="1915"/>
      <c r="N2967" s="1915"/>
      <c r="O2967" s="1915"/>
      <c r="P2967" s="353" t="s">
        <v>1516</v>
      </c>
      <c r="Q2967" s="1915"/>
      <c r="R2967" s="1917"/>
      <c r="S2967" s="1915"/>
      <c r="T2967" s="1915"/>
      <c r="U2967" s="1919"/>
      <c r="V2967" s="1418">
        <f t="shared" si="300"/>
        <v>0</v>
      </c>
      <c r="W2967" s="16"/>
      <c r="X2967" s="16"/>
      <c r="Y2967" s="16"/>
      <c r="Z2967" s="17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</row>
    <row r="2968" spans="1:36" s="361" customFormat="1" ht="30" hidden="1">
      <c r="A2968" s="354"/>
      <c r="B2968" s="355"/>
      <c r="C2968" s="28" t="s">
        <v>1194</v>
      </c>
      <c r="D2968" s="18"/>
      <c r="E2968" s="19"/>
      <c r="F2968" s="20"/>
      <c r="G2968" s="18"/>
      <c r="H2968" s="19"/>
      <c r="I2968" s="20"/>
      <c r="J2968" s="21"/>
      <c r="K2968" s="22"/>
      <c r="L2968" s="23"/>
      <c r="M2968" s="24"/>
      <c r="N2968" s="728"/>
      <c r="O2968" s="25"/>
      <c r="P2968" s="23"/>
      <c r="Q2968" s="729"/>
      <c r="R2968" s="1109">
        <v>68</v>
      </c>
      <c r="S2968" s="730" t="s">
        <v>809</v>
      </c>
      <c r="T2968" s="446" t="s">
        <v>322</v>
      </c>
      <c r="U2968" s="44"/>
      <c r="V2968" s="1418">
        <f t="shared" si="300"/>
        <v>0</v>
      </c>
      <c r="W2968" s="357"/>
      <c r="X2968" s="357"/>
      <c r="Y2968" s="357"/>
      <c r="Z2968" s="358"/>
      <c r="AA2968" s="359"/>
      <c r="AB2968" s="360"/>
    </row>
    <row r="2969" spans="1:36" s="361" customFormat="1" ht="15" hidden="1" customHeight="1">
      <c r="A2969" s="354"/>
      <c r="B2969" s="355"/>
      <c r="C2969" s="32"/>
      <c r="D2969" s="33"/>
      <c r="E2969" s="34"/>
      <c r="F2969" s="35"/>
      <c r="G2969" s="33"/>
      <c r="H2969" s="34"/>
      <c r="I2969" s="35"/>
      <c r="J2969" s="43"/>
      <c r="K2969" s="42"/>
      <c r="L2969" s="39"/>
      <c r="M2969" s="41"/>
      <c r="N2969" s="356"/>
      <c r="O2969" s="40"/>
      <c r="P2969" s="39"/>
      <c r="Q2969" s="45"/>
      <c r="R2969" s="362"/>
      <c r="S2969" s="363"/>
      <c r="T2969" s="46"/>
      <c r="U2969" s="44"/>
      <c r="V2969" s="1418">
        <f t="shared" si="300"/>
        <v>0</v>
      </c>
      <c r="W2969" s="357"/>
      <c r="X2969" s="357"/>
      <c r="Y2969" s="357"/>
      <c r="Z2969" s="358"/>
      <c r="AA2969" s="359"/>
      <c r="AB2969" s="360"/>
    </row>
    <row r="2970" spans="1:36" s="369" customFormat="1" ht="15" hidden="1">
      <c r="A2970" s="364"/>
      <c r="B2970" s="355"/>
      <c r="C2970" s="32"/>
      <c r="D2970" s="33"/>
      <c r="E2970" s="34"/>
      <c r="F2970" s="35"/>
      <c r="G2970" s="33"/>
      <c r="H2970" s="34"/>
      <c r="I2970" s="35"/>
      <c r="J2970" s="43"/>
      <c r="K2970" s="42"/>
      <c r="L2970" s="39"/>
      <c r="M2970" s="41"/>
      <c r="N2970" s="40"/>
      <c r="O2970" s="40"/>
      <c r="P2970" s="39"/>
      <c r="Q2970" s="38"/>
      <c r="R2970" s="365"/>
      <c r="S2970" s="366"/>
      <c r="T2970" s="46"/>
      <c r="U2970" s="44"/>
      <c r="V2970" s="1418">
        <f t="shared" si="300"/>
        <v>0</v>
      </c>
      <c r="W2970" s="367"/>
      <c r="X2970" s="367"/>
      <c r="Y2970" s="367"/>
      <c r="Z2970" s="368"/>
    </row>
    <row r="2971" spans="1:36" s="77" customFormat="1" ht="15" hidden="1">
      <c r="A2971" s="370"/>
      <c r="B2971" s="29"/>
      <c r="C2971" s="30"/>
      <c r="D2971" s="18"/>
      <c r="E2971" s="19"/>
      <c r="F2971" s="20"/>
      <c r="G2971" s="18"/>
      <c r="H2971" s="19"/>
      <c r="I2971" s="20"/>
      <c r="J2971" s="21"/>
      <c r="K2971" s="22"/>
      <c r="L2971" s="23"/>
      <c r="M2971" s="24"/>
      <c r="N2971" s="25"/>
      <c r="O2971" s="25"/>
      <c r="P2971" s="23"/>
      <c r="Q2971" s="26"/>
      <c r="R2971" s="371"/>
      <c r="S2971" s="27"/>
      <c r="T2971" s="372"/>
      <c r="U2971" s="31"/>
      <c r="V2971" s="1418">
        <f t="shared" si="300"/>
        <v>0</v>
      </c>
      <c r="AB2971" s="15"/>
    </row>
    <row r="2972" spans="1:36" s="77" customFormat="1" ht="15.6" hidden="1">
      <c r="A2972" s="370"/>
      <c r="B2972" s="499"/>
      <c r="C2972" s="37"/>
      <c r="D2972" s="1929" t="s">
        <v>1520</v>
      </c>
      <c r="E2972" s="1930"/>
      <c r="F2972" s="1930"/>
      <c r="G2972" s="1930"/>
      <c r="H2972" s="1930"/>
      <c r="I2972" s="1931"/>
      <c r="J2972" s="1932">
        <f>VLOOKUP(A2974,'11 - FINANCEIRA'!_xlnm.Print_Area,6,FALSE)</f>
        <v>68</v>
      </c>
      <c r="K2972" s="1933"/>
      <c r="L2972" s="1343" t="str">
        <f>VLOOKUP(A2974,'11 - FINANCEIRA'!_xlnm.Print_Area,4,FALSE)</f>
        <v>m</v>
      </c>
      <c r="M2972" s="1934" t="s">
        <v>1521</v>
      </c>
      <c r="N2972" s="1935"/>
      <c r="O2972" s="1935"/>
      <c r="P2972" s="1935"/>
      <c r="Q2972" s="1936"/>
      <c r="R2972" s="726">
        <f>SUM(R2968:R2971)</f>
        <v>68</v>
      </c>
      <c r="S2972" s="1344" t="str">
        <f>L2972</f>
        <v>m</v>
      </c>
      <c r="T2972" s="373"/>
      <c r="U2972" s="486"/>
      <c r="V2972" s="1418">
        <f t="shared" si="300"/>
        <v>0</v>
      </c>
      <c r="AB2972" s="15"/>
    </row>
    <row r="2973" spans="1:36" s="77" customFormat="1" ht="15.6" hidden="1">
      <c r="A2973" s="370"/>
      <c r="B2973" s="499"/>
      <c r="C2973" s="725"/>
      <c r="D2973" s="1937" t="s">
        <v>1522</v>
      </c>
      <c r="E2973" s="1938"/>
      <c r="F2973" s="1938"/>
      <c r="G2973" s="1938"/>
      <c r="H2973" s="1938"/>
      <c r="I2973" s="1939"/>
      <c r="J2973" s="1943">
        <f>R2972/J2972</f>
        <v>1</v>
      </c>
      <c r="K2973" s="1944"/>
      <c r="L2973" s="1947"/>
      <c r="M2973" s="1934" t="s">
        <v>1523</v>
      </c>
      <c r="N2973" s="1935"/>
      <c r="O2973" s="1935"/>
      <c r="P2973" s="1935"/>
      <c r="Q2973" s="1936"/>
      <c r="R2973" s="726">
        <f>VLOOKUP(A2974,'11 - FINANCEIRA'!_xlnm.Print_Area,8,FALSE)</f>
        <v>68</v>
      </c>
      <c r="S2973" s="727" t="str">
        <f>L2972</f>
        <v>m</v>
      </c>
      <c r="T2973" s="373"/>
      <c r="U2973" s="486"/>
      <c r="V2973" s="1418">
        <f t="shared" si="300"/>
        <v>0</v>
      </c>
      <c r="AB2973" s="15"/>
    </row>
    <row r="2974" spans="1:36" s="77" customFormat="1" ht="15.6" hidden="1">
      <c r="A2974" s="364" t="s">
        <v>606</v>
      </c>
      <c r="B2974" s="499"/>
      <c r="C2974" s="37"/>
      <c r="D2974" s="2013"/>
      <c r="E2974" s="2014"/>
      <c r="F2974" s="2014"/>
      <c r="G2974" s="2014"/>
      <c r="H2974" s="2014"/>
      <c r="I2974" s="2015"/>
      <c r="J2974" s="2016"/>
      <c r="K2974" s="2017"/>
      <c r="L2974" s="1962"/>
      <c r="M2974" s="2007" t="s">
        <v>1524</v>
      </c>
      <c r="N2974" s="2008"/>
      <c r="O2974" s="2008"/>
      <c r="P2974" s="2008"/>
      <c r="Q2974" s="2009"/>
      <c r="R2974" s="1345">
        <f>R2972-R2973</f>
        <v>0</v>
      </c>
      <c r="S2974" s="1346" t="str">
        <f>L2972</f>
        <v>m</v>
      </c>
      <c r="T2974" s="373"/>
      <c r="U2974" s="486"/>
      <c r="V2974" s="1418">
        <f>R2974</f>
        <v>0</v>
      </c>
      <c r="AB2974" s="15"/>
    </row>
    <row r="2975" spans="1:36" s="77" customFormat="1" ht="15.6" hidden="1">
      <c r="A2975" s="370"/>
      <c r="B2975" s="1347"/>
      <c r="C2975" s="1348"/>
      <c r="D2975" s="1349"/>
      <c r="E2975" s="1350"/>
      <c r="F2975" s="1349"/>
      <c r="G2975" s="1349"/>
      <c r="H2975" s="1349"/>
      <c r="I2975" s="1349"/>
      <c r="J2975" s="1351"/>
      <c r="K2975" s="1352"/>
      <c r="L2975" s="1353"/>
      <c r="M2975" s="1354"/>
      <c r="N2975" s="1354"/>
      <c r="O2975" s="1354"/>
      <c r="P2975" s="1354"/>
      <c r="Q2975" s="1354"/>
      <c r="R2975" s="1355"/>
      <c r="S2975" s="1356"/>
      <c r="T2975" s="1357"/>
      <c r="U2975" s="1358"/>
      <c r="V2975" s="1420">
        <f>SUM(V2966:V2974)</f>
        <v>0</v>
      </c>
      <c r="AB2975" s="15"/>
    </row>
    <row r="2976" spans="1:36" s="352" customFormat="1" ht="15.6" hidden="1">
      <c r="A2976" s="351"/>
      <c r="B2976" s="1963" t="str">
        <f>VLOOKUP(A2984,'11 - FINANCEIRA'!_xlnm.Print_Area,1,FALSE)</f>
        <v>2.5.2.4.11</v>
      </c>
      <c r="C2976" s="1965" t="str">
        <f>VLOOKUP(A2984,'11 - FINANCEIRA'!_xlnm.Print_Area,3,FALSE)</f>
        <v>Saída horizontal para eletroduto de 1"</v>
      </c>
      <c r="D2976" s="1967" t="s">
        <v>1503</v>
      </c>
      <c r="E2976" s="1968"/>
      <c r="F2976" s="1968"/>
      <c r="G2976" s="1968"/>
      <c r="H2976" s="1968"/>
      <c r="I2976" s="1969"/>
      <c r="J2976" s="1914" t="s">
        <v>1504</v>
      </c>
      <c r="K2976" s="1914" t="s">
        <v>1505</v>
      </c>
      <c r="L2976" s="1914" t="s">
        <v>1506</v>
      </c>
      <c r="M2976" s="1914" t="s">
        <v>1507</v>
      </c>
      <c r="N2976" s="1914" t="s">
        <v>1508</v>
      </c>
      <c r="O2976" s="1914" t="s">
        <v>1509</v>
      </c>
      <c r="P2976" s="1341" t="s">
        <v>1510</v>
      </c>
      <c r="Q2976" s="1914" t="s">
        <v>1493</v>
      </c>
      <c r="R2976" s="1916" t="s">
        <v>804</v>
      </c>
      <c r="S2976" s="1914" t="s">
        <v>1511</v>
      </c>
      <c r="T2976" s="1914" t="s">
        <v>1512</v>
      </c>
      <c r="U2976" s="1918" t="s">
        <v>1513</v>
      </c>
      <c r="V2976" s="1418">
        <f t="shared" ref="V2976:V2983" si="301">V2977</f>
        <v>0</v>
      </c>
      <c r="W2976" s="16"/>
      <c r="X2976" s="16"/>
      <c r="Y2976" s="16"/>
      <c r="Z2976" s="17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</row>
    <row r="2977" spans="1:36" s="352" customFormat="1" ht="15.6" hidden="1">
      <c r="A2977" s="351"/>
      <c r="B2977" s="1964" t="e">
        <f>LEFT(#REF!,5)</f>
        <v>#REF!</v>
      </c>
      <c r="C2977" s="1966" t="e">
        <f>VLOOKUP(LEFT(#REF!,5),'11 - FINANCEIRA'!_xlnm.Print_Area,2,FALSE)</f>
        <v>#REF!</v>
      </c>
      <c r="D2977" s="1920" t="s">
        <v>1514</v>
      </c>
      <c r="E2977" s="1921"/>
      <c r="F2977" s="1922"/>
      <c r="G2977" s="1923" t="s">
        <v>1515</v>
      </c>
      <c r="H2977" s="1924"/>
      <c r="I2977" s="1925"/>
      <c r="J2977" s="1915"/>
      <c r="K2977" s="1915"/>
      <c r="L2977" s="1915"/>
      <c r="M2977" s="1915"/>
      <c r="N2977" s="1915"/>
      <c r="O2977" s="1915"/>
      <c r="P2977" s="353" t="s">
        <v>1516</v>
      </c>
      <c r="Q2977" s="1915"/>
      <c r="R2977" s="1917"/>
      <c r="S2977" s="1915"/>
      <c r="T2977" s="1915"/>
      <c r="U2977" s="1919"/>
      <c r="V2977" s="1418">
        <f t="shared" si="301"/>
        <v>0</v>
      </c>
      <c r="W2977" s="16"/>
      <c r="X2977" s="16"/>
      <c r="Y2977" s="16"/>
      <c r="Z2977" s="17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</row>
    <row r="2978" spans="1:36" s="361" customFormat="1" ht="15" hidden="1" customHeight="1">
      <c r="A2978" s="354"/>
      <c r="B2978" s="355"/>
      <c r="C2978" s="28" t="s">
        <v>1099</v>
      </c>
      <c r="D2978" s="18"/>
      <c r="E2978" s="19"/>
      <c r="F2978" s="20"/>
      <c r="G2978" s="18"/>
      <c r="H2978" s="19"/>
      <c r="I2978" s="20"/>
      <c r="J2978" s="21"/>
      <c r="K2978" s="22"/>
      <c r="L2978" s="23"/>
      <c r="M2978" s="24"/>
      <c r="N2978" s="728"/>
      <c r="O2978" s="25"/>
      <c r="P2978" s="23"/>
      <c r="Q2978" s="729"/>
      <c r="R2978" s="1109">
        <v>16</v>
      </c>
      <c r="S2978" s="730" t="s">
        <v>1511</v>
      </c>
      <c r="T2978" s="446" t="s">
        <v>325</v>
      </c>
      <c r="U2978" s="44"/>
      <c r="V2978" s="1418">
        <f t="shared" si="301"/>
        <v>0</v>
      </c>
      <c r="W2978" s="357"/>
      <c r="X2978" s="357"/>
      <c r="Y2978" s="357"/>
      <c r="Z2978" s="358"/>
      <c r="AA2978" s="359"/>
      <c r="AB2978" s="360"/>
    </row>
    <row r="2979" spans="1:36" s="361" customFormat="1" ht="15" hidden="1" customHeight="1">
      <c r="A2979" s="354"/>
      <c r="B2979" s="355"/>
      <c r="C2979" s="32"/>
      <c r="D2979" s="33"/>
      <c r="E2979" s="34"/>
      <c r="F2979" s="35"/>
      <c r="G2979" s="33"/>
      <c r="H2979" s="34"/>
      <c r="I2979" s="35"/>
      <c r="J2979" s="43"/>
      <c r="K2979" s="42"/>
      <c r="L2979" s="39"/>
      <c r="M2979" s="41"/>
      <c r="N2979" s="356"/>
      <c r="O2979" s="40"/>
      <c r="P2979" s="39"/>
      <c r="Q2979" s="45"/>
      <c r="R2979" s="362"/>
      <c r="S2979" s="363"/>
      <c r="T2979" s="46"/>
      <c r="U2979" s="44"/>
      <c r="V2979" s="1418">
        <f t="shared" si="301"/>
        <v>0</v>
      </c>
      <c r="W2979" s="357"/>
      <c r="X2979" s="357"/>
      <c r="Y2979" s="357"/>
      <c r="Z2979" s="358"/>
      <c r="AA2979" s="359"/>
      <c r="AB2979" s="360"/>
    </row>
    <row r="2980" spans="1:36" s="369" customFormat="1" ht="15" hidden="1" customHeight="1">
      <c r="A2980" s="364"/>
      <c r="B2980" s="355"/>
      <c r="C2980" s="32"/>
      <c r="D2980" s="33"/>
      <c r="E2980" s="34"/>
      <c r="F2980" s="35"/>
      <c r="G2980" s="33"/>
      <c r="H2980" s="34"/>
      <c r="I2980" s="35"/>
      <c r="J2980" s="43"/>
      <c r="K2980" s="42"/>
      <c r="L2980" s="39"/>
      <c r="M2980" s="41"/>
      <c r="N2980" s="40"/>
      <c r="O2980" s="40"/>
      <c r="P2980" s="39"/>
      <c r="Q2980" s="38"/>
      <c r="R2980" s="365"/>
      <c r="S2980" s="366"/>
      <c r="T2980" s="46"/>
      <c r="U2980" s="44"/>
      <c r="V2980" s="1418">
        <f t="shared" si="301"/>
        <v>0</v>
      </c>
      <c r="W2980" s="367"/>
      <c r="X2980" s="367"/>
      <c r="Y2980" s="367"/>
      <c r="Z2980" s="368"/>
    </row>
    <row r="2981" spans="1:36" s="77" customFormat="1" ht="15" hidden="1">
      <c r="A2981" s="370"/>
      <c r="B2981" s="29"/>
      <c r="C2981" s="30"/>
      <c r="D2981" s="18"/>
      <c r="E2981" s="19"/>
      <c r="F2981" s="20"/>
      <c r="G2981" s="18"/>
      <c r="H2981" s="19"/>
      <c r="I2981" s="20"/>
      <c r="J2981" s="21"/>
      <c r="K2981" s="22"/>
      <c r="L2981" s="23"/>
      <c r="M2981" s="24"/>
      <c r="N2981" s="25"/>
      <c r="O2981" s="25"/>
      <c r="P2981" s="23"/>
      <c r="Q2981" s="26"/>
      <c r="R2981" s="371"/>
      <c r="S2981" s="27"/>
      <c r="T2981" s="372"/>
      <c r="U2981" s="31"/>
      <c r="V2981" s="1418">
        <f t="shared" si="301"/>
        <v>0</v>
      </c>
      <c r="AB2981" s="15"/>
    </row>
    <row r="2982" spans="1:36" s="77" customFormat="1" ht="15.6" hidden="1">
      <c r="A2982" s="370"/>
      <c r="B2982" s="499"/>
      <c r="C2982" s="37"/>
      <c r="D2982" s="1929" t="s">
        <v>1520</v>
      </c>
      <c r="E2982" s="1930"/>
      <c r="F2982" s="1930"/>
      <c r="G2982" s="1930"/>
      <c r="H2982" s="1930"/>
      <c r="I2982" s="1931"/>
      <c r="J2982" s="1932">
        <f>VLOOKUP(A2984,'11 - FINANCEIRA'!_xlnm.Print_Area,6,FALSE)</f>
        <v>16</v>
      </c>
      <c r="K2982" s="1933"/>
      <c r="L2982" s="1343" t="str">
        <f>VLOOKUP(A2984,'11 - FINANCEIRA'!_xlnm.Print_Area,4,FALSE)</f>
        <v>und</v>
      </c>
      <c r="M2982" s="1934" t="s">
        <v>1521</v>
      </c>
      <c r="N2982" s="1935"/>
      <c r="O2982" s="1935"/>
      <c r="P2982" s="1935"/>
      <c r="Q2982" s="1936"/>
      <c r="R2982" s="726">
        <f>SUM(R2978:R2981)</f>
        <v>16</v>
      </c>
      <c r="S2982" s="1344" t="str">
        <f>L2982</f>
        <v>und</v>
      </c>
      <c r="T2982" s="373"/>
      <c r="U2982" s="486"/>
      <c r="V2982" s="1418">
        <f t="shared" si="301"/>
        <v>0</v>
      </c>
      <c r="AB2982" s="15"/>
    </row>
    <row r="2983" spans="1:36" s="77" customFormat="1" ht="15.6" hidden="1">
      <c r="A2983" s="370"/>
      <c r="B2983" s="499"/>
      <c r="C2983" s="725"/>
      <c r="D2983" s="1937" t="s">
        <v>1522</v>
      </c>
      <c r="E2983" s="1938"/>
      <c r="F2983" s="1938"/>
      <c r="G2983" s="1938"/>
      <c r="H2983" s="1938"/>
      <c r="I2983" s="1939"/>
      <c r="J2983" s="1943">
        <f>R2982/J2982</f>
        <v>1</v>
      </c>
      <c r="K2983" s="1944"/>
      <c r="L2983" s="1947"/>
      <c r="M2983" s="1934" t="s">
        <v>1523</v>
      </c>
      <c r="N2983" s="1935"/>
      <c r="O2983" s="1935"/>
      <c r="P2983" s="1935"/>
      <c r="Q2983" s="1936"/>
      <c r="R2983" s="726">
        <f>VLOOKUP(A2984,'11 - FINANCEIRA'!_xlnm.Print_Area,8,FALSE)</f>
        <v>16</v>
      </c>
      <c r="S2983" s="727" t="str">
        <f>L2982</f>
        <v>und</v>
      </c>
      <c r="T2983" s="373"/>
      <c r="U2983" s="486"/>
      <c r="V2983" s="1418">
        <f t="shared" si="301"/>
        <v>0</v>
      </c>
      <c r="AB2983" s="15"/>
    </row>
    <row r="2984" spans="1:36" s="77" customFormat="1" ht="15.6" hidden="1">
      <c r="A2984" s="364" t="s">
        <v>607</v>
      </c>
      <c r="B2984" s="499"/>
      <c r="C2984" s="37"/>
      <c r="D2984" s="2013"/>
      <c r="E2984" s="2014"/>
      <c r="F2984" s="2014"/>
      <c r="G2984" s="2014"/>
      <c r="H2984" s="2014"/>
      <c r="I2984" s="2015"/>
      <c r="J2984" s="2016"/>
      <c r="K2984" s="2017"/>
      <c r="L2984" s="1962"/>
      <c r="M2984" s="2007" t="s">
        <v>1524</v>
      </c>
      <c r="N2984" s="2008"/>
      <c r="O2984" s="2008"/>
      <c r="P2984" s="2008"/>
      <c r="Q2984" s="2009"/>
      <c r="R2984" s="1345">
        <f>R2982-R2983</f>
        <v>0</v>
      </c>
      <c r="S2984" s="1346" t="str">
        <f>L2982</f>
        <v>und</v>
      </c>
      <c r="T2984" s="373"/>
      <c r="U2984" s="486"/>
      <c r="V2984" s="1418">
        <f>R2984</f>
        <v>0</v>
      </c>
      <c r="AB2984" s="15"/>
    </row>
    <row r="2985" spans="1:36" s="77" customFormat="1" ht="15.6" hidden="1">
      <c r="A2985" s="370"/>
      <c r="B2985" s="1347"/>
      <c r="C2985" s="1348"/>
      <c r="D2985" s="1349"/>
      <c r="E2985" s="1350"/>
      <c r="F2985" s="1349"/>
      <c r="G2985" s="1349"/>
      <c r="H2985" s="1349"/>
      <c r="I2985" s="1349"/>
      <c r="J2985" s="1351"/>
      <c r="K2985" s="1352"/>
      <c r="L2985" s="1353"/>
      <c r="M2985" s="1354"/>
      <c r="N2985" s="1354"/>
      <c r="O2985" s="1354"/>
      <c r="P2985" s="1354"/>
      <c r="Q2985" s="1354"/>
      <c r="R2985" s="1355"/>
      <c r="S2985" s="1356"/>
      <c r="T2985" s="1357"/>
      <c r="U2985" s="1358"/>
      <c r="V2985" s="1420">
        <f>SUM(V2976:V2984)</f>
        <v>0</v>
      </c>
      <c r="AB2985" s="15"/>
    </row>
    <row r="2986" spans="1:36" s="352" customFormat="1" ht="15.6" hidden="1">
      <c r="A2986" s="351"/>
      <c r="B2986" s="1963" t="str">
        <f>VLOOKUP(A2994,'11 - FINANCEIRA'!_xlnm.Print_Area,1,FALSE)</f>
        <v>2.5.2.4.12</v>
      </c>
      <c r="C2986" s="1965" t="str">
        <f>VLOOKUP(A2994,'11 - FINANCEIRA'!_xlnm.Print_Area,3,FALSE)</f>
        <v>Saída horizontal para eletroduto de 2"</v>
      </c>
      <c r="D2986" s="1967" t="s">
        <v>1503</v>
      </c>
      <c r="E2986" s="1968"/>
      <c r="F2986" s="1968"/>
      <c r="G2986" s="1968"/>
      <c r="H2986" s="1968"/>
      <c r="I2986" s="1969"/>
      <c r="J2986" s="1914" t="s">
        <v>1504</v>
      </c>
      <c r="K2986" s="1914" t="s">
        <v>1505</v>
      </c>
      <c r="L2986" s="1914" t="s">
        <v>1506</v>
      </c>
      <c r="M2986" s="1914" t="s">
        <v>1507</v>
      </c>
      <c r="N2986" s="1914" t="s">
        <v>1508</v>
      </c>
      <c r="O2986" s="1914" t="s">
        <v>1509</v>
      </c>
      <c r="P2986" s="1341" t="s">
        <v>1510</v>
      </c>
      <c r="Q2986" s="1914" t="s">
        <v>1493</v>
      </c>
      <c r="R2986" s="1916" t="s">
        <v>804</v>
      </c>
      <c r="S2986" s="1914" t="s">
        <v>1511</v>
      </c>
      <c r="T2986" s="1914" t="s">
        <v>1512</v>
      </c>
      <c r="U2986" s="1918" t="s">
        <v>1513</v>
      </c>
      <c r="V2986" s="1418">
        <f t="shared" ref="V2986:V2993" si="302">V2987</f>
        <v>0</v>
      </c>
      <c r="W2986" s="16"/>
      <c r="X2986" s="16"/>
      <c r="Y2986" s="16"/>
      <c r="Z2986" s="17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</row>
    <row r="2987" spans="1:36" s="352" customFormat="1" ht="15.6" hidden="1">
      <c r="A2987" s="351"/>
      <c r="B2987" s="1964" t="e">
        <f>LEFT(#REF!,5)</f>
        <v>#REF!</v>
      </c>
      <c r="C2987" s="1966" t="e">
        <f>VLOOKUP(LEFT(#REF!,5),'11 - FINANCEIRA'!_xlnm.Print_Area,2,FALSE)</f>
        <v>#REF!</v>
      </c>
      <c r="D2987" s="1920" t="s">
        <v>1514</v>
      </c>
      <c r="E2987" s="1921"/>
      <c r="F2987" s="1922"/>
      <c r="G2987" s="1923" t="s">
        <v>1515</v>
      </c>
      <c r="H2987" s="1924"/>
      <c r="I2987" s="1925"/>
      <c r="J2987" s="1915"/>
      <c r="K2987" s="1915"/>
      <c r="L2987" s="1915"/>
      <c r="M2987" s="1915"/>
      <c r="N2987" s="1915"/>
      <c r="O2987" s="1915"/>
      <c r="P2987" s="353" t="s">
        <v>1516</v>
      </c>
      <c r="Q2987" s="1915"/>
      <c r="R2987" s="1917"/>
      <c r="S2987" s="1915"/>
      <c r="T2987" s="1915"/>
      <c r="U2987" s="1919"/>
      <c r="V2987" s="1418">
        <f t="shared" si="302"/>
        <v>0</v>
      </c>
      <c r="W2987" s="16"/>
      <c r="X2987" s="16"/>
      <c r="Y2987" s="16"/>
      <c r="Z2987" s="17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</row>
    <row r="2988" spans="1:36" s="361" customFormat="1" ht="15" hidden="1" customHeight="1">
      <c r="A2988" s="354"/>
      <c r="B2988" s="355"/>
      <c r="C2988" s="28" t="s">
        <v>1196</v>
      </c>
      <c r="D2988" s="18"/>
      <c r="E2988" s="19"/>
      <c r="F2988" s="20"/>
      <c r="G2988" s="18"/>
      <c r="H2988" s="19"/>
      <c r="I2988" s="20"/>
      <c r="J2988" s="21"/>
      <c r="K2988" s="22"/>
      <c r="L2988" s="23"/>
      <c r="M2988" s="24"/>
      <c r="N2988" s="728"/>
      <c r="O2988" s="25"/>
      <c r="P2988" s="23"/>
      <c r="Q2988" s="729"/>
      <c r="R2988" s="1109">
        <v>4</v>
      </c>
      <c r="S2988" s="730" t="s">
        <v>816</v>
      </c>
      <c r="T2988" s="446" t="s">
        <v>325</v>
      </c>
      <c r="U2988" s="44"/>
      <c r="V2988" s="1418">
        <f t="shared" si="302"/>
        <v>0</v>
      </c>
      <c r="W2988" s="357"/>
      <c r="X2988" s="357"/>
      <c r="Y2988" s="357"/>
      <c r="Z2988" s="358"/>
      <c r="AA2988" s="359"/>
      <c r="AB2988" s="360"/>
    </row>
    <row r="2989" spans="1:36" s="361" customFormat="1" ht="15" hidden="1" customHeight="1">
      <c r="A2989" s="354"/>
      <c r="B2989" s="355"/>
      <c r="C2989" s="32"/>
      <c r="D2989" s="33"/>
      <c r="E2989" s="34"/>
      <c r="F2989" s="35"/>
      <c r="G2989" s="33"/>
      <c r="H2989" s="34"/>
      <c r="I2989" s="35"/>
      <c r="J2989" s="43"/>
      <c r="K2989" s="42"/>
      <c r="L2989" s="39"/>
      <c r="M2989" s="41"/>
      <c r="N2989" s="356"/>
      <c r="O2989" s="40"/>
      <c r="P2989" s="39"/>
      <c r="Q2989" s="45"/>
      <c r="R2989" s="362"/>
      <c r="S2989" s="363"/>
      <c r="T2989" s="46"/>
      <c r="U2989" s="44"/>
      <c r="V2989" s="1418">
        <f t="shared" si="302"/>
        <v>0</v>
      </c>
      <c r="W2989" s="357"/>
      <c r="X2989" s="357"/>
      <c r="Y2989" s="357"/>
      <c r="Z2989" s="358"/>
      <c r="AA2989" s="359"/>
      <c r="AB2989" s="360"/>
    </row>
    <row r="2990" spans="1:36" s="369" customFormat="1" ht="15" hidden="1">
      <c r="A2990" s="364"/>
      <c r="B2990" s="355"/>
      <c r="C2990" s="32"/>
      <c r="D2990" s="33"/>
      <c r="E2990" s="34"/>
      <c r="F2990" s="35"/>
      <c r="G2990" s="33"/>
      <c r="H2990" s="34"/>
      <c r="I2990" s="35"/>
      <c r="J2990" s="43"/>
      <c r="K2990" s="42"/>
      <c r="L2990" s="39"/>
      <c r="M2990" s="41"/>
      <c r="N2990" s="40"/>
      <c r="O2990" s="40"/>
      <c r="P2990" s="39"/>
      <c r="Q2990" s="38"/>
      <c r="R2990" s="365"/>
      <c r="S2990" s="366"/>
      <c r="T2990" s="46"/>
      <c r="U2990" s="44"/>
      <c r="V2990" s="1418">
        <f t="shared" si="302"/>
        <v>0</v>
      </c>
      <c r="W2990" s="367"/>
      <c r="X2990" s="367"/>
      <c r="Y2990" s="367"/>
      <c r="Z2990" s="368"/>
    </row>
    <row r="2991" spans="1:36" s="77" customFormat="1" ht="15" hidden="1">
      <c r="A2991" s="370"/>
      <c r="B2991" s="29"/>
      <c r="C2991" s="30"/>
      <c r="D2991" s="18"/>
      <c r="E2991" s="19"/>
      <c r="F2991" s="20"/>
      <c r="G2991" s="18"/>
      <c r="H2991" s="19"/>
      <c r="I2991" s="20"/>
      <c r="J2991" s="21"/>
      <c r="K2991" s="22"/>
      <c r="L2991" s="23"/>
      <c r="M2991" s="24"/>
      <c r="N2991" s="25"/>
      <c r="O2991" s="25"/>
      <c r="P2991" s="23"/>
      <c r="Q2991" s="26"/>
      <c r="R2991" s="371"/>
      <c r="S2991" s="27"/>
      <c r="T2991" s="372"/>
      <c r="U2991" s="31"/>
      <c r="V2991" s="1418">
        <f t="shared" si="302"/>
        <v>0</v>
      </c>
      <c r="AB2991" s="15"/>
    </row>
    <row r="2992" spans="1:36" s="77" customFormat="1" ht="15.6" hidden="1">
      <c r="A2992" s="370"/>
      <c r="B2992" s="499"/>
      <c r="C2992" s="37"/>
      <c r="D2992" s="1929" t="s">
        <v>1520</v>
      </c>
      <c r="E2992" s="1930"/>
      <c r="F2992" s="1930"/>
      <c r="G2992" s="1930"/>
      <c r="H2992" s="1930"/>
      <c r="I2992" s="1931"/>
      <c r="J2992" s="1932">
        <f>VLOOKUP(A2994,'11 - FINANCEIRA'!_xlnm.Print_Area,6,FALSE)</f>
        <v>4</v>
      </c>
      <c r="K2992" s="1933"/>
      <c r="L2992" s="1343" t="str">
        <f>VLOOKUP(A2994,'11 - FINANCEIRA'!_xlnm.Print_Area,4,FALSE)</f>
        <v>und</v>
      </c>
      <c r="M2992" s="1934" t="s">
        <v>1521</v>
      </c>
      <c r="N2992" s="1935"/>
      <c r="O2992" s="1935"/>
      <c r="P2992" s="1935"/>
      <c r="Q2992" s="1936"/>
      <c r="R2992" s="726">
        <f>SUM(R2988:R2991)</f>
        <v>4</v>
      </c>
      <c r="S2992" s="1344" t="str">
        <f>L2992</f>
        <v>und</v>
      </c>
      <c r="T2992" s="373"/>
      <c r="U2992" s="486"/>
      <c r="V2992" s="1418">
        <f t="shared" si="302"/>
        <v>0</v>
      </c>
      <c r="AB2992" s="15"/>
    </row>
    <row r="2993" spans="1:36" s="77" customFormat="1" ht="15.6" hidden="1">
      <c r="A2993" s="370"/>
      <c r="B2993" s="499"/>
      <c r="C2993" s="725"/>
      <c r="D2993" s="1937" t="s">
        <v>1522</v>
      </c>
      <c r="E2993" s="1938"/>
      <c r="F2993" s="1938"/>
      <c r="G2993" s="1938"/>
      <c r="H2993" s="1938"/>
      <c r="I2993" s="1939"/>
      <c r="J2993" s="1943">
        <f>R2992/J2992</f>
        <v>1</v>
      </c>
      <c r="K2993" s="1944"/>
      <c r="L2993" s="1947"/>
      <c r="M2993" s="1934" t="s">
        <v>1523</v>
      </c>
      <c r="N2993" s="1935"/>
      <c r="O2993" s="1935"/>
      <c r="P2993" s="1935"/>
      <c r="Q2993" s="1936"/>
      <c r="R2993" s="726">
        <f>VLOOKUP(A2994,'11 - FINANCEIRA'!_xlnm.Print_Area,8,FALSE)</f>
        <v>4</v>
      </c>
      <c r="S2993" s="727" t="str">
        <f>L2992</f>
        <v>und</v>
      </c>
      <c r="T2993" s="373"/>
      <c r="U2993" s="486"/>
      <c r="V2993" s="1418">
        <f t="shared" si="302"/>
        <v>0</v>
      </c>
      <c r="AB2993" s="15"/>
    </row>
    <row r="2994" spans="1:36" s="77" customFormat="1" ht="15.6" hidden="1">
      <c r="A2994" s="364" t="s">
        <v>608</v>
      </c>
      <c r="B2994" s="499"/>
      <c r="C2994" s="37"/>
      <c r="D2994" s="2013"/>
      <c r="E2994" s="2014"/>
      <c r="F2994" s="2014"/>
      <c r="G2994" s="2014"/>
      <c r="H2994" s="2014"/>
      <c r="I2994" s="2015"/>
      <c r="J2994" s="2016"/>
      <c r="K2994" s="2017"/>
      <c r="L2994" s="1962"/>
      <c r="M2994" s="2007" t="s">
        <v>1524</v>
      </c>
      <c r="N2994" s="2008"/>
      <c r="O2994" s="2008"/>
      <c r="P2994" s="2008"/>
      <c r="Q2994" s="2009"/>
      <c r="R2994" s="1345">
        <f>R2992-R2993</f>
        <v>0</v>
      </c>
      <c r="S2994" s="1346" t="str">
        <f>L2992</f>
        <v>und</v>
      </c>
      <c r="T2994" s="373"/>
      <c r="U2994" s="486"/>
      <c r="V2994" s="1418">
        <f>R2994</f>
        <v>0</v>
      </c>
      <c r="AB2994" s="15"/>
    </row>
    <row r="2995" spans="1:36" s="77" customFormat="1" ht="15.6" hidden="1">
      <c r="A2995" s="370"/>
      <c r="B2995" s="1347"/>
      <c r="C2995" s="1348"/>
      <c r="D2995" s="1349"/>
      <c r="E2995" s="1350"/>
      <c r="F2995" s="1349"/>
      <c r="G2995" s="1349"/>
      <c r="H2995" s="1349"/>
      <c r="I2995" s="1349"/>
      <c r="J2995" s="1351"/>
      <c r="K2995" s="1352"/>
      <c r="L2995" s="1353"/>
      <c r="M2995" s="1354"/>
      <c r="N2995" s="1354"/>
      <c r="O2995" s="1354"/>
      <c r="P2995" s="1354"/>
      <c r="Q2995" s="1354"/>
      <c r="R2995" s="1355"/>
      <c r="S2995" s="1356"/>
      <c r="T2995" s="1357"/>
      <c r="U2995" s="1358"/>
      <c r="V2995" s="1420">
        <f>SUM(V2986:V2994)</f>
        <v>0</v>
      </c>
      <c r="AB2995" s="15"/>
    </row>
    <row r="2996" spans="1:36" s="352" customFormat="1" ht="15.6" hidden="1">
      <c r="A2996" s="351"/>
      <c r="B2996" s="1963" t="str">
        <f>VLOOKUP(A3004,'11 - FINANCEIRA'!_xlnm.Print_Area,1,FALSE)</f>
        <v>2.5.2.4.13</v>
      </c>
      <c r="C2996" s="1965" t="str">
        <f>VLOOKUP(A3004,'11 - FINANCEIRA'!_xlnm.Print_Area,3,FALSE)</f>
        <v>Envelopamento de concreto simples com consumo mínimo de cimento de 250kg/m³, inclusive escavação para profundidade mínima do eletroduto de 50cm, de 45 x 45 cm, para 3 eletrodutos</v>
      </c>
      <c r="D2996" s="1967" t="s">
        <v>1503</v>
      </c>
      <c r="E2996" s="1968"/>
      <c r="F2996" s="1968"/>
      <c r="G2996" s="1968"/>
      <c r="H2996" s="1968"/>
      <c r="I2996" s="1969"/>
      <c r="J2996" s="1914" t="s">
        <v>1504</v>
      </c>
      <c r="K2996" s="1914" t="s">
        <v>1505</v>
      </c>
      <c r="L2996" s="1914" t="s">
        <v>1506</v>
      </c>
      <c r="M2996" s="1914" t="s">
        <v>1507</v>
      </c>
      <c r="N2996" s="1914" t="s">
        <v>1508</v>
      </c>
      <c r="O2996" s="1914" t="s">
        <v>1509</v>
      </c>
      <c r="P2996" s="1341" t="s">
        <v>1510</v>
      </c>
      <c r="Q2996" s="1914" t="s">
        <v>1493</v>
      </c>
      <c r="R2996" s="1916" t="s">
        <v>804</v>
      </c>
      <c r="S2996" s="1914" t="s">
        <v>1511</v>
      </c>
      <c r="T2996" s="1914" t="s">
        <v>1512</v>
      </c>
      <c r="U2996" s="1918" t="s">
        <v>1513</v>
      </c>
      <c r="V2996" s="1418">
        <f t="shared" ref="V2996:V3003" si="303">V2997</f>
        <v>0</v>
      </c>
      <c r="W2996" s="16"/>
      <c r="X2996" s="16"/>
      <c r="Y2996" s="16"/>
      <c r="Z2996" s="17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</row>
    <row r="2997" spans="1:36" s="352" customFormat="1" ht="15.6" hidden="1">
      <c r="A2997" s="351"/>
      <c r="B2997" s="1964" t="e">
        <f>LEFT(#REF!,5)</f>
        <v>#REF!</v>
      </c>
      <c r="C2997" s="1966" t="e">
        <f>VLOOKUP(LEFT(#REF!,5),'11 - FINANCEIRA'!_xlnm.Print_Area,2,FALSE)</f>
        <v>#REF!</v>
      </c>
      <c r="D2997" s="1920" t="s">
        <v>1514</v>
      </c>
      <c r="E2997" s="1921"/>
      <c r="F2997" s="1922"/>
      <c r="G2997" s="1923" t="s">
        <v>1515</v>
      </c>
      <c r="H2997" s="1924"/>
      <c r="I2997" s="1925"/>
      <c r="J2997" s="1915"/>
      <c r="K2997" s="1915"/>
      <c r="L2997" s="1915"/>
      <c r="M2997" s="1915"/>
      <c r="N2997" s="1915"/>
      <c r="O2997" s="1915"/>
      <c r="P2997" s="353" t="s">
        <v>1516</v>
      </c>
      <c r="Q2997" s="1915"/>
      <c r="R2997" s="1917"/>
      <c r="S2997" s="1915"/>
      <c r="T2997" s="1915"/>
      <c r="U2997" s="1919"/>
      <c r="V2997" s="1418">
        <f t="shared" si="303"/>
        <v>0</v>
      </c>
      <c r="W2997" s="16"/>
      <c r="X2997" s="16"/>
      <c r="Y2997" s="16"/>
      <c r="Z2997" s="17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</row>
    <row r="2998" spans="1:36" s="361" customFormat="1" ht="15" hidden="1" customHeight="1">
      <c r="A2998" s="354"/>
      <c r="B2998" s="355"/>
      <c r="C2998" s="28" t="s">
        <v>1198</v>
      </c>
      <c r="D2998" s="18"/>
      <c r="E2998" s="19"/>
      <c r="F2998" s="20"/>
      <c r="G2998" s="18"/>
      <c r="H2998" s="19"/>
      <c r="I2998" s="20"/>
      <c r="J2998" s="21"/>
      <c r="K2998" s="22"/>
      <c r="L2998" s="23"/>
      <c r="M2998" s="24"/>
      <c r="N2998" s="728"/>
      <c r="O2998" s="25"/>
      <c r="P2998" s="23"/>
      <c r="Q2998" s="729"/>
      <c r="R2998" s="1109">
        <v>320</v>
      </c>
      <c r="S2998" s="730" t="s">
        <v>809</v>
      </c>
      <c r="T2998" s="446" t="s">
        <v>325</v>
      </c>
      <c r="U2998" s="44"/>
      <c r="V2998" s="1418">
        <f t="shared" si="303"/>
        <v>0</v>
      </c>
      <c r="W2998" s="357"/>
      <c r="X2998" s="357"/>
      <c r="Y2998" s="357"/>
      <c r="Z2998" s="358"/>
      <c r="AA2998" s="359"/>
      <c r="AB2998" s="360"/>
    </row>
    <row r="2999" spans="1:36" s="361" customFormat="1" ht="15" hidden="1" customHeight="1">
      <c r="A2999" s="354"/>
      <c r="B2999" s="355"/>
      <c r="C2999" s="32"/>
      <c r="D2999" s="33"/>
      <c r="E2999" s="34"/>
      <c r="F2999" s="35"/>
      <c r="G2999" s="33"/>
      <c r="H2999" s="34"/>
      <c r="I2999" s="35"/>
      <c r="J2999" s="43"/>
      <c r="K2999" s="42"/>
      <c r="L2999" s="39"/>
      <c r="M2999" s="41"/>
      <c r="N2999" s="356"/>
      <c r="O2999" s="40"/>
      <c r="P2999" s="39"/>
      <c r="Q2999" s="45"/>
      <c r="R2999" s="362"/>
      <c r="S2999" s="363"/>
      <c r="T2999" s="46"/>
      <c r="U2999" s="44"/>
      <c r="V2999" s="1418">
        <f t="shared" si="303"/>
        <v>0</v>
      </c>
      <c r="W2999" s="357"/>
      <c r="X2999" s="357"/>
      <c r="Y2999" s="357"/>
      <c r="Z2999" s="358"/>
      <c r="AA2999" s="359"/>
      <c r="AB2999" s="360"/>
    </row>
    <row r="3000" spans="1:36" s="369" customFormat="1" ht="15" hidden="1">
      <c r="A3000" s="364"/>
      <c r="B3000" s="355"/>
      <c r="C3000" s="32"/>
      <c r="D3000" s="33"/>
      <c r="E3000" s="34"/>
      <c r="F3000" s="35"/>
      <c r="G3000" s="33"/>
      <c r="H3000" s="34"/>
      <c r="I3000" s="35"/>
      <c r="J3000" s="43"/>
      <c r="K3000" s="42"/>
      <c r="L3000" s="39"/>
      <c r="M3000" s="41"/>
      <c r="N3000" s="40"/>
      <c r="O3000" s="40"/>
      <c r="P3000" s="39"/>
      <c r="Q3000" s="38"/>
      <c r="R3000" s="365"/>
      <c r="S3000" s="366"/>
      <c r="T3000" s="46"/>
      <c r="U3000" s="44"/>
      <c r="V3000" s="1418">
        <f t="shared" si="303"/>
        <v>0</v>
      </c>
      <c r="W3000" s="367"/>
      <c r="X3000" s="367"/>
      <c r="Y3000" s="367"/>
      <c r="Z3000" s="368"/>
    </row>
    <row r="3001" spans="1:36" s="77" customFormat="1" ht="15" hidden="1">
      <c r="A3001" s="370"/>
      <c r="B3001" s="29"/>
      <c r="C3001" s="30"/>
      <c r="D3001" s="18"/>
      <c r="E3001" s="19"/>
      <c r="F3001" s="20"/>
      <c r="G3001" s="18"/>
      <c r="H3001" s="19"/>
      <c r="I3001" s="20"/>
      <c r="J3001" s="21"/>
      <c r="K3001" s="22"/>
      <c r="L3001" s="23"/>
      <c r="M3001" s="24"/>
      <c r="N3001" s="25"/>
      <c r="O3001" s="25"/>
      <c r="P3001" s="23"/>
      <c r="Q3001" s="26"/>
      <c r="R3001" s="371"/>
      <c r="S3001" s="27"/>
      <c r="T3001" s="372"/>
      <c r="U3001" s="31"/>
      <c r="V3001" s="1418">
        <f t="shared" si="303"/>
        <v>0</v>
      </c>
      <c r="AB3001" s="15"/>
    </row>
    <row r="3002" spans="1:36" s="77" customFormat="1" ht="15.6" hidden="1">
      <c r="A3002" s="370"/>
      <c r="B3002" s="499"/>
      <c r="C3002" s="37"/>
      <c r="D3002" s="1929" t="s">
        <v>1520</v>
      </c>
      <c r="E3002" s="1930"/>
      <c r="F3002" s="1930"/>
      <c r="G3002" s="1930"/>
      <c r="H3002" s="1930"/>
      <c r="I3002" s="1931"/>
      <c r="J3002" s="1932">
        <f>VLOOKUP(A3004,'11 - FINANCEIRA'!_xlnm.Print_Area,6,FALSE)</f>
        <v>320</v>
      </c>
      <c r="K3002" s="1933"/>
      <c r="L3002" s="1343" t="str">
        <f>VLOOKUP(A3004,'11 - FINANCEIRA'!_xlnm.Print_Area,4,FALSE)</f>
        <v>m</v>
      </c>
      <c r="M3002" s="1934" t="s">
        <v>1521</v>
      </c>
      <c r="N3002" s="1935"/>
      <c r="O3002" s="1935"/>
      <c r="P3002" s="1935"/>
      <c r="Q3002" s="1936"/>
      <c r="R3002" s="726">
        <f>SUM(R2998:R3001)</f>
        <v>320</v>
      </c>
      <c r="S3002" s="1344" t="str">
        <f>L3002</f>
        <v>m</v>
      </c>
      <c r="T3002" s="373"/>
      <c r="U3002" s="486"/>
      <c r="V3002" s="1418">
        <f t="shared" si="303"/>
        <v>0</v>
      </c>
      <c r="AB3002" s="15"/>
    </row>
    <row r="3003" spans="1:36" s="77" customFormat="1" ht="15.6" hidden="1">
      <c r="A3003" s="370"/>
      <c r="B3003" s="499"/>
      <c r="C3003" s="725"/>
      <c r="D3003" s="1937" t="s">
        <v>1522</v>
      </c>
      <c r="E3003" s="1938"/>
      <c r="F3003" s="1938"/>
      <c r="G3003" s="1938"/>
      <c r="H3003" s="1938"/>
      <c r="I3003" s="1939"/>
      <c r="J3003" s="1943">
        <f>R3002/J3002</f>
        <v>1</v>
      </c>
      <c r="K3003" s="1944"/>
      <c r="L3003" s="1947"/>
      <c r="M3003" s="1934" t="s">
        <v>1523</v>
      </c>
      <c r="N3003" s="1935"/>
      <c r="O3003" s="1935"/>
      <c r="P3003" s="1935"/>
      <c r="Q3003" s="1936"/>
      <c r="R3003" s="726">
        <f>VLOOKUP(A3004,'11 - FINANCEIRA'!_xlnm.Print_Area,8,FALSE)</f>
        <v>320</v>
      </c>
      <c r="S3003" s="727" t="str">
        <f>L3002</f>
        <v>m</v>
      </c>
      <c r="T3003" s="373"/>
      <c r="U3003" s="486"/>
      <c r="V3003" s="1418">
        <f t="shared" si="303"/>
        <v>0</v>
      </c>
      <c r="AB3003" s="15"/>
    </row>
    <row r="3004" spans="1:36" s="77" customFormat="1" ht="15.6" hidden="1">
      <c r="A3004" s="364" t="s">
        <v>609</v>
      </c>
      <c r="B3004" s="499"/>
      <c r="C3004" s="37"/>
      <c r="D3004" s="2013"/>
      <c r="E3004" s="2014"/>
      <c r="F3004" s="2014"/>
      <c r="G3004" s="2014"/>
      <c r="H3004" s="2014"/>
      <c r="I3004" s="2015"/>
      <c r="J3004" s="2016"/>
      <c r="K3004" s="2017"/>
      <c r="L3004" s="1962"/>
      <c r="M3004" s="2007" t="s">
        <v>1524</v>
      </c>
      <c r="N3004" s="2008"/>
      <c r="O3004" s="2008"/>
      <c r="P3004" s="2008"/>
      <c r="Q3004" s="2009"/>
      <c r="R3004" s="1345">
        <f>R3002-R3003</f>
        <v>0</v>
      </c>
      <c r="S3004" s="1346" t="str">
        <f>L3002</f>
        <v>m</v>
      </c>
      <c r="T3004" s="373"/>
      <c r="U3004" s="486"/>
      <c r="V3004" s="1418">
        <f>R3004</f>
        <v>0</v>
      </c>
      <c r="AB3004" s="15"/>
    </row>
    <row r="3005" spans="1:36" s="77" customFormat="1" ht="15.6" hidden="1">
      <c r="A3005" s="370"/>
      <c r="B3005" s="1347"/>
      <c r="C3005" s="1348"/>
      <c r="D3005" s="1349"/>
      <c r="E3005" s="1350"/>
      <c r="F3005" s="1349"/>
      <c r="G3005" s="1349"/>
      <c r="H3005" s="1349"/>
      <c r="I3005" s="1349"/>
      <c r="J3005" s="1351"/>
      <c r="K3005" s="1352"/>
      <c r="L3005" s="1353"/>
      <c r="M3005" s="1354"/>
      <c r="N3005" s="1354"/>
      <c r="O3005" s="1354"/>
      <c r="P3005" s="1354"/>
      <c r="Q3005" s="1354"/>
      <c r="R3005" s="1355"/>
      <c r="S3005" s="1356"/>
      <c r="T3005" s="1357"/>
      <c r="U3005" s="1358"/>
      <c r="V3005" s="1420">
        <f>SUM(V2996:V3004)</f>
        <v>0</v>
      </c>
      <c r="AB3005" s="15"/>
    </row>
    <row r="3006" spans="1:36" s="352" customFormat="1" ht="15.6" hidden="1">
      <c r="A3006" s="351"/>
      <c r="B3006" s="1963" t="str">
        <f>VLOOKUP(A3014,'11 - FINANCEIRA'!_xlnm.Print_Area,1,FALSE)</f>
        <v>2.5.2.4.14</v>
      </c>
      <c r="C3006" s="1965" t="str">
        <f>VLOOKUP(A3014,'11 - FINANCEIRA'!_xlnm.Print_Area,3,FALSE)</f>
        <v>Envelopamento de concreto simples com consumo mínimo de cimento de 250kg/m³, inclusive escavação para profundidade mínima do eletroduto de 50 cm, de 25 x 30 cm, para 2 eletrodutos</v>
      </c>
      <c r="D3006" s="1967" t="s">
        <v>1503</v>
      </c>
      <c r="E3006" s="1968"/>
      <c r="F3006" s="1968"/>
      <c r="G3006" s="1968"/>
      <c r="H3006" s="1968"/>
      <c r="I3006" s="1969"/>
      <c r="J3006" s="1914" t="s">
        <v>1504</v>
      </c>
      <c r="K3006" s="1914" t="s">
        <v>1505</v>
      </c>
      <c r="L3006" s="1914" t="s">
        <v>1506</v>
      </c>
      <c r="M3006" s="1914" t="s">
        <v>1507</v>
      </c>
      <c r="N3006" s="1914" t="s">
        <v>1508</v>
      </c>
      <c r="O3006" s="1914" t="s">
        <v>1509</v>
      </c>
      <c r="P3006" s="1341" t="s">
        <v>1510</v>
      </c>
      <c r="Q3006" s="1914" t="s">
        <v>1493</v>
      </c>
      <c r="R3006" s="1916" t="s">
        <v>804</v>
      </c>
      <c r="S3006" s="1914" t="s">
        <v>1511</v>
      </c>
      <c r="T3006" s="1914" t="s">
        <v>1512</v>
      </c>
      <c r="U3006" s="1918" t="s">
        <v>1513</v>
      </c>
      <c r="V3006" s="1418">
        <f t="shared" ref="V3006:V3013" si="304">V3007</f>
        <v>0</v>
      </c>
      <c r="W3006" s="16"/>
      <c r="X3006" s="16"/>
      <c r="Y3006" s="16"/>
      <c r="Z3006" s="17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</row>
    <row r="3007" spans="1:36" s="352" customFormat="1" ht="15.6" hidden="1">
      <c r="A3007" s="351"/>
      <c r="B3007" s="1964" t="e">
        <f>LEFT(#REF!,5)</f>
        <v>#REF!</v>
      </c>
      <c r="C3007" s="1966" t="e">
        <f>VLOOKUP(LEFT(#REF!,5),'11 - FINANCEIRA'!_xlnm.Print_Area,2,FALSE)</f>
        <v>#REF!</v>
      </c>
      <c r="D3007" s="1920" t="s">
        <v>1514</v>
      </c>
      <c r="E3007" s="1921"/>
      <c r="F3007" s="1922"/>
      <c r="G3007" s="1923" t="s">
        <v>1515</v>
      </c>
      <c r="H3007" s="1924"/>
      <c r="I3007" s="1925"/>
      <c r="J3007" s="1915"/>
      <c r="K3007" s="1915"/>
      <c r="L3007" s="1915"/>
      <c r="M3007" s="1915"/>
      <c r="N3007" s="1915"/>
      <c r="O3007" s="1915"/>
      <c r="P3007" s="353" t="s">
        <v>1516</v>
      </c>
      <c r="Q3007" s="1915"/>
      <c r="R3007" s="1917"/>
      <c r="S3007" s="1915"/>
      <c r="T3007" s="1915"/>
      <c r="U3007" s="1919"/>
      <c r="V3007" s="1418">
        <f t="shared" si="304"/>
        <v>0</v>
      </c>
      <c r="W3007" s="16"/>
      <c r="X3007" s="16"/>
      <c r="Y3007" s="16"/>
      <c r="Z3007" s="17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</row>
    <row r="3008" spans="1:36" s="361" customFormat="1" ht="45" hidden="1">
      <c r="A3008" s="354"/>
      <c r="B3008" s="355"/>
      <c r="C3008" s="28" t="s">
        <v>1108</v>
      </c>
      <c r="D3008" s="18"/>
      <c r="E3008" s="19"/>
      <c r="F3008" s="20"/>
      <c r="G3008" s="18"/>
      <c r="H3008" s="19"/>
      <c r="I3008" s="20"/>
      <c r="J3008" s="21"/>
      <c r="K3008" s="22"/>
      <c r="L3008" s="23"/>
      <c r="M3008" s="24"/>
      <c r="N3008" s="728"/>
      <c r="O3008" s="25"/>
      <c r="P3008" s="23"/>
      <c r="Q3008" s="729"/>
      <c r="R3008" s="1109">
        <v>32</v>
      </c>
      <c r="S3008" s="730" t="s">
        <v>809</v>
      </c>
      <c r="T3008" s="446" t="s">
        <v>322</v>
      </c>
      <c r="U3008" s="44"/>
      <c r="V3008" s="1418">
        <f t="shared" si="304"/>
        <v>0</v>
      </c>
      <c r="W3008" s="357"/>
      <c r="X3008" s="357"/>
      <c r="Y3008" s="357"/>
      <c r="Z3008" s="358"/>
      <c r="AA3008" s="359"/>
      <c r="AB3008" s="360"/>
    </row>
    <row r="3009" spans="1:36" s="361" customFormat="1" ht="45" hidden="1">
      <c r="A3009" s="354"/>
      <c r="B3009" s="355"/>
      <c r="C3009" s="28" t="s">
        <v>1108</v>
      </c>
      <c r="D3009" s="18"/>
      <c r="E3009" s="19"/>
      <c r="F3009" s="20"/>
      <c r="G3009" s="18"/>
      <c r="H3009" s="19"/>
      <c r="I3009" s="20"/>
      <c r="J3009" s="21"/>
      <c r="K3009" s="22"/>
      <c r="L3009" s="23"/>
      <c r="M3009" s="24"/>
      <c r="N3009" s="728"/>
      <c r="O3009" s="25"/>
      <c r="P3009" s="23"/>
      <c r="Q3009" s="729"/>
      <c r="R3009" s="445">
        <v>32</v>
      </c>
      <c r="S3009" s="792" t="s">
        <v>809</v>
      </c>
      <c r="T3009" s="446" t="s">
        <v>322</v>
      </c>
      <c r="U3009" s="44"/>
      <c r="V3009" s="1418">
        <f t="shared" si="304"/>
        <v>0</v>
      </c>
      <c r="W3009" s="357"/>
      <c r="X3009" s="357"/>
      <c r="Y3009" s="357"/>
      <c r="Z3009" s="358"/>
      <c r="AA3009" s="359"/>
      <c r="AB3009" s="360"/>
    </row>
    <row r="3010" spans="1:36" s="369" customFormat="1" ht="45" hidden="1">
      <c r="A3010" s="364"/>
      <c r="B3010" s="355"/>
      <c r="C3010" s="28" t="s">
        <v>1108</v>
      </c>
      <c r="D3010" s="18"/>
      <c r="E3010" s="19"/>
      <c r="F3010" s="20"/>
      <c r="G3010" s="18"/>
      <c r="H3010" s="19"/>
      <c r="I3010" s="20"/>
      <c r="J3010" s="21"/>
      <c r="K3010" s="22"/>
      <c r="L3010" s="23"/>
      <c r="M3010" s="24"/>
      <c r="N3010" s="25"/>
      <c r="O3010" s="25"/>
      <c r="P3010" s="23"/>
      <c r="Q3010" s="26"/>
      <c r="R3010" s="849">
        <v>186</v>
      </c>
      <c r="S3010" s="447" t="s">
        <v>809</v>
      </c>
      <c r="T3010" s="446" t="s">
        <v>326</v>
      </c>
      <c r="U3010" s="44"/>
      <c r="V3010" s="1418">
        <f t="shared" si="304"/>
        <v>0</v>
      </c>
      <c r="W3010" s="367"/>
      <c r="X3010" s="367"/>
      <c r="Y3010" s="367"/>
      <c r="Z3010" s="368"/>
    </row>
    <row r="3011" spans="1:36" s="77" customFormat="1" ht="15" hidden="1" customHeight="1">
      <c r="A3011" s="370"/>
      <c r="B3011" s="29"/>
      <c r="C3011" s="30"/>
      <c r="D3011" s="18"/>
      <c r="E3011" s="19"/>
      <c r="F3011" s="20"/>
      <c r="G3011" s="18"/>
      <c r="H3011" s="19"/>
      <c r="I3011" s="20"/>
      <c r="J3011" s="21"/>
      <c r="K3011" s="22"/>
      <c r="L3011" s="23"/>
      <c r="M3011" s="24"/>
      <c r="N3011" s="25"/>
      <c r="O3011" s="25"/>
      <c r="P3011" s="23"/>
      <c r="Q3011" s="26"/>
      <c r="R3011" s="371"/>
      <c r="S3011" s="27"/>
      <c r="T3011" s="372"/>
      <c r="U3011" s="31"/>
      <c r="V3011" s="1418">
        <f t="shared" si="304"/>
        <v>0</v>
      </c>
      <c r="AB3011" s="15"/>
    </row>
    <row r="3012" spans="1:36" s="77" customFormat="1" ht="15.6" hidden="1">
      <c r="A3012" s="370"/>
      <c r="B3012" s="499"/>
      <c r="C3012" s="37"/>
      <c r="D3012" s="1929" t="s">
        <v>1520</v>
      </c>
      <c r="E3012" s="1930"/>
      <c r="F3012" s="1930"/>
      <c r="G3012" s="1930"/>
      <c r="H3012" s="1930"/>
      <c r="I3012" s="1931"/>
      <c r="J3012" s="1932">
        <f>VLOOKUP(A3014,'11 - FINANCEIRA'!_xlnm.Print_Area,6,FALSE)</f>
        <v>250</v>
      </c>
      <c r="K3012" s="1933"/>
      <c r="L3012" s="1343" t="str">
        <f>VLOOKUP(A3014,'11 - FINANCEIRA'!_xlnm.Print_Area,4,FALSE)</f>
        <v>m</v>
      </c>
      <c r="M3012" s="1934" t="s">
        <v>1521</v>
      </c>
      <c r="N3012" s="1935"/>
      <c r="O3012" s="1935"/>
      <c r="P3012" s="1935"/>
      <c r="Q3012" s="1936"/>
      <c r="R3012" s="726">
        <f>SUM(R3008:R3011)</f>
        <v>250</v>
      </c>
      <c r="S3012" s="1344" t="str">
        <f>L3012</f>
        <v>m</v>
      </c>
      <c r="T3012" s="373"/>
      <c r="U3012" s="486"/>
      <c r="V3012" s="1418">
        <f t="shared" si="304"/>
        <v>0</v>
      </c>
      <c r="AB3012" s="15"/>
    </row>
    <row r="3013" spans="1:36" s="77" customFormat="1" ht="15.6" hidden="1">
      <c r="A3013" s="370"/>
      <c r="B3013" s="499"/>
      <c r="C3013" s="725"/>
      <c r="D3013" s="1937" t="s">
        <v>1522</v>
      </c>
      <c r="E3013" s="1938"/>
      <c r="F3013" s="1938"/>
      <c r="G3013" s="1938"/>
      <c r="H3013" s="1938"/>
      <c r="I3013" s="1939"/>
      <c r="J3013" s="1943">
        <f>R3012/J3012</f>
        <v>1</v>
      </c>
      <c r="K3013" s="1944"/>
      <c r="L3013" s="1947"/>
      <c r="M3013" s="1934" t="s">
        <v>1523</v>
      </c>
      <c r="N3013" s="1935"/>
      <c r="O3013" s="1935"/>
      <c r="P3013" s="1935"/>
      <c r="Q3013" s="1936"/>
      <c r="R3013" s="726">
        <f>VLOOKUP(A3014,'11 - FINANCEIRA'!_xlnm.Print_Area,8,FALSE)</f>
        <v>250</v>
      </c>
      <c r="S3013" s="727" t="str">
        <f>L3012</f>
        <v>m</v>
      </c>
      <c r="T3013" s="373"/>
      <c r="U3013" s="486"/>
      <c r="V3013" s="1418">
        <f t="shared" si="304"/>
        <v>0</v>
      </c>
      <c r="AB3013" s="15"/>
    </row>
    <row r="3014" spans="1:36" s="77" customFormat="1" ht="15.6" hidden="1">
      <c r="A3014" s="364" t="s">
        <v>610</v>
      </c>
      <c r="B3014" s="499"/>
      <c r="C3014" s="37"/>
      <c r="D3014" s="2013"/>
      <c r="E3014" s="2014"/>
      <c r="F3014" s="2014"/>
      <c r="G3014" s="2014"/>
      <c r="H3014" s="2014"/>
      <c r="I3014" s="2015"/>
      <c r="J3014" s="2016"/>
      <c r="K3014" s="2017"/>
      <c r="L3014" s="1962"/>
      <c r="M3014" s="2007" t="s">
        <v>1524</v>
      </c>
      <c r="N3014" s="2008"/>
      <c r="O3014" s="2008"/>
      <c r="P3014" s="2008"/>
      <c r="Q3014" s="2009"/>
      <c r="R3014" s="1345">
        <f>R3012-R3013</f>
        <v>0</v>
      </c>
      <c r="S3014" s="1346" t="str">
        <f>L3012</f>
        <v>m</v>
      </c>
      <c r="T3014" s="373"/>
      <c r="U3014" s="486"/>
      <c r="V3014" s="1418">
        <f>R3014</f>
        <v>0</v>
      </c>
      <c r="AB3014" s="15"/>
    </row>
    <row r="3015" spans="1:36" s="77" customFormat="1" ht="15.6" hidden="1">
      <c r="A3015" s="370"/>
      <c r="B3015" s="1347"/>
      <c r="C3015" s="1348"/>
      <c r="D3015" s="1349"/>
      <c r="E3015" s="1350"/>
      <c r="F3015" s="1349"/>
      <c r="G3015" s="1349"/>
      <c r="H3015" s="1349"/>
      <c r="I3015" s="1349"/>
      <c r="J3015" s="1351"/>
      <c r="K3015" s="1352"/>
      <c r="L3015" s="1353"/>
      <c r="M3015" s="1354"/>
      <c r="N3015" s="1354"/>
      <c r="O3015" s="1354"/>
      <c r="P3015" s="1354"/>
      <c r="Q3015" s="1354"/>
      <c r="R3015" s="1355"/>
      <c r="S3015" s="1356"/>
      <c r="T3015" s="1357"/>
      <c r="U3015" s="1358"/>
      <c r="V3015" s="1420">
        <f>SUM(V3006:V3014)</f>
        <v>0</v>
      </c>
      <c r="AB3015" s="15"/>
    </row>
    <row r="3016" spans="1:36" s="352" customFormat="1" ht="15.6" hidden="1">
      <c r="A3016" s="351"/>
      <c r="B3016" s="1963" t="str">
        <f>VLOOKUP(A3024,'11 - FINANCEIRA'!_xlnm.Print_Area,1,FALSE)</f>
        <v>2.5.2.4.15</v>
      </c>
      <c r="C3016" s="1965" t="str">
        <f>VLOOKUP(A3024,'11 - FINANCEIRA'!_xlnm.Print_Area,3,FALSE)</f>
        <v>Eletroduto de pvc rígido roscável, diâm. 1" (32mm), inclusive conexões</v>
      </c>
      <c r="D3016" s="1967" t="s">
        <v>1503</v>
      </c>
      <c r="E3016" s="1968"/>
      <c r="F3016" s="1968"/>
      <c r="G3016" s="1968"/>
      <c r="H3016" s="1968"/>
      <c r="I3016" s="1969"/>
      <c r="J3016" s="1914" t="s">
        <v>1504</v>
      </c>
      <c r="K3016" s="1914" t="s">
        <v>1505</v>
      </c>
      <c r="L3016" s="1914" t="s">
        <v>1506</v>
      </c>
      <c r="M3016" s="1914" t="s">
        <v>1507</v>
      </c>
      <c r="N3016" s="1914" t="s">
        <v>1508</v>
      </c>
      <c r="O3016" s="1914" t="s">
        <v>1509</v>
      </c>
      <c r="P3016" s="1341" t="s">
        <v>1510</v>
      </c>
      <c r="Q3016" s="1914" t="s">
        <v>1493</v>
      </c>
      <c r="R3016" s="1916" t="s">
        <v>804</v>
      </c>
      <c r="S3016" s="1914" t="s">
        <v>1511</v>
      </c>
      <c r="T3016" s="1914" t="s">
        <v>1512</v>
      </c>
      <c r="U3016" s="1918" t="s">
        <v>1513</v>
      </c>
      <c r="V3016" s="1418">
        <f t="shared" ref="V3016:V3023" si="305">V3017</f>
        <v>0</v>
      </c>
      <c r="W3016" s="16"/>
      <c r="X3016" s="16"/>
      <c r="Y3016" s="16"/>
      <c r="Z3016" s="17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</row>
    <row r="3017" spans="1:36" s="352" customFormat="1" ht="15.6" hidden="1">
      <c r="A3017" s="351"/>
      <c r="B3017" s="1964" t="e">
        <f>LEFT(#REF!,5)</f>
        <v>#REF!</v>
      </c>
      <c r="C3017" s="1966" t="e">
        <f>VLOOKUP(LEFT(#REF!,5),'11 - FINANCEIRA'!_xlnm.Print_Area,2,FALSE)</f>
        <v>#REF!</v>
      </c>
      <c r="D3017" s="1920" t="s">
        <v>1514</v>
      </c>
      <c r="E3017" s="1921"/>
      <c r="F3017" s="1922"/>
      <c r="G3017" s="1923" t="s">
        <v>1515</v>
      </c>
      <c r="H3017" s="1924"/>
      <c r="I3017" s="1925"/>
      <c r="J3017" s="1915"/>
      <c r="K3017" s="1915"/>
      <c r="L3017" s="1915"/>
      <c r="M3017" s="1915"/>
      <c r="N3017" s="1915"/>
      <c r="O3017" s="1915"/>
      <c r="P3017" s="353" t="s">
        <v>1516</v>
      </c>
      <c r="Q3017" s="1915"/>
      <c r="R3017" s="1917"/>
      <c r="S3017" s="1915"/>
      <c r="T3017" s="1915"/>
      <c r="U3017" s="1919"/>
      <c r="V3017" s="1418">
        <f t="shared" si="305"/>
        <v>0</v>
      </c>
      <c r="W3017" s="16"/>
      <c r="X3017" s="16"/>
      <c r="Y3017" s="16"/>
      <c r="Z3017" s="17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</row>
    <row r="3018" spans="1:36" s="361" customFormat="1" ht="15" hidden="1" customHeight="1">
      <c r="A3018" s="354"/>
      <c r="B3018" s="355"/>
      <c r="C3018" s="28" t="s">
        <v>1200</v>
      </c>
      <c r="D3018" s="18"/>
      <c r="E3018" s="19"/>
      <c r="F3018" s="20"/>
      <c r="G3018" s="18"/>
      <c r="H3018" s="19"/>
      <c r="I3018" s="20"/>
      <c r="J3018" s="21"/>
      <c r="K3018" s="22"/>
      <c r="L3018" s="23"/>
      <c r="M3018" s="24"/>
      <c r="N3018" s="728"/>
      <c r="O3018" s="25"/>
      <c r="P3018" s="23"/>
      <c r="Q3018" s="729"/>
      <c r="R3018" s="1109">
        <v>200</v>
      </c>
      <c r="S3018" s="730" t="s">
        <v>809</v>
      </c>
      <c r="T3018" s="446" t="s">
        <v>327</v>
      </c>
      <c r="U3018" s="44"/>
      <c r="V3018" s="1418">
        <f t="shared" si="305"/>
        <v>0</v>
      </c>
      <c r="W3018" s="357"/>
      <c r="X3018" s="357"/>
      <c r="Y3018" s="357"/>
      <c r="Z3018" s="358"/>
      <c r="AA3018" s="359"/>
      <c r="AB3018" s="360"/>
    </row>
    <row r="3019" spans="1:36" s="361" customFormat="1" ht="15" hidden="1" customHeight="1">
      <c r="A3019" s="354"/>
      <c r="B3019" s="355"/>
      <c r="C3019" s="32"/>
      <c r="D3019" s="33"/>
      <c r="E3019" s="34"/>
      <c r="F3019" s="35"/>
      <c r="G3019" s="33"/>
      <c r="H3019" s="34"/>
      <c r="I3019" s="35"/>
      <c r="J3019" s="43"/>
      <c r="K3019" s="42"/>
      <c r="L3019" s="39"/>
      <c r="M3019" s="41"/>
      <c r="N3019" s="356"/>
      <c r="O3019" s="40"/>
      <c r="P3019" s="39"/>
      <c r="Q3019" s="45"/>
      <c r="R3019" s="362"/>
      <c r="S3019" s="363"/>
      <c r="T3019" s="46"/>
      <c r="U3019" s="44"/>
      <c r="V3019" s="1418">
        <f t="shared" si="305"/>
        <v>0</v>
      </c>
      <c r="W3019" s="357"/>
      <c r="X3019" s="357"/>
      <c r="Y3019" s="357"/>
      <c r="Z3019" s="358"/>
      <c r="AA3019" s="359"/>
      <c r="AB3019" s="360"/>
    </row>
    <row r="3020" spans="1:36" s="369" customFormat="1" ht="15" hidden="1">
      <c r="A3020" s="364"/>
      <c r="B3020" s="355"/>
      <c r="C3020" s="32"/>
      <c r="D3020" s="33"/>
      <c r="E3020" s="34"/>
      <c r="F3020" s="35"/>
      <c r="G3020" s="33"/>
      <c r="H3020" s="34"/>
      <c r="I3020" s="35"/>
      <c r="J3020" s="43"/>
      <c r="K3020" s="42"/>
      <c r="L3020" s="39"/>
      <c r="M3020" s="41"/>
      <c r="N3020" s="40"/>
      <c r="O3020" s="40"/>
      <c r="P3020" s="39"/>
      <c r="Q3020" s="38"/>
      <c r="R3020" s="365"/>
      <c r="S3020" s="366"/>
      <c r="T3020" s="46"/>
      <c r="U3020" s="44"/>
      <c r="V3020" s="1418">
        <f t="shared" si="305"/>
        <v>0</v>
      </c>
      <c r="W3020" s="367"/>
      <c r="X3020" s="367"/>
      <c r="Y3020" s="367"/>
      <c r="Z3020" s="368"/>
    </row>
    <row r="3021" spans="1:36" s="77" customFormat="1" ht="15" hidden="1">
      <c r="A3021" s="370"/>
      <c r="B3021" s="29"/>
      <c r="C3021" s="30"/>
      <c r="D3021" s="18"/>
      <c r="E3021" s="19"/>
      <c r="F3021" s="20"/>
      <c r="G3021" s="18"/>
      <c r="H3021" s="19"/>
      <c r="I3021" s="20"/>
      <c r="J3021" s="21"/>
      <c r="K3021" s="22"/>
      <c r="L3021" s="23"/>
      <c r="M3021" s="24"/>
      <c r="N3021" s="25"/>
      <c r="O3021" s="25"/>
      <c r="P3021" s="23"/>
      <c r="Q3021" s="26"/>
      <c r="R3021" s="371"/>
      <c r="S3021" s="27"/>
      <c r="T3021" s="372"/>
      <c r="U3021" s="31"/>
      <c r="V3021" s="1418">
        <f t="shared" si="305"/>
        <v>0</v>
      </c>
      <c r="AB3021" s="15"/>
    </row>
    <row r="3022" spans="1:36" s="77" customFormat="1" ht="15.6" hidden="1">
      <c r="A3022" s="370"/>
      <c r="B3022" s="499"/>
      <c r="C3022" s="37"/>
      <c r="D3022" s="1929" t="s">
        <v>1520</v>
      </c>
      <c r="E3022" s="1930"/>
      <c r="F3022" s="1930"/>
      <c r="G3022" s="1930"/>
      <c r="H3022" s="1930"/>
      <c r="I3022" s="1931"/>
      <c r="J3022" s="1932">
        <f>VLOOKUP(A3024,'11 - FINANCEIRA'!_xlnm.Print_Area,6,FALSE)</f>
        <v>200</v>
      </c>
      <c r="K3022" s="1933"/>
      <c r="L3022" s="1343" t="str">
        <f>VLOOKUP(A3024,'11 - FINANCEIRA'!_xlnm.Print_Area,4,FALSE)</f>
        <v>m</v>
      </c>
      <c r="M3022" s="1934" t="s">
        <v>1521</v>
      </c>
      <c r="N3022" s="1935"/>
      <c r="O3022" s="1935"/>
      <c r="P3022" s="1935"/>
      <c r="Q3022" s="1936"/>
      <c r="R3022" s="726">
        <f>SUM(R3018:R3021)</f>
        <v>200</v>
      </c>
      <c r="S3022" s="1344" t="str">
        <f>L3022</f>
        <v>m</v>
      </c>
      <c r="T3022" s="373"/>
      <c r="U3022" s="486"/>
      <c r="V3022" s="1418">
        <f t="shared" si="305"/>
        <v>0</v>
      </c>
      <c r="AB3022" s="15"/>
    </row>
    <row r="3023" spans="1:36" s="77" customFormat="1" ht="15.6" hidden="1">
      <c r="A3023" s="370"/>
      <c r="B3023" s="499"/>
      <c r="C3023" s="725"/>
      <c r="D3023" s="1937" t="s">
        <v>1522</v>
      </c>
      <c r="E3023" s="1938"/>
      <c r="F3023" s="1938"/>
      <c r="G3023" s="1938"/>
      <c r="H3023" s="1938"/>
      <c r="I3023" s="1939"/>
      <c r="J3023" s="1943">
        <f>R3022/J3022</f>
        <v>1</v>
      </c>
      <c r="K3023" s="1944"/>
      <c r="L3023" s="1947"/>
      <c r="M3023" s="1934" t="s">
        <v>1523</v>
      </c>
      <c r="N3023" s="1935"/>
      <c r="O3023" s="1935"/>
      <c r="P3023" s="1935"/>
      <c r="Q3023" s="1936"/>
      <c r="R3023" s="726">
        <f>VLOOKUP(A3024,'11 - FINANCEIRA'!_xlnm.Print_Area,8,FALSE)</f>
        <v>200</v>
      </c>
      <c r="S3023" s="727" t="str">
        <f>L3022</f>
        <v>m</v>
      </c>
      <c r="T3023" s="373"/>
      <c r="U3023" s="486"/>
      <c r="V3023" s="1418">
        <f t="shared" si="305"/>
        <v>0</v>
      </c>
      <c r="AB3023" s="15"/>
    </row>
    <row r="3024" spans="1:36" s="77" customFormat="1" ht="15.6" hidden="1">
      <c r="A3024" s="364" t="s">
        <v>611</v>
      </c>
      <c r="B3024" s="499"/>
      <c r="C3024" s="37"/>
      <c r="D3024" s="2013"/>
      <c r="E3024" s="2014"/>
      <c r="F3024" s="2014"/>
      <c r="G3024" s="2014"/>
      <c r="H3024" s="2014"/>
      <c r="I3024" s="2015"/>
      <c r="J3024" s="2016"/>
      <c r="K3024" s="2017"/>
      <c r="L3024" s="1962"/>
      <c r="M3024" s="2007" t="s">
        <v>1524</v>
      </c>
      <c r="N3024" s="2008"/>
      <c r="O3024" s="2008"/>
      <c r="P3024" s="2008"/>
      <c r="Q3024" s="2009"/>
      <c r="R3024" s="1345">
        <f>R3022-R3023</f>
        <v>0</v>
      </c>
      <c r="S3024" s="1346" t="str">
        <f>L3022</f>
        <v>m</v>
      </c>
      <c r="T3024" s="373"/>
      <c r="U3024" s="486"/>
      <c r="V3024" s="1418">
        <f>R3024</f>
        <v>0</v>
      </c>
      <c r="AB3024" s="15"/>
    </row>
    <row r="3025" spans="1:36" s="77" customFormat="1" ht="15.6" hidden="1">
      <c r="A3025" s="370"/>
      <c r="B3025" s="1347"/>
      <c r="C3025" s="1348"/>
      <c r="D3025" s="1349"/>
      <c r="E3025" s="1350"/>
      <c r="F3025" s="1349"/>
      <c r="G3025" s="1349"/>
      <c r="H3025" s="1349"/>
      <c r="I3025" s="1349"/>
      <c r="J3025" s="1351"/>
      <c r="K3025" s="1352"/>
      <c r="L3025" s="1353"/>
      <c r="M3025" s="1354"/>
      <c r="N3025" s="1354"/>
      <c r="O3025" s="1354"/>
      <c r="P3025" s="1354"/>
      <c r="Q3025" s="1354"/>
      <c r="R3025" s="1355"/>
      <c r="S3025" s="1356"/>
      <c r="T3025" s="1357"/>
      <c r="U3025" s="1358"/>
      <c r="V3025" s="1420">
        <f>SUM(V3016:V3024)</f>
        <v>0</v>
      </c>
      <c r="AB3025" s="15"/>
    </row>
    <row r="3026" spans="1:36" s="352" customFormat="1" ht="15.6" hidden="1">
      <c r="A3026" s="351"/>
      <c r="B3026" s="1963" t="str">
        <f>VLOOKUP(A3034,'11 - FINANCEIRA'!_xlnm.Print_Area,1,FALSE)</f>
        <v>2.5.2.4.16</v>
      </c>
      <c r="C3026" s="1965" t="str">
        <f>VLOOKUP(A3034,'11 - FINANCEIRA'!_xlnm.Print_Area,3,FALSE)</f>
        <v>Eletroduto rígido roscável, pvc, dn 85 mm (3") - fornecimento e instalação. af_12/2015</v>
      </c>
      <c r="D3026" s="1967" t="s">
        <v>1503</v>
      </c>
      <c r="E3026" s="1968"/>
      <c r="F3026" s="1968"/>
      <c r="G3026" s="1968"/>
      <c r="H3026" s="1968"/>
      <c r="I3026" s="1969"/>
      <c r="J3026" s="1914" t="s">
        <v>1504</v>
      </c>
      <c r="K3026" s="1914" t="s">
        <v>1505</v>
      </c>
      <c r="L3026" s="1914" t="s">
        <v>1506</v>
      </c>
      <c r="M3026" s="1914" t="s">
        <v>1507</v>
      </c>
      <c r="N3026" s="1914" t="s">
        <v>1508</v>
      </c>
      <c r="O3026" s="1914" t="s">
        <v>1509</v>
      </c>
      <c r="P3026" s="1341" t="s">
        <v>1510</v>
      </c>
      <c r="Q3026" s="1914" t="s">
        <v>1493</v>
      </c>
      <c r="R3026" s="1916" t="s">
        <v>804</v>
      </c>
      <c r="S3026" s="1914" t="s">
        <v>1511</v>
      </c>
      <c r="T3026" s="1914" t="s">
        <v>1512</v>
      </c>
      <c r="U3026" s="1918" t="s">
        <v>1513</v>
      </c>
      <c r="V3026" s="1418">
        <f t="shared" ref="V3026:V3033" si="306">V3027</f>
        <v>0</v>
      </c>
      <c r="W3026" s="16"/>
      <c r="X3026" s="16"/>
      <c r="Y3026" s="16"/>
      <c r="Z3026" s="17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</row>
    <row r="3027" spans="1:36" s="352" customFormat="1" ht="15.6" hidden="1">
      <c r="A3027" s="351"/>
      <c r="B3027" s="1964" t="e">
        <f>LEFT(#REF!,5)</f>
        <v>#REF!</v>
      </c>
      <c r="C3027" s="1966" t="e">
        <f>VLOOKUP(LEFT(#REF!,5),'11 - FINANCEIRA'!_xlnm.Print_Area,2,FALSE)</f>
        <v>#REF!</v>
      </c>
      <c r="D3027" s="1920" t="s">
        <v>1514</v>
      </c>
      <c r="E3027" s="1921"/>
      <c r="F3027" s="1922"/>
      <c r="G3027" s="1923" t="s">
        <v>1515</v>
      </c>
      <c r="H3027" s="1924"/>
      <c r="I3027" s="1925"/>
      <c r="J3027" s="1915"/>
      <c r="K3027" s="1915"/>
      <c r="L3027" s="1915"/>
      <c r="M3027" s="1915"/>
      <c r="N3027" s="1915"/>
      <c r="O3027" s="1915"/>
      <c r="P3027" s="353" t="s">
        <v>1516</v>
      </c>
      <c r="Q3027" s="1915"/>
      <c r="R3027" s="1917"/>
      <c r="S3027" s="1915"/>
      <c r="T3027" s="1915"/>
      <c r="U3027" s="1919"/>
      <c r="V3027" s="1418">
        <f t="shared" si="306"/>
        <v>0</v>
      </c>
      <c r="W3027" s="16"/>
      <c r="X3027" s="16"/>
      <c r="Y3027" s="16"/>
      <c r="Z3027" s="17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</row>
    <row r="3028" spans="1:36" s="361" customFormat="1" ht="15" hidden="1" customHeight="1">
      <c r="A3028" s="354"/>
      <c r="B3028" s="355"/>
      <c r="C3028" s="28" t="s">
        <v>1202</v>
      </c>
      <c r="D3028" s="18"/>
      <c r="E3028" s="19"/>
      <c r="F3028" s="20"/>
      <c r="G3028" s="18"/>
      <c r="H3028" s="19"/>
      <c r="I3028" s="20"/>
      <c r="J3028" s="21"/>
      <c r="K3028" s="22"/>
      <c r="L3028" s="23"/>
      <c r="M3028" s="24"/>
      <c r="N3028" s="728"/>
      <c r="O3028" s="25"/>
      <c r="P3028" s="23"/>
      <c r="Q3028" s="729"/>
      <c r="R3028" s="1109">
        <v>18</v>
      </c>
      <c r="S3028" s="730" t="s">
        <v>809</v>
      </c>
      <c r="T3028" s="446" t="s">
        <v>327</v>
      </c>
      <c r="U3028" s="44"/>
      <c r="V3028" s="1418">
        <f t="shared" si="306"/>
        <v>0</v>
      </c>
      <c r="W3028" s="357"/>
      <c r="X3028" s="357"/>
      <c r="Y3028" s="357"/>
      <c r="Z3028" s="358"/>
      <c r="AA3028" s="359"/>
      <c r="AB3028" s="360"/>
    </row>
    <row r="3029" spans="1:36" s="361" customFormat="1" ht="15" hidden="1" customHeight="1">
      <c r="A3029" s="354"/>
      <c r="B3029" s="355"/>
      <c r="C3029" s="32"/>
      <c r="D3029" s="33"/>
      <c r="E3029" s="34"/>
      <c r="F3029" s="35"/>
      <c r="G3029" s="33"/>
      <c r="H3029" s="34"/>
      <c r="I3029" s="35"/>
      <c r="J3029" s="43"/>
      <c r="K3029" s="42"/>
      <c r="L3029" s="39"/>
      <c r="M3029" s="41"/>
      <c r="N3029" s="356"/>
      <c r="O3029" s="40"/>
      <c r="P3029" s="39"/>
      <c r="Q3029" s="45"/>
      <c r="R3029" s="362"/>
      <c r="S3029" s="363"/>
      <c r="T3029" s="46"/>
      <c r="U3029" s="44"/>
      <c r="V3029" s="1418">
        <f t="shared" si="306"/>
        <v>0</v>
      </c>
      <c r="W3029" s="357"/>
      <c r="X3029" s="357"/>
      <c r="Y3029" s="357"/>
      <c r="Z3029" s="358"/>
      <c r="AA3029" s="359"/>
      <c r="AB3029" s="360"/>
    </row>
    <row r="3030" spans="1:36" s="369" customFormat="1" ht="15" hidden="1">
      <c r="A3030" s="364"/>
      <c r="B3030" s="355"/>
      <c r="C3030" s="32"/>
      <c r="D3030" s="33"/>
      <c r="E3030" s="34"/>
      <c r="F3030" s="35"/>
      <c r="G3030" s="33"/>
      <c r="H3030" s="34"/>
      <c r="I3030" s="35"/>
      <c r="J3030" s="43"/>
      <c r="K3030" s="42"/>
      <c r="L3030" s="39"/>
      <c r="M3030" s="41"/>
      <c r="N3030" s="40"/>
      <c r="O3030" s="40"/>
      <c r="P3030" s="39"/>
      <c r="Q3030" s="38"/>
      <c r="R3030" s="365"/>
      <c r="S3030" s="366"/>
      <c r="T3030" s="46"/>
      <c r="U3030" s="44"/>
      <c r="V3030" s="1418">
        <f t="shared" si="306"/>
        <v>0</v>
      </c>
      <c r="W3030" s="367"/>
      <c r="X3030" s="367"/>
      <c r="Y3030" s="367"/>
      <c r="Z3030" s="368"/>
    </row>
    <row r="3031" spans="1:36" s="77" customFormat="1" ht="15" hidden="1">
      <c r="A3031" s="370"/>
      <c r="B3031" s="29"/>
      <c r="C3031" s="30"/>
      <c r="D3031" s="18"/>
      <c r="E3031" s="19"/>
      <c r="F3031" s="20"/>
      <c r="G3031" s="18"/>
      <c r="H3031" s="19"/>
      <c r="I3031" s="20"/>
      <c r="J3031" s="21"/>
      <c r="K3031" s="22"/>
      <c r="L3031" s="23"/>
      <c r="M3031" s="24"/>
      <c r="N3031" s="25"/>
      <c r="O3031" s="25"/>
      <c r="P3031" s="23"/>
      <c r="Q3031" s="26"/>
      <c r="R3031" s="371"/>
      <c r="S3031" s="27"/>
      <c r="T3031" s="372"/>
      <c r="U3031" s="31"/>
      <c r="V3031" s="1418">
        <f t="shared" si="306"/>
        <v>0</v>
      </c>
      <c r="AB3031" s="15"/>
    </row>
    <row r="3032" spans="1:36" s="77" customFormat="1" ht="15.6" hidden="1">
      <c r="A3032" s="370"/>
      <c r="B3032" s="499"/>
      <c r="C3032" s="37"/>
      <c r="D3032" s="1929" t="s">
        <v>1520</v>
      </c>
      <c r="E3032" s="1930"/>
      <c r="F3032" s="1930"/>
      <c r="G3032" s="1930"/>
      <c r="H3032" s="1930"/>
      <c r="I3032" s="1931"/>
      <c r="J3032" s="1932">
        <f>VLOOKUP(A3034,'11 - FINANCEIRA'!_xlnm.Print_Area,6,FALSE)</f>
        <v>18</v>
      </c>
      <c r="K3032" s="1933"/>
      <c r="L3032" s="1343" t="str">
        <f>VLOOKUP(A3034,'11 - FINANCEIRA'!_xlnm.Print_Area,4,FALSE)</f>
        <v>m</v>
      </c>
      <c r="M3032" s="1934" t="s">
        <v>1521</v>
      </c>
      <c r="N3032" s="1935"/>
      <c r="O3032" s="1935"/>
      <c r="P3032" s="1935"/>
      <c r="Q3032" s="1936"/>
      <c r="R3032" s="726">
        <f>SUM(R3028:R3031)</f>
        <v>18</v>
      </c>
      <c r="S3032" s="1344" t="str">
        <f>L3032</f>
        <v>m</v>
      </c>
      <c r="T3032" s="373"/>
      <c r="U3032" s="486"/>
      <c r="V3032" s="1418">
        <f t="shared" si="306"/>
        <v>0</v>
      </c>
      <c r="AB3032" s="15"/>
    </row>
    <row r="3033" spans="1:36" s="77" customFormat="1" ht="15.6" hidden="1">
      <c r="A3033" s="370"/>
      <c r="B3033" s="499"/>
      <c r="C3033" s="725"/>
      <c r="D3033" s="1937" t="s">
        <v>1522</v>
      </c>
      <c r="E3033" s="1938"/>
      <c r="F3033" s="1938"/>
      <c r="G3033" s="1938"/>
      <c r="H3033" s="1938"/>
      <c r="I3033" s="1939"/>
      <c r="J3033" s="1943">
        <f>R3032/J3032</f>
        <v>1</v>
      </c>
      <c r="K3033" s="1944"/>
      <c r="L3033" s="1947"/>
      <c r="M3033" s="1934" t="s">
        <v>1523</v>
      </c>
      <c r="N3033" s="1935"/>
      <c r="O3033" s="1935"/>
      <c r="P3033" s="1935"/>
      <c r="Q3033" s="1936"/>
      <c r="R3033" s="726">
        <f>VLOOKUP(A3034,'11 - FINANCEIRA'!_xlnm.Print_Area,8,FALSE)</f>
        <v>18</v>
      </c>
      <c r="S3033" s="727" t="str">
        <f>L3032</f>
        <v>m</v>
      </c>
      <c r="T3033" s="373"/>
      <c r="U3033" s="486"/>
      <c r="V3033" s="1418">
        <f t="shared" si="306"/>
        <v>0</v>
      </c>
      <c r="AB3033" s="15"/>
    </row>
    <row r="3034" spans="1:36" s="77" customFormat="1" ht="15.6" hidden="1">
      <c r="A3034" s="364" t="s">
        <v>612</v>
      </c>
      <c r="B3034" s="499"/>
      <c r="C3034" s="37"/>
      <c r="D3034" s="2013"/>
      <c r="E3034" s="2014"/>
      <c r="F3034" s="2014"/>
      <c r="G3034" s="2014"/>
      <c r="H3034" s="2014"/>
      <c r="I3034" s="2015"/>
      <c r="J3034" s="2016"/>
      <c r="K3034" s="2017"/>
      <c r="L3034" s="1962"/>
      <c r="M3034" s="2007" t="s">
        <v>1524</v>
      </c>
      <c r="N3034" s="2008"/>
      <c r="O3034" s="2008"/>
      <c r="P3034" s="2008"/>
      <c r="Q3034" s="2009"/>
      <c r="R3034" s="1345">
        <f>R3032-R3033</f>
        <v>0</v>
      </c>
      <c r="S3034" s="1346" t="str">
        <f>L3032</f>
        <v>m</v>
      </c>
      <c r="T3034" s="373"/>
      <c r="U3034" s="486"/>
      <c r="V3034" s="1418">
        <f>R3034</f>
        <v>0</v>
      </c>
      <c r="AB3034" s="15"/>
    </row>
    <row r="3035" spans="1:36" s="77" customFormat="1" ht="15.6" hidden="1">
      <c r="A3035" s="370"/>
      <c r="B3035" s="1347"/>
      <c r="C3035" s="1348"/>
      <c r="D3035" s="1349"/>
      <c r="E3035" s="1350"/>
      <c r="F3035" s="1349"/>
      <c r="G3035" s="1349"/>
      <c r="H3035" s="1349"/>
      <c r="I3035" s="1349"/>
      <c r="J3035" s="1351"/>
      <c r="K3035" s="1352"/>
      <c r="L3035" s="1353"/>
      <c r="M3035" s="1354"/>
      <c r="N3035" s="1354"/>
      <c r="O3035" s="1354"/>
      <c r="P3035" s="1354"/>
      <c r="Q3035" s="1354"/>
      <c r="R3035" s="1355"/>
      <c r="S3035" s="1356"/>
      <c r="T3035" s="1357"/>
      <c r="U3035" s="1358"/>
      <c r="V3035" s="1420">
        <f>SUM(V3026:V3034)</f>
        <v>0</v>
      </c>
      <c r="AB3035" s="15"/>
    </row>
    <row r="3036" spans="1:36" s="352" customFormat="1" ht="15.6" hidden="1">
      <c r="A3036" s="351"/>
      <c r="B3036" s="1963" t="str">
        <f>VLOOKUP(A3044,'11 - FINANCEIRA'!_xlnm.Print_Area,1,FALSE)</f>
        <v>2.5.2.4.17</v>
      </c>
      <c r="C3036" s="1965" t="str">
        <f>VLOOKUP(A3044,'11 - FINANCEIRA'!_xlnm.Print_Area,3,FALSE)</f>
        <v>Canaleta de concreto - seção de 110 x 50 cm - espessura de 10 cm</v>
      </c>
      <c r="D3036" s="1967" t="s">
        <v>1503</v>
      </c>
      <c r="E3036" s="1968"/>
      <c r="F3036" s="1968"/>
      <c r="G3036" s="1968"/>
      <c r="H3036" s="1968"/>
      <c r="I3036" s="1969"/>
      <c r="J3036" s="1914" t="s">
        <v>1504</v>
      </c>
      <c r="K3036" s="1914" t="s">
        <v>1505</v>
      </c>
      <c r="L3036" s="1914" t="s">
        <v>1506</v>
      </c>
      <c r="M3036" s="1914" t="s">
        <v>1507</v>
      </c>
      <c r="N3036" s="1914" t="s">
        <v>1508</v>
      </c>
      <c r="O3036" s="1914" t="s">
        <v>1509</v>
      </c>
      <c r="P3036" s="1341" t="s">
        <v>1510</v>
      </c>
      <c r="Q3036" s="1914" t="s">
        <v>1493</v>
      </c>
      <c r="R3036" s="1916" t="s">
        <v>804</v>
      </c>
      <c r="S3036" s="1914" t="s">
        <v>1511</v>
      </c>
      <c r="T3036" s="1914" t="s">
        <v>1512</v>
      </c>
      <c r="U3036" s="1918" t="s">
        <v>1513</v>
      </c>
      <c r="V3036" s="1418">
        <f t="shared" ref="V3036:V3043" si="307">V3037</f>
        <v>0</v>
      </c>
      <c r="W3036" s="16"/>
      <c r="X3036" s="16"/>
      <c r="Y3036" s="16"/>
      <c r="Z3036" s="17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</row>
    <row r="3037" spans="1:36" s="352" customFormat="1" ht="15.6" hidden="1">
      <c r="A3037" s="354"/>
      <c r="B3037" s="1964" t="e">
        <f>LEFT(#REF!,5)</f>
        <v>#REF!</v>
      </c>
      <c r="C3037" s="1966" t="e">
        <f>VLOOKUP(LEFT(#REF!,5),'11 - FINANCEIRA'!_xlnm.Print_Area,2,FALSE)</f>
        <v>#REF!</v>
      </c>
      <c r="D3037" s="1920" t="s">
        <v>1514</v>
      </c>
      <c r="E3037" s="1921"/>
      <c r="F3037" s="1922"/>
      <c r="G3037" s="1923" t="s">
        <v>1515</v>
      </c>
      <c r="H3037" s="1924"/>
      <c r="I3037" s="1925"/>
      <c r="J3037" s="1915"/>
      <c r="K3037" s="1915"/>
      <c r="L3037" s="1915"/>
      <c r="M3037" s="1915"/>
      <c r="N3037" s="1915"/>
      <c r="O3037" s="1915"/>
      <c r="P3037" s="353" t="s">
        <v>1516</v>
      </c>
      <c r="Q3037" s="1915"/>
      <c r="R3037" s="1917"/>
      <c r="S3037" s="1915"/>
      <c r="T3037" s="1915"/>
      <c r="U3037" s="1919"/>
      <c r="V3037" s="1418">
        <f t="shared" si="307"/>
        <v>0</v>
      </c>
      <c r="W3037" s="16"/>
      <c r="X3037" s="16"/>
      <c r="Y3037" s="16"/>
      <c r="Z3037" s="17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</row>
    <row r="3038" spans="1:36" s="361" customFormat="1" ht="15" hidden="1" customHeight="1">
      <c r="A3038" s="354"/>
      <c r="B3038" s="355"/>
      <c r="C3038" s="28" t="s">
        <v>1204</v>
      </c>
      <c r="D3038" s="18"/>
      <c r="E3038" s="19"/>
      <c r="F3038" s="20"/>
      <c r="G3038" s="18"/>
      <c r="H3038" s="19"/>
      <c r="I3038" s="20"/>
      <c r="J3038" s="21"/>
      <c r="K3038" s="22"/>
      <c r="L3038" s="23"/>
      <c r="M3038" s="24"/>
      <c r="N3038" s="728"/>
      <c r="O3038" s="25"/>
      <c r="P3038" s="23"/>
      <c r="Q3038" s="729"/>
      <c r="R3038" s="1109">
        <v>31</v>
      </c>
      <c r="S3038" s="730" t="s">
        <v>809</v>
      </c>
      <c r="T3038" s="446" t="s">
        <v>324</v>
      </c>
      <c r="U3038" s="44"/>
      <c r="V3038" s="1418">
        <f t="shared" si="307"/>
        <v>0</v>
      </c>
      <c r="W3038" s="357"/>
      <c r="X3038" s="357"/>
      <c r="Y3038" s="357"/>
      <c r="Z3038" s="358"/>
      <c r="AA3038" s="359"/>
      <c r="AB3038" s="360"/>
    </row>
    <row r="3039" spans="1:36" s="361" customFormat="1" ht="15" hidden="1" customHeight="1">
      <c r="A3039" s="364"/>
      <c r="B3039" s="355"/>
      <c r="C3039" s="32"/>
      <c r="D3039" s="33"/>
      <c r="E3039" s="34"/>
      <c r="F3039" s="35"/>
      <c r="G3039" s="33"/>
      <c r="H3039" s="34"/>
      <c r="I3039" s="35"/>
      <c r="J3039" s="43"/>
      <c r="K3039" s="42"/>
      <c r="L3039" s="39"/>
      <c r="M3039" s="41"/>
      <c r="N3039" s="356"/>
      <c r="O3039" s="40"/>
      <c r="P3039" s="39"/>
      <c r="Q3039" s="45"/>
      <c r="R3039" s="362"/>
      <c r="S3039" s="363"/>
      <c r="T3039" s="46"/>
      <c r="U3039" s="44"/>
      <c r="V3039" s="1418">
        <f t="shared" si="307"/>
        <v>0</v>
      </c>
      <c r="W3039" s="357"/>
      <c r="X3039" s="357"/>
      <c r="Y3039" s="357"/>
      <c r="Z3039" s="358"/>
      <c r="AA3039" s="359"/>
      <c r="AB3039" s="360"/>
    </row>
    <row r="3040" spans="1:36" s="369" customFormat="1" ht="15" hidden="1">
      <c r="A3040" s="370"/>
      <c r="B3040" s="355"/>
      <c r="C3040" s="32"/>
      <c r="D3040" s="33"/>
      <c r="E3040" s="34"/>
      <c r="F3040" s="35"/>
      <c r="G3040" s="33"/>
      <c r="H3040" s="34"/>
      <c r="I3040" s="35"/>
      <c r="J3040" s="43"/>
      <c r="K3040" s="42"/>
      <c r="L3040" s="39"/>
      <c r="M3040" s="41"/>
      <c r="N3040" s="40"/>
      <c r="O3040" s="40"/>
      <c r="P3040" s="39"/>
      <c r="Q3040" s="38"/>
      <c r="R3040" s="365"/>
      <c r="S3040" s="366"/>
      <c r="T3040" s="46"/>
      <c r="U3040" s="44"/>
      <c r="V3040" s="1418">
        <f t="shared" si="307"/>
        <v>0</v>
      </c>
      <c r="W3040" s="367"/>
      <c r="X3040" s="367"/>
      <c r="Y3040" s="367"/>
      <c r="Z3040" s="368"/>
    </row>
    <row r="3041" spans="1:36" s="77" customFormat="1" ht="15" hidden="1">
      <c r="A3041" s="370"/>
      <c r="B3041" s="29"/>
      <c r="C3041" s="30"/>
      <c r="D3041" s="18"/>
      <c r="E3041" s="19"/>
      <c r="F3041" s="20"/>
      <c r="G3041" s="18"/>
      <c r="H3041" s="19"/>
      <c r="I3041" s="20"/>
      <c r="J3041" s="21"/>
      <c r="K3041" s="22"/>
      <c r="L3041" s="23"/>
      <c r="M3041" s="24"/>
      <c r="N3041" s="25"/>
      <c r="O3041" s="25"/>
      <c r="P3041" s="23"/>
      <c r="Q3041" s="26"/>
      <c r="R3041" s="371"/>
      <c r="S3041" s="27"/>
      <c r="T3041" s="372"/>
      <c r="U3041" s="31"/>
      <c r="V3041" s="1418">
        <f t="shared" si="307"/>
        <v>0</v>
      </c>
      <c r="AB3041" s="15"/>
    </row>
    <row r="3042" spans="1:36" s="77" customFormat="1" ht="15.6" hidden="1">
      <c r="A3042" s="370"/>
      <c r="B3042" s="499"/>
      <c r="C3042" s="37"/>
      <c r="D3042" s="1929" t="s">
        <v>1520</v>
      </c>
      <c r="E3042" s="1930"/>
      <c r="F3042" s="1930"/>
      <c r="G3042" s="1930"/>
      <c r="H3042" s="1930"/>
      <c r="I3042" s="1931"/>
      <c r="J3042" s="1932">
        <f>VLOOKUP(A3044,'11 - FINANCEIRA'!_xlnm.Print_Area,6,FALSE)</f>
        <v>31</v>
      </c>
      <c r="K3042" s="1933"/>
      <c r="L3042" s="1343" t="str">
        <f>VLOOKUP(A3044,'11 - FINANCEIRA'!_xlnm.Print_Area,4,FALSE)</f>
        <v>m</v>
      </c>
      <c r="M3042" s="1934" t="s">
        <v>1521</v>
      </c>
      <c r="N3042" s="1935"/>
      <c r="O3042" s="1935"/>
      <c r="P3042" s="1935"/>
      <c r="Q3042" s="1936"/>
      <c r="R3042" s="726">
        <f>SUM(R3038:R3041)</f>
        <v>31</v>
      </c>
      <c r="S3042" s="1344" t="str">
        <f>L3042</f>
        <v>m</v>
      </c>
      <c r="T3042" s="373"/>
      <c r="U3042" s="486"/>
      <c r="V3042" s="1418">
        <f t="shared" si="307"/>
        <v>0</v>
      </c>
      <c r="AB3042" s="15"/>
    </row>
    <row r="3043" spans="1:36" s="77" customFormat="1" ht="15.6" hidden="1">
      <c r="A3043" s="364"/>
      <c r="B3043" s="499"/>
      <c r="C3043" s="725"/>
      <c r="D3043" s="1937" t="s">
        <v>1522</v>
      </c>
      <c r="E3043" s="1938"/>
      <c r="F3043" s="1938"/>
      <c r="G3043" s="1938"/>
      <c r="H3043" s="1938"/>
      <c r="I3043" s="1939"/>
      <c r="J3043" s="1943">
        <f>R3042/J3042</f>
        <v>1</v>
      </c>
      <c r="K3043" s="1944"/>
      <c r="L3043" s="1947"/>
      <c r="M3043" s="1934" t="s">
        <v>1523</v>
      </c>
      <c r="N3043" s="1935"/>
      <c r="O3043" s="1935"/>
      <c r="P3043" s="1935"/>
      <c r="Q3043" s="1936"/>
      <c r="R3043" s="726">
        <f>VLOOKUP(A3044,'11 - FINANCEIRA'!_xlnm.Print_Area,8,FALSE)</f>
        <v>31</v>
      </c>
      <c r="S3043" s="727" t="str">
        <f>L3042</f>
        <v>m</v>
      </c>
      <c r="T3043" s="373"/>
      <c r="U3043" s="486"/>
      <c r="V3043" s="1418">
        <f t="shared" si="307"/>
        <v>0</v>
      </c>
      <c r="AB3043" s="15"/>
    </row>
    <row r="3044" spans="1:36" s="77" customFormat="1" ht="15.6" hidden="1">
      <c r="A3044" s="364" t="s">
        <v>613</v>
      </c>
      <c r="B3044" s="499"/>
      <c r="C3044" s="37"/>
      <c r="D3044" s="2013"/>
      <c r="E3044" s="2014"/>
      <c r="F3044" s="2014"/>
      <c r="G3044" s="2014"/>
      <c r="H3044" s="2014"/>
      <c r="I3044" s="2015"/>
      <c r="J3044" s="2016"/>
      <c r="K3044" s="2017"/>
      <c r="L3044" s="1962"/>
      <c r="M3044" s="2007" t="s">
        <v>1524</v>
      </c>
      <c r="N3044" s="2008"/>
      <c r="O3044" s="2008"/>
      <c r="P3044" s="2008"/>
      <c r="Q3044" s="2009"/>
      <c r="R3044" s="1345">
        <f>R3042-R3043</f>
        <v>0</v>
      </c>
      <c r="S3044" s="1346" t="str">
        <f>L3042</f>
        <v>m</v>
      </c>
      <c r="T3044" s="373"/>
      <c r="U3044" s="486"/>
      <c r="V3044" s="1418">
        <f>R3044</f>
        <v>0</v>
      </c>
      <c r="AB3044" s="15"/>
    </row>
    <row r="3045" spans="1:36" s="77" customFormat="1" ht="15.6" hidden="1">
      <c r="A3045" s="351"/>
      <c r="B3045" s="1347"/>
      <c r="C3045" s="1348"/>
      <c r="D3045" s="1349"/>
      <c r="E3045" s="1350"/>
      <c r="F3045" s="1349"/>
      <c r="G3045" s="1349"/>
      <c r="H3045" s="1349"/>
      <c r="I3045" s="1349"/>
      <c r="J3045" s="1351"/>
      <c r="K3045" s="1352"/>
      <c r="L3045" s="1353"/>
      <c r="M3045" s="1354"/>
      <c r="N3045" s="1354"/>
      <c r="O3045" s="1354"/>
      <c r="P3045" s="1354"/>
      <c r="Q3045" s="1354"/>
      <c r="R3045" s="1355"/>
      <c r="S3045" s="1356"/>
      <c r="T3045" s="1357"/>
      <c r="U3045" s="1358"/>
      <c r="V3045" s="1420">
        <f>SUM(V3036:V3044)</f>
        <v>0</v>
      </c>
      <c r="AB3045" s="15"/>
    </row>
    <row r="3046" spans="1:36" s="632" customFormat="1" ht="15.6" hidden="1">
      <c r="A3046" s="630"/>
      <c r="B3046" s="1333" t="str">
        <f>LEFT(A3055,7)</f>
        <v>2.5.2.5</v>
      </c>
      <c r="C3046" s="1334" t="str">
        <f>VLOOKUP(LEFT(A3055,7),'11 - FINANCEIRA'!_xlnm.Print_Area,2,FALSE)</f>
        <v>Equipamentos para Iluminação</v>
      </c>
      <c r="D3046" s="1334"/>
      <c r="E3046" s="1335"/>
      <c r="F3046" s="1334"/>
      <c r="G3046" s="2071"/>
      <c r="H3046" s="2072"/>
      <c r="I3046" s="2072"/>
      <c r="J3046" s="2072"/>
      <c r="K3046" s="2072"/>
      <c r="L3046" s="2072"/>
      <c r="M3046" s="1338"/>
      <c r="N3046" s="1339"/>
      <c r="O3046" s="2072"/>
      <c r="P3046" s="2072"/>
      <c r="Q3046" s="2072"/>
      <c r="R3046" s="2082"/>
      <c r="S3046" s="633"/>
      <c r="V3046" s="631">
        <f>SUM(V3047:V3166)</f>
        <v>0</v>
      </c>
    </row>
    <row r="3047" spans="1:36" s="352" customFormat="1" ht="15.6" hidden="1">
      <c r="A3047" s="351"/>
      <c r="B3047" s="1963" t="str">
        <f>VLOOKUP(A3055,'11 - FINANCEIRA'!_xlnm.Print_Area,1,FALSE)</f>
        <v>2.5.2.5.1</v>
      </c>
      <c r="C3047" s="1965" t="str">
        <f>VLOOKUP(A3055,'11 - FINANCEIRA'!_xlnm.Print_Area,3,FALSE)</f>
        <v>Poste telecônico reto, em aço galvanizado, com flange / flangeado na base, com chumbadores e demais peças para fixação, pintura branca eletrostática a quente em poliéster, 7000 mm. ref: induspar ou similar</v>
      </c>
      <c r="D3047" s="1967" t="s">
        <v>1503</v>
      </c>
      <c r="E3047" s="1968"/>
      <c r="F3047" s="1968"/>
      <c r="G3047" s="1968"/>
      <c r="H3047" s="1968"/>
      <c r="I3047" s="1969"/>
      <c r="J3047" s="1914" t="s">
        <v>1504</v>
      </c>
      <c r="K3047" s="1914" t="s">
        <v>1505</v>
      </c>
      <c r="L3047" s="1914" t="s">
        <v>1506</v>
      </c>
      <c r="M3047" s="1914" t="s">
        <v>1507</v>
      </c>
      <c r="N3047" s="1914" t="s">
        <v>1508</v>
      </c>
      <c r="O3047" s="1914" t="s">
        <v>1509</v>
      </c>
      <c r="P3047" s="1341" t="s">
        <v>1510</v>
      </c>
      <c r="Q3047" s="1914" t="s">
        <v>1493</v>
      </c>
      <c r="R3047" s="1916" t="s">
        <v>804</v>
      </c>
      <c r="S3047" s="1914" t="s">
        <v>1511</v>
      </c>
      <c r="T3047" s="1914" t="s">
        <v>1512</v>
      </c>
      <c r="U3047" s="1918" t="s">
        <v>1513</v>
      </c>
      <c r="V3047" s="1418">
        <f t="shared" ref="V3047:V3054" si="308">V3048</f>
        <v>0</v>
      </c>
      <c r="W3047" s="16"/>
      <c r="X3047" s="16"/>
      <c r="Y3047" s="16"/>
      <c r="Z3047" s="17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</row>
    <row r="3048" spans="1:36" s="352" customFormat="1" ht="15.6" hidden="1">
      <c r="A3048" s="354"/>
      <c r="B3048" s="1964" t="e">
        <f>LEFT(#REF!,5)</f>
        <v>#REF!</v>
      </c>
      <c r="C3048" s="1966" t="e">
        <f>VLOOKUP(LEFT(#REF!,5),'11 - FINANCEIRA'!_xlnm.Print_Area,2,FALSE)</f>
        <v>#REF!</v>
      </c>
      <c r="D3048" s="1920" t="s">
        <v>1514</v>
      </c>
      <c r="E3048" s="1921"/>
      <c r="F3048" s="1922"/>
      <c r="G3048" s="1923" t="s">
        <v>1515</v>
      </c>
      <c r="H3048" s="1924"/>
      <c r="I3048" s="1925"/>
      <c r="J3048" s="1915"/>
      <c r="K3048" s="1915"/>
      <c r="L3048" s="1915"/>
      <c r="M3048" s="1915"/>
      <c r="N3048" s="1915"/>
      <c r="O3048" s="1915"/>
      <c r="P3048" s="353" t="s">
        <v>1516</v>
      </c>
      <c r="Q3048" s="1915"/>
      <c r="R3048" s="1917"/>
      <c r="S3048" s="1915"/>
      <c r="T3048" s="1915"/>
      <c r="U3048" s="1919"/>
      <c r="V3048" s="1418">
        <f t="shared" si="308"/>
        <v>0</v>
      </c>
      <c r="W3048" s="16"/>
      <c r="X3048" s="16"/>
      <c r="Y3048" s="16"/>
      <c r="Z3048" s="17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</row>
    <row r="3049" spans="1:36" s="361" customFormat="1" ht="45" hidden="1">
      <c r="A3049" s="354"/>
      <c r="B3049" s="355"/>
      <c r="C3049" s="28" t="s">
        <v>160</v>
      </c>
      <c r="D3049" s="18"/>
      <c r="E3049" s="19"/>
      <c r="F3049" s="20"/>
      <c r="G3049" s="18"/>
      <c r="H3049" s="19"/>
      <c r="I3049" s="20"/>
      <c r="J3049" s="21"/>
      <c r="K3049" s="22"/>
      <c r="L3049" s="23"/>
      <c r="M3049" s="24"/>
      <c r="N3049" s="728"/>
      <c r="O3049" s="25"/>
      <c r="P3049" s="23"/>
      <c r="Q3049" s="729"/>
      <c r="R3049" s="1109">
        <v>9</v>
      </c>
      <c r="S3049" s="730" t="s">
        <v>816</v>
      </c>
      <c r="T3049" s="446" t="s">
        <v>326</v>
      </c>
      <c r="U3049" s="44"/>
      <c r="V3049" s="1418">
        <f t="shared" si="308"/>
        <v>0</v>
      </c>
      <c r="W3049" s="357"/>
      <c r="X3049" s="357"/>
      <c r="Y3049" s="357"/>
      <c r="Z3049" s="358"/>
      <c r="AA3049" s="359"/>
      <c r="AB3049" s="360"/>
    </row>
    <row r="3050" spans="1:36" s="361" customFormat="1" ht="45" hidden="1">
      <c r="A3050" s="364"/>
      <c r="B3050" s="355"/>
      <c r="C3050" s="32" t="s">
        <v>160</v>
      </c>
      <c r="D3050" s="33"/>
      <c r="E3050" s="34"/>
      <c r="F3050" s="35"/>
      <c r="G3050" s="33"/>
      <c r="H3050" s="34"/>
      <c r="I3050" s="35"/>
      <c r="J3050" s="43"/>
      <c r="K3050" s="42"/>
      <c r="L3050" s="39"/>
      <c r="M3050" s="41"/>
      <c r="N3050" s="356"/>
      <c r="O3050" s="40"/>
      <c r="P3050" s="39"/>
      <c r="Q3050" s="45"/>
      <c r="R3050" s="362">
        <v>2</v>
      </c>
      <c r="S3050" s="363" t="s">
        <v>816</v>
      </c>
      <c r="T3050" s="46" t="s">
        <v>331</v>
      </c>
      <c r="U3050" s="44"/>
      <c r="V3050" s="1418">
        <f t="shared" si="308"/>
        <v>0</v>
      </c>
      <c r="W3050" s="357"/>
      <c r="X3050" s="357"/>
      <c r="Y3050" s="357"/>
      <c r="Z3050" s="358"/>
      <c r="AA3050" s="359"/>
      <c r="AB3050" s="360"/>
    </row>
    <row r="3051" spans="1:36" s="369" customFormat="1" ht="15" hidden="1">
      <c r="A3051" s="370"/>
      <c r="B3051" s="355"/>
      <c r="C3051" s="32"/>
      <c r="D3051" s="33"/>
      <c r="E3051" s="34"/>
      <c r="F3051" s="35"/>
      <c r="G3051" s="33"/>
      <c r="H3051" s="34"/>
      <c r="I3051" s="35"/>
      <c r="J3051" s="43"/>
      <c r="K3051" s="42"/>
      <c r="L3051" s="39"/>
      <c r="M3051" s="41"/>
      <c r="N3051" s="40"/>
      <c r="O3051" s="40"/>
      <c r="P3051" s="39"/>
      <c r="Q3051" s="38"/>
      <c r="R3051" s="365"/>
      <c r="S3051" s="366"/>
      <c r="T3051" s="46"/>
      <c r="U3051" s="44"/>
      <c r="V3051" s="1418">
        <f t="shared" si="308"/>
        <v>0</v>
      </c>
      <c r="W3051" s="367"/>
      <c r="X3051" s="367"/>
      <c r="Y3051" s="367"/>
      <c r="Z3051" s="368"/>
    </row>
    <row r="3052" spans="1:36" s="77" customFormat="1" ht="15" hidden="1">
      <c r="A3052" s="370"/>
      <c r="B3052" s="29"/>
      <c r="C3052" s="30"/>
      <c r="D3052" s="18"/>
      <c r="E3052" s="19"/>
      <c r="F3052" s="20"/>
      <c r="G3052" s="18"/>
      <c r="H3052" s="19"/>
      <c r="I3052" s="20"/>
      <c r="J3052" s="21"/>
      <c r="K3052" s="22"/>
      <c r="L3052" s="23"/>
      <c r="M3052" s="24"/>
      <c r="N3052" s="25"/>
      <c r="O3052" s="25"/>
      <c r="P3052" s="23"/>
      <c r="Q3052" s="26"/>
      <c r="R3052" s="371"/>
      <c r="S3052" s="27"/>
      <c r="T3052" s="372"/>
      <c r="U3052" s="31"/>
      <c r="V3052" s="1418">
        <f t="shared" si="308"/>
        <v>0</v>
      </c>
      <c r="AB3052" s="15"/>
    </row>
    <row r="3053" spans="1:36" s="77" customFormat="1" ht="15.6" hidden="1">
      <c r="A3053" s="370"/>
      <c r="B3053" s="499"/>
      <c r="C3053" s="37"/>
      <c r="D3053" s="1929" t="s">
        <v>1520</v>
      </c>
      <c r="E3053" s="1930"/>
      <c r="F3053" s="1930"/>
      <c r="G3053" s="1930"/>
      <c r="H3053" s="1930"/>
      <c r="I3053" s="1931"/>
      <c r="J3053" s="1932">
        <f>VLOOKUP(A3055,'11 - FINANCEIRA'!_xlnm.Print_Area,6,FALSE)</f>
        <v>11</v>
      </c>
      <c r="K3053" s="1933"/>
      <c r="L3053" s="1343" t="str">
        <f>VLOOKUP(A3055,'11 - FINANCEIRA'!_xlnm.Print_Area,4,FALSE)</f>
        <v>und</v>
      </c>
      <c r="M3053" s="1934" t="s">
        <v>1521</v>
      </c>
      <c r="N3053" s="1935"/>
      <c r="O3053" s="1935"/>
      <c r="P3053" s="1935"/>
      <c r="Q3053" s="1936"/>
      <c r="R3053" s="726">
        <f>SUM(R3049:R3052)</f>
        <v>11</v>
      </c>
      <c r="S3053" s="1344" t="str">
        <f>L3053</f>
        <v>und</v>
      </c>
      <c r="T3053" s="373"/>
      <c r="U3053" s="486"/>
      <c r="V3053" s="1418">
        <f t="shared" si="308"/>
        <v>0</v>
      </c>
      <c r="AB3053" s="15"/>
    </row>
    <row r="3054" spans="1:36" s="77" customFormat="1" ht="15.6" hidden="1">
      <c r="A3054" s="364"/>
      <c r="B3054" s="499"/>
      <c r="C3054" s="725"/>
      <c r="D3054" s="1937" t="s">
        <v>1522</v>
      </c>
      <c r="E3054" s="1938"/>
      <c r="F3054" s="1938"/>
      <c r="G3054" s="1938"/>
      <c r="H3054" s="1938"/>
      <c r="I3054" s="1939"/>
      <c r="J3054" s="1943">
        <f>R3053/J3053</f>
        <v>1</v>
      </c>
      <c r="K3054" s="1944"/>
      <c r="L3054" s="1947"/>
      <c r="M3054" s="1934" t="s">
        <v>1523</v>
      </c>
      <c r="N3054" s="1935"/>
      <c r="O3054" s="1935"/>
      <c r="P3054" s="1935"/>
      <c r="Q3054" s="1936"/>
      <c r="R3054" s="726">
        <f>VLOOKUP(A3055,'11 - FINANCEIRA'!_xlnm.Print_Area,8,FALSE)</f>
        <v>11</v>
      </c>
      <c r="S3054" s="727" t="str">
        <f>L3053</f>
        <v>und</v>
      </c>
      <c r="T3054" s="373"/>
      <c r="U3054" s="486"/>
      <c r="V3054" s="1418">
        <f t="shared" si="308"/>
        <v>0</v>
      </c>
      <c r="AB3054" s="15"/>
    </row>
    <row r="3055" spans="1:36" s="77" customFormat="1" ht="15.6" hidden="1">
      <c r="A3055" s="364" t="s">
        <v>615</v>
      </c>
      <c r="B3055" s="499"/>
      <c r="C3055" s="37"/>
      <c r="D3055" s="2013"/>
      <c r="E3055" s="2014"/>
      <c r="F3055" s="2014"/>
      <c r="G3055" s="2014"/>
      <c r="H3055" s="2014"/>
      <c r="I3055" s="2015"/>
      <c r="J3055" s="2016"/>
      <c r="K3055" s="2017"/>
      <c r="L3055" s="1962"/>
      <c r="M3055" s="2007" t="s">
        <v>1524</v>
      </c>
      <c r="N3055" s="2008"/>
      <c r="O3055" s="2008"/>
      <c r="P3055" s="2008"/>
      <c r="Q3055" s="2009"/>
      <c r="R3055" s="1345">
        <f>R3053-R3054</f>
        <v>0</v>
      </c>
      <c r="S3055" s="1346" t="str">
        <f>L3053</f>
        <v>und</v>
      </c>
      <c r="T3055" s="373"/>
      <c r="U3055" s="486"/>
      <c r="V3055" s="1418">
        <f>R3055</f>
        <v>0</v>
      </c>
      <c r="AB3055" s="15"/>
    </row>
    <row r="3056" spans="1:36" s="77" customFormat="1" ht="15.6" hidden="1">
      <c r="A3056" s="370"/>
      <c r="B3056" s="1347"/>
      <c r="C3056" s="1348"/>
      <c r="D3056" s="1349"/>
      <c r="E3056" s="1350"/>
      <c r="F3056" s="1349"/>
      <c r="G3056" s="1349"/>
      <c r="H3056" s="1349"/>
      <c r="I3056" s="1349"/>
      <c r="J3056" s="1351"/>
      <c r="K3056" s="1352"/>
      <c r="L3056" s="1353"/>
      <c r="M3056" s="1354"/>
      <c r="N3056" s="1354"/>
      <c r="O3056" s="1354"/>
      <c r="P3056" s="1354"/>
      <c r="Q3056" s="1354"/>
      <c r="R3056" s="1355"/>
      <c r="S3056" s="1356"/>
      <c r="T3056" s="1357"/>
      <c r="U3056" s="1358"/>
      <c r="V3056" s="1420">
        <f>SUM(V3047:V3055)</f>
        <v>0</v>
      </c>
      <c r="AB3056" s="15"/>
    </row>
    <row r="3057" spans="1:36" s="352" customFormat="1" ht="15.6" hidden="1">
      <c r="A3057" s="351"/>
      <c r="B3057" s="1963" t="str">
        <f>VLOOKUP(A3065,'11 - FINANCEIRA'!_xlnm.Print_Area,1,FALSE)</f>
        <v>2.5.2.5.2</v>
      </c>
      <c r="C3057" s="1965" t="str">
        <f>VLOOKUP(A3065,'11 - FINANCEIRA'!_xlnm.Print_Area,3,FALSE)</f>
        <v>Refletor em led ip 66, 150w, 20.000 lúmens</v>
      </c>
      <c r="D3057" s="1967" t="s">
        <v>1503</v>
      </c>
      <c r="E3057" s="1968"/>
      <c r="F3057" s="1968"/>
      <c r="G3057" s="1968"/>
      <c r="H3057" s="1968"/>
      <c r="I3057" s="1969"/>
      <c r="J3057" s="1914" t="s">
        <v>1504</v>
      </c>
      <c r="K3057" s="1914" t="s">
        <v>1505</v>
      </c>
      <c r="L3057" s="1914" t="s">
        <v>1506</v>
      </c>
      <c r="M3057" s="1914" t="s">
        <v>1507</v>
      </c>
      <c r="N3057" s="1914" t="s">
        <v>1508</v>
      </c>
      <c r="O3057" s="1914" t="s">
        <v>1509</v>
      </c>
      <c r="P3057" s="1341" t="s">
        <v>1510</v>
      </c>
      <c r="Q3057" s="1914" t="s">
        <v>1493</v>
      </c>
      <c r="R3057" s="1916" t="s">
        <v>804</v>
      </c>
      <c r="S3057" s="1914" t="s">
        <v>1511</v>
      </c>
      <c r="T3057" s="1914" t="s">
        <v>1512</v>
      </c>
      <c r="U3057" s="1918" t="s">
        <v>1513</v>
      </c>
      <c r="V3057" s="1418">
        <f t="shared" ref="V3057:V3064" si="309">V3058</f>
        <v>0</v>
      </c>
      <c r="W3057" s="16"/>
      <c r="X3057" s="16"/>
      <c r="Y3057" s="16"/>
      <c r="Z3057" s="17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</row>
    <row r="3058" spans="1:36" s="352" customFormat="1" ht="15.6" hidden="1">
      <c r="A3058" s="351"/>
      <c r="B3058" s="1964" t="e">
        <f>LEFT(#REF!,5)</f>
        <v>#REF!</v>
      </c>
      <c r="C3058" s="1966" t="e">
        <f>VLOOKUP(LEFT(#REF!,5),'11 - FINANCEIRA'!_xlnm.Print_Area,2,FALSE)</f>
        <v>#REF!</v>
      </c>
      <c r="D3058" s="1920" t="s">
        <v>1514</v>
      </c>
      <c r="E3058" s="1921"/>
      <c r="F3058" s="1922"/>
      <c r="G3058" s="1923" t="s">
        <v>1515</v>
      </c>
      <c r="H3058" s="1924"/>
      <c r="I3058" s="1925"/>
      <c r="J3058" s="1915"/>
      <c r="K3058" s="1915"/>
      <c r="L3058" s="1915"/>
      <c r="M3058" s="1915"/>
      <c r="N3058" s="1915"/>
      <c r="O3058" s="1915"/>
      <c r="P3058" s="353" t="s">
        <v>1516</v>
      </c>
      <c r="Q3058" s="1915"/>
      <c r="R3058" s="1917"/>
      <c r="S3058" s="1915"/>
      <c r="T3058" s="1915"/>
      <c r="U3058" s="1919"/>
      <c r="V3058" s="1418">
        <f t="shared" si="309"/>
        <v>0</v>
      </c>
      <c r="W3058" s="16"/>
      <c r="X3058" s="16"/>
      <c r="Y3058" s="16"/>
      <c r="Z3058" s="17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</row>
    <row r="3059" spans="1:36" s="361" customFormat="1" ht="15" hidden="1" customHeight="1">
      <c r="A3059" s="354"/>
      <c r="B3059" s="355"/>
      <c r="C3059" s="28" t="s">
        <v>159</v>
      </c>
      <c r="D3059" s="18"/>
      <c r="E3059" s="19"/>
      <c r="F3059" s="20"/>
      <c r="G3059" s="18"/>
      <c r="H3059" s="19"/>
      <c r="I3059" s="20"/>
      <c r="J3059" s="21"/>
      <c r="K3059" s="22"/>
      <c r="L3059" s="23"/>
      <c r="M3059" s="24"/>
      <c r="N3059" s="728"/>
      <c r="O3059" s="25"/>
      <c r="P3059" s="23"/>
      <c r="Q3059" s="729"/>
      <c r="R3059" s="1109">
        <v>28</v>
      </c>
      <c r="S3059" s="730" t="s">
        <v>816</v>
      </c>
      <c r="T3059" s="446" t="s">
        <v>326</v>
      </c>
      <c r="U3059" s="44"/>
      <c r="V3059" s="1418">
        <f t="shared" si="309"/>
        <v>0</v>
      </c>
      <c r="W3059" s="357"/>
      <c r="X3059" s="357"/>
      <c r="Y3059" s="357"/>
      <c r="Z3059" s="358"/>
      <c r="AA3059" s="359"/>
      <c r="AB3059" s="360"/>
    </row>
    <row r="3060" spans="1:36" s="361" customFormat="1" ht="15" hidden="1" customHeight="1">
      <c r="A3060" s="354"/>
      <c r="B3060" s="355"/>
      <c r="C3060" s="32" t="s">
        <v>159</v>
      </c>
      <c r="D3060" s="33"/>
      <c r="E3060" s="34"/>
      <c r="F3060" s="35"/>
      <c r="G3060" s="33"/>
      <c r="H3060" s="34"/>
      <c r="I3060" s="35"/>
      <c r="J3060" s="43"/>
      <c r="K3060" s="42"/>
      <c r="L3060" s="39"/>
      <c r="M3060" s="41"/>
      <c r="N3060" s="356"/>
      <c r="O3060" s="40"/>
      <c r="P3060" s="39"/>
      <c r="Q3060" s="45"/>
      <c r="R3060" s="362">
        <v>4</v>
      </c>
      <c r="S3060" s="363" t="s">
        <v>816</v>
      </c>
      <c r="T3060" s="46" t="s">
        <v>331</v>
      </c>
      <c r="U3060" s="44"/>
      <c r="V3060" s="1418">
        <f t="shared" si="309"/>
        <v>0</v>
      </c>
      <c r="W3060" s="357"/>
      <c r="X3060" s="357"/>
      <c r="Y3060" s="357"/>
      <c r="Z3060" s="358"/>
      <c r="AA3060" s="359"/>
      <c r="AB3060" s="360"/>
    </row>
    <row r="3061" spans="1:36" s="369" customFormat="1" ht="15" hidden="1">
      <c r="A3061" s="364"/>
      <c r="B3061" s="355"/>
      <c r="C3061" s="32"/>
      <c r="D3061" s="33"/>
      <c r="E3061" s="34"/>
      <c r="F3061" s="35"/>
      <c r="G3061" s="33"/>
      <c r="H3061" s="34"/>
      <c r="I3061" s="35"/>
      <c r="J3061" s="43"/>
      <c r="K3061" s="42"/>
      <c r="L3061" s="39"/>
      <c r="M3061" s="41"/>
      <c r="N3061" s="40"/>
      <c r="O3061" s="40"/>
      <c r="P3061" s="39"/>
      <c r="Q3061" s="38"/>
      <c r="R3061" s="365"/>
      <c r="S3061" s="366"/>
      <c r="T3061" s="46"/>
      <c r="U3061" s="44"/>
      <c r="V3061" s="1418">
        <f t="shared" si="309"/>
        <v>0</v>
      </c>
      <c r="W3061" s="367"/>
      <c r="X3061" s="367"/>
      <c r="Y3061" s="367"/>
      <c r="Z3061" s="368"/>
    </row>
    <row r="3062" spans="1:36" s="77" customFormat="1" ht="15" hidden="1">
      <c r="A3062" s="370"/>
      <c r="B3062" s="29"/>
      <c r="C3062" s="30"/>
      <c r="D3062" s="18"/>
      <c r="E3062" s="19"/>
      <c r="F3062" s="20"/>
      <c r="G3062" s="18"/>
      <c r="H3062" s="19"/>
      <c r="I3062" s="20"/>
      <c r="J3062" s="21"/>
      <c r="K3062" s="22"/>
      <c r="L3062" s="23"/>
      <c r="M3062" s="24"/>
      <c r="N3062" s="25"/>
      <c r="O3062" s="25"/>
      <c r="P3062" s="23"/>
      <c r="Q3062" s="26"/>
      <c r="R3062" s="371"/>
      <c r="S3062" s="27"/>
      <c r="T3062" s="372"/>
      <c r="U3062" s="31"/>
      <c r="V3062" s="1418">
        <f t="shared" si="309"/>
        <v>0</v>
      </c>
      <c r="AB3062" s="15"/>
    </row>
    <row r="3063" spans="1:36" s="77" customFormat="1" ht="15.6" hidden="1">
      <c r="A3063" s="370"/>
      <c r="B3063" s="499"/>
      <c r="C3063" s="37"/>
      <c r="D3063" s="1929" t="s">
        <v>1520</v>
      </c>
      <c r="E3063" s="1930"/>
      <c r="F3063" s="1930"/>
      <c r="G3063" s="1930"/>
      <c r="H3063" s="1930"/>
      <c r="I3063" s="1931"/>
      <c r="J3063" s="1932">
        <f>VLOOKUP(A3065,'11 - FINANCEIRA'!_xlnm.Print_Area,6,FALSE)</f>
        <v>32</v>
      </c>
      <c r="K3063" s="1933"/>
      <c r="L3063" s="1343" t="str">
        <f>VLOOKUP(A3065,'11 - FINANCEIRA'!_xlnm.Print_Area,4,FALSE)</f>
        <v>und</v>
      </c>
      <c r="M3063" s="1934" t="s">
        <v>1521</v>
      </c>
      <c r="N3063" s="1935"/>
      <c r="O3063" s="1935"/>
      <c r="P3063" s="1935"/>
      <c r="Q3063" s="1936"/>
      <c r="R3063" s="726">
        <f>SUM(R3059:R3062)</f>
        <v>32</v>
      </c>
      <c r="S3063" s="1344" t="str">
        <f>L3063</f>
        <v>und</v>
      </c>
      <c r="T3063" s="373"/>
      <c r="U3063" s="486"/>
      <c r="V3063" s="1418">
        <f t="shared" si="309"/>
        <v>0</v>
      </c>
      <c r="AB3063" s="15"/>
    </row>
    <row r="3064" spans="1:36" s="77" customFormat="1" ht="15.6" hidden="1">
      <c r="A3064" s="370"/>
      <c r="B3064" s="499"/>
      <c r="C3064" s="725"/>
      <c r="D3064" s="1937" t="s">
        <v>1522</v>
      </c>
      <c r="E3064" s="1938"/>
      <c r="F3064" s="1938"/>
      <c r="G3064" s="1938"/>
      <c r="H3064" s="1938"/>
      <c r="I3064" s="1939"/>
      <c r="J3064" s="1943">
        <f>R3063/J3063</f>
        <v>1</v>
      </c>
      <c r="K3064" s="1944"/>
      <c r="L3064" s="1947"/>
      <c r="M3064" s="1934" t="s">
        <v>1523</v>
      </c>
      <c r="N3064" s="1935"/>
      <c r="O3064" s="1935"/>
      <c r="P3064" s="1935"/>
      <c r="Q3064" s="1936"/>
      <c r="R3064" s="726">
        <f>VLOOKUP(A3065,'11 - FINANCEIRA'!_xlnm.Print_Area,8,FALSE)</f>
        <v>32</v>
      </c>
      <c r="S3064" s="727" t="str">
        <f>L3063</f>
        <v>und</v>
      </c>
      <c r="T3064" s="373"/>
      <c r="U3064" s="486"/>
      <c r="V3064" s="1418">
        <f t="shared" si="309"/>
        <v>0</v>
      </c>
      <c r="AB3064" s="15"/>
    </row>
    <row r="3065" spans="1:36" s="77" customFormat="1" ht="15.6" hidden="1">
      <c r="A3065" s="364" t="s">
        <v>616</v>
      </c>
      <c r="B3065" s="499"/>
      <c r="C3065" s="37"/>
      <c r="D3065" s="2013"/>
      <c r="E3065" s="2014"/>
      <c r="F3065" s="2014"/>
      <c r="G3065" s="2014"/>
      <c r="H3065" s="2014"/>
      <c r="I3065" s="2015"/>
      <c r="J3065" s="2016"/>
      <c r="K3065" s="2017"/>
      <c r="L3065" s="1962"/>
      <c r="M3065" s="2007" t="s">
        <v>1524</v>
      </c>
      <c r="N3065" s="2008"/>
      <c r="O3065" s="2008"/>
      <c r="P3065" s="2008"/>
      <c r="Q3065" s="2009"/>
      <c r="R3065" s="1345">
        <f>R3063-R3064</f>
        <v>0</v>
      </c>
      <c r="S3065" s="1346" t="str">
        <f>L3063</f>
        <v>und</v>
      </c>
      <c r="T3065" s="373"/>
      <c r="U3065" s="486"/>
      <c r="V3065" s="1418">
        <f>R3065</f>
        <v>0</v>
      </c>
      <c r="AB3065" s="15"/>
    </row>
    <row r="3066" spans="1:36" s="77" customFormat="1" ht="15.6" hidden="1">
      <c r="A3066" s="370"/>
      <c r="B3066" s="1347"/>
      <c r="C3066" s="1348"/>
      <c r="D3066" s="1349"/>
      <c r="E3066" s="1350"/>
      <c r="F3066" s="1349"/>
      <c r="G3066" s="1349"/>
      <c r="H3066" s="1349"/>
      <c r="I3066" s="1349"/>
      <c r="J3066" s="1351"/>
      <c r="K3066" s="1352"/>
      <c r="L3066" s="1353"/>
      <c r="M3066" s="1354"/>
      <c r="N3066" s="1354"/>
      <c r="O3066" s="1354"/>
      <c r="P3066" s="1354"/>
      <c r="Q3066" s="1354"/>
      <c r="R3066" s="1355"/>
      <c r="S3066" s="1356"/>
      <c r="T3066" s="1357"/>
      <c r="U3066" s="1358"/>
      <c r="V3066" s="1420">
        <f>SUM(V3057:V3065)</f>
        <v>0</v>
      </c>
      <c r="AB3066" s="15"/>
    </row>
    <row r="3067" spans="1:36" s="352" customFormat="1" ht="15.6" hidden="1">
      <c r="A3067" s="351"/>
      <c r="B3067" s="1963" t="str">
        <f>VLOOKUP(A3075,'11 - FINANCEIRA'!_xlnm.Print_Area,1,FALSE)</f>
        <v>2.5.2.5.3</v>
      </c>
      <c r="C3067" s="1965" t="str">
        <f>VLOOKUP(A3075,'11 - FINANCEIRA'!_xlnm.Print_Area,3,FALSE)</f>
        <v xml:space="preserve">Cruzeta para fixação de 3 projetores, 1400mm, com fixadores, parafusos e demais conexões para poste telecônico </v>
      </c>
      <c r="D3067" s="1967" t="s">
        <v>1503</v>
      </c>
      <c r="E3067" s="1968"/>
      <c r="F3067" s="1968"/>
      <c r="G3067" s="1968"/>
      <c r="H3067" s="1968"/>
      <c r="I3067" s="1969"/>
      <c r="J3067" s="1914" t="s">
        <v>1504</v>
      </c>
      <c r="K3067" s="1914" t="s">
        <v>1505</v>
      </c>
      <c r="L3067" s="1914" t="s">
        <v>1506</v>
      </c>
      <c r="M3067" s="1914" t="s">
        <v>1507</v>
      </c>
      <c r="N3067" s="1914" t="s">
        <v>1508</v>
      </c>
      <c r="O3067" s="1914" t="s">
        <v>1509</v>
      </c>
      <c r="P3067" s="1341" t="s">
        <v>1510</v>
      </c>
      <c r="Q3067" s="1914" t="s">
        <v>1493</v>
      </c>
      <c r="R3067" s="1916" t="s">
        <v>804</v>
      </c>
      <c r="S3067" s="1914" t="s">
        <v>1511</v>
      </c>
      <c r="T3067" s="1914" t="s">
        <v>1512</v>
      </c>
      <c r="U3067" s="1918" t="s">
        <v>1513</v>
      </c>
      <c r="V3067" s="1418">
        <f t="shared" ref="V3067:V3074" si="310">V3068</f>
        <v>0</v>
      </c>
      <c r="W3067" s="16"/>
      <c r="X3067" s="16"/>
      <c r="Y3067" s="16"/>
      <c r="Z3067" s="17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</row>
    <row r="3068" spans="1:36" s="352" customFormat="1" ht="15.6" hidden="1">
      <c r="A3068" s="351"/>
      <c r="B3068" s="1964" t="e">
        <f>LEFT(#REF!,5)</f>
        <v>#REF!</v>
      </c>
      <c r="C3068" s="1966" t="e">
        <f>VLOOKUP(LEFT(#REF!,5),'11 - FINANCEIRA'!_xlnm.Print_Area,2,FALSE)</f>
        <v>#REF!</v>
      </c>
      <c r="D3068" s="1920" t="s">
        <v>1514</v>
      </c>
      <c r="E3068" s="1921"/>
      <c r="F3068" s="1922"/>
      <c r="G3068" s="1923" t="s">
        <v>1515</v>
      </c>
      <c r="H3068" s="1924"/>
      <c r="I3068" s="1925"/>
      <c r="J3068" s="1915"/>
      <c r="K3068" s="1915"/>
      <c r="L3068" s="1915"/>
      <c r="M3068" s="1915"/>
      <c r="N3068" s="1915"/>
      <c r="O3068" s="1915"/>
      <c r="P3068" s="353" t="s">
        <v>1516</v>
      </c>
      <c r="Q3068" s="1915"/>
      <c r="R3068" s="1917"/>
      <c r="S3068" s="1915"/>
      <c r="T3068" s="1915"/>
      <c r="U3068" s="1919"/>
      <c r="V3068" s="1418">
        <f t="shared" si="310"/>
        <v>0</v>
      </c>
      <c r="W3068" s="16"/>
      <c r="X3068" s="16"/>
      <c r="Y3068" s="16"/>
      <c r="Z3068" s="17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</row>
    <row r="3069" spans="1:36" s="361" customFormat="1" ht="30" hidden="1">
      <c r="A3069" s="354"/>
      <c r="B3069" s="355"/>
      <c r="C3069" s="28" t="s">
        <v>1209</v>
      </c>
      <c r="D3069" s="18"/>
      <c r="E3069" s="19"/>
      <c r="F3069" s="20"/>
      <c r="G3069" s="18"/>
      <c r="H3069" s="19"/>
      <c r="I3069" s="20"/>
      <c r="J3069" s="21"/>
      <c r="K3069" s="22"/>
      <c r="L3069" s="23"/>
      <c r="M3069" s="24"/>
      <c r="N3069" s="728"/>
      <c r="O3069" s="25"/>
      <c r="P3069" s="23"/>
      <c r="Q3069" s="729"/>
      <c r="R3069" s="1109">
        <v>8</v>
      </c>
      <c r="S3069" s="730" t="s">
        <v>816</v>
      </c>
      <c r="T3069" s="446" t="s">
        <v>326</v>
      </c>
      <c r="U3069" s="44"/>
      <c r="V3069" s="1418">
        <f t="shared" si="310"/>
        <v>0</v>
      </c>
      <c r="W3069" s="357"/>
      <c r="X3069" s="357"/>
      <c r="Y3069" s="357"/>
      <c r="Z3069" s="358"/>
      <c r="AA3069" s="359"/>
      <c r="AB3069" s="360"/>
    </row>
    <row r="3070" spans="1:36" s="361" customFormat="1" ht="30" hidden="1">
      <c r="A3070" s="354"/>
      <c r="B3070" s="355"/>
      <c r="C3070" s="32" t="s">
        <v>1209</v>
      </c>
      <c r="D3070" s="33"/>
      <c r="E3070" s="34"/>
      <c r="F3070" s="35"/>
      <c r="G3070" s="33"/>
      <c r="H3070" s="34"/>
      <c r="I3070" s="35"/>
      <c r="J3070" s="43"/>
      <c r="K3070" s="42"/>
      <c r="L3070" s="39"/>
      <c r="M3070" s="41"/>
      <c r="N3070" s="356"/>
      <c r="O3070" s="40"/>
      <c r="P3070" s="39"/>
      <c r="Q3070" s="45"/>
      <c r="R3070" s="362">
        <v>2</v>
      </c>
      <c r="S3070" s="363" t="s">
        <v>816</v>
      </c>
      <c r="T3070" s="46" t="s">
        <v>331</v>
      </c>
      <c r="U3070" s="44"/>
      <c r="V3070" s="1418">
        <f t="shared" si="310"/>
        <v>0</v>
      </c>
      <c r="W3070" s="357"/>
      <c r="X3070" s="357"/>
      <c r="Y3070" s="357"/>
      <c r="Z3070" s="358"/>
      <c r="AA3070" s="359"/>
      <c r="AB3070" s="360"/>
    </row>
    <row r="3071" spans="1:36" s="369" customFormat="1" ht="15" hidden="1">
      <c r="A3071" s="364"/>
      <c r="B3071" s="355"/>
      <c r="C3071" s="32"/>
      <c r="D3071" s="33"/>
      <c r="E3071" s="34"/>
      <c r="F3071" s="35"/>
      <c r="G3071" s="33"/>
      <c r="H3071" s="34"/>
      <c r="I3071" s="35"/>
      <c r="J3071" s="43"/>
      <c r="K3071" s="42"/>
      <c r="L3071" s="39"/>
      <c r="M3071" s="41"/>
      <c r="N3071" s="40"/>
      <c r="O3071" s="40"/>
      <c r="P3071" s="39"/>
      <c r="Q3071" s="38"/>
      <c r="R3071" s="365"/>
      <c r="S3071" s="366"/>
      <c r="T3071" s="46"/>
      <c r="U3071" s="44"/>
      <c r="V3071" s="1418">
        <f t="shared" si="310"/>
        <v>0</v>
      </c>
      <c r="W3071" s="367"/>
      <c r="X3071" s="367"/>
      <c r="Y3071" s="367"/>
      <c r="Z3071" s="368"/>
    </row>
    <row r="3072" spans="1:36" s="77" customFormat="1" ht="15" hidden="1">
      <c r="A3072" s="370"/>
      <c r="B3072" s="29"/>
      <c r="C3072" s="30"/>
      <c r="D3072" s="18"/>
      <c r="E3072" s="19"/>
      <c r="F3072" s="20"/>
      <c r="G3072" s="18"/>
      <c r="H3072" s="19"/>
      <c r="I3072" s="20"/>
      <c r="J3072" s="21"/>
      <c r="K3072" s="22"/>
      <c r="L3072" s="23"/>
      <c r="M3072" s="24"/>
      <c r="N3072" s="25"/>
      <c r="O3072" s="25"/>
      <c r="P3072" s="23"/>
      <c r="Q3072" s="26"/>
      <c r="R3072" s="371"/>
      <c r="S3072" s="27"/>
      <c r="T3072" s="372"/>
      <c r="U3072" s="31"/>
      <c r="V3072" s="1418">
        <f t="shared" si="310"/>
        <v>0</v>
      </c>
      <c r="AB3072" s="15"/>
    </row>
    <row r="3073" spans="1:36" s="77" customFormat="1" ht="15.6" hidden="1">
      <c r="A3073" s="370"/>
      <c r="B3073" s="499"/>
      <c r="C3073" s="37"/>
      <c r="D3073" s="1929" t="s">
        <v>1520</v>
      </c>
      <c r="E3073" s="1930"/>
      <c r="F3073" s="1930"/>
      <c r="G3073" s="1930"/>
      <c r="H3073" s="1930"/>
      <c r="I3073" s="1931"/>
      <c r="J3073" s="1932">
        <f>VLOOKUP(A3075,'11 - FINANCEIRA'!_xlnm.Print_Area,6,FALSE)</f>
        <v>10</v>
      </c>
      <c r="K3073" s="1933"/>
      <c r="L3073" s="1343" t="str">
        <f>VLOOKUP(A3075,'11 - FINANCEIRA'!_xlnm.Print_Area,4,FALSE)</f>
        <v>und</v>
      </c>
      <c r="M3073" s="1934" t="s">
        <v>1521</v>
      </c>
      <c r="N3073" s="1935"/>
      <c r="O3073" s="1935"/>
      <c r="P3073" s="1935"/>
      <c r="Q3073" s="1936"/>
      <c r="R3073" s="726">
        <f>SUM(R3069:R3072)</f>
        <v>10</v>
      </c>
      <c r="S3073" s="1344" t="str">
        <f>L3073</f>
        <v>und</v>
      </c>
      <c r="T3073" s="373"/>
      <c r="U3073" s="486"/>
      <c r="V3073" s="1418">
        <f t="shared" si="310"/>
        <v>0</v>
      </c>
      <c r="AB3073" s="15"/>
    </row>
    <row r="3074" spans="1:36" s="77" customFormat="1" ht="15.6" hidden="1">
      <c r="A3074" s="370"/>
      <c r="B3074" s="499"/>
      <c r="C3074" s="725"/>
      <c r="D3074" s="1937" t="s">
        <v>1522</v>
      </c>
      <c r="E3074" s="1938"/>
      <c r="F3074" s="1938"/>
      <c r="G3074" s="1938"/>
      <c r="H3074" s="1938"/>
      <c r="I3074" s="1939"/>
      <c r="J3074" s="1943">
        <f>R3073/J3073</f>
        <v>1</v>
      </c>
      <c r="K3074" s="1944"/>
      <c r="L3074" s="1947"/>
      <c r="M3074" s="1934" t="s">
        <v>1523</v>
      </c>
      <c r="N3074" s="1935"/>
      <c r="O3074" s="1935"/>
      <c r="P3074" s="1935"/>
      <c r="Q3074" s="1936"/>
      <c r="R3074" s="726">
        <f>VLOOKUP(A3075,'11 - FINANCEIRA'!_xlnm.Print_Area,8,FALSE)</f>
        <v>10</v>
      </c>
      <c r="S3074" s="727" t="str">
        <f>L3073</f>
        <v>und</v>
      </c>
      <c r="T3074" s="373"/>
      <c r="U3074" s="486"/>
      <c r="V3074" s="1418">
        <f t="shared" si="310"/>
        <v>0</v>
      </c>
      <c r="AB3074" s="15"/>
    </row>
    <row r="3075" spans="1:36" s="77" customFormat="1" ht="15.6" hidden="1">
      <c r="A3075" s="364" t="s">
        <v>617</v>
      </c>
      <c r="B3075" s="499"/>
      <c r="C3075" s="37"/>
      <c r="D3075" s="2013"/>
      <c r="E3075" s="2014"/>
      <c r="F3075" s="2014"/>
      <c r="G3075" s="2014"/>
      <c r="H3075" s="2014"/>
      <c r="I3075" s="2015"/>
      <c r="J3075" s="2016"/>
      <c r="K3075" s="2017"/>
      <c r="L3075" s="1962"/>
      <c r="M3075" s="2007" t="s">
        <v>1524</v>
      </c>
      <c r="N3075" s="2008"/>
      <c r="O3075" s="2008"/>
      <c r="P3075" s="2008"/>
      <c r="Q3075" s="2009"/>
      <c r="R3075" s="1345">
        <f>R3073-R3074</f>
        <v>0</v>
      </c>
      <c r="S3075" s="1346" t="str">
        <f>L3073</f>
        <v>und</v>
      </c>
      <c r="T3075" s="373"/>
      <c r="U3075" s="486"/>
      <c r="V3075" s="1418">
        <f>R3075</f>
        <v>0</v>
      </c>
      <c r="AB3075" s="15"/>
    </row>
    <row r="3076" spans="1:36" s="77" customFormat="1" ht="15.6" hidden="1">
      <c r="A3076" s="370"/>
      <c r="B3076" s="1347"/>
      <c r="C3076" s="1348"/>
      <c r="D3076" s="1349"/>
      <c r="E3076" s="1350"/>
      <c r="F3076" s="1349"/>
      <c r="G3076" s="1349"/>
      <c r="H3076" s="1349"/>
      <c r="I3076" s="1349"/>
      <c r="J3076" s="1351"/>
      <c r="K3076" s="1352"/>
      <c r="L3076" s="1353"/>
      <c r="M3076" s="1354"/>
      <c r="N3076" s="1354"/>
      <c r="O3076" s="1354"/>
      <c r="P3076" s="1354"/>
      <c r="Q3076" s="1354"/>
      <c r="R3076" s="1355"/>
      <c r="S3076" s="1356"/>
      <c r="T3076" s="1357"/>
      <c r="U3076" s="1358"/>
      <c r="V3076" s="1420">
        <f>SUM(V3067:V3075)</f>
        <v>0</v>
      </c>
      <c r="AB3076" s="15"/>
    </row>
    <row r="3077" spans="1:36" s="352" customFormat="1" ht="15.6" hidden="1">
      <c r="A3077" s="351"/>
      <c r="B3077" s="1963" t="str">
        <f>VLOOKUP(A3085,'11 - FINANCEIRA'!_xlnm.Print_Area,1,FALSE)</f>
        <v>2.5.2.5.4</v>
      </c>
      <c r="C3077" s="1965" t="str">
        <f>VLOOKUP(A3085,'11 - FINANCEIRA'!_xlnm.Print_Area,3,FALSE)</f>
        <v>Poste telecônico reto, em aço galvanizado, com flange / flangeado na base, com chumbadores e demais peças para fixação, pintura branca eletrostática a quente em poliéster, 6000 mm. ref: induspar ou similar</v>
      </c>
      <c r="D3077" s="1967" t="s">
        <v>1503</v>
      </c>
      <c r="E3077" s="1968"/>
      <c r="F3077" s="1968"/>
      <c r="G3077" s="1968"/>
      <c r="H3077" s="1968"/>
      <c r="I3077" s="1969"/>
      <c r="J3077" s="1914" t="s">
        <v>1504</v>
      </c>
      <c r="K3077" s="1914" t="s">
        <v>1505</v>
      </c>
      <c r="L3077" s="1914" t="s">
        <v>1506</v>
      </c>
      <c r="M3077" s="1914" t="s">
        <v>1507</v>
      </c>
      <c r="N3077" s="1914" t="s">
        <v>1508</v>
      </c>
      <c r="O3077" s="1914" t="s">
        <v>1509</v>
      </c>
      <c r="P3077" s="1341" t="s">
        <v>1510</v>
      </c>
      <c r="Q3077" s="1914" t="s">
        <v>1493</v>
      </c>
      <c r="R3077" s="1916" t="s">
        <v>804</v>
      </c>
      <c r="S3077" s="1914" t="s">
        <v>1511</v>
      </c>
      <c r="T3077" s="1914" t="s">
        <v>1512</v>
      </c>
      <c r="U3077" s="1918" t="s">
        <v>1513</v>
      </c>
      <c r="V3077" s="1418">
        <f t="shared" ref="V3077:V3084" si="311">V3078</f>
        <v>0</v>
      </c>
      <c r="W3077" s="16"/>
      <c r="X3077" s="16"/>
      <c r="Y3077" s="16"/>
      <c r="Z3077" s="17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</row>
    <row r="3078" spans="1:36" s="352" customFormat="1" ht="15.6" hidden="1">
      <c r="A3078" s="351"/>
      <c r="B3078" s="1964" t="e">
        <f>LEFT(#REF!,5)</f>
        <v>#REF!</v>
      </c>
      <c r="C3078" s="1966" t="e">
        <f>VLOOKUP(LEFT(#REF!,5),'11 - FINANCEIRA'!_xlnm.Print_Area,2,FALSE)</f>
        <v>#REF!</v>
      </c>
      <c r="D3078" s="1920" t="s">
        <v>1514</v>
      </c>
      <c r="E3078" s="1921"/>
      <c r="F3078" s="1922"/>
      <c r="G3078" s="1923" t="s">
        <v>1515</v>
      </c>
      <c r="H3078" s="1924"/>
      <c r="I3078" s="1925"/>
      <c r="J3078" s="1915"/>
      <c r="K3078" s="1915"/>
      <c r="L3078" s="1915"/>
      <c r="M3078" s="1915"/>
      <c r="N3078" s="1915"/>
      <c r="O3078" s="1915"/>
      <c r="P3078" s="353" t="s">
        <v>1516</v>
      </c>
      <c r="Q3078" s="1915"/>
      <c r="R3078" s="1917"/>
      <c r="S3078" s="1915"/>
      <c r="T3078" s="1915"/>
      <c r="U3078" s="1919"/>
      <c r="V3078" s="1418">
        <f t="shared" si="311"/>
        <v>0</v>
      </c>
      <c r="W3078" s="16"/>
      <c r="X3078" s="16"/>
      <c r="Y3078" s="16"/>
      <c r="Z3078" s="17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</row>
    <row r="3079" spans="1:36" s="361" customFormat="1" ht="45" hidden="1">
      <c r="A3079" s="354"/>
      <c r="B3079" s="355"/>
      <c r="C3079" s="28" t="s">
        <v>1211</v>
      </c>
      <c r="D3079" s="18"/>
      <c r="E3079" s="19"/>
      <c r="F3079" s="20"/>
      <c r="G3079" s="18"/>
      <c r="H3079" s="19"/>
      <c r="I3079" s="20"/>
      <c r="J3079" s="21"/>
      <c r="K3079" s="22"/>
      <c r="L3079" s="23"/>
      <c r="M3079" s="24"/>
      <c r="N3079" s="728"/>
      <c r="O3079" s="25"/>
      <c r="P3079" s="23"/>
      <c r="Q3079" s="729"/>
      <c r="R3079" s="1109">
        <v>1</v>
      </c>
      <c r="S3079" s="730" t="s">
        <v>816</v>
      </c>
      <c r="T3079" s="446" t="s">
        <v>326</v>
      </c>
      <c r="U3079" s="44"/>
      <c r="V3079" s="1418">
        <f t="shared" si="311"/>
        <v>0</v>
      </c>
      <c r="W3079" s="357"/>
      <c r="X3079" s="357"/>
      <c r="Y3079" s="357"/>
      <c r="Z3079" s="358"/>
      <c r="AA3079" s="359"/>
      <c r="AB3079" s="360"/>
    </row>
    <row r="3080" spans="1:36" s="361" customFormat="1" ht="15" hidden="1" customHeight="1">
      <c r="A3080" s="354"/>
      <c r="B3080" s="355"/>
      <c r="C3080" s="32"/>
      <c r="D3080" s="33"/>
      <c r="E3080" s="34"/>
      <c r="F3080" s="35"/>
      <c r="G3080" s="33"/>
      <c r="H3080" s="34"/>
      <c r="I3080" s="35"/>
      <c r="J3080" s="43"/>
      <c r="K3080" s="42"/>
      <c r="L3080" s="39"/>
      <c r="M3080" s="41"/>
      <c r="N3080" s="356"/>
      <c r="O3080" s="40"/>
      <c r="P3080" s="39"/>
      <c r="Q3080" s="45"/>
      <c r="R3080" s="362"/>
      <c r="S3080" s="363"/>
      <c r="T3080" s="46"/>
      <c r="U3080" s="44"/>
      <c r="V3080" s="1418">
        <f t="shared" si="311"/>
        <v>0</v>
      </c>
      <c r="W3080" s="357"/>
      <c r="X3080" s="357"/>
      <c r="Y3080" s="357"/>
      <c r="Z3080" s="358"/>
      <c r="AA3080" s="359"/>
      <c r="AB3080" s="360"/>
    </row>
    <row r="3081" spans="1:36" s="369" customFormat="1" ht="15" hidden="1">
      <c r="A3081" s="364"/>
      <c r="B3081" s="355"/>
      <c r="C3081" s="32"/>
      <c r="D3081" s="33"/>
      <c r="E3081" s="34"/>
      <c r="F3081" s="35"/>
      <c r="G3081" s="33"/>
      <c r="H3081" s="34"/>
      <c r="I3081" s="35"/>
      <c r="J3081" s="43"/>
      <c r="K3081" s="42"/>
      <c r="L3081" s="39"/>
      <c r="M3081" s="41"/>
      <c r="N3081" s="40"/>
      <c r="O3081" s="40"/>
      <c r="P3081" s="39"/>
      <c r="Q3081" s="38"/>
      <c r="R3081" s="365"/>
      <c r="S3081" s="366"/>
      <c r="T3081" s="46"/>
      <c r="U3081" s="44"/>
      <c r="V3081" s="1418">
        <f t="shared" si="311"/>
        <v>0</v>
      </c>
      <c r="W3081" s="367"/>
      <c r="X3081" s="367"/>
      <c r="Y3081" s="367"/>
      <c r="Z3081" s="368"/>
    </row>
    <row r="3082" spans="1:36" s="77" customFormat="1" ht="15" hidden="1">
      <c r="A3082" s="370"/>
      <c r="B3082" s="29"/>
      <c r="C3082" s="30"/>
      <c r="D3082" s="18"/>
      <c r="E3082" s="19"/>
      <c r="F3082" s="20"/>
      <c r="G3082" s="18"/>
      <c r="H3082" s="19"/>
      <c r="I3082" s="20"/>
      <c r="J3082" s="21"/>
      <c r="K3082" s="22"/>
      <c r="L3082" s="23"/>
      <c r="M3082" s="24"/>
      <c r="N3082" s="25"/>
      <c r="O3082" s="25"/>
      <c r="P3082" s="23"/>
      <c r="Q3082" s="26"/>
      <c r="R3082" s="371"/>
      <c r="S3082" s="27"/>
      <c r="T3082" s="372"/>
      <c r="U3082" s="31"/>
      <c r="V3082" s="1418">
        <f t="shared" si="311"/>
        <v>0</v>
      </c>
      <c r="AB3082" s="15"/>
    </row>
    <row r="3083" spans="1:36" s="77" customFormat="1" ht="15.6" hidden="1">
      <c r="A3083" s="370"/>
      <c r="B3083" s="499"/>
      <c r="C3083" s="37"/>
      <c r="D3083" s="1929" t="s">
        <v>1520</v>
      </c>
      <c r="E3083" s="1930"/>
      <c r="F3083" s="1930"/>
      <c r="G3083" s="1930"/>
      <c r="H3083" s="1930"/>
      <c r="I3083" s="1931"/>
      <c r="J3083" s="1932">
        <f>VLOOKUP(A3085,'11 - FINANCEIRA'!_xlnm.Print_Area,6,FALSE)</f>
        <v>1</v>
      </c>
      <c r="K3083" s="1933"/>
      <c r="L3083" s="1343" t="str">
        <f>VLOOKUP(A3085,'11 - FINANCEIRA'!_xlnm.Print_Area,4,FALSE)</f>
        <v>und</v>
      </c>
      <c r="M3083" s="1934" t="s">
        <v>1521</v>
      </c>
      <c r="N3083" s="1935"/>
      <c r="O3083" s="1935"/>
      <c r="P3083" s="1935"/>
      <c r="Q3083" s="1936"/>
      <c r="R3083" s="726">
        <f>SUM(R3079:R3082)</f>
        <v>1</v>
      </c>
      <c r="S3083" s="1344" t="str">
        <f>L3083</f>
        <v>und</v>
      </c>
      <c r="T3083" s="373"/>
      <c r="U3083" s="486"/>
      <c r="V3083" s="1418">
        <f t="shared" si="311"/>
        <v>0</v>
      </c>
      <c r="AB3083" s="15"/>
    </row>
    <row r="3084" spans="1:36" s="77" customFormat="1" ht="15.6" hidden="1">
      <c r="A3084" s="370"/>
      <c r="B3084" s="499"/>
      <c r="C3084" s="725"/>
      <c r="D3084" s="1937" t="s">
        <v>1522</v>
      </c>
      <c r="E3084" s="1938"/>
      <c r="F3084" s="1938"/>
      <c r="G3084" s="1938"/>
      <c r="H3084" s="1938"/>
      <c r="I3084" s="1939"/>
      <c r="J3084" s="1943">
        <f>R3083/J3083</f>
        <v>1</v>
      </c>
      <c r="K3084" s="1944"/>
      <c r="L3084" s="1947"/>
      <c r="M3084" s="1934" t="s">
        <v>1523</v>
      </c>
      <c r="N3084" s="1935"/>
      <c r="O3084" s="1935"/>
      <c r="P3084" s="1935"/>
      <c r="Q3084" s="1936"/>
      <c r="R3084" s="726">
        <f>VLOOKUP(A3085,'11 - FINANCEIRA'!_xlnm.Print_Area,8,FALSE)</f>
        <v>1</v>
      </c>
      <c r="S3084" s="727" t="str">
        <f>L3083</f>
        <v>und</v>
      </c>
      <c r="T3084" s="373"/>
      <c r="U3084" s="486"/>
      <c r="V3084" s="1418">
        <f t="shared" si="311"/>
        <v>0</v>
      </c>
      <c r="AB3084" s="15"/>
    </row>
    <row r="3085" spans="1:36" s="77" customFormat="1" ht="15.6" hidden="1">
      <c r="A3085" s="364" t="s">
        <v>618</v>
      </c>
      <c r="B3085" s="499"/>
      <c r="C3085" s="37"/>
      <c r="D3085" s="2013"/>
      <c r="E3085" s="2014"/>
      <c r="F3085" s="2014"/>
      <c r="G3085" s="2014"/>
      <c r="H3085" s="2014"/>
      <c r="I3085" s="2015"/>
      <c r="J3085" s="2016"/>
      <c r="K3085" s="2017"/>
      <c r="L3085" s="1962"/>
      <c r="M3085" s="2007" t="s">
        <v>1524</v>
      </c>
      <c r="N3085" s="2008"/>
      <c r="O3085" s="2008"/>
      <c r="P3085" s="2008"/>
      <c r="Q3085" s="2009"/>
      <c r="R3085" s="1345">
        <f>R3083-R3084</f>
        <v>0</v>
      </c>
      <c r="S3085" s="1346" t="str">
        <f>L3083</f>
        <v>und</v>
      </c>
      <c r="T3085" s="373"/>
      <c r="U3085" s="486"/>
      <c r="V3085" s="1418">
        <f>R3085</f>
        <v>0</v>
      </c>
      <c r="AB3085" s="15"/>
    </row>
    <row r="3086" spans="1:36" s="77" customFormat="1" ht="15.6" hidden="1">
      <c r="A3086" s="370"/>
      <c r="B3086" s="1347"/>
      <c r="C3086" s="1348"/>
      <c r="D3086" s="1349"/>
      <c r="E3086" s="1350"/>
      <c r="F3086" s="1349"/>
      <c r="G3086" s="1349"/>
      <c r="H3086" s="1349"/>
      <c r="I3086" s="1349"/>
      <c r="J3086" s="1351"/>
      <c r="K3086" s="1352"/>
      <c r="L3086" s="1353"/>
      <c r="M3086" s="1354"/>
      <c r="N3086" s="1354"/>
      <c r="O3086" s="1354"/>
      <c r="P3086" s="1354"/>
      <c r="Q3086" s="1354"/>
      <c r="R3086" s="1355"/>
      <c r="S3086" s="1356"/>
      <c r="T3086" s="1357"/>
      <c r="U3086" s="1358"/>
      <c r="V3086" s="1420">
        <f>SUM(V3077:V3085)</f>
        <v>0</v>
      </c>
      <c r="AB3086" s="15"/>
    </row>
    <row r="3087" spans="1:36" s="352" customFormat="1" ht="15.6" hidden="1">
      <c r="A3087" s="351"/>
      <c r="B3087" s="1963" t="str">
        <f>VLOOKUP(A3095,'11 - FINANCEIRA'!_xlnm.Print_Area,1,FALSE)</f>
        <v>2.5.2.5.5</v>
      </c>
      <c r="C3087" s="1965" t="str">
        <f>VLOOKUP(A3095,'11 - FINANCEIRA'!_xlnm.Print_Area,3,FALSE)</f>
        <v>Poste telecônico reto, em aço galvanizado, com flange / flangeado na base, com chumbadores e demais peças para fixação, pintura eletrostática a quente em poliéster, 2500 mm. com 01 luminária no formato pétala, led 23w-220v, ip65.</v>
      </c>
      <c r="D3087" s="1967" t="s">
        <v>1503</v>
      </c>
      <c r="E3087" s="1968"/>
      <c r="F3087" s="1968"/>
      <c r="G3087" s="1968"/>
      <c r="H3087" s="1968"/>
      <c r="I3087" s="1969"/>
      <c r="J3087" s="1914" t="s">
        <v>1504</v>
      </c>
      <c r="K3087" s="1914" t="s">
        <v>1505</v>
      </c>
      <c r="L3087" s="1914" t="s">
        <v>1506</v>
      </c>
      <c r="M3087" s="1914" t="s">
        <v>1507</v>
      </c>
      <c r="N3087" s="1914" t="s">
        <v>1508</v>
      </c>
      <c r="O3087" s="1914" t="s">
        <v>1509</v>
      </c>
      <c r="P3087" s="1341" t="s">
        <v>1510</v>
      </c>
      <c r="Q3087" s="1914" t="s">
        <v>1493</v>
      </c>
      <c r="R3087" s="1916" t="s">
        <v>804</v>
      </c>
      <c r="S3087" s="1914" t="s">
        <v>1511</v>
      </c>
      <c r="T3087" s="1914" t="s">
        <v>1512</v>
      </c>
      <c r="U3087" s="1918" t="s">
        <v>1513</v>
      </c>
      <c r="V3087" s="1418">
        <f t="shared" ref="V3087:V3094" si="312">V3088</f>
        <v>0</v>
      </c>
      <c r="W3087" s="16"/>
      <c r="X3087" s="16"/>
      <c r="Y3087" s="16"/>
      <c r="Z3087" s="17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</row>
    <row r="3088" spans="1:36" s="352" customFormat="1" ht="15.6" hidden="1">
      <c r="A3088" s="351"/>
      <c r="B3088" s="1964" t="e">
        <f>LEFT(#REF!,5)</f>
        <v>#REF!</v>
      </c>
      <c r="C3088" s="1966" t="e">
        <f>VLOOKUP(LEFT(#REF!,5),'11 - FINANCEIRA'!_xlnm.Print_Area,2,FALSE)</f>
        <v>#REF!</v>
      </c>
      <c r="D3088" s="1920" t="s">
        <v>1514</v>
      </c>
      <c r="E3088" s="1921"/>
      <c r="F3088" s="1922"/>
      <c r="G3088" s="1923" t="s">
        <v>1515</v>
      </c>
      <c r="H3088" s="1924"/>
      <c r="I3088" s="1925"/>
      <c r="J3088" s="1915"/>
      <c r="K3088" s="1915"/>
      <c r="L3088" s="1915"/>
      <c r="M3088" s="1915"/>
      <c r="N3088" s="1915"/>
      <c r="O3088" s="1915"/>
      <c r="P3088" s="353" t="s">
        <v>1516</v>
      </c>
      <c r="Q3088" s="1915"/>
      <c r="R3088" s="1917"/>
      <c r="S3088" s="1915"/>
      <c r="T3088" s="1915"/>
      <c r="U3088" s="1919"/>
      <c r="V3088" s="1418">
        <f t="shared" si="312"/>
        <v>0</v>
      </c>
      <c r="W3088" s="16"/>
      <c r="X3088" s="16"/>
      <c r="Y3088" s="16"/>
      <c r="Z3088" s="17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</row>
    <row r="3089" spans="1:36" s="361" customFormat="1" ht="45" hidden="1">
      <c r="A3089" s="354"/>
      <c r="B3089" s="355"/>
      <c r="C3089" s="28" t="s">
        <v>1213</v>
      </c>
      <c r="D3089" s="18"/>
      <c r="E3089" s="19"/>
      <c r="F3089" s="20"/>
      <c r="G3089" s="18"/>
      <c r="H3089" s="19"/>
      <c r="I3089" s="20"/>
      <c r="J3089" s="21"/>
      <c r="K3089" s="22"/>
      <c r="L3089" s="23"/>
      <c r="M3089" s="24"/>
      <c r="N3089" s="728"/>
      <c r="O3089" s="25"/>
      <c r="P3089" s="23"/>
      <c r="Q3089" s="729"/>
      <c r="R3089" s="1109">
        <v>12</v>
      </c>
      <c r="S3089" s="730" t="s">
        <v>816</v>
      </c>
      <c r="T3089" s="446" t="s">
        <v>326</v>
      </c>
      <c r="U3089" s="44"/>
      <c r="V3089" s="1418">
        <f t="shared" si="312"/>
        <v>0</v>
      </c>
      <c r="W3089" s="357"/>
      <c r="X3089" s="357"/>
      <c r="Y3089" s="357"/>
      <c r="Z3089" s="358"/>
      <c r="AA3089" s="359"/>
      <c r="AB3089" s="360"/>
    </row>
    <row r="3090" spans="1:36" s="361" customFormat="1" ht="15" hidden="1" customHeight="1">
      <c r="A3090" s="354"/>
      <c r="B3090" s="355"/>
      <c r="C3090" s="32"/>
      <c r="D3090" s="33"/>
      <c r="E3090" s="34"/>
      <c r="F3090" s="35"/>
      <c r="G3090" s="33"/>
      <c r="H3090" s="34"/>
      <c r="I3090" s="35"/>
      <c r="J3090" s="43"/>
      <c r="K3090" s="42"/>
      <c r="L3090" s="39"/>
      <c r="M3090" s="41"/>
      <c r="N3090" s="356"/>
      <c r="O3090" s="40"/>
      <c r="P3090" s="39"/>
      <c r="Q3090" s="45"/>
      <c r="R3090" s="362"/>
      <c r="S3090" s="363"/>
      <c r="T3090" s="46"/>
      <c r="U3090" s="44"/>
      <c r="V3090" s="1418">
        <f t="shared" si="312"/>
        <v>0</v>
      </c>
      <c r="W3090" s="357"/>
      <c r="X3090" s="357"/>
      <c r="Y3090" s="357"/>
      <c r="Z3090" s="358"/>
      <c r="AA3090" s="359"/>
      <c r="AB3090" s="360"/>
    </row>
    <row r="3091" spans="1:36" s="369" customFormat="1" ht="15" hidden="1">
      <c r="A3091" s="364"/>
      <c r="B3091" s="355"/>
      <c r="C3091" s="32"/>
      <c r="D3091" s="33"/>
      <c r="E3091" s="34"/>
      <c r="F3091" s="35"/>
      <c r="G3091" s="33"/>
      <c r="H3091" s="34"/>
      <c r="I3091" s="35"/>
      <c r="J3091" s="43"/>
      <c r="K3091" s="42"/>
      <c r="L3091" s="39"/>
      <c r="M3091" s="41"/>
      <c r="N3091" s="40"/>
      <c r="O3091" s="40"/>
      <c r="P3091" s="39"/>
      <c r="Q3091" s="38"/>
      <c r="R3091" s="365"/>
      <c r="S3091" s="366"/>
      <c r="T3091" s="46"/>
      <c r="U3091" s="44"/>
      <c r="V3091" s="1418">
        <f t="shared" si="312"/>
        <v>0</v>
      </c>
      <c r="W3091" s="367"/>
      <c r="X3091" s="367"/>
      <c r="Y3091" s="367"/>
      <c r="Z3091" s="368"/>
    </row>
    <row r="3092" spans="1:36" s="77" customFormat="1" ht="15" hidden="1">
      <c r="A3092" s="370"/>
      <c r="B3092" s="29"/>
      <c r="C3092" s="30"/>
      <c r="D3092" s="18"/>
      <c r="E3092" s="19"/>
      <c r="F3092" s="20"/>
      <c r="G3092" s="18"/>
      <c r="H3092" s="19"/>
      <c r="I3092" s="20"/>
      <c r="J3092" s="21"/>
      <c r="K3092" s="22"/>
      <c r="L3092" s="23"/>
      <c r="M3092" s="24"/>
      <c r="N3092" s="25"/>
      <c r="O3092" s="25"/>
      <c r="P3092" s="23"/>
      <c r="Q3092" s="26"/>
      <c r="R3092" s="371"/>
      <c r="S3092" s="27"/>
      <c r="T3092" s="372"/>
      <c r="U3092" s="31"/>
      <c r="V3092" s="1418">
        <f t="shared" si="312"/>
        <v>0</v>
      </c>
      <c r="AB3092" s="15"/>
    </row>
    <row r="3093" spans="1:36" s="77" customFormat="1" ht="15.6" hidden="1">
      <c r="A3093" s="370"/>
      <c r="B3093" s="499"/>
      <c r="C3093" s="37"/>
      <c r="D3093" s="1929" t="s">
        <v>1520</v>
      </c>
      <c r="E3093" s="1930"/>
      <c r="F3093" s="1930"/>
      <c r="G3093" s="1930"/>
      <c r="H3093" s="1930"/>
      <c r="I3093" s="1931"/>
      <c r="J3093" s="1932">
        <f>VLOOKUP(A3095,'11 - FINANCEIRA'!_xlnm.Print_Area,6,FALSE)</f>
        <v>12</v>
      </c>
      <c r="K3093" s="1933"/>
      <c r="L3093" s="1343" t="str">
        <f>VLOOKUP(A3095,'11 - FINANCEIRA'!_xlnm.Print_Area,4,FALSE)</f>
        <v>und</v>
      </c>
      <c r="M3093" s="1934" t="s">
        <v>1521</v>
      </c>
      <c r="N3093" s="1935"/>
      <c r="O3093" s="1935"/>
      <c r="P3093" s="1935"/>
      <c r="Q3093" s="1936"/>
      <c r="R3093" s="726">
        <f>SUM(R3089:R3092)</f>
        <v>12</v>
      </c>
      <c r="S3093" s="1344" t="str">
        <f>L3093</f>
        <v>und</v>
      </c>
      <c r="T3093" s="373"/>
      <c r="U3093" s="486"/>
      <c r="V3093" s="1418">
        <f t="shared" si="312"/>
        <v>0</v>
      </c>
      <c r="AB3093" s="15"/>
    </row>
    <row r="3094" spans="1:36" s="77" customFormat="1" ht="15.6" hidden="1">
      <c r="A3094" s="370"/>
      <c r="B3094" s="499"/>
      <c r="C3094" s="725"/>
      <c r="D3094" s="1937" t="s">
        <v>1522</v>
      </c>
      <c r="E3094" s="1938"/>
      <c r="F3094" s="1938"/>
      <c r="G3094" s="1938"/>
      <c r="H3094" s="1938"/>
      <c r="I3094" s="1939"/>
      <c r="J3094" s="1943">
        <f>R3093/J3093</f>
        <v>1</v>
      </c>
      <c r="K3094" s="1944"/>
      <c r="L3094" s="1947"/>
      <c r="M3094" s="1934" t="s">
        <v>1523</v>
      </c>
      <c r="N3094" s="1935"/>
      <c r="O3094" s="1935"/>
      <c r="P3094" s="1935"/>
      <c r="Q3094" s="1936"/>
      <c r="R3094" s="726">
        <f>VLOOKUP(A3095,'11 - FINANCEIRA'!_xlnm.Print_Area,8,FALSE)</f>
        <v>12</v>
      </c>
      <c r="S3094" s="727" t="str">
        <f>L3093</f>
        <v>und</v>
      </c>
      <c r="T3094" s="373"/>
      <c r="U3094" s="486"/>
      <c r="V3094" s="1418">
        <f t="shared" si="312"/>
        <v>0</v>
      </c>
      <c r="AB3094" s="15"/>
    </row>
    <row r="3095" spans="1:36" s="77" customFormat="1" ht="15.6" hidden="1">
      <c r="A3095" s="364" t="s">
        <v>619</v>
      </c>
      <c r="B3095" s="499"/>
      <c r="C3095" s="37"/>
      <c r="D3095" s="2013"/>
      <c r="E3095" s="2014"/>
      <c r="F3095" s="2014"/>
      <c r="G3095" s="2014"/>
      <c r="H3095" s="2014"/>
      <c r="I3095" s="2015"/>
      <c r="J3095" s="2016"/>
      <c r="K3095" s="2017"/>
      <c r="L3095" s="1962"/>
      <c r="M3095" s="2007" t="s">
        <v>1524</v>
      </c>
      <c r="N3095" s="2008"/>
      <c r="O3095" s="2008"/>
      <c r="P3095" s="2008"/>
      <c r="Q3095" s="2009"/>
      <c r="R3095" s="1345">
        <f>R3093-R3094</f>
        <v>0</v>
      </c>
      <c r="S3095" s="1346" t="str">
        <f>L3093</f>
        <v>und</v>
      </c>
      <c r="T3095" s="373"/>
      <c r="U3095" s="486"/>
      <c r="V3095" s="1418">
        <f>R3095</f>
        <v>0</v>
      </c>
      <c r="AB3095" s="15"/>
    </row>
    <row r="3096" spans="1:36" s="77" customFormat="1" ht="15.6" hidden="1">
      <c r="A3096" s="370"/>
      <c r="B3096" s="1347"/>
      <c r="C3096" s="1348"/>
      <c r="D3096" s="1349"/>
      <c r="E3096" s="1350"/>
      <c r="F3096" s="1349"/>
      <c r="G3096" s="1349"/>
      <c r="H3096" s="1349"/>
      <c r="I3096" s="1349"/>
      <c r="J3096" s="1351"/>
      <c r="K3096" s="1352"/>
      <c r="L3096" s="1353"/>
      <c r="M3096" s="1354"/>
      <c r="N3096" s="1354"/>
      <c r="O3096" s="1354"/>
      <c r="P3096" s="1354"/>
      <c r="Q3096" s="1354"/>
      <c r="R3096" s="1355"/>
      <c r="S3096" s="1356"/>
      <c r="T3096" s="1357"/>
      <c r="U3096" s="1358"/>
      <c r="V3096" s="1420">
        <f>SUM(V3087:V3095)</f>
        <v>0</v>
      </c>
      <c r="AB3096" s="15"/>
    </row>
    <row r="3097" spans="1:36" s="352" customFormat="1" ht="15.6" hidden="1">
      <c r="A3097" s="351"/>
      <c r="B3097" s="1963" t="str">
        <f>VLOOKUP(A3105,'11 - FINANCEIRA'!_xlnm.Print_Area,1,FALSE)</f>
        <v>2.5.2.5.6</v>
      </c>
      <c r="C3097" s="1965" t="str">
        <f>VLOOKUP(A3105,'11 - FINANCEIRA'!_xlnm.Print_Area,3,FALSE)</f>
        <v xml:space="preserve">Arandela blindada, uso externo, 45°, ip 65, soquete e27 </v>
      </c>
      <c r="D3097" s="1967" t="s">
        <v>1503</v>
      </c>
      <c r="E3097" s="1968"/>
      <c r="F3097" s="1968"/>
      <c r="G3097" s="1968"/>
      <c r="H3097" s="1968"/>
      <c r="I3097" s="1969"/>
      <c r="J3097" s="1914" t="s">
        <v>1504</v>
      </c>
      <c r="K3097" s="1914" t="s">
        <v>1505</v>
      </c>
      <c r="L3097" s="1914" t="s">
        <v>1506</v>
      </c>
      <c r="M3097" s="1914" t="s">
        <v>1507</v>
      </c>
      <c r="N3097" s="1914" t="s">
        <v>1508</v>
      </c>
      <c r="O3097" s="1914" t="s">
        <v>1509</v>
      </c>
      <c r="P3097" s="1341" t="s">
        <v>1510</v>
      </c>
      <c r="Q3097" s="1914" t="s">
        <v>1493</v>
      </c>
      <c r="R3097" s="1916" t="s">
        <v>804</v>
      </c>
      <c r="S3097" s="1914" t="s">
        <v>1511</v>
      </c>
      <c r="T3097" s="1914" t="s">
        <v>1512</v>
      </c>
      <c r="U3097" s="1918" t="s">
        <v>1513</v>
      </c>
      <c r="V3097" s="1418">
        <f t="shared" ref="V3097:V3104" si="313">V3098</f>
        <v>0</v>
      </c>
      <c r="W3097" s="16"/>
      <c r="X3097" s="16"/>
      <c r="Y3097" s="16"/>
      <c r="Z3097" s="17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</row>
    <row r="3098" spans="1:36" s="352" customFormat="1" ht="15.6" hidden="1">
      <c r="A3098" s="351"/>
      <c r="B3098" s="1964" t="e">
        <f>LEFT(#REF!,5)</f>
        <v>#REF!</v>
      </c>
      <c r="C3098" s="1966" t="e">
        <f>VLOOKUP(LEFT(#REF!,5),'11 - FINANCEIRA'!_xlnm.Print_Area,2,FALSE)</f>
        <v>#REF!</v>
      </c>
      <c r="D3098" s="1920" t="s">
        <v>1514</v>
      </c>
      <c r="E3098" s="1921"/>
      <c r="F3098" s="1922"/>
      <c r="G3098" s="1923" t="s">
        <v>1515</v>
      </c>
      <c r="H3098" s="1924"/>
      <c r="I3098" s="1925"/>
      <c r="J3098" s="1915"/>
      <c r="K3098" s="1915"/>
      <c r="L3098" s="1915"/>
      <c r="M3098" s="1915"/>
      <c r="N3098" s="1915"/>
      <c r="O3098" s="1915"/>
      <c r="P3098" s="353" t="s">
        <v>1516</v>
      </c>
      <c r="Q3098" s="1915"/>
      <c r="R3098" s="1917"/>
      <c r="S3098" s="1915"/>
      <c r="T3098" s="1915"/>
      <c r="U3098" s="1919"/>
      <c r="V3098" s="1418">
        <f t="shared" si="313"/>
        <v>0</v>
      </c>
      <c r="W3098" s="16"/>
      <c r="X3098" s="16"/>
      <c r="Y3098" s="16"/>
      <c r="Z3098" s="17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</row>
    <row r="3099" spans="1:36" s="361" customFormat="1" ht="15" hidden="1" customHeight="1">
      <c r="A3099" s="354"/>
      <c r="B3099" s="355"/>
      <c r="C3099" s="28" t="s">
        <v>1215</v>
      </c>
      <c r="D3099" s="18"/>
      <c r="E3099" s="19"/>
      <c r="F3099" s="20"/>
      <c r="G3099" s="18"/>
      <c r="H3099" s="19"/>
      <c r="I3099" s="20"/>
      <c r="J3099" s="21"/>
      <c r="K3099" s="22"/>
      <c r="L3099" s="23"/>
      <c r="M3099" s="24"/>
      <c r="N3099" s="728"/>
      <c r="O3099" s="25"/>
      <c r="P3099" s="23"/>
      <c r="Q3099" s="729"/>
      <c r="R3099" s="1109">
        <v>3</v>
      </c>
      <c r="S3099" s="730" t="s">
        <v>816</v>
      </c>
      <c r="T3099" s="446" t="s">
        <v>330</v>
      </c>
      <c r="U3099" s="44"/>
      <c r="V3099" s="1418">
        <f t="shared" si="313"/>
        <v>0</v>
      </c>
      <c r="W3099" s="357"/>
      <c r="X3099" s="357"/>
      <c r="Y3099" s="357"/>
      <c r="Z3099" s="358"/>
      <c r="AA3099" s="359"/>
      <c r="AB3099" s="360"/>
    </row>
    <row r="3100" spans="1:36" s="361" customFormat="1" ht="15" hidden="1" customHeight="1">
      <c r="A3100" s="354"/>
      <c r="B3100" s="355"/>
      <c r="C3100" s="32"/>
      <c r="D3100" s="33"/>
      <c r="E3100" s="34"/>
      <c r="F3100" s="35"/>
      <c r="G3100" s="33"/>
      <c r="H3100" s="34"/>
      <c r="I3100" s="35"/>
      <c r="J3100" s="43"/>
      <c r="K3100" s="42"/>
      <c r="L3100" s="39"/>
      <c r="M3100" s="41"/>
      <c r="N3100" s="356"/>
      <c r="O3100" s="40"/>
      <c r="P3100" s="39"/>
      <c r="Q3100" s="45"/>
      <c r="R3100" s="362"/>
      <c r="S3100" s="363"/>
      <c r="T3100" s="46"/>
      <c r="U3100" s="44"/>
      <c r="V3100" s="1418">
        <f t="shared" si="313"/>
        <v>0</v>
      </c>
      <c r="W3100" s="357"/>
      <c r="X3100" s="357"/>
      <c r="Y3100" s="357"/>
      <c r="Z3100" s="358"/>
      <c r="AA3100" s="359"/>
      <c r="AB3100" s="360"/>
    </row>
    <row r="3101" spans="1:36" s="369" customFormat="1" ht="15" hidden="1">
      <c r="A3101" s="364"/>
      <c r="B3101" s="355"/>
      <c r="C3101" s="32"/>
      <c r="D3101" s="33"/>
      <c r="E3101" s="34"/>
      <c r="F3101" s="35"/>
      <c r="G3101" s="33"/>
      <c r="H3101" s="34"/>
      <c r="I3101" s="35"/>
      <c r="J3101" s="43"/>
      <c r="K3101" s="42"/>
      <c r="L3101" s="39"/>
      <c r="M3101" s="41"/>
      <c r="N3101" s="40"/>
      <c r="O3101" s="40"/>
      <c r="P3101" s="39"/>
      <c r="Q3101" s="38"/>
      <c r="R3101" s="365"/>
      <c r="S3101" s="366"/>
      <c r="T3101" s="46"/>
      <c r="U3101" s="44"/>
      <c r="V3101" s="1418">
        <f t="shared" si="313"/>
        <v>0</v>
      </c>
      <c r="W3101" s="367"/>
      <c r="X3101" s="367"/>
      <c r="Y3101" s="367"/>
      <c r="Z3101" s="368"/>
    </row>
    <row r="3102" spans="1:36" s="77" customFormat="1" ht="15" hidden="1">
      <c r="A3102" s="370"/>
      <c r="B3102" s="29"/>
      <c r="C3102" s="30"/>
      <c r="D3102" s="18"/>
      <c r="E3102" s="19"/>
      <c r="F3102" s="20"/>
      <c r="G3102" s="18"/>
      <c r="H3102" s="19"/>
      <c r="I3102" s="20"/>
      <c r="J3102" s="21"/>
      <c r="K3102" s="22"/>
      <c r="L3102" s="23"/>
      <c r="M3102" s="24"/>
      <c r="N3102" s="25"/>
      <c r="O3102" s="25"/>
      <c r="P3102" s="23"/>
      <c r="Q3102" s="26"/>
      <c r="R3102" s="371"/>
      <c r="S3102" s="27"/>
      <c r="T3102" s="372"/>
      <c r="U3102" s="31"/>
      <c r="V3102" s="1418">
        <f t="shared" si="313"/>
        <v>0</v>
      </c>
      <c r="AB3102" s="15"/>
    </row>
    <row r="3103" spans="1:36" s="77" customFormat="1" ht="15.6" hidden="1">
      <c r="A3103" s="370"/>
      <c r="B3103" s="499"/>
      <c r="C3103" s="37"/>
      <c r="D3103" s="1929" t="s">
        <v>1520</v>
      </c>
      <c r="E3103" s="1930"/>
      <c r="F3103" s="1930"/>
      <c r="G3103" s="1930"/>
      <c r="H3103" s="1930"/>
      <c r="I3103" s="1931"/>
      <c r="J3103" s="1932">
        <f>VLOOKUP(A3105,'11 - FINANCEIRA'!_xlnm.Print_Area,6,FALSE)</f>
        <v>17</v>
      </c>
      <c r="K3103" s="1933"/>
      <c r="L3103" s="1343" t="str">
        <f>VLOOKUP(A3105,'11 - FINANCEIRA'!_xlnm.Print_Area,4,FALSE)</f>
        <v>und</v>
      </c>
      <c r="M3103" s="1934" t="s">
        <v>1521</v>
      </c>
      <c r="N3103" s="1935"/>
      <c r="O3103" s="1935"/>
      <c r="P3103" s="1935"/>
      <c r="Q3103" s="1936"/>
      <c r="R3103" s="726">
        <f>SUM(R3099:R3102)</f>
        <v>3</v>
      </c>
      <c r="S3103" s="1344" t="str">
        <f>L3103</f>
        <v>und</v>
      </c>
      <c r="T3103" s="373"/>
      <c r="U3103" s="486"/>
      <c r="V3103" s="1418">
        <f t="shared" si="313"/>
        <v>0</v>
      </c>
      <c r="AB3103" s="15"/>
    </row>
    <row r="3104" spans="1:36" s="77" customFormat="1" ht="15.6" hidden="1">
      <c r="A3104" s="370"/>
      <c r="B3104" s="499"/>
      <c r="C3104" s="725"/>
      <c r="D3104" s="1937" t="s">
        <v>1522</v>
      </c>
      <c r="E3104" s="1938"/>
      <c r="F3104" s="1938"/>
      <c r="G3104" s="1938"/>
      <c r="H3104" s="1938"/>
      <c r="I3104" s="1939"/>
      <c r="J3104" s="1943">
        <f>R3103/J3103</f>
        <v>0.17647058823529413</v>
      </c>
      <c r="K3104" s="1944"/>
      <c r="L3104" s="1947"/>
      <c r="M3104" s="1934" t="s">
        <v>1523</v>
      </c>
      <c r="N3104" s="1935"/>
      <c r="O3104" s="1935"/>
      <c r="P3104" s="1935"/>
      <c r="Q3104" s="1936"/>
      <c r="R3104" s="726">
        <f>VLOOKUP(A3105,'11 - FINANCEIRA'!_xlnm.Print_Area,8,FALSE)</f>
        <v>3</v>
      </c>
      <c r="S3104" s="727" t="str">
        <f>L3103</f>
        <v>und</v>
      </c>
      <c r="T3104" s="373"/>
      <c r="U3104" s="486"/>
      <c r="V3104" s="1418">
        <f t="shared" si="313"/>
        <v>0</v>
      </c>
      <c r="AB3104" s="15"/>
    </row>
    <row r="3105" spans="1:36" s="77" customFormat="1" ht="15.6" hidden="1">
      <c r="A3105" s="364" t="s">
        <v>620</v>
      </c>
      <c r="B3105" s="499"/>
      <c r="C3105" s="37"/>
      <c r="D3105" s="2013"/>
      <c r="E3105" s="2014"/>
      <c r="F3105" s="2014"/>
      <c r="G3105" s="2014"/>
      <c r="H3105" s="2014"/>
      <c r="I3105" s="2015"/>
      <c r="J3105" s="2016"/>
      <c r="K3105" s="2017"/>
      <c r="L3105" s="1962"/>
      <c r="M3105" s="2007" t="s">
        <v>1524</v>
      </c>
      <c r="N3105" s="2008"/>
      <c r="O3105" s="2008"/>
      <c r="P3105" s="2008"/>
      <c r="Q3105" s="2009"/>
      <c r="R3105" s="1345">
        <f>R3103-R3104</f>
        <v>0</v>
      </c>
      <c r="S3105" s="1346" t="str">
        <f>L3103</f>
        <v>und</v>
      </c>
      <c r="T3105" s="373"/>
      <c r="U3105" s="486"/>
      <c r="V3105" s="1418">
        <f>R3105</f>
        <v>0</v>
      </c>
      <c r="AB3105" s="15"/>
    </row>
    <row r="3106" spans="1:36" s="77" customFormat="1" ht="15.6" hidden="1">
      <c r="A3106" s="370"/>
      <c r="B3106" s="1347"/>
      <c r="C3106" s="1348"/>
      <c r="D3106" s="1349"/>
      <c r="E3106" s="1350"/>
      <c r="F3106" s="1349"/>
      <c r="G3106" s="1349"/>
      <c r="H3106" s="1349"/>
      <c r="I3106" s="1349"/>
      <c r="J3106" s="1351"/>
      <c r="K3106" s="1352"/>
      <c r="L3106" s="1353"/>
      <c r="M3106" s="1354"/>
      <c r="N3106" s="1354"/>
      <c r="O3106" s="1354"/>
      <c r="P3106" s="1354"/>
      <c r="Q3106" s="1354"/>
      <c r="R3106" s="1355"/>
      <c r="S3106" s="1356"/>
      <c r="T3106" s="1357"/>
      <c r="U3106" s="1358"/>
      <c r="V3106" s="1420">
        <f>SUM(V3097:V3105)</f>
        <v>0</v>
      </c>
      <c r="AB3106" s="15"/>
    </row>
    <row r="3107" spans="1:36" s="352" customFormat="1" ht="15.6" hidden="1">
      <c r="A3107" s="351"/>
      <c r="B3107" s="1963" t="str">
        <f>VLOOKUP(A3115,'11 - FINANCEIRA'!_xlnm.Print_Area,1,FALSE)</f>
        <v>2.5.2.5.7</v>
      </c>
      <c r="C3107" s="1965" t="str">
        <f>VLOOKUP(A3115,'11 - FINANCEIRA'!_xlnm.Print_Area,3,FALSE)</f>
        <v>Lampada led 23 w, 3000 lumens, e27</v>
      </c>
      <c r="D3107" s="1967" t="s">
        <v>1503</v>
      </c>
      <c r="E3107" s="1968"/>
      <c r="F3107" s="1968"/>
      <c r="G3107" s="1968"/>
      <c r="H3107" s="1968"/>
      <c r="I3107" s="1969"/>
      <c r="J3107" s="1914" t="s">
        <v>1504</v>
      </c>
      <c r="K3107" s="1914" t="s">
        <v>1505</v>
      </c>
      <c r="L3107" s="1914" t="s">
        <v>1506</v>
      </c>
      <c r="M3107" s="1914" t="s">
        <v>1507</v>
      </c>
      <c r="N3107" s="1914" t="s">
        <v>1508</v>
      </c>
      <c r="O3107" s="1914" t="s">
        <v>1509</v>
      </c>
      <c r="P3107" s="1341" t="s">
        <v>1510</v>
      </c>
      <c r="Q3107" s="1914" t="s">
        <v>1493</v>
      </c>
      <c r="R3107" s="1916" t="s">
        <v>804</v>
      </c>
      <c r="S3107" s="1914" t="s">
        <v>1511</v>
      </c>
      <c r="T3107" s="1914" t="s">
        <v>1512</v>
      </c>
      <c r="U3107" s="1918" t="s">
        <v>1513</v>
      </c>
      <c r="V3107" s="1418">
        <f t="shared" ref="V3107:V3114" si="314">V3108</f>
        <v>0</v>
      </c>
      <c r="W3107" s="16"/>
      <c r="X3107" s="16"/>
      <c r="Y3107" s="16"/>
      <c r="Z3107" s="17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</row>
    <row r="3108" spans="1:36" s="352" customFormat="1" ht="15.6" hidden="1">
      <c r="A3108" s="351"/>
      <c r="B3108" s="1964" t="e">
        <f>LEFT(#REF!,5)</f>
        <v>#REF!</v>
      </c>
      <c r="C3108" s="1966" t="e">
        <f>VLOOKUP(LEFT(#REF!,5),'11 - FINANCEIRA'!_xlnm.Print_Area,2,FALSE)</f>
        <v>#REF!</v>
      </c>
      <c r="D3108" s="1920" t="s">
        <v>1514</v>
      </c>
      <c r="E3108" s="1921"/>
      <c r="F3108" s="1922"/>
      <c r="G3108" s="1923" t="s">
        <v>1515</v>
      </c>
      <c r="H3108" s="1924"/>
      <c r="I3108" s="1925"/>
      <c r="J3108" s="1915"/>
      <c r="K3108" s="1915"/>
      <c r="L3108" s="1915"/>
      <c r="M3108" s="1915"/>
      <c r="N3108" s="1915"/>
      <c r="O3108" s="1915"/>
      <c r="P3108" s="353" t="s">
        <v>1516</v>
      </c>
      <c r="Q3108" s="1915"/>
      <c r="R3108" s="1917"/>
      <c r="S3108" s="1915"/>
      <c r="T3108" s="1915"/>
      <c r="U3108" s="1919"/>
      <c r="V3108" s="1418">
        <f t="shared" si="314"/>
        <v>0</v>
      </c>
      <c r="W3108" s="16"/>
      <c r="X3108" s="16"/>
      <c r="Y3108" s="16"/>
      <c r="Z3108" s="17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</row>
    <row r="3109" spans="1:36" s="361" customFormat="1" ht="15" hidden="1" customHeight="1">
      <c r="A3109" s="354"/>
      <c r="B3109" s="355"/>
      <c r="C3109" s="28" t="s">
        <v>1217</v>
      </c>
      <c r="D3109" s="18"/>
      <c r="E3109" s="19"/>
      <c r="F3109" s="20"/>
      <c r="G3109" s="18"/>
      <c r="H3109" s="19"/>
      <c r="I3109" s="20"/>
      <c r="J3109" s="21"/>
      <c r="K3109" s="22"/>
      <c r="L3109" s="23"/>
      <c r="M3109" s="24"/>
      <c r="N3109" s="728"/>
      <c r="O3109" s="25"/>
      <c r="P3109" s="23"/>
      <c r="Q3109" s="729"/>
      <c r="R3109" s="1109">
        <v>17</v>
      </c>
      <c r="S3109" s="730" t="s">
        <v>816</v>
      </c>
      <c r="T3109" s="446" t="s">
        <v>329</v>
      </c>
      <c r="U3109" s="44"/>
      <c r="V3109" s="1418">
        <f t="shared" si="314"/>
        <v>0</v>
      </c>
      <c r="W3109" s="357"/>
      <c r="X3109" s="357"/>
      <c r="Y3109" s="357"/>
      <c r="Z3109" s="358"/>
      <c r="AA3109" s="359"/>
      <c r="AB3109" s="360"/>
    </row>
    <row r="3110" spans="1:36" s="361" customFormat="1" ht="15" hidden="1" customHeight="1">
      <c r="A3110" s="354"/>
      <c r="B3110" s="355"/>
      <c r="C3110" s="32"/>
      <c r="D3110" s="33"/>
      <c r="E3110" s="34"/>
      <c r="F3110" s="35"/>
      <c r="G3110" s="33"/>
      <c r="H3110" s="34"/>
      <c r="I3110" s="35"/>
      <c r="J3110" s="43"/>
      <c r="K3110" s="42"/>
      <c r="L3110" s="39"/>
      <c r="M3110" s="41"/>
      <c r="N3110" s="356"/>
      <c r="O3110" s="40"/>
      <c r="P3110" s="39"/>
      <c r="Q3110" s="45"/>
      <c r="R3110" s="362"/>
      <c r="S3110" s="363"/>
      <c r="T3110" s="46"/>
      <c r="U3110" s="44"/>
      <c r="V3110" s="1418">
        <f t="shared" si="314"/>
        <v>0</v>
      </c>
      <c r="W3110" s="357"/>
      <c r="X3110" s="357"/>
      <c r="Y3110" s="357"/>
      <c r="Z3110" s="358"/>
      <c r="AA3110" s="359"/>
      <c r="AB3110" s="360"/>
    </row>
    <row r="3111" spans="1:36" s="369" customFormat="1" ht="15" hidden="1">
      <c r="A3111" s="364"/>
      <c r="B3111" s="355"/>
      <c r="C3111" s="32"/>
      <c r="D3111" s="33"/>
      <c r="E3111" s="34"/>
      <c r="F3111" s="35"/>
      <c r="G3111" s="33"/>
      <c r="H3111" s="34"/>
      <c r="I3111" s="35"/>
      <c r="J3111" s="43"/>
      <c r="K3111" s="42"/>
      <c r="L3111" s="39"/>
      <c r="M3111" s="41"/>
      <c r="N3111" s="40"/>
      <c r="O3111" s="40"/>
      <c r="P3111" s="39"/>
      <c r="Q3111" s="38"/>
      <c r="R3111" s="365"/>
      <c r="S3111" s="366"/>
      <c r="T3111" s="46"/>
      <c r="U3111" s="44"/>
      <c r="V3111" s="1418">
        <f t="shared" si="314"/>
        <v>0</v>
      </c>
      <c r="W3111" s="367"/>
      <c r="X3111" s="367"/>
      <c r="Y3111" s="367"/>
      <c r="Z3111" s="368"/>
    </row>
    <row r="3112" spans="1:36" s="77" customFormat="1" ht="15" hidden="1">
      <c r="A3112" s="370"/>
      <c r="B3112" s="29"/>
      <c r="C3112" s="30"/>
      <c r="D3112" s="18"/>
      <c r="E3112" s="19"/>
      <c r="F3112" s="20"/>
      <c r="G3112" s="18"/>
      <c r="H3112" s="19"/>
      <c r="I3112" s="20"/>
      <c r="J3112" s="21"/>
      <c r="K3112" s="22"/>
      <c r="L3112" s="23"/>
      <c r="M3112" s="24"/>
      <c r="N3112" s="25"/>
      <c r="O3112" s="25"/>
      <c r="P3112" s="23"/>
      <c r="Q3112" s="26"/>
      <c r="R3112" s="371"/>
      <c r="S3112" s="27"/>
      <c r="T3112" s="372"/>
      <c r="U3112" s="31"/>
      <c r="V3112" s="1418">
        <f t="shared" si="314"/>
        <v>0</v>
      </c>
      <c r="AB3112" s="15"/>
    </row>
    <row r="3113" spans="1:36" s="77" customFormat="1" ht="15.6" hidden="1">
      <c r="A3113" s="370"/>
      <c r="B3113" s="499"/>
      <c r="C3113" s="37"/>
      <c r="D3113" s="1929" t="s">
        <v>1520</v>
      </c>
      <c r="E3113" s="1930"/>
      <c r="F3113" s="1930"/>
      <c r="G3113" s="1930"/>
      <c r="H3113" s="1930"/>
      <c r="I3113" s="1931"/>
      <c r="J3113" s="1932">
        <f>VLOOKUP(A3115,'11 - FINANCEIRA'!_xlnm.Print_Area,6,FALSE)</f>
        <v>17</v>
      </c>
      <c r="K3113" s="1933"/>
      <c r="L3113" s="1343" t="str">
        <f>VLOOKUP(A3115,'11 - FINANCEIRA'!_xlnm.Print_Area,4,FALSE)</f>
        <v>und</v>
      </c>
      <c r="M3113" s="1934" t="s">
        <v>1521</v>
      </c>
      <c r="N3113" s="1935"/>
      <c r="O3113" s="1935"/>
      <c r="P3113" s="1935"/>
      <c r="Q3113" s="1936"/>
      <c r="R3113" s="726">
        <f>SUM(R3109:R3112)</f>
        <v>17</v>
      </c>
      <c r="S3113" s="1344" t="str">
        <f>L3113</f>
        <v>und</v>
      </c>
      <c r="T3113" s="373"/>
      <c r="U3113" s="486"/>
      <c r="V3113" s="1418">
        <f t="shared" si="314"/>
        <v>0</v>
      </c>
      <c r="AB3113" s="15"/>
    </row>
    <row r="3114" spans="1:36" s="77" customFormat="1" ht="15.6" hidden="1">
      <c r="A3114" s="370"/>
      <c r="B3114" s="499"/>
      <c r="C3114" s="725"/>
      <c r="D3114" s="1937" t="s">
        <v>1522</v>
      </c>
      <c r="E3114" s="1938"/>
      <c r="F3114" s="1938"/>
      <c r="G3114" s="1938"/>
      <c r="H3114" s="1938"/>
      <c r="I3114" s="1939"/>
      <c r="J3114" s="1943">
        <f>R3113/J3113</f>
        <v>1</v>
      </c>
      <c r="K3114" s="1944"/>
      <c r="L3114" s="1947"/>
      <c r="M3114" s="1934" t="s">
        <v>1523</v>
      </c>
      <c r="N3114" s="1935"/>
      <c r="O3114" s="1935"/>
      <c r="P3114" s="1935"/>
      <c r="Q3114" s="1936"/>
      <c r="R3114" s="726">
        <f>VLOOKUP(A3115,'11 - FINANCEIRA'!_xlnm.Print_Area,8,FALSE)</f>
        <v>17</v>
      </c>
      <c r="S3114" s="727" t="str">
        <f>L3113</f>
        <v>und</v>
      </c>
      <c r="T3114" s="373"/>
      <c r="U3114" s="486"/>
      <c r="V3114" s="1418">
        <f t="shared" si="314"/>
        <v>0</v>
      </c>
      <c r="AB3114" s="15"/>
    </row>
    <row r="3115" spans="1:36" s="77" customFormat="1" ht="15.6" hidden="1">
      <c r="A3115" s="364" t="s">
        <v>621</v>
      </c>
      <c r="B3115" s="499"/>
      <c r="C3115" s="37"/>
      <c r="D3115" s="2013"/>
      <c r="E3115" s="2014"/>
      <c r="F3115" s="2014"/>
      <c r="G3115" s="2014"/>
      <c r="H3115" s="2014"/>
      <c r="I3115" s="2015"/>
      <c r="J3115" s="2016"/>
      <c r="K3115" s="2017"/>
      <c r="L3115" s="1962"/>
      <c r="M3115" s="2007" t="s">
        <v>1524</v>
      </c>
      <c r="N3115" s="2008"/>
      <c r="O3115" s="2008"/>
      <c r="P3115" s="2008"/>
      <c r="Q3115" s="2009"/>
      <c r="R3115" s="1345">
        <f>R3113-R3114</f>
        <v>0</v>
      </c>
      <c r="S3115" s="1346" t="str">
        <f>L3113</f>
        <v>und</v>
      </c>
      <c r="T3115" s="373"/>
      <c r="U3115" s="486"/>
      <c r="V3115" s="1418">
        <f>R3115</f>
        <v>0</v>
      </c>
      <c r="AB3115" s="15"/>
    </row>
    <row r="3116" spans="1:36" s="77" customFormat="1" ht="15.6" hidden="1">
      <c r="A3116" s="370"/>
      <c r="B3116" s="1347"/>
      <c r="C3116" s="1348"/>
      <c r="D3116" s="1349"/>
      <c r="E3116" s="1350"/>
      <c r="F3116" s="1349"/>
      <c r="G3116" s="1349"/>
      <c r="H3116" s="1349"/>
      <c r="I3116" s="1349"/>
      <c r="J3116" s="1351"/>
      <c r="K3116" s="1352"/>
      <c r="L3116" s="1353"/>
      <c r="M3116" s="1354"/>
      <c r="N3116" s="1354"/>
      <c r="O3116" s="1354"/>
      <c r="P3116" s="1354"/>
      <c r="Q3116" s="1354"/>
      <c r="R3116" s="1355"/>
      <c r="S3116" s="1356"/>
      <c r="T3116" s="1357"/>
      <c r="U3116" s="1358"/>
      <c r="V3116" s="1420">
        <f>SUM(V3107:V3115)</f>
        <v>0</v>
      </c>
      <c r="AB3116" s="15"/>
    </row>
    <row r="3117" spans="1:36" s="352" customFormat="1" ht="15.6" hidden="1">
      <c r="A3117" s="351"/>
      <c r="B3117" s="1963" t="str">
        <f>VLOOKUP(A3125,'11 - FINANCEIRA'!_xlnm.Print_Area,1,FALSE)</f>
        <v>2.5.2.5.8</v>
      </c>
      <c r="C3117" s="1965" t="str">
        <f>VLOOKUP(A3125,'11 - FINANCEIRA'!_xlnm.Print_Area,3,FALSE)</f>
        <v>Lâmpada compacta de led 10 w, base e27 - fornecimento e instalação. af_02/2020</v>
      </c>
      <c r="D3117" s="1967" t="s">
        <v>1503</v>
      </c>
      <c r="E3117" s="1968"/>
      <c r="F3117" s="1968"/>
      <c r="G3117" s="1968"/>
      <c r="H3117" s="1968"/>
      <c r="I3117" s="1969"/>
      <c r="J3117" s="1914" t="s">
        <v>1504</v>
      </c>
      <c r="K3117" s="1914" t="s">
        <v>1505</v>
      </c>
      <c r="L3117" s="1914" t="s">
        <v>1506</v>
      </c>
      <c r="M3117" s="1914" t="s">
        <v>1507</v>
      </c>
      <c r="N3117" s="1914" t="s">
        <v>1508</v>
      </c>
      <c r="O3117" s="1914" t="s">
        <v>1509</v>
      </c>
      <c r="P3117" s="1341" t="s">
        <v>1510</v>
      </c>
      <c r="Q3117" s="1914" t="s">
        <v>1493</v>
      </c>
      <c r="R3117" s="1916" t="s">
        <v>804</v>
      </c>
      <c r="S3117" s="1914" t="s">
        <v>1511</v>
      </c>
      <c r="T3117" s="1914" t="s">
        <v>1512</v>
      </c>
      <c r="U3117" s="1918" t="s">
        <v>1513</v>
      </c>
      <c r="V3117" s="1418">
        <f t="shared" ref="V3117:V3124" si="315">V3118</f>
        <v>0</v>
      </c>
      <c r="W3117" s="16"/>
      <c r="X3117" s="16"/>
      <c r="Y3117" s="16"/>
      <c r="Z3117" s="17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</row>
    <row r="3118" spans="1:36" s="352" customFormat="1" ht="15.6" hidden="1">
      <c r="A3118" s="351"/>
      <c r="B3118" s="1964" t="e">
        <f>LEFT(#REF!,5)</f>
        <v>#REF!</v>
      </c>
      <c r="C3118" s="1966" t="e">
        <f>VLOOKUP(LEFT(#REF!,5),'11 - FINANCEIRA'!_xlnm.Print_Area,2,FALSE)</f>
        <v>#REF!</v>
      </c>
      <c r="D3118" s="1920" t="s">
        <v>1514</v>
      </c>
      <c r="E3118" s="1921"/>
      <c r="F3118" s="1922"/>
      <c r="G3118" s="1923" t="s">
        <v>1515</v>
      </c>
      <c r="H3118" s="1924"/>
      <c r="I3118" s="1925"/>
      <c r="J3118" s="1915"/>
      <c r="K3118" s="1915"/>
      <c r="L3118" s="1915"/>
      <c r="M3118" s="1915"/>
      <c r="N3118" s="1915"/>
      <c r="O3118" s="1915"/>
      <c r="P3118" s="353" t="s">
        <v>1516</v>
      </c>
      <c r="Q3118" s="1915"/>
      <c r="R3118" s="1917"/>
      <c r="S3118" s="1915"/>
      <c r="T3118" s="1915"/>
      <c r="U3118" s="1919"/>
      <c r="V3118" s="1418">
        <f t="shared" si="315"/>
        <v>0</v>
      </c>
      <c r="W3118" s="16"/>
      <c r="X3118" s="16"/>
      <c r="Y3118" s="16"/>
      <c r="Z3118" s="17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</row>
    <row r="3119" spans="1:36" s="361" customFormat="1" ht="15" hidden="1" customHeight="1">
      <c r="A3119" s="354"/>
      <c r="B3119" s="355"/>
      <c r="C3119" s="28" t="s">
        <v>1219</v>
      </c>
      <c r="D3119" s="18"/>
      <c r="E3119" s="19"/>
      <c r="F3119" s="20"/>
      <c r="G3119" s="18"/>
      <c r="H3119" s="19"/>
      <c r="I3119" s="20"/>
      <c r="J3119" s="21"/>
      <c r="K3119" s="22"/>
      <c r="L3119" s="23"/>
      <c r="M3119" s="24"/>
      <c r="N3119" s="728"/>
      <c r="O3119" s="25"/>
      <c r="P3119" s="23"/>
      <c r="Q3119" s="729"/>
      <c r="R3119" s="1109">
        <v>5</v>
      </c>
      <c r="S3119" s="730" t="s">
        <v>816</v>
      </c>
      <c r="T3119" s="446" t="s">
        <v>329</v>
      </c>
      <c r="U3119" s="44"/>
      <c r="V3119" s="1418">
        <f t="shared" si="315"/>
        <v>0</v>
      </c>
      <c r="W3119" s="357"/>
      <c r="X3119" s="357"/>
      <c r="Y3119" s="357"/>
      <c r="Z3119" s="358"/>
      <c r="AA3119" s="359"/>
      <c r="AB3119" s="360"/>
    </row>
    <row r="3120" spans="1:36" s="361" customFormat="1" ht="15" hidden="1" customHeight="1">
      <c r="A3120" s="354"/>
      <c r="B3120" s="355"/>
      <c r="C3120" s="32"/>
      <c r="D3120" s="33"/>
      <c r="E3120" s="34"/>
      <c r="F3120" s="35"/>
      <c r="G3120" s="33"/>
      <c r="H3120" s="34"/>
      <c r="I3120" s="35"/>
      <c r="J3120" s="43"/>
      <c r="K3120" s="42"/>
      <c r="L3120" s="39"/>
      <c r="M3120" s="41"/>
      <c r="N3120" s="356"/>
      <c r="O3120" s="40"/>
      <c r="P3120" s="39"/>
      <c r="Q3120" s="45"/>
      <c r="R3120" s="362"/>
      <c r="S3120" s="363"/>
      <c r="T3120" s="46"/>
      <c r="U3120" s="44"/>
      <c r="V3120" s="1418">
        <f t="shared" si="315"/>
        <v>0</v>
      </c>
      <c r="W3120" s="357"/>
      <c r="X3120" s="357"/>
      <c r="Y3120" s="357"/>
      <c r="Z3120" s="358"/>
      <c r="AA3120" s="359"/>
      <c r="AB3120" s="360"/>
    </row>
    <row r="3121" spans="1:36" s="369" customFormat="1" ht="15" hidden="1">
      <c r="A3121" s="364"/>
      <c r="B3121" s="355"/>
      <c r="C3121" s="32"/>
      <c r="D3121" s="33"/>
      <c r="E3121" s="34"/>
      <c r="F3121" s="35"/>
      <c r="G3121" s="33"/>
      <c r="H3121" s="34"/>
      <c r="I3121" s="35"/>
      <c r="J3121" s="43"/>
      <c r="K3121" s="42"/>
      <c r="L3121" s="39"/>
      <c r="M3121" s="41"/>
      <c r="N3121" s="40"/>
      <c r="O3121" s="40"/>
      <c r="P3121" s="39"/>
      <c r="Q3121" s="38"/>
      <c r="R3121" s="365"/>
      <c r="S3121" s="366"/>
      <c r="T3121" s="46"/>
      <c r="U3121" s="44"/>
      <c r="V3121" s="1418">
        <f t="shared" si="315"/>
        <v>0</v>
      </c>
      <c r="W3121" s="367"/>
      <c r="X3121" s="367"/>
      <c r="Y3121" s="367"/>
      <c r="Z3121" s="368"/>
    </row>
    <row r="3122" spans="1:36" s="77" customFormat="1" ht="15" hidden="1">
      <c r="A3122" s="370"/>
      <c r="B3122" s="29"/>
      <c r="C3122" s="30"/>
      <c r="D3122" s="18"/>
      <c r="E3122" s="19"/>
      <c r="F3122" s="20"/>
      <c r="G3122" s="18"/>
      <c r="H3122" s="19"/>
      <c r="I3122" s="20"/>
      <c r="J3122" s="21"/>
      <c r="K3122" s="22"/>
      <c r="L3122" s="23"/>
      <c r="M3122" s="24"/>
      <c r="N3122" s="25"/>
      <c r="O3122" s="25"/>
      <c r="P3122" s="23"/>
      <c r="Q3122" s="26"/>
      <c r="R3122" s="371"/>
      <c r="S3122" s="27"/>
      <c r="T3122" s="372"/>
      <c r="U3122" s="31"/>
      <c r="V3122" s="1418">
        <f t="shared" si="315"/>
        <v>0</v>
      </c>
      <c r="AB3122" s="15"/>
    </row>
    <row r="3123" spans="1:36" s="77" customFormat="1" ht="15.6" hidden="1">
      <c r="A3123" s="370"/>
      <c r="B3123" s="499"/>
      <c r="C3123" s="37"/>
      <c r="D3123" s="1929" t="s">
        <v>1520</v>
      </c>
      <c r="E3123" s="1930"/>
      <c r="F3123" s="1930"/>
      <c r="G3123" s="1930"/>
      <c r="H3123" s="1930"/>
      <c r="I3123" s="1931"/>
      <c r="J3123" s="1932">
        <f>VLOOKUP(A3125,'11 - FINANCEIRA'!_xlnm.Print_Area,6,FALSE)</f>
        <v>5</v>
      </c>
      <c r="K3123" s="1933"/>
      <c r="L3123" s="1343" t="str">
        <f>VLOOKUP(A3125,'11 - FINANCEIRA'!_xlnm.Print_Area,4,FALSE)</f>
        <v>und</v>
      </c>
      <c r="M3123" s="1934" t="s">
        <v>1521</v>
      </c>
      <c r="N3123" s="1935"/>
      <c r="O3123" s="1935"/>
      <c r="P3123" s="1935"/>
      <c r="Q3123" s="1936"/>
      <c r="R3123" s="726">
        <f>SUM(R3119:R3122)</f>
        <v>5</v>
      </c>
      <c r="S3123" s="1344" t="str">
        <f>L3123</f>
        <v>und</v>
      </c>
      <c r="T3123" s="373"/>
      <c r="U3123" s="486"/>
      <c r="V3123" s="1418">
        <f t="shared" si="315"/>
        <v>0</v>
      </c>
      <c r="AB3123" s="15"/>
    </row>
    <row r="3124" spans="1:36" s="77" customFormat="1" ht="15.6" hidden="1">
      <c r="A3124" s="370"/>
      <c r="B3124" s="499"/>
      <c r="C3124" s="725"/>
      <c r="D3124" s="1937" t="s">
        <v>1522</v>
      </c>
      <c r="E3124" s="1938"/>
      <c r="F3124" s="1938"/>
      <c r="G3124" s="1938"/>
      <c r="H3124" s="1938"/>
      <c r="I3124" s="1939"/>
      <c r="J3124" s="1943">
        <f>R3123/J3123</f>
        <v>1</v>
      </c>
      <c r="K3124" s="1944"/>
      <c r="L3124" s="1947"/>
      <c r="M3124" s="1934" t="s">
        <v>1523</v>
      </c>
      <c r="N3124" s="1935"/>
      <c r="O3124" s="1935"/>
      <c r="P3124" s="1935"/>
      <c r="Q3124" s="1936"/>
      <c r="R3124" s="726">
        <f>VLOOKUP(A3125,'11 - FINANCEIRA'!_xlnm.Print_Area,8,FALSE)</f>
        <v>5</v>
      </c>
      <c r="S3124" s="727" t="str">
        <f>L3123</f>
        <v>und</v>
      </c>
      <c r="T3124" s="373"/>
      <c r="U3124" s="486"/>
      <c r="V3124" s="1418">
        <f t="shared" si="315"/>
        <v>0</v>
      </c>
      <c r="AB3124" s="15"/>
    </row>
    <row r="3125" spans="1:36" s="77" customFormat="1" ht="15.6" hidden="1">
      <c r="A3125" s="364" t="s">
        <v>622</v>
      </c>
      <c r="B3125" s="499"/>
      <c r="C3125" s="37"/>
      <c r="D3125" s="2013"/>
      <c r="E3125" s="2014"/>
      <c r="F3125" s="2014"/>
      <c r="G3125" s="2014"/>
      <c r="H3125" s="2014"/>
      <c r="I3125" s="2015"/>
      <c r="J3125" s="2016"/>
      <c r="K3125" s="2017"/>
      <c r="L3125" s="1962"/>
      <c r="M3125" s="2007" t="s">
        <v>1524</v>
      </c>
      <c r="N3125" s="2008"/>
      <c r="O3125" s="2008"/>
      <c r="P3125" s="2008"/>
      <c r="Q3125" s="2009"/>
      <c r="R3125" s="1345">
        <f>R3123-R3124</f>
        <v>0</v>
      </c>
      <c r="S3125" s="1346" t="str">
        <f>L3123</f>
        <v>und</v>
      </c>
      <c r="T3125" s="373"/>
      <c r="U3125" s="486"/>
      <c r="V3125" s="1418">
        <f>R3125</f>
        <v>0</v>
      </c>
      <c r="AB3125" s="15"/>
    </row>
    <row r="3126" spans="1:36" s="77" customFormat="1" ht="15.6" hidden="1">
      <c r="A3126" s="370"/>
      <c r="B3126" s="1347"/>
      <c r="C3126" s="1348"/>
      <c r="D3126" s="1349"/>
      <c r="E3126" s="1350"/>
      <c r="F3126" s="1349"/>
      <c r="G3126" s="1349"/>
      <c r="H3126" s="1349"/>
      <c r="I3126" s="1349"/>
      <c r="J3126" s="1351"/>
      <c r="K3126" s="1352"/>
      <c r="L3126" s="1353"/>
      <c r="M3126" s="1354"/>
      <c r="N3126" s="1354"/>
      <c r="O3126" s="1354"/>
      <c r="P3126" s="1354"/>
      <c r="Q3126" s="1354"/>
      <c r="R3126" s="1355"/>
      <c r="S3126" s="1356"/>
      <c r="T3126" s="1357"/>
      <c r="U3126" s="1358"/>
      <c r="V3126" s="1420">
        <f>SUM(V3117:V3125)</f>
        <v>0</v>
      </c>
      <c r="AB3126" s="15"/>
    </row>
    <row r="3127" spans="1:36" s="352" customFormat="1" ht="15.6" hidden="1">
      <c r="A3127" s="351"/>
      <c r="B3127" s="1963" t="str">
        <f>VLOOKUP(A3135,'11 - FINANCEIRA'!_xlnm.Print_Area,1,FALSE)</f>
        <v>2.5.2.5.9</v>
      </c>
      <c r="C3127" s="1965" t="str">
        <f>VLOOKUP(A3135,'11 - FINANCEIRA'!_xlnm.Print_Area,3,FALSE)</f>
        <v>Luminária de embutir p/ até 2 lampadas led e27, 12w</v>
      </c>
      <c r="D3127" s="1967" t="s">
        <v>1503</v>
      </c>
      <c r="E3127" s="1968"/>
      <c r="F3127" s="1968"/>
      <c r="G3127" s="1968"/>
      <c r="H3127" s="1968"/>
      <c r="I3127" s="1969"/>
      <c r="J3127" s="1914" t="s">
        <v>1504</v>
      </c>
      <c r="K3127" s="1914" t="s">
        <v>1505</v>
      </c>
      <c r="L3127" s="1914" t="s">
        <v>1506</v>
      </c>
      <c r="M3127" s="1914" t="s">
        <v>1507</v>
      </c>
      <c r="N3127" s="1914" t="s">
        <v>1508</v>
      </c>
      <c r="O3127" s="1914" t="s">
        <v>1509</v>
      </c>
      <c r="P3127" s="1341" t="s">
        <v>1510</v>
      </c>
      <c r="Q3127" s="1914" t="s">
        <v>1493</v>
      </c>
      <c r="R3127" s="1916" t="s">
        <v>804</v>
      </c>
      <c r="S3127" s="1914" t="s">
        <v>1511</v>
      </c>
      <c r="T3127" s="1914" t="s">
        <v>1512</v>
      </c>
      <c r="U3127" s="1918" t="s">
        <v>1513</v>
      </c>
      <c r="V3127" s="1418">
        <f t="shared" ref="V3127:V3134" si="316">V3128</f>
        <v>0</v>
      </c>
      <c r="W3127" s="16"/>
      <c r="X3127" s="16"/>
      <c r="Y3127" s="16"/>
      <c r="Z3127" s="17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</row>
    <row r="3128" spans="1:36" s="352" customFormat="1" ht="15.6" hidden="1">
      <c r="A3128" s="351"/>
      <c r="B3128" s="1964" t="e">
        <f>LEFT(#REF!,5)</f>
        <v>#REF!</v>
      </c>
      <c r="C3128" s="1966" t="e">
        <f>VLOOKUP(LEFT(#REF!,5),'11 - FINANCEIRA'!_xlnm.Print_Area,2,FALSE)</f>
        <v>#REF!</v>
      </c>
      <c r="D3128" s="1920" t="s">
        <v>1514</v>
      </c>
      <c r="E3128" s="1921"/>
      <c r="F3128" s="1922"/>
      <c r="G3128" s="1923" t="s">
        <v>1515</v>
      </c>
      <c r="H3128" s="1924"/>
      <c r="I3128" s="1925"/>
      <c r="J3128" s="1915"/>
      <c r="K3128" s="1915"/>
      <c r="L3128" s="1915"/>
      <c r="M3128" s="1915"/>
      <c r="N3128" s="1915"/>
      <c r="O3128" s="1915"/>
      <c r="P3128" s="353" t="s">
        <v>1516</v>
      </c>
      <c r="Q3128" s="1915"/>
      <c r="R3128" s="1917"/>
      <c r="S3128" s="1915"/>
      <c r="T3128" s="1915"/>
      <c r="U3128" s="1919"/>
      <c r="V3128" s="1418">
        <f t="shared" si="316"/>
        <v>0</v>
      </c>
      <c r="W3128" s="16"/>
      <c r="X3128" s="16"/>
      <c r="Y3128" s="16"/>
      <c r="Z3128" s="17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</row>
    <row r="3129" spans="1:36" s="361" customFormat="1" ht="15" hidden="1" customHeight="1">
      <c r="A3129" s="354"/>
      <c r="B3129" s="355"/>
      <c r="C3129" s="32" t="s">
        <v>1221</v>
      </c>
      <c r="D3129" s="33"/>
      <c r="E3129" s="34"/>
      <c r="F3129" s="35"/>
      <c r="G3129" s="33"/>
      <c r="H3129" s="34"/>
      <c r="I3129" s="35"/>
      <c r="J3129" s="43"/>
      <c r="K3129" s="42"/>
      <c r="L3129" s="39"/>
      <c r="M3129" s="41"/>
      <c r="N3129" s="356"/>
      <c r="O3129" s="40"/>
      <c r="P3129" s="39"/>
      <c r="Q3129" s="45"/>
      <c r="R3129" s="1359">
        <v>5</v>
      </c>
      <c r="S3129" s="1265" t="s">
        <v>816</v>
      </c>
      <c r="T3129" s="46" t="s">
        <v>331</v>
      </c>
      <c r="U3129" s="44"/>
      <c r="V3129" s="1418">
        <f t="shared" si="316"/>
        <v>0</v>
      </c>
      <c r="W3129" s="357"/>
      <c r="X3129" s="357"/>
      <c r="Y3129" s="357"/>
      <c r="Z3129" s="358"/>
      <c r="AA3129" s="359"/>
      <c r="AB3129" s="360"/>
    </row>
    <row r="3130" spans="1:36" s="361" customFormat="1" ht="15" hidden="1" customHeight="1">
      <c r="A3130" s="354"/>
      <c r="B3130" s="355"/>
      <c r="C3130" s="32"/>
      <c r="D3130" s="33"/>
      <c r="E3130" s="34"/>
      <c r="F3130" s="35"/>
      <c r="G3130" s="33"/>
      <c r="H3130" s="34"/>
      <c r="I3130" s="35"/>
      <c r="J3130" s="43"/>
      <c r="K3130" s="42"/>
      <c r="L3130" s="39"/>
      <c r="M3130" s="41"/>
      <c r="N3130" s="356"/>
      <c r="O3130" s="40"/>
      <c r="P3130" s="39"/>
      <c r="Q3130" s="45"/>
      <c r="R3130" s="362"/>
      <c r="S3130" s="363"/>
      <c r="T3130" s="46"/>
      <c r="U3130" s="44"/>
      <c r="V3130" s="1418">
        <f t="shared" si="316"/>
        <v>0</v>
      </c>
      <c r="W3130" s="357"/>
      <c r="X3130" s="357"/>
      <c r="Y3130" s="357"/>
      <c r="Z3130" s="358"/>
      <c r="AA3130" s="359"/>
      <c r="AB3130" s="360"/>
    </row>
    <row r="3131" spans="1:36" s="369" customFormat="1" ht="15" hidden="1">
      <c r="A3131" s="364"/>
      <c r="B3131" s="355"/>
      <c r="C3131" s="32"/>
      <c r="D3131" s="33"/>
      <c r="E3131" s="34"/>
      <c r="F3131" s="35"/>
      <c r="G3131" s="33"/>
      <c r="H3131" s="34"/>
      <c r="I3131" s="35"/>
      <c r="J3131" s="43"/>
      <c r="K3131" s="42"/>
      <c r="L3131" s="39"/>
      <c r="M3131" s="41"/>
      <c r="N3131" s="40"/>
      <c r="O3131" s="40"/>
      <c r="P3131" s="39"/>
      <c r="Q3131" s="38"/>
      <c r="R3131" s="365"/>
      <c r="S3131" s="366"/>
      <c r="T3131" s="46"/>
      <c r="U3131" s="44"/>
      <c r="V3131" s="1418">
        <f t="shared" si="316"/>
        <v>0</v>
      </c>
      <c r="W3131" s="367"/>
      <c r="X3131" s="367"/>
      <c r="Y3131" s="367"/>
      <c r="Z3131" s="368"/>
    </row>
    <row r="3132" spans="1:36" s="77" customFormat="1" ht="15" hidden="1">
      <c r="A3132" s="370"/>
      <c r="B3132" s="29"/>
      <c r="C3132" s="30"/>
      <c r="D3132" s="18"/>
      <c r="E3132" s="19"/>
      <c r="F3132" s="20"/>
      <c r="G3132" s="18"/>
      <c r="H3132" s="19"/>
      <c r="I3132" s="20"/>
      <c r="J3132" s="21"/>
      <c r="K3132" s="22"/>
      <c r="L3132" s="23"/>
      <c r="M3132" s="24"/>
      <c r="N3132" s="25"/>
      <c r="O3132" s="25"/>
      <c r="P3132" s="23"/>
      <c r="Q3132" s="26"/>
      <c r="R3132" s="371"/>
      <c r="S3132" s="27"/>
      <c r="T3132" s="372"/>
      <c r="U3132" s="31"/>
      <c r="V3132" s="1418">
        <f t="shared" si="316"/>
        <v>0</v>
      </c>
      <c r="AB3132" s="15"/>
    </row>
    <row r="3133" spans="1:36" s="77" customFormat="1" ht="15.6" hidden="1">
      <c r="A3133" s="370"/>
      <c r="B3133" s="499"/>
      <c r="C3133" s="37"/>
      <c r="D3133" s="1929" t="s">
        <v>1520</v>
      </c>
      <c r="E3133" s="1930"/>
      <c r="F3133" s="1930"/>
      <c r="G3133" s="1930"/>
      <c r="H3133" s="1930"/>
      <c r="I3133" s="1931"/>
      <c r="J3133" s="1932">
        <f>VLOOKUP(A3135,'11 - FINANCEIRA'!_xlnm.Print_Area,6,FALSE)</f>
        <v>5</v>
      </c>
      <c r="K3133" s="1933"/>
      <c r="L3133" s="1343" t="str">
        <f>VLOOKUP(A3135,'11 - FINANCEIRA'!_xlnm.Print_Area,4,FALSE)</f>
        <v>und</v>
      </c>
      <c r="M3133" s="1934" t="s">
        <v>1521</v>
      </c>
      <c r="N3133" s="1935"/>
      <c r="O3133" s="1935"/>
      <c r="P3133" s="1935"/>
      <c r="Q3133" s="1936"/>
      <c r="R3133" s="726">
        <f>SUM(R3129:R3132)</f>
        <v>5</v>
      </c>
      <c r="S3133" s="1344" t="str">
        <f>L3133</f>
        <v>und</v>
      </c>
      <c r="T3133" s="373"/>
      <c r="U3133" s="486"/>
      <c r="V3133" s="1418">
        <f t="shared" si="316"/>
        <v>0</v>
      </c>
      <c r="AB3133" s="15"/>
    </row>
    <row r="3134" spans="1:36" s="77" customFormat="1" ht="15.6" hidden="1">
      <c r="A3134" s="370"/>
      <c r="B3134" s="499"/>
      <c r="C3134" s="725"/>
      <c r="D3134" s="1937" t="s">
        <v>1522</v>
      </c>
      <c r="E3134" s="1938"/>
      <c r="F3134" s="1938"/>
      <c r="G3134" s="1938"/>
      <c r="H3134" s="1938"/>
      <c r="I3134" s="1939"/>
      <c r="J3134" s="1943">
        <f>R3133/J3133</f>
        <v>1</v>
      </c>
      <c r="K3134" s="1944"/>
      <c r="L3134" s="1947"/>
      <c r="M3134" s="1934" t="s">
        <v>1523</v>
      </c>
      <c r="N3134" s="1935"/>
      <c r="O3134" s="1935"/>
      <c r="P3134" s="1935"/>
      <c r="Q3134" s="1936"/>
      <c r="R3134" s="726">
        <f>VLOOKUP(A3135,'11 - FINANCEIRA'!_xlnm.Print_Area,8,FALSE)</f>
        <v>5</v>
      </c>
      <c r="S3134" s="727" t="str">
        <f>L3133</f>
        <v>und</v>
      </c>
      <c r="T3134" s="373"/>
      <c r="U3134" s="486"/>
      <c r="V3134" s="1418">
        <f t="shared" si="316"/>
        <v>0</v>
      </c>
      <c r="AB3134" s="15"/>
    </row>
    <row r="3135" spans="1:36" s="77" customFormat="1" ht="15.6" hidden="1">
      <c r="A3135" s="364" t="s">
        <v>623</v>
      </c>
      <c r="B3135" s="499"/>
      <c r="C3135" s="37"/>
      <c r="D3135" s="2013"/>
      <c r="E3135" s="2014"/>
      <c r="F3135" s="2014"/>
      <c r="G3135" s="2014"/>
      <c r="H3135" s="2014"/>
      <c r="I3135" s="2015"/>
      <c r="J3135" s="2016"/>
      <c r="K3135" s="2017"/>
      <c r="L3135" s="1962"/>
      <c r="M3135" s="2007" t="s">
        <v>1524</v>
      </c>
      <c r="N3135" s="2008"/>
      <c r="O3135" s="2008"/>
      <c r="P3135" s="2008"/>
      <c r="Q3135" s="2009"/>
      <c r="R3135" s="1345">
        <f>R3133-R3134</f>
        <v>0</v>
      </c>
      <c r="S3135" s="1346" t="str">
        <f>L3133</f>
        <v>und</v>
      </c>
      <c r="T3135" s="373"/>
      <c r="U3135" s="486"/>
      <c r="V3135" s="1418">
        <f>R3135</f>
        <v>0</v>
      </c>
      <c r="AB3135" s="15"/>
    </row>
    <row r="3136" spans="1:36" s="77" customFormat="1" ht="15.6" hidden="1">
      <c r="A3136" s="370"/>
      <c r="B3136" s="1347"/>
      <c r="C3136" s="1348"/>
      <c r="D3136" s="1349"/>
      <c r="E3136" s="1350"/>
      <c r="F3136" s="1349"/>
      <c r="G3136" s="1349"/>
      <c r="H3136" s="1349"/>
      <c r="I3136" s="1349"/>
      <c r="J3136" s="1351"/>
      <c r="K3136" s="1352"/>
      <c r="L3136" s="1353"/>
      <c r="M3136" s="1354"/>
      <c r="N3136" s="1354"/>
      <c r="O3136" s="1354"/>
      <c r="P3136" s="1354"/>
      <c r="Q3136" s="1354"/>
      <c r="R3136" s="1355"/>
      <c r="S3136" s="1356"/>
      <c r="T3136" s="1357"/>
      <c r="U3136" s="1358"/>
      <c r="V3136" s="1420">
        <f>SUM(V3127:V3135)</f>
        <v>0</v>
      </c>
      <c r="AB3136" s="15"/>
    </row>
    <row r="3137" spans="1:36" s="352" customFormat="1" ht="15.6" hidden="1">
      <c r="A3137" s="351"/>
      <c r="B3137" s="1963" t="str">
        <f>VLOOKUP(A3145,'11 - FINANCEIRA'!_xlnm.Print_Area,1,FALSE)</f>
        <v>2.5.2.5.10</v>
      </c>
      <c r="C3137" s="1965" t="str">
        <f>VLOOKUP(A3145,'11 - FINANCEIRA'!_xlnm.Print_Area,3,FALSE)</f>
        <v>Tomada média de embutir (1 módulo), 2p+t 10 a, incluindo suporte e placa - fornecimento e instalação. af_12/2015</v>
      </c>
      <c r="D3137" s="1967" t="s">
        <v>1503</v>
      </c>
      <c r="E3137" s="1968"/>
      <c r="F3137" s="1968"/>
      <c r="G3137" s="1968"/>
      <c r="H3137" s="1968"/>
      <c r="I3137" s="1969"/>
      <c r="J3137" s="1914" t="s">
        <v>1504</v>
      </c>
      <c r="K3137" s="1914" t="s">
        <v>1505</v>
      </c>
      <c r="L3137" s="1914" t="s">
        <v>1506</v>
      </c>
      <c r="M3137" s="1914" t="s">
        <v>1507</v>
      </c>
      <c r="N3137" s="1914" t="s">
        <v>1508</v>
      </c>
      <c r="O3137" s="1914" t="s">
        <v>1509</v>
      </c>
      <c r="P3137" s="1341" t="s">
        <v>1510</v>
      </c>
      <c r="Q3137" s="1914" t="s">
        <v>1493</v>
      </c>
      <c r="R3137" s="1916" t="s">
        <v>804</v>
      </c>
      <c r="S3137" s="1914" t="s">
        <v>1511</v>
      </c>
      <c r="T3137" s="1914" t="s">
        <v>1512</v>
      </c>
      <c r="U3137" s="1918" t="s">
        <v>1513</v>
      </c>
      <c r="V3137" s="1418">
        <f t="shared" ref="V3137:V3144" si="317">V3138</f>
        <v>0</v>
      </c>
      <c r="W3137" s="16"/>
      <c r="X3137" s="16"/>
      <c r="Y3137" s="16"/>
      <c r="Z3137" s="17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</row>
    <row r="3138" spans="1:36" s="352" customFormat="1" ht="15.6" hidden="1">
      <c r="A3138" s="351"/>
      <c r="B3138" s="1964" t="e">
        <f>LEFT(#REF!,5)</f>
        <v>#REF!</v>
      </c>
      <c r="C3138" s="1966" t="e">
        <f>VLOOKUP(LEFT(#REF!,5),'11 - FINANCEIRA'!_xlnm.Print_Area,2,FALSE)</f>
        <v>#REF!</v>
      </c>
      <c r="D3138" s="1920" t="s">
        <v>1514</v>
      </c>
      <c r="E3138" s="1921"/>
      <c r="F3138" s="1922"/>
      <c r="G3138" s="1923" t="s">
        <v>1515</v>
      </c>
      <c r="H3138" s="1924"/>
      <c r="I3138" s="1925"/>
      <c r="J3138" s="1915"/>
      <c r="K3138" s="1915"/>
      <c r="L3138" s="1915"/>
      <c r="M3138" s="1915"/>
      <c r="N3138" s="1915"/>
      <c r="O3138" s="1915"/>
      <c r="P3138" s="353" t="s">
        <v>1516</v>
      </c>
      <c r="Q3138" s="1915"/>
      <c r="R3138" s="1917"/>
      <c r="S3138" s="1915"/>
      <c r="T3138" s="1915"/>
      <c r="U3138" s="1919"/>
      <c r="V3138" s="1418">
        <f t="shared" si="317"/>
        <v>0</v>
      </c>
      <c r="W3138" s="16"/>
      <c r="X3138" s="16"/>
      <c r="Y3138" s="16"/>
      <c r="Z3138" s="17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</row>
    <row r="3139" spans="1:36" s="361" customFormat="1" ht="30" hidden="1">
      <c r="A3139" s="354"/>
      <c r="B3139" s="355"/>
      <c r="C3139" s="28" t="s">
        <v>1223</v>
      </c>
      <c r="D3139" s="18"/>
      <c r="E3139" s="19"/>
      <c r="F3139" s="20"/>
      <c r="G3139" s="18"/>
      <c r="H3139" s="19"/>
      <c r="I3139" s="20"/>
      <c r="J3139" s="21"/>
      <c r="K3139" s="22"/>
      <c r="L3139" s="23"/>
      <c r="M3139" s="24"/>
      <c r="N3139" s="728"/>
      <c r="O3139" s="25"/>
      <c r="P3139" s="23"/>
      <c r="Q3139" s="729"/>
      <c r="R3139" s="1109">
        <v>4</v>
      </c>
      <c r="S3139" s="730" t="s">
        <v>816</v>
      </c>
      <c r="T3139" s="446" t="s">
        <v>329</v>
      </c>
      <c r="U3139" s="44"/>
      <c r="V3139" s="1418">
        <f t="shared" si="317"/>
        <v>0</v>
      </c>
      <c r="W3139" s="357"/>
      <c r="X3139" s="357"/>
      <c r="Y3139" s="357"/>
      <c r="Z3139" s="358"/>
      <c r="AA3139" s="359"/>
      <c r="AB3139" s="360"/>
    </row>
    <row r="3140" spans="1:36" s="361" customFormat="1" ht="15" hidden="1" customHeight="1">
      <c r="A3140" s="354"/>
      <c r="B3140" s="355"/>
      <c r="C3140" s="32"/>
      <c r="D3140" s="33"/>
      <c r="E3140" s="34"/>
      <c r="F3140" s="35"/>
      <c r="G3140" s="33"/>
      <c r="H3140" s="34"/>
      <c r="I3140" s="35"/>
      <c r="J3140" s="43"/>
      <c r="K3140" s="42"/>
      <c r="L3140" s="39"/>
      <c r="M3140" s="41"/>
      <c r="N3140" s="356"/>
      <c r="O3140" s="40"/>
      <c r="P3140" s="39"/>
      <c r="Q3140" s="45"/>
      <c r="R3140" s="362"/>
      <c r="S3140" s="363"/>
      <c r="T3140" s="46"/>
      <c r="U3140" s="44"/>
      <c r="V3140" s="1418">
        <f t="shared" si="317"/>
        <v>0</v>
      </c>
      <c r="W3140" s="357"/>
      <c r="X3140" s="357"/>
      <c r="Y3140" s="357"/>
      <c r="Z3140" s="358"/>
      <c r="AA3140" s="359"/>
      <c r="AB3140" s="360"/>
    </row>
    <row r="3141" spans="1:36" s="369" customFormat="1" ht="15" hidden="1">
      <c r="A3141" s="364"/>
      <c r="B3141" s="355"/>
      <c r="C3141" s="32"/>
      <c r="D3141" s="33"/>
      <c r="E3141" s="34"/>
      <c r="F3141" s="35"/>
      <c r="G3141" s="33"/>
      <c r="H3141" s="34"/>
      <c r="I3141" s="35"/>
      <c r="J3141" s="43"/>
      <c r="K3141" s="42"/>
      <c r="L3141" s="39"/>
      <c r="M3141" s="41"/>
      <c r="N3141" s="40"/>
      <c r="O3141" s="40"/>
      <c r="P3141" s="39"/>
      <c r="Q3141" s="38"/>
      <c r="R3141" s="365"/>
      <c r="S3141" s="366"/>
      <c r="T3141" s="46"/>
      <c r="U3141" s="44"/>
      <c r="V3141" s="1418">
        <f t="shared" si="317"/>
        <v>0</v>
      </c>
      <c r="W3141" s="367"/>
      <c r="X3141" s="367"/>
      <c r="Y3141" s="367"/>
      <c r="Z3141" s="368"/>
    </row>
    <row r="3142" spans="1:36" s="77" customFormat="1" ht="15" hidden="1">
      <c r="A3142" s="370"/>
      <c r="B3142" s="29"/>
      <c r="C3142" s="30"/>
      <c r="D3142" s="18"/>
      <c r="E3142" s="19"/>
      <c r="F3142" s="20"/>
      <c r="G3142" s="18"/>
      <c r="H3142" s="19"/>
      <c r="I3142" s="20"/>
      <c r="J3142" s="21"/>
      <c r="K3142" s="22"/>
      <c r="L3142" s="23"/>
      <c r="M3142" s="24"/>
      <c r="N3142" s="25"/>
      <c r="O3142" s="25"/>
      <c r="P3142" s="23"/>
      <c r="Q3142" s="26"/>
      <c r="R3142" s="371"/>
      <c r="S3142" s="27"/>
      <c r="T3142" s="372"/>
      <c r="U3142" s="31"/>
      <c r="V3142" s="1418">
        <f t="shared" si="317"/>
        <v>0</v>
      </c>
      <c r="AB3142" s="15"/>
    </row>
    <row r="3143" spans="1:36" s="77" customFormat="1" ht="15.6" hidden="1">
      <c r="A3143" s="370"/>
      <c r="B3143" s="499"/>
      <c r="C3143" s="37"/>
      <c r="D3143" s="1929" t="s">
        <v>1520</v>
      </c>
      <c r="E3143" s="1930"/>
      <c r="F3143" s="1930"/>
      <c r="G3143" s="1930"/>
      <c r="H3143" s="1930"/>
      <c r="I3143" s="1931"/>
      <c r="J3143" s="1932">
        <f>VLOOKUP(A3145,'11 - FINANCEIRA'!_xlnm.Print_Area,6,FALSE)</f>
        <v>4</v>
      </c>
      <c r="K3143" s="1933"/>
      <c r="L3143" s="1343" t="str">
        <f>VLOOKUP(A3145,'11 - FINANCEIRA'!_xlnm.Print_Area,4,FALSE)</f>
        <v>und</v>
      </c>
      <c r="M3143" s="1934" t="s">
        <v>1521</v>
      </c>
      <c r="N3143" s="1935"/>
      <c r="O3143" s="1935"/>
      <c r="P3143" s="1935"/>
      <c r="Q3143" s="1936"/>
      <c r="R3143" s="726">
        <f>SUM(R3139:R3142)</f>
        <v>4</v>
      </c>
      <c r="S3143" s="1344" t="str">
        <f>L3143</f>
        <v>und</v>
      </c>
      <c r="T3143" s="373"/>
      <c r="U3143" s="486"/>
      <c r="V3143" s="1418">
        <f t="shared" si="317"/>
        <v>0</v>
      </c>
      <c r="AB3143" s="15"/>
    </row>
    <row r="3144" spans="1:36" s="77" customFormat="1" ht="15.6" hidden="1">
      <c r="A3144" s="370"/>
      <c r="B3144" s="499"/>
      <c r="C3144" s="725"/>
      <c r="D3144" s="1937" t="s">
        <v>1522</v>
      </c>
      <c r="E3144" s="1938"/>
      <c r="F3144" s="1938"/>
      <c r="G3144" s="1938"/>
      <c r="H3144" s="1938"/>
      <c r="I3144" s="1939"/>
      <c r="J3144" s="1943">
        <f>R3143/J3143</f>
        <v>1</v>
      </c>
      <c r="K3144" s="1944"/>
      <c r="L3144" s="1947"/>
      <c r="M3144" s="1934" t="s">
        <v>1523</v>
      </c>
      <c r="N3144" s="1935"/>
      <c r="O3144" s="1935"/>
      <c r="P3144" s="1935"/>
      <c r="Q3144" s="1936"/>
      <c r="R3144" s="726">
        <f>VLOOKUP(A3145,'11 - FINANCEIRA'!_xlnm.Print_Area,8,FALSE)</f>
        <v>4</v>
      </c>
      <c r="S3144" s="727" t="str">
        <f>L3143</f>
        <v>und</v>
      </c>
      <c r="T3144" s="373"/>
      <c r="U3144" s="486"/>
      <c r="V3144" s="1418">
        <f t="shared" si="317"/>
        <v>0</v>
      </c>
      <c r="AB3144" s="15"/>
    </row>
    <row r="3145" spans="1:36" s="77" customFormat="1" ht="15.6" hidden="1">
      <c r="A3145" s="364" t="s">
        <v>624</v>
      </c>
      <c r="B3145" s="499"/>
      <c r="C3145" s="37"/>
      <c r="D3145" s="2013"/>
      <c r="E3145" s="2014"/>
      <c r="F3145" s="2014"/>
      <c r="G3145" s="2014"/>
      <c r="H3145" s="2014"/>
      <c r="I3145" s="2015"/>
      <c r="J3145" s="2016"/>
      <c r="K3145" s="2017"/>
      <c r="L3145" s="1962"/>
      <c r="M3145" s="2007" t="s">
        <v>1524</v>
      </c>
      <c r="N3145" s="2008"/>
      <c r="O3145" s="2008"/>
      <c r="P3145" s="2008"/>
      <c r="Q3145" s="2009"/>
      <c r="R3145" s="1345">
        <f>R3143-R3144</f>
        <v>0</v>
      </c>
      <c r="S3145" s="1346" t="str">
        <f>L3143</f>
        <v>und</v>
      </c>
      <c r="T3145" s="373"/>
      <c r="U3145" s="486"/>
      <c r="V3145" s="1418">
        <f>R3145</f>
        <v>0</v>
      </c>
      <c r="AB3145" s="15"/>
    </row>
    <row r="3146" spans="1:36" s="77" customFormat="1" ht="15.6" hidden="1">
      <c r="A3146" s="370"/>
      <c r="B3146" s="1347"/>
      <c r="C3146" s="1348"/>
      <c r="D3146" s="1349"/>
      <c r="E3146" s="1350"/>
      <c r="F3146" s="1349"/>
      <c r="G3146" s="1349"/>
      <c r="H3146" s="1349"/>
      <c r="I3146" s="1349"/>
      <c r="J3146" s="1351"/>
      <c r="K3146" s="1352"/>
      <c r="L3146" s="1353"/>
      <c r="M3146" s="1354"/>
      <c r="N3146" s="1354"/>
      <c r="O3146" s="1354"/>
      <c r="P3146" s="1354"/>
      <c r="Q3146" s="1354"/>
      <c r="R3146" s="1355"/>
      <c r="S3146" s="1356"/>
      <c r="T3146" s="1357"/>
      <c r="U3146" s="1358"/>
      <c r="V3146" s="1420">
        <f>SUM(V3137:V3145)</f>
        <v>0</v>
      </c>
      <c r="AB3146" s="15"/>
    </row>
    <row r="3147" spans="1:36" s="352" customFormat="1" ht="15.6" hidden="1">
      <c r="A3147" s="351"/>
      <c r="B3147" s="1963" t="str">
        <f>VLOOKUP(A3155,'11 - FINANCEIRA'!_xlnm.Print_Area,1,FALSE)</f>
        <v>2.5.2.5.11</v>
      </c>
      <c r="C3147" s="1965" t="str">
        <f>VLOOKUP(A3155,'11 - FINANCEIRA'!_xlnm.Print_Area,3,FALSE)</f>
        <v>Tomada média de embutir (1 módulo), 2p+t 20 a, incluindo suporte e placa - fornecimento e instalação. af_12/2015</v>
      </c>
      <c r="D3147" s="1967" t="s">
        <v>1503</v>
      </c>
      <c r="E3147" s="1968"/>
      <c r="F3147" s="1968"/>
      <c r="G3147" s="1968"/>
      <c r="H3147" s="1968"/>
      <c r="I3147" s="1969"/>
      <c r="J3147" s="1914" t="s">
        <v>1504</v>
      </c>
      <c r="K3147" s="1914" t="s">
        <v>1505</v>
      </c>
      <c r="L3147" s="1914" t="s">
        <v>1506</v>
      </c>
      <c r="M3147" s="1914" t="s">
        <v>1507</v>
      </c>
      <c r="N3147" s="1914" t="s">
        <v>1508</v>
      </c>
      <c r="O3147" s="1914" t="s">
        <v>1509</v>
      </c>
      <c r="P3147" s="1341" t="s">
        <v>1510</v>
      </c>
      <c r="Q3147" s="1914" t="s">
        <v>1493</v>
      </c>
      <c r="R3147" s="1916" t="s">
        <v>804</v>
      </c>
      <c r="S3147" s="1914" t="s">
        <v>1511</v>
      </c>
      <c r="T3147" s="1914" t="s">
        <v>1512</v>
      </c>
      <c r="U3147" s="1918" t="s">
        <v>1513</v>
      </c>
      <c r="V3147" s="1418">
        <f t="shared" ref="V3147:V3154" si="318">V3148</f>
        <v>0</v>
      </c>
      <c r="W3147" s="16"/>
      <c r="X3147" s="16"/>
      <c r="Y3147" s="16"/>
      <c r="Z3147" s="17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</row>
    <row r="3148" spans="1:36" s="352" customFormat="1" ht="15.6" hidden="1">
      <c r="A3148" s="351"/>
      <c r="B3148" s="1964" t="e">
        <f>LEFT(#REF!,5)</f>
        <v>#REF!</v>
      </c>
      <c r="C3148" s="1966" t="e">
        <f>VLOOKUP(LEFT(#REF!,5),'11 - FINANCEIRA'!_xlnm.Print_Area,2,FALSE)</f>
        <v>#REF!</v>
      </c>
      <c r="D3148" s="1920" t="s">
        <v>1514</v>
      </c>
      <c r="E3148" s="1921"/>
      <c r="F3148" s="1922"/>
      <c r="G3148" s="1923" t="s">
        <v>1515</v>
      </c>
      <c r="H3148" s="1924"/>
      <c r="I3148" s="1925"/>
      <c r="J3148" s="1915"/>
      <c r="K3148" s="1915"/>
      <c r="L3148" s="1915"/>
      <c r="M3148" s="1915"/>
      <c r="N3148" s="1915"/>
      <c r="O3148" s="1915"/>
      <c r="P3148" s="353" t="s">
        <v>1516</v>
      </c>
      <c r="Q3148" s="1915"/>
      <c r="R3148" s="1917"/>
      <c r="S3148" s="1915"/>
      <c r="T3148" s="1915"/>
      <c r="U3148" s="1919"/>
      <c r="V3148" s="1418">
        <f t="shared" si="318"/>
        <v>0</v>
      </c>
      <c r="W3148" s="16"/>
      <c r="X3148" s="16"/>
      <c r="Y3148" s="16"/>
      <c r="Z3148" s="17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</row>
    <row r="3149" spans="1:36" s="361" customFormat="1" ht="30" hidden="1">
      <c r="A3149" s="354"/>
      <c r="B3149" s="355"/>
      <c r="C3149" s="28" t="s">
        <v>1225</v>
      </c>
      <c r="D3149" s="18"/>
      <c r="E3149" s="19"/>
      <c r="F3149" s="20"/>
      <c r="G3149" s="18"/>
      <c r="H3149" s="19"/>
      <c r="I3149" s="20"/>
      <c r="J3149" s="21"/>
      <c r="K3149" s="22"/>
      <c r="L3149" s="23"/>
      <c r="M3149" s="24"/>
      <c r="N3149" s="728"/>
      <c r="O3149" s="25"/>
      <c r="P3149" s="23"/>
      <c r="Q3149" s="729"/>
      <c r="R3149" s="1109">
        <v>4</v>
      </c>
      <c r="S3149" s="730" t="s">
        <v>816</v>
      </c>
      <c r="T3149" s="446" t="s">
        <v>329</v>
      </c>
      <c r="U3149" s="44"/>
      <c r="V3149" s="1418">
        <f t="shared" si="318"/>
        <v>0</v>
      </c>
      <c r="W3149" s="357"/>
      <c r="X3149" s="357"/>
      <c r="Y3149" s="357"/>
      <c r="Z3149" s="358"/>
      <c r="AA3149" s="359"/>
      <c r="AB3149" s="360"/>
    </row>
    <row r="3150" spans="1:36" s="361" customFormat="1" ht="15" hidden="1" customHeight="1">
      <c r="A3150" s="354"/>
      <c r="B3150" s="355"/>
      <c r="C3150" s="32"/>
      <c r="D3150" s="33"/>
      <c r="E3150" s="34"/>
      <c r="F3150" s="35"/>
      <c r="G3150" s="33"/>
      <c r="H3150" s="34"/>
      <c r="I3150" s="35"/>
      <c r="J3150" s="43"/>
      <c r="K3150" s="42"/>
      <c r="L3150" s="39"/>
      <c r="M3150" s="41"/>
      <c r="N3150" s="356"/>
      <c r="O3150" s="40"/>
      <c r="P3150" s="39"/>
      <c r="Q3150" s="45"/>
      <c r="R3150" s="362"/>
      <c r="S3150" s="363"/>
      <c r="T3150" s="46"/>
      <c r="U3150" s="44"/>
      <c r="V3150" s="1418">
        <f t="shared" si="318"/>
        <v>0</v>
      </c>
      <c r="W3150" s="357"/>
      <c r="X3150" s="357"/>
      <c r="Y3150" s="357"/>
      <c r="Z3150" s="358"/>
      <c r="AA3150" s="359"/>
      <c r="AB3150" s="360"/>
    </row>
    <row r="3151" spans="1:36" s="369" customFormat="1" ht="15" hidden="1">
      <c r="A3151" s="364"/>
      <c r="B3151" s="355"/>
      <c r="C3151" s="32"/>
      <c r="D3151" s="33"/>
      <c r="E3151" s="34"/>
      <c r="F3151" s="35"/>
      <c r="G3151" s="33"/>
      <c r="H3151" s="34"/>
      <c r="I3151" s="35"/>
      <c r="J3151" s="43"/>
      <c r="K3151" s="42"/>
      <c r="L3151" s="39"/>
      <c r="M3151" s="41"/>
      <c r="N3151" s="40"/>
      <c r="O3151" s="40"/>
      <c r="P3151" s="39"/>
      <c r="Q3151" s="38"/>
      <c r="R3151" s="365"/>
      <c r="S3151" s="366"/>
      <c r="T3151" s="46"/>
      <c r="U3151" s="44"/>
      <c r="V3151" s="1418">
        <f t="shared" si="318"/>
        <v>0</v>
      </c>
      <c r="W3151" s="367"/>
      <c r="X3151" s="367"/>
      <c r="Y3151" s="367"/>
      <c r="Z3151" s="368"/>
    </row>
    <row r="3152" spans="1:36" s="77" customFormat="1" ht="15" hidden="1">
      <c r="A3152" s="370"/>
      <c r="B3152" s="29"/>
      <c r="C3152" s="30"/>
      <c r="D3152" s="18"/>
      <c r="E3152" s="19"/>
      <c r="F3152" s="20"/>
      <c r="G3152" s="18"/>
      <c r="H3152" s="19"/>
      <c r="I3152" s="20"/>
      <c r="J3152" s="21"/>
      <c r="K3152" s="22"/>
      <c r="L3152" s="23"/>
      <c r="M3152" s="24"/>
      <c r="N3152" s="25"/>
      <c r="O3152" s="25"/>
      <c r="P3152" s="23"/>
      <c r="Q3152" s="26"/>
      <c r="R3152" s="371"/>
      <c r="S3152" s="27"/>
      <c r="T3152" s="372"/>
      <c r="U3152" s="31"/>
      <c r="V3152" s="1418">
        <f t="shared" si="318"/>
        <v>0</v>
      </c>
      <c r="AB3152" s="15"/>
    </row>
    <row r="3153" spans="1:36" s="77" customFormat="1" ht="15.6" hidden="1">
      <c r="A3153" s="370"/>
      <c r="B3153" s="499"/>
      <c r="C3153" s="37"/>
      <c r="D3153" s="1929" t="s">
        <v>1520</v>
      </c>
      <c r="E3153" s="1930"/>
      <c r="F3153" s="1930"/>
      <c r="G3153" s="1930"/>
      <c r="H3153" s="1930"/>
      <c r="I3153" s="1931"/>
      <c r="J3153" s="1932">
        <f>VLOOKUP(A3155,'11 - FINANCEIRA'!_xlnm.Print_Area,6,FALSE)</f>
        <v>4</v>
      </c>
      <c r="K3153" s="1933"/>
      <c r="L3153" s="1343" t="str">
        <f>VLOOKUP(A3155,'11 - FINANCEIRA'!_xlnm.Print_Area,4,FALSE)</f>
        <v>und</v>
      </c>
      <c r="M3153" s="1934" t="s">
        <v>1521</v>
      </c>
      <c r="N3153" s="1935"/>
      <c r="O3153" s="1935"/>
      <c r="P3153" s="1935"/>
      <c r="Q3153" s="1936"/>
      <c r="R3153" s="726">
        <f>SUM(R3149:R3152)</f>
        <v>4</v>
      </c>
      <c r="S3153" s="1344" t="str">
        <f>L3153</f>
        <v>und</v>
      </c>
      <c r="T3153" s="373"/>
      <c r="U3153" s="486"/>
      <c r="V3153" s="1418">
        <f t="shared" si="318"/>
        <v>0</v>
      </c>
      <c r="AB3153" s="15"/>
    </row>
    <row r="3154" spans="1:36" s="77" customFormat="1" ht="15.6" hidden="1">
      <c r="A3154" s="370"/>
      <c r="B3154" s="499"/>
      <c r="C3154" s="725"/>
      <c r="D3154" s="1937" t="s">
        <v>1522</v>
      </c>
      <c r="E3154" s="1938"/>
      <c r="F3154" s="1938"/>
      <c r="G3154" s="1938"/>
      <c r="H3154" s="1938"/>
      <c r="I3154" s="1939"/>
      <c r="J3154" s="1943">
        <f>R3153/J3153</f>
        <v>1</v>
      </c>
      <c r="K3154" s="1944"/>
      <c r="L3154" s="1947"/>
      <c r="M3154" s="1934" t="s">
        <v>1523</v>
      </c>
      <c r="N3154" s="1935"/>
      <c r="O3154" s="1935"/>
      <c r="P3154" s="1935"/>
      <c r="Q3154" s="1936"/>
      <c r="R3154" s="726">
        <f>VLOOKUP(A3155,'11 - FINANCEIRA'!_xlnm.Print_Area,8,FALSE)</f>
        <v>4</v>
      </c>
      <c r="S3154" s="727" t="str">
        <f>L3153</f>
        <v>und</v>
      </c>
      <c r="T3154" s="373"/>
      <c r="U3154" s="486"/>
      <c r="V3154" s="1418">
        <f t="shared" si="318"/>
        <v>0</v>
      </c>
      <c r="AB3154" s="15"/>
    </row>
    <row r="3155" spans="1:36" s="77" customFormat="1" ht="15.6" hidden="1">
      <c r="A3155" s="364" t="s">
        <v>625</v>
      </c>
      <c r="B3155" s="499"/>
      <c r="C3155" s="37"/>
      <c r="D3155" s="2013"/>
      <c r="E3155" s="2014"/>
      <c r="F3155" s="2014"/>
      <c r="G3155" s="2014"/>
      <c r="H3155" s="2014"/>
      <c r="I3155" s="2015"/>
      <c r="J3155" s="2016"/>
      <c r="K3155" s="2017"/>
      <c r="L3155" s="1962"/>
      <c r="M3155" s="2007" t="s">
        <v>1524</v>
      </c>
      <c r="N3155" s="2008"/>
      <c r="O3155" s="2008"/>
      <c r="P3155" s="2008"/>
      <c r="Q3155" s="2009"/>
      <c r="R3155" s="1345">
        <f>R3153-R3154</f>
        <v>0</v>
      </c>
      <c r="S3155" s="1346" t="str">
        <f>L3153</f>
        <v>und</v>
      </c>
      <c r="T3155" s="373"/>
      <c r="U3155" s="486"/>
      <c r="V3155" s="1418">
        <f>R3155</f>
        <v>0</v>
      </c>
      <c r="AB3155" s="15"/>
    </row>
    <row r="3156" spans="1:36" s="77" customFormat="1" ht="15.6" hidden="1">
      <c r="A3156" s="370"/>
      <c r="B3156" s="1347"/>
      <c r="C3156" s="1348"/>
      <c r="D3156" s="1349"/>
      <c r="E3156" s="1350"/>
      <c r="F3156" s="1349"/>
      <c r="G3156" s="1349"/>
      <c r="H3156" s="1349"/>
      <c r="I3156" s="1349"/>
      <c r="J3156" s="1351"/>
      <c r="K3156" s="1352"/>
      <c r="L3156" s="1353"/>
      <c r="M3156" s="1354"/>
      <c r="N3156" s="1354"/>
      <c r="O3156" s="1354"/>
      <c r="P3156" s="1354"/>
      <c r="Q3156" s="1354"/>
      <c r="R3156" s="1355"/>
      <c r="S3156" s="1356"/>
      <c r="T3156" s="1357"/>
      <c r="U3156" s="1358"/>
      <c r="V3156" s="1420">
        <f>SUM(V3147:V3155)</f>
        <v>0</v>
      </c>
      <c r="AB3156" s="15"/>
    </row>
    <row r="3157" spans="1:36" s="352" customFormat="1" ht="15.6" hidden="1">
      <c r="A3157" s="351"/>
      <c r="B3157" s="1963" t="str">
        <f>VLOOKUP(A3165,'11 - FINANCEIRA'!_xlnm.Print_Area,1,FALSE)</f>
        <v>2.5.2.5.12</v>
      </c>
      <c r="C3157" s="1965" t="str">
        <f>VLOOKUP(A3165,'11 - FINANCEIRA'!_xlnm.Print_Area,3,FALSE)</f>
        <v>Luminária tipo pétala em led 250 w e braço curvo com sapata para fixação de luminária pública. 2000mm.</v>
      </c>
      <c r="D3157" s="1967" t="s">
        <v>1503</v>
      </c>
      <c r="E3157" s="1968"/>
      <c r="F3157" s="1968"/>
      <c r="G3157" s="1968"/>
      <c r="H3157" s="1968"/>
      <c r="I3157" s="1969"/>
      <c r="J3157" s="1914" t="s">
        <v>1504</v>
      </c>
      <c r="K3157" s="1914" t="s">
        <v>1505</v>
      </c>
      <c r="L3157" s="1914" t="s">
        <v>1506</v>
      </c>
      <c r="M3157" s="1914" t="s">
        <v>1507</v>
      </c>
      <c r="N3157" s="1914" t="s">
        <v>1508</v>
      </c>
      <c r="O3157" s="1914" t="s">
        <v>1509</v>
      </c>
      <c r="P3157" s="1341" t="s">
        <v>1510</v>
      </c>
      <c r="Q3157" s="1914" t="s">
        <v>1493</v>
      </c>
      <c r="R3157" s="1916" t="s">
        <v>804</v>
      </c>
      <c r="S3157" s="1914" t="s">
        <v>1511</v>
      </c>
      <c r="T3157" s="1914" t="s">
        <v>1512</v>
      </c>
      <c r="U3157" s="1918" t="s">
        <v>1513</v>
      </c>
      <c r="V3157" s="1418">
        <f t="shared" ref="V3157:V3164" si="319">V3158</f>
        <v>0</v>
      </c>
      <c r="W3157" s="16"/>
      <c r="X3157" s="16"/>
      <c r="Y3157" s="16"/>
      <c r="Z3157" s="17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</row>
    <row r="3158" spans="1:36" s="352" customFormat="1" ht="15.6" hidden="1">
      <c r="A3158" s="351"/>
      <c r="B3158" s="1964" t="e">
        <f>LEFT(#REF!,5)</f>
        <v>#REF!</v>
      </c>
      <c r="C3158" s="1966" t="e">
        <f>VLOOKUP(LEFT(#REF!,5),'11 - FINANCEIRA'!_xlnm.Print_Area,2,FALSE)</f>
        <v>#REF!</v>
      </c>
      <c r="D3158" s="1920" t="s">
        <v>1514</v>
      </c>
      <c r="E3158" s="1921"/>
      <c r="F3158" s="1922"/>
      <c r="G3158" s="1923" t="s">
        <v>1515</v>
      </c>
      <c r="H3158" s="1924"/>
      <c r="I3158" s="1925"/>
      <c r="J3158" s="1915"/>
      <c r="K3158" s="1915"/>
      <c r="L3158" s="1915"/>
      <c r="M3158" s="1915"/>
      <c r="N3158" s="1915"/>
      <c r="O3158" s="1915"/>
      <c r="P3158" s="353" t="s">
        <v>1516</v>
      </c>
      <c r="Q3158" s="1915"/>
      <c r="R3158" s="1917"/>
      <c r="S3158" s="1915"/>
      <c r="T3158" s="1915"/>
      <c r="U3158" s="1919"/>
      <c r="V3158" s="1418">
        <f t="shared" si="319"/>
        <v>0</v>
      </c>
      <c r="W3158" s="16"/>
      <c r="X3158" s="16"/>
      <c r="Y3158" s="16"/>
      <c r="Z3158" s="17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</row>
    <row r="3159" spans="1:36" s="361" customFormat="1" ht="30" hidden="1">
      <c r="A3159" s="354"/>
      <c r="B3159" s="355"/>
      <c r="C3159" s="32" t="s">
        <v>1227</v>
      </c>
      <c r="D3159" s="33"/>
      <c r="E3159" s="34"/>
      <c r="F3159" s="35"/>
      <c r="G3159" s="33"/>
      <c r="H3159" s="34"/>
      <c r="I3159" s="35"/>
      <c r="J3159" s="43"/>
      <c r="K3159" s="42"/>
      <c r="L3159" s="39"/>
      <c r="M3159" s="41"/>
      <c r="N3159" s="356"/>
      <c r="O3159" s="40"/>
      <c r="P3159" s="39"/>
      <c r="Q3159" s="45"/>
      <c r="R3159" s="1359">
        <v>6</v>
      </c>
      <c r="S3159" s="1265" t="s">
        <v>816</v>
      </c>
      <c r="T3159" s="46" t="s">
        <v>331</v>
      </c>
      <c r="U3159" s="44"/>
      <c r="V3159" s="1418">
        <f t="shared" si="319"/>
        <v>0</v>
      </c>
      <c r="W3159" s="357"/>
      <c r="X3159" s="357"/>
      <c r="Y3159" s="357"/>
      <c r="Z3159" s="358"/>
      <c r="AA3159" s="359"/>
      <c r="AB3159" s="360"/>
    </row>
    <row r="3160" spans="1:36" s="361" customFormat="1" ht="15" hidden="1" customHeight="1">
      <c r="A3160" s="354"/>
      <c r="B3160" s="355"/>
      <c r="C3160" s="32"/>
      <c r="D3160" s="33"/>
      <c r="E3160" s="34"/>
      <c r="F3160" s="35"/>
      <c r="G3160" s="33"/>
      <c r="H3160" s="34"/>
      <c r="I3160" s="35"/>
      <c r="J3160" s="43"/>
      <c r="K3160" s="42"/>
      <c r="L3160" s="39"/>
      <c r="M3160" s="41"/>
      <c r="N3160" s="356"/>
      <c r="O3160" s="40"/>
      <c r="P3160" s="39"/>
      <c r="Q3160" s="45"/>
      <c r="R3160" s="362"/>
      <c r="S3160" s="363"/>
      <c r="T3160" s="46"/>
      <c r="U3160" s="44"/>
      <c r="V3160" s="1418">
        <f t="shared" si="319"/>
        <v>0</v>
      </c>
      <c r="W3160" s="357"/>
      <c r="X3160" s="357"/>
      <c r="Y3160" s="357"/>
      <c r="Z3160" s="358"/>
      <c r="AA3160" s="359"/>
      <c r="AB3160" s="360"/>
    </row>
    <row r="3161" spans="1:36" s="369" customFormat="1" ht="15" hidden="1">
      <c r="A3161" s="364"/>
      <c r="B3161" s="355"/>
      <c r="C3161" s="32"/>
      <c r="D3161" s="33"/>
      <c r="E3161" s="34"/>
      <c r="F3161" s="35"/>
      <c r="G3161" s="33"/>
      <c r="H3161" s="34"/>
      <c r="I3161" s="35"/>
      <c r="J3161" s="43"/>
      <c r="K3161" s="42"/>
      <c r="L3161" s="39"/>
      <c r="M3161" s="41"/>
      <c r="N3161" s="40"/>
      <c r="O3161" s="40"/>
      <c r="P3161" s="39"/>
      <c r="Q3161" s="38"/>
      <c r="R3161" s="365"/>
      <c r="S3161" s="366"/>
      <c r="T3161" s="46"/>
      <c r="U3161" s="44"/>
      <c r="V3161" s="1418">
        <f t="shared" si="319"/>
        <v>0</v>
      </c>
      <c r="W3161" s="367"/>
      <c r="X3161" s="367"/>
      <c r="Y3161" s="367"/>
      <c r="Z3161" s="368"/>
    </row>
    <row r="3162" spans="1:36" s="77" customFormat="1" ht="15" hidden="1">
      <c r="A3162" s="370"/>
      <c r="B3162" s="29"/>
      <c r="C3162" s="30"/>
      <c r="D3162" s="18"/>
      <c r="E3162" s="19"/>
      <c r="F3162" s="20"/>
      <c r="G3162" s="18"/>
      <c r="H3162" s="19"/>
      <c r="I3162" s="20"/>
      <c r="J3162" s="21"/>
      <c r="K3162" s="22"/>
      <c r="L3162" s="23"/>
      <c r="M3162" s="24"/>
      <c r="N3162" s="25"/>
      <c r="O3162" s="25"/>
      <c r="P3162" s="23"/>
      <c r="Q3162" s="26"/>
      <c r="R3162" s="371"/>
      <c r="S3162" s="27"/>
      <c r="T3162" s="372"/>
      <c r="U3162" s="31"/>
      <c r="V3162" s="1418">
        <f t="shared" si="319"/>
        <v>0</v>
      </c>
      <c r="AB3162" s="15"/>
    </row>
    <row r="3163" spans="1:36" s="77" customFormat="1" ht="15.6" hidden="1">
      <c r="A3163" s="370"/>
      <c r="B3163" s="499"/>
      <c r="C3163" s="37"/>
      <c r="D3163" s="1929" t="s">
        <v>1520</v>
      </c>
      <c r="E3163" s="1930"/>
      <c r="F3163" s="1930"/>
      <c r="G3163" s="1930"/>
      <c r="H3163" s="1930"/>
      <c r="I3163" s="1931"/>
      <c r="J3163" s="1932">
        <f>VLOOKUP(A3165,'11 - FINANCEIRA'!_xlnm.Print_Area,6,FALSE)</f>
        <v>6</v>
      </c>
      <c r="K3163" s="1933"/>
      <c r="L3163" s="1343" t="str">
        <f>VLOOKUP(A3165,'11 - FINANCEIRA'!_xlnm.Print_Area,4,FALSE)</f>
        <v>und</v>
      </c>
      <c r="M3163" s="1934" t="s">
        <v>1521</v>
      </c>
      <c r="N3163" s="1935"/>
      <c r="O3163" s="1935"/>
      <c r="P3163" s="1935"/>
      <c r="Q3163" s="1936"/>
      <c r="R3163" s="726">
        <f>SUM(R3159:R3162)</f>
        <v>6</v>
      </c>
      <c r="S3163" s="1344" t="str">
        <f>L3163</f>
        <v>und</v>
      </c>
      <c r="T3163" s="373"/>
      <c r="U3163" s="486"/>
      <c r="V3163" s="1418">
        <f t="shared" si="319"/>
        <v>0</v>
      </c>
      <c r="AB3163" s="15"/>
    </row>
    <row r="3164" spans="1:36" s="77" customFormat="1" ht="15.6" hidden="1">
      <c r="A3164" s="370"/>
      <c r="B3164" s="499"/>
      <c r="C3164" s="725"/>
      <c r="D3164" s="1937" t="s">
        <v>1522</v>
      </c>
      <c r="E3164" s="1938"/>
      <c r="F3164" s="1938"/>
      <c r="G3164" s="1938"/>
      <c r="H3164" s="1938"/>
      <c r="I3164" s="1939"/>
      <c r="J3164" s="1943">
        <f>R3163/J3163</f>
        <v>1</v>
      </c>
      <c r="K3164" s="1944"/>
      <c r="L3164" s="1947"/>
      <c r="M3164" s="1934" t="s">
        <v>1523</v>
      </c>
      <c r="N3164" s="1935"/>
      <c r="O3164" s="1935"/>
      <c r="P3164" s="1935"/>
      <c r="Q3164" s="1936"/>
      <c r="R3164" s="726">
        <f>VLOOKUP(A3165,'11 - FINANCEIRA'!_xlnm.Print_Area,8,FALSE)</f>
        <v>6</v>
      </c>
      <c r="S3164" s="727" t="str">
        <f>L3163</f>
        <v>und</v>
      </c>
      <c r="T3164" s="373"/>
      <c r="U3164" s="486"/>
      <c r="V3164" s="1418">
        <f t="shared" si="319"/>
        <v>0</v>
      </c>
      <c r="AB3164" s="15"/>
    </row>
    <row r="3165" spans="1:36" s="77" customFormat="1" ht="15.6" hidden="1">
      <c r="A3165" s="364" t="s">
        <v>626</v>
      </c>
      <c r="B3165" s="499"/>
      <c r="C3165" s="37"/>
      <c r="D3165" s="2013"/>
      <c r="E3165" s="2014"/>
      <c r="F3165" s="2014"/>
      <c r="G3165" s="2014"/>
      <c r="H3165" s="2014"/>
      <c r="I3165" s="2015"/>
      <c r="J3165" s="2016"/>
      <c r="K3165" s="2017"/>
      <c r="L3165" s="1962"/>
      <c r="M3165" s="2007" t="s">
        <v>1524</v>
      </c>
      <c r="N3165" s="2008"/>
      <c r="O3165" s="2008"/>
      <c r="P3165" s="2008"/>
      <c r="Q3165" s="2009"/>
      <c r="R3165" s="1345">
        <f>R3163-R3164</f>
        <v>0</v>
      </c>
      <c r="S3165" s="1346" t="str">
        <f>L3163</f>
        <v>und</v>
      </c>
      <c r="T3165" s="373"/>
      <c r="U3165" s="486"/>
      <c r="V3165" s="1418">
        <f>R3165</f>
        <v>0</v>
      </c>
      <c r="AB3165" s="15"/>
    </row>
    <row r="3166" spans="1:36" s="77" customFormat="1" ht="15.6" hidden="1">
      <c r="A3166" s="370"/>
      <c r="B3166" s="1347"/>
      <c r="C3166" s="1348"/>
      <c r="D3166" s="1349"/>
      <c r="E3166" s="1350"/>
      <c r="F3166" s="1349"/>
      <c r="G3166" s="1349"/>
      <c r="H3166" s="1349"/>
      <c r="I3166" s="1349"/>
      <c r="J3166" s="1351"/>
      <c r="K3166" s="1352"/>
      <c r="L3166" s="1353"/>
      <c r="M3166" s="1354"/>
      <c r="N3166" s="1354"/>
      <c r="O3166" s="1354"/>
      <c r="P3166" s="1354"/>
      <c r="Q3166" s="1354"/>
      <c r="R3166" s="1355"/>
      <c r="S3166" s="1356"/>
      <c r="T3166" s="1357"/>
      <c r="U3166" s="1358"/>
      <c r="V3166" s="1420">
        <f>SUM(V3157:V3165)</f>
        <v>0</v>
      </c>
      <c r="AB3166" s="15"/>
    </row>
    <row r="3167" spans="1:36" s="632" customFormat="1" ht="15.6" hidden="1">
      <c r="A3167" s="630"/>
      <c r="B3167" s="1333" t="str">
        <f>LEFT(A3176,7)</f>
        <v>2.5.2.6</v>
      </c>
      <c r="C3167" s="1334" t="str">
        <f>VLOOKUP(LEFT(A3176,7),'11 - FINANCEIRA'!_xlnm.Print_Area,2,FALSE)</f>
        <v>Caixas de Passagem</v>
      </c>
      <c r="D3167" s="1334"/>
      <c r="E3167" s="1335"/>
      <c r="F3167" s="1334"/>
      <c r="G3167" s="2071"/>
      <c r="H3167" s="2072"/>
      <c r="I3167" s="2072"/>
      <c r="J3167" s="2072"/>
      <c r="K3167" s="2072"/>
      <c r="L3167" s="2072"/>
      <c r="M3167" s="1338"/>
      <c r="N3167" s="1339"/>
      <c r="O3167" s="2072"/>
      <c r="P3167" s="2072"/>
      <c r="Q3167" s="2072"/>
      <c r="R3167" s="2082"/>
      <c r="S3167" s="633"/>
      <c r="V3167" s="631">
        <f>SUM(V3168:V3237)</f>
        <v>0</v>
      </c>
    </row>
    <row r="3168" spans="1:36" s="352" customFormat="1" ht="15.6" hidden="1">
      <c r="A3168" s="351"/>
      <c r="B3168" s="1963" t="str">
        <f>VLOOKUP(A3176,'11 - FINANCEIRA'!_xlnm.Print_Area,1,FALSE)</f>
        <v>2.5.2.6.1</v>
      </c>
      <c r="C3168" s="1965" t="str">
        <f>VLOOKUP(A3176,'11 - FINANCEIRA'!_xlnm.Print_Area,3,FALSE)</f>
        <v>Caixa de passagem 300x300x120mm, chapa 18, com tampa parafusada</v>
      </c>
      <c r="D3168" s="1967" t="s">
        <v>1503</v>
      </c>
      <c r="E3168" s="1968"/>
      <c r="F3168" s="1968"/>
      <c r="G3168" s="1968"/>
      <c r="H3168" s="1968"/>
      <c r="I3168" s="1969"/>
      <c r="J3168" s="1914" t="s">
        <v>1504</v>
      </c>
      <c r="K3168" s="1914" t="s">
        <v>1505</v>
      </c>
      <c r="L3168" s="1914" t="s">
        <v>1506</v>
      </c>
      <c r="M3168" s="1914" t="s">
        <v>1507</v>
      </c>
      <c r="N3168" s="1914" t="s">
        <v>1508</v>
      </c>
      <c r="O3168" s="1914" t="s">
        <v>1509</v>
      </c>
      <c r="P3168" s="1341" t="s">
        <v>1510</v>
      </c>
      <c r="Q3168" s="1914" t="s">
        <v>1493</v>
      </c>
      <c r="R3168" s="1916" t="s">
        <v>804</v>
      </c>
      <c r="S3168" s="1914" t="s">
        <v>1511</v>
      </c>
      <c r="T3168" s="1914" t="s">
        <v>1512</v>
      </c>
      <c r="U3168" s="1918" t="s">
        <v>1513</v>
      </c>
      <c r="V3168" s="1418">
        <f t="shared" ref="V3168:V3175" si="320">V3169</f>
        <v>0</v>
      </c>
      <c r="W3168" s="16"/>
      <c r="X3168" s="16"/>
      <c r="Y3168" s="16"/>
      <c r="Z3168" s="17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</row>
    <row r="3169" spans="1:36" s="352" customFormat="1" ht="15.6" hidden="1">
      <c r="A3169" s="351"/>
      <c r="B3169" s="1964" t="e">
        <f>LEFT(#REF!,5)</f>
        <v>#REF!</v>
      </c>
      <c r="C3169" s="1966" t="e">
        <f>VLOOKUP(LEFT(#REF!,5),'11 - FINANCEIRA'!_xlnm.Print_Area,2,FALSE)</f>
        <v>#REF!</v>
      </c>
      <c r="D3169" s="1920" t="s">
        <v>1514</v>
      </c>
      <c r="E3169" s="1921"/>
      <c r="F3169" s="1922"/>
      <c r="G3169" s="1923" t="s">
        <v>1515</v>
      </c>
      <c r="H3169" s="1924"/>
      <c r="I3169" s="1925"/>
      <c r="J3169" s="1915"/>
      <c r="K3169" s="1915"/>
      <c r="L3169" s="1915"/>
      <c r="M3169" s="1915"/>
      <c r="N3169" s="1915"/>
      <c r="O3169" s="1915"/>
      <c r="P3169" s="353" t="s">
        <v>1516</v>
      </c>
      <c r="Q3169" s="1915"/>
      <c r="R3169" s="1917"/>
      <c r="S3169" s="1915"/>
      <c r="T3169" s="1915"/>
      <c r="U3169" s="1919"/>
      <c r="V3169" s="1418">
        <f t="shared" si="320"/>
        <v>0</v>
      </c>
      <c r="W3169" s="16"/>
      <c r="X3169" s="16"/>
      <c r="Y3169" s="16"/>
      <c r="Z3169" s="17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</row>
    <row r="3170" spans="1:36" s="361" customFormat="1" ht="15" hidden="1" customHeight="1">
      <c r="A3170" s="354"/>
      <c r="B3170" s="355"/>
      <c r="C3170" s="28" t="s">
        <v>1229</v>
      </c>
      <c r="D3170" s="18"/>
      <c r="E3170" s="19"/>
      <c r="F3170" s="20"/>
      <c r="G3170" s="18"/>
      <c r="H3170" s="19"/>
      <c r="I3170" s="20"/>
      <c r="J3170" s="21"/>
      <c r="K3170" s="22"/>
      <c r="L3170" s="23"/>
      <c r="M3170" s="24"/>
      <c r="N3170" s="728"/>
      <c r="O3170" s="25"/>
      <c r="P3170" s="23"/>
      <c r="Q3170" s="729"/>
      <c r="R3170" s="1109">
        <v>14</v>
      </c>
      <c r="S3170" s="730" t="s">
        <v>816</v>
      </c>
      <c r="T3170" s="446" t="s">
        <v>327</v>
      </c>
      <c r="U3170" s="44"/>
      <c r="V3170" s="1418">
        <f t="shared" si="320"/>
        <v>0</v>
      </c>
      <c r="W3170" s="357"/>
      <c r="X3170" s="357"/>
      <c r="Y3170" s="357"/>
      <c r="Z3170" s="358"/>
      <c r="AA3170" s="359"/>
      <c r="AB3170" s="360"/>
    </row>
    <row r="3171" spans="1:36" s="361" customFormat="1" ht="15" hidden="1" customHeight="1">
      <c r="A3171" s="354"/>
      <c r="B3171" s="355"/>
      <c r="C3171" s="32"/>
      <c r="D3171" s="33"/>
      <c r="E3171" s="34"/>
      <c r="F3171" s="35"/>
      <c r="G3171" s="33"/>
      <c r="H3171" s="34"/>
      <c r="I3171" s="35"/>
      <c r="J3171" s="43"/>
      <c r="K3171" s="42"/>
      <c r="L3171" s="39"/>
      <c r="M3171" s="41"/>
      <c r="N3171" s="356"/>
      <c r="O3171" s="40"/>
      <c r="P3171" s="39"/>
      <c r="Q3171" s="45"/>
      <c r="R3171" s="362"/>
      <c r="S3171" s="363"/>
      <c r="T3171" s="46"/>
      <c r="U3171" s="44"/>
      <c r="V3171" s="1418">
        <f t="shared" si="320"/>
        <v>0</v>
      </c>
      <c r="W3171" s="357"/>
      <c r="X3171" s="357"/>
      <c r="Y3171" s="357"/>
      <c r="Z3171" s="358"/>
      <c r="AA3171" s="359"/>
      <c r="AB3171" s="360"/>
    </row>
    <row r="3172" spans="1:36" s="369" customFormat="1" ht="15" hidden="1">
      <c r="A3172" s="364"/>
      <c r="B3172" s="355"/>
      <c r="C3172" s="32"/>
      <c r="D3172" s="33"/>
      <c r="E3172" s="34"/>
      <c r="F3172" s="35"/>
      <c r="G3172" s="33"/>
      <c r="H3172" s="34"/>
      <c r="I3172" s="35"/>
      <c r="J3172" s="43"/>
      <c r="K3172" s="42"/>
      <c r="L3172" s="39"/>
      <c r="M3172" s="41"/>
      <c r="N3172" s="40"/>
      <c r="O3172" s="40"/>
      <c r="P3172" s="39"/>
      <c r="Q3172" s="38"/>
      <c r="R3172" s="365"/>
      <c r="S3172" s="366"/>
      <c r="T3172" s="46"/>
      <c r="U3172" s="44"/>
      <c r="V3172" s="1418">
        <f t="shared" si="320"/>
        <v>0</v>
      </c>
      <c r="W3172" s="367"/>
      <c r="X3172" s="367"/>
      <c r="Y3172" s="367"/>
      <c r="Z3172" s="368"/>
    </row>
    <row r="3173" spans="1:36" s="77" customFormat="1" ht="15" hidden="1">
      <c r="A3173" s="370"/>
      <c r="B3173" s="29"/>
      <c r="C3173" s="30"/>
      <c r="D3173" s="18"/>
      <c r="E3173" s="19"/>
      <c r="F3173" s="20"/>
      <c r="G3173" s="18"/>
      <c r="H3173" s="19"/>
      <c r="I3173" s="20"/>
      <c r="J3173" s="21"/>
      <c r="K3173" s="22"/>
      <c r="L3173" s="23"/>
      <c r="M3173" s="24"/>
      <c r="N3173" s="25"/>
      <c r="O3173" s="25"/>
      <c r="P3173" s="23"/>
      <c r="Q3173" s="26"/>
      <c r="R3173" s="371"/>
      <c r="S3173" s="27"/>
      <c r="T3173" s="372"/>
      <c r="U3173" s="31"/>
      <c r="V3173" s="1418">
        <f t="shared" si="320"/>
        <v>0</v>
      </c>
      <c r="AB3173" s="15"/>
    </row>
    <row r="3174" spans="1:36" s="77" customFormat="1" ht="15.6" hidden="1">
      <c r="A3174" s="370"/>
      <c r="B3174" s="499"/>
      <c r="C3174" s="37"/>
      <c r="D3174" s="1929" t="s">
        <v>1520</v>
      </c>
      <c r="E3174" s="1930"/>
      <c r="F3174" s="1930"/>
      <c r="G3174" s="1930"/>
      <c r="H3174" s="1930"/>
      <c r="I3174" s="1931"/>
      <c r="J3174" s="1932">
        <f>VLOOKUP(A3176,'11 - FINANCEIRA'!_xlnm.Print_Area,6,FALSE)</f>
        <v>14</v>
      </c>
      <c r="K3174" s="1933"/>
      <c r="L3174" s="1343" t="str">
        <f>VLOOKUP(A3176,'11 - FINANCEIRA'!_xlnm.Print_Area,4,FALSE)</f>
        <v>und</v>
      </c>
      <c r="M3174" s="1934" t="s">
        <v>1521</v>
      </c>
      <c r="N3174" s="1935"/>
      <c r="O3174" s="1935"/>
      <c r="P3174" s="1935"/>
      <c r="Q3174" s="1936"/>
      <c r="R3174" s="726">
        <f>SUM(R3170:R3173)</f>
        <v>14</v>
      </c>
      <c r="S3174" s="1344" t="str">
        <f>L3174</f>
        <v>und</v>
      </c>
      <c r="T3174" s="373"/>
      <c r="U3174" s="486"/>
      <c r="V3174" s="1418">
        <f t="shared" si="320"/>
        <v>0</v>
      </c>
      <c r="AB3174" s="15"/>
    </row>
    <row r="3175" spans="1:36" s="77" customFormat="1" ht="15.6" hidden="1">
      <c r="A3175" s="370"/>
      <c r="B3175" s="499"/>
      <c r="C3175" s="725"/>
      <c r="D3175" s="1937" t="s">
        <v>1522</v>
      </c>
      <c r="E3175" s="1938"/>
      <c r="F3175" s="1938"/>
      <c r="G3175" s="1938"/>
      <c r="H3175" s="1938"/>
      <c r="I3175" s="1939"/>
      <c r="J3175" s="1943">
        <f>R3174/J3174</f>
        <v>1</v>
      </c>
      <c r="K3175" s="1944"/>
      <c r="L3175" s="1947"/>
      <c r="M3175" s="1934" t="s">
        <v>1523</v>
      </c>
      <c r="N3175" s="1935"/>
      <c r="O3175" s="1935"/>
      <c r="P3175" s="1935"/>
      <c r="Q3175" s="1936"/>
      <c r="R3175" s="726">
        <f>VLOOKUP(A3176,'11 - FINANCEIRA'!_xlnm.Print_Area,8,FALSE)</f>
        <v>14</v>
      </c>
      <c r="S3175" s="727" t="str">
        <f>L3174</f>
        <v>und</v>
      </c>
      <c r="T3175" s="373"/>
      <c r="U3175" s="486"/>
      <c r="V3175" s="1418">
        <f t="shared" si="320"/>
        <v>0</v>
      </c>
      <c r="AB3175" s="15"/>
    </row>
    <row r="3176" spans="1:36" s="77" customFormat="1" ht="15.6" hidden="1">
      <c r="A3176" s="364" t="s">
        <v>628</v>
      </c>
      <c r="B3176" s="499"/>
      <c r="C3176" s="37"/>
      <c r="D3176" s="2013"/>
      <c r="E3176" s="2014"/>
      <c r="F3176" s="2014"/>
      <c r="G3176" s="2014"/>
      <c r="H3176" s="2014"/>
      <c r="I3176" s="2015"/>
      <c r="J3176" s="2016"/>
      <c r="K3176" s="2017"/>
      <c r="L3176" s="1962"/>
      <c r="M3176" s="2007" t="s">
        <v>1524</v>
      </c>
      <c r="N3176" s="2008"/>
      <c r="O3176" s="2008"/>
      <c r="P3176" s="2008"/>
      <c r="Q3176" s="2009"/>
      <c r="R3176" s="1345">
        <f>R3174-R3175</f>
        <v>0</v>
      </c>
      <c r="S3176" s="1346" t="str">
        <f>L3174</f>
        <v>und</v>
      </c>
      <c r="T3176" s="373"/>
      <c r="U3176" s="486"/>
      <c r="V3176" s="1418">
        <f>R3176</f>
        <v>0</v>
      </c>
      <c r="AB3176" s="15"/>
    </row>
    <row r="3177" spans="1:36" s="77" customFormat="1" ht="15.6" hidden="1">
      <c r="A3177" s="370"/>
      <c r="B3177" s="1347"/>
      <c r="C3177" s="1348"/>
      <c r="D3177" s="1349"/>
      <c r="E3177" s="1350"/>
      <c r="F3177" s="1349"/>
      <c r="G3177" s="1349"/>
      <c r="H3177" s="1349"/>
      <c r="I3177" s="1349"/>
      <c r="J3177" s="1351"/>
      <c r="K3177" s="1352"/>
      <c r="L3177" s="1353"/>
      <c r="M3177" s="1354"/>
      <c r="N3177" s="1354"/>
      <c r="O3177" s="1354"/>
      <c r="P3177" s="1354"/>
      <c r="Q3177" s="1354"/>
      <c r="R3177" s="1355"/>
      <c r="S3177" s="1356"/>
      <c r="T3177" s="1357"/>
      <c r="U3177" s="1358"/>
      <c r="V3177" s="1420">
        <f>SUM(V3168:V3176)</f>
        <v>0</v>
      </c>
      <c r="AB3177" s="15"/>
    </row>
    <row r="3178" spans="1:36" s="352" customFormat="1" ht="15.6" hidden="1">
      <c r="A3178" s="351"/>
      <c r="B3178" s="1963" t="str">
        <f>VLOOKUP(A3186,'11 - FINANCEIRA'!_xlnm.Print_Area,1,FALSE)</f>
        <v>2.5.2.6.2</v>
      </c>
      <c r="C3178" s="1965" t="str">
        <f>VLOOKUP(A3186,'11 - FINANCEIRA'!_xlnm.Print_Area,3,FALSE)</f>
        <v>Caixa de passagem de alvenaria de blocos de concreto 9x19x39cm, dimensões de 30x30x50cm, com revestimento interno em chapisco e reboco, tampa de concreto esp.5cm e lastro de brita 5 cm</v>
      </c>
      <c r="D3178" s="1967" t="s">
        <v>1503</v>
      </c>
      <c r="E3178" s="1968"/>
      <c r="F3178" s="1968"/>
      <c r="G3178" s="1968"/>
      <c r="H3178" s="1968"/>
      <c r="I3178" s="1969"/>
      <c r="J3178" s="1914" t="s">
        <v>1504</v>
      </c>
      <c r="K3178" s="1914" t="s">
        <v>1505</v>
      </c>
      <c r="L3178" s="1914" t="s">
        <v>1506</v>
      </c>
      <c r="M3178" s="1914" t="s">
        <v>1507</v>
      </c>
      <c r="N3178" s="1914" t="s">
        <v>1508</v>
      </c>
      <c r="O3178" s="1914" t="s">
        <v>1509</v>
      </c>
      <c r="P3178" s="1341" t="s">
        <v>1510</v>
      </c>
      <c r="Q3178" s="1914" t="s">
        <v>1493</v>
      </c>
      <c r="R3178" s="1916" t="s">
        <v>804</v>
      </c>
      <c r="S3178" s="1914" t="s">
        <v>1511</v>
      </c>
      <c r="T3178" s="1914" t="s">
        <v>1512</v>
      </c>
      <c r="U3178" s="1918" t="s">
        <v>1513</v>
      </c>
      <c r="V3178" s="1418">
        <f t="shared" ref="V3178:V3185" si="321">V3179</f>
        <v>0</v>
      </c>
      <c r="W3178" s="16"/>
      <c r="X3178" s="16"/>
      <c r="Y3178" s="16"/>
      <c r="Z3178" s="17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</row>
    <row r="3179" spans="1:36" s="352" customFormat="1" ht="15.6" hidden="1">
      <c r="A3179" s="351"/>
      <c r="B3179" s="1964" t="e">
        <f>LEFT(#REF!,5)</f>
        <v>#REF!</v>
      </c>
      <c r="C3179" s="1966" t="e">
        <f>VLOOKUP(LEFT(#REF!,5),'11 - FINANCEIRA'!_xlnm.Print_Area,2,FALSE)</f>
        <v>#REF!</v>
      </c>
      <c r="D3179" s="1920" t="s">
        <v>1514</v>
      </c>
      <c r="E3179" s="1921"/>
      <c r="F3179" s="1922"/>
      <c r="G3179" s="1923" t="s">
        <v>1515</v>
      </c>
      <c r="H3179" s="1924"/>
      <c r="I3179" s="1925"/>
      <c r="J3179" s="1915"/>
      <c r="K3179" s="1915"/>
      <c r="L3179" s="1915"/>
      <c r="M3179" s="1915"/>
      <c r="N3179" s="1915"/>
      <c r="O3179" s="1915"/>
      <c r="P3179" s="353" t="s">
        <v>1516</v>
      </c>
      <c r="Q3179" s="1915"/>
      <c r="R3179" s="1917"/>
      <c r="S3179" s="1915"/>
      <c r="T3179" s="1915"/>
      <c r="U3179" s="1919"/>
      <c r="V3179" s="1418">
        <f t="shared" si="321"/>
        <v>0</v>
      </c>
      <c r="W3179" s="16"/>
      <c r="X3179" s="16"/>
      <c r="Y3179" s="16"/>
      <c r="Z3179" s="17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</row>
    <row r="3180" spans="1:36" s="361" customFormat="1" ht="15" hidden="1" customHeight="1">
      <c r="A3180" s="354"/>
      <c r="B3180" s="355"/>
      <c r="C3180" s="28" t="s">
        <v>1231</v>
      </c>
      <c r="D3180" s="18"/>
      <c r="E3180" s="19"/>
      <c r="F3180" s="20"/>
      <c r="G3180" s="18"/>
      <c r="H3180" s="19"/>
      <c r="I3180" s="20"/>
      <c r="J3180" s="21"/>
      <c r="K3180" s="22"/>
      <c r="L3180" s="23"/>
      <c r="M3180" s="24"/>
      <c r="N3180" s="728"/>
      <c r="O3180" s="25"/>
      <c r="P3180" s="23"/>
      <c r="Q3180" s="729"/>
      <c r="R3180" s="1109">
        <v>12</v>
      </c>
      <c r="S3180" s="730" t="s">
        <v>816</v>
      </c>
      <c r="T3180" s="446" t="s">
        <v>327</v>
      </c>
      <c r="U3180" s="44"/>
      <c r="V3180" s="1418">
        <f t="shared" si="321"/>
        <v>0</v>
      </c>
      <c r="W3180" s="357"/>
      <c r="X3180" s="357"/>
      <c r="Y3180" s="357"/>
      <c r="Z3180" s="358"/>
      <c r="AA3180" s="359"/>
      <c r="AB3180" s="360"/>
    </row>
    <row r="3181" spans="1:36" s="361" customFormat="1" ht="15" hidden="1" customHeight="1">
      <c r="A3181" s="354"/>
      <c r="B3181" s="355"/>
      <c r="C3181" s="32"/>
      <c r="D3181" s="33"/>
      <c r="E3181" s="34"/>
      <c r="F3181" s="35"/>
      <c r="G3181" s="33"/>
      <c r="H3181" s="34"/>
      <c r="I3181" s="35"/>
      <c r="J3181" s="43"/>
      <c r="K3181" s="42"/>
      <c r="L3181" s="39"/>
      <c r="M3181" s="41"/>
      <c r="N3181" s="356"/>
      <c r="O3181" s="40"/>
      <c r="P3181" s="39"/>
      <c r="Q3181" s="45"/>
      <c r="R3181" s="362"/>
      <c r="S3181" s="363"/>
      <c r="T3181" s="46"/>
      <c r="U3181" s="44"/>
      <c r="V3181" s="1418">
        <f t="shared" si="321"/>
        <v>0</v>
      </c>
      <c r="W3181" s="357"/>
      <c r="X3181" s="357"/>
      <c r="Y3181" s="357"/>
      <c r="Z3181" s="358"/>
      <c r="AA3181" s="359"/>
      <c r="AB3181" s="360"/>
    </row>
    <row r="3182" spans="1:36" s="369" customFormat="1" ht="15" hidden="1">
      <c r="A3182" s="364"/>
      <c r="B3182" s="355"/>
      <c r="C3182" s="32"/>
      <c r="D3182" s="33"/>
      <c r="E3182" s="34"/>
      <c r="F3182" s="35"/>
      <c r="G3182" s="33"/>
      <c r="H3182" s="34"/>
      <c r="I3182" s="35"/>
      <c r="J3182" s="43"/>
      <c r="K3182" s="42"/>
      <c r="L3182" s="39"/>
      <c r="M3182" s="41"/>
      <c r="N3182" s="40"/>
      <c r="O3182" s="40"/>
      <c r="P3182" s="39"/>
      <c r="Q3182" s="38"/>
      <c r="R3182" s="365"/>
      <c r="S3182" s="366"/>
      <c r="T3182" s="46"/>
      <c r="U3182" s="44"/>
      <c r="V3182" s="1418">
        <f t="shared" si="321"/>
        <v>0</v>
      </c>
      <c r="W3182" s="367"/>
      <c r="X3182" s="367"/>
      <c r="Y3182" s="367"/>
      <c r="Z3182" s="368"/>
    </row>
    <row r="3183" spans="1:36" s="77" customFormat="1" ht="15" hidden="1">
      <c r="A3183" s="370"/>
      <c r="B3183" s="29"/>
      <c r="C3183" s="30"/>
      <c r="D3183" s="18"/>
      <c r="E3183" s="19"/>
      <c r="F3183" s="20"/>
      <c r="G3183" s="18"/>
      <c r="H3183" s="19"/>
      <c r="I3183" s="20"/>
      <c r="J3183" s="21"/>
      <c r="K3183" s="22"/>
      <c r="L3183" s="23"/>
      <c r="M3183" s="24"/>
      <c r="N3183" s="25"/>
      <c r="O3183" s="25"/>
      <c r="P3183" s="23"/>
      <c r="Q3183" s="26"/>
      <c r="R3183" s="371"/>
      <c r="S3183" s="27"/>
      <c r="T3183" s="372"/>
      <c r="U3183" s="31"/>
      <c r="V3183" s="1418">
        <f t="shared" si="321"/>
        <v>0</v>
      </c>
      <c r="AB3183" s="15"/>
    </row>
    <row r="3184" spans="1:36" s="77" customFormat="1" ht="15.6" hidden="1">
      <c r="A3184" s="370"/>
      <c r="B3184" s="499"/>
      <c r="C3184" s="37"/>
      <c r="D3184" s="1929" t="s">
        <v>1520</v>
      </c>
      <c r="E3184" s="1930"/>
      <c r="F3184" s="1930"/>
      <c r="G3184" s="1930"/>
      <c r="H3184" s="1930"/>
      <c r="I3184" s="1931"/>
      <c r="J3184" s="1932">
        <f>VLOOKUP(A3186,'11 - FINANCEIRA'!_xlnm.Print_Area,6,FALSE)</f>
        <v>12</v>
      </c>
      <c r="K3184" s="1933"/>
      <c r="L3184" s="1343" t="str">
        <f>VLOOKUP(A3186,'11 - FINANCEIRA'!_xlnm.Print_Area,4,FALSE)</f>
        <v>und</v>
      </c>
      <c r="M3184" s="1934" t="s">
        <v>1521</v>
      </c>
      <c r="N3184" s="1935"/>
      <c r="O3184" s="1935"/>
      <c r="P3184" s="1935"/>
      <c r="Q3184" s="1936"/>
      <c r="R3184" s="726">
        <f>SUM(R3180:R3183)</f>
        <v>12</v>
      </c>
      <c r="S3184" s="1344" t="str">
        <f>L3184</f>
        <v>und</v>
      </c>
      <c r="T3184" s="373"/>
      <c r="U3184" s="486"/>
      <c r="V3184" s="1418">
        <f t="shared" si="321"/>
        <v>0</v>
      </c>
      <c r="AB3184" s="15"/>
    </row>
    <row r="3185" spans="1:36" s="77" customFormat="1" ht="15.6" hidden="1">
      <c r="A3185" s="370"/>
      <c r="B3185" s="499"/>
      <c r="C3185" s="725"/>
      <c r="D3185" s="1937" t="s">
        <v>1522</v>
      </c>
      <c r="E3185" s="1938"/>
      <c r="F3185" s="1938"/>
      <c r="G3185" s="1938"/>
      <c r="H3185" s="1938"/>
      <c r="I3185" s="1939"/>
      <c r="J3185" s="1943">
        <f>R3184/J3184</f>
        <v>1</v>
      </c>
      <c r="K3185" s="1944"/>
      <c r="L3185" s="1947"/>
      <c r="M3185" s="1934" t="s">
        <v>1523</v>
      </c>
      <c r="N3185" s="1935"/>
      <c r="O3185" s="1935"/>
      <c r="P3185" s="1935"/>
      <c r="Q3185" s="1936"/>
      <c r="R3185" s="726">
        <f>VLOOKUP(A3186,'11 - FINANCEIRA'!_xlnm.Print_Area,8,FALSE)</f>
        <v>12</v>
      </c>
      <c r="S3185" s="727" t="str">
        <f>L3184</f>
        <v>und</v>
      </c>
      <c r="T3185" s="373"/>
      <c r="U3185" s="486"/>
      <c r="V3185" s="1418">
        <f t="shared" si="321"/>
        <v>0</v>
      </c>
      <c r="AB3185" s="15"/>
    </row>
    <row r="3186" spans="1:36" s="77" customFormat="1" ht="15.6" hidden="1">
      <c r="A3186" s="364" t="s">
        <v>629</v>
      </c>
      <c r="B3186" s="499"/>
      <c r="C3186" s="37"/>
      <c r="D3186" s="2013"/>
      <c r="E3186" s="2014"/>
      <c r="F3186" s="2014"/>
      <c r="G3186" s="2014"/>
      <c r="H3186" s="2014"/>
      <c r="I3186" s="2015"/>
      <c r="J3186" s="2016"/>
      <c r="K3186" s="2017"/>
      <c r="L3186" s="1962"/>
      <c r="M3186" s="2007" t="s">
        <v>1524</v>
      </c>
      <c r="N3186" s="2008"/>
      <c r="O3186" s="2008"/>
      <c r="P3186" s="2008"/>
      <c r="Q3186" s="2009"/>
      <c r="R3186" s="1345">
        <f>R3184-R3185</f>
        <v>0</v>
      </c>
      <c r="S3186" s="1346" t="str">
        <f>L3184</f>
        <v>und</v>
      </c>
      <c r="T3186" s="373"/>
      <c r="U3186" s="486"/>
      <c r="V3186" s="1418">
        <f>R3186</f>
        <v>0</v>
      </c>
      <c r="AB3186" s="15"/>
    </row>
    <row r="3187" spans="1:36" s="77" customFormat="1" ht="15.6" hidden="1">
      <c r="A3187" s="370"/>
      <c r="B3187" s="1347"/>
      <c r="C3187" s="1348"/>
      <c r="D3187" s="1349"/>
      <c r="E3187" s="1350"/>
      <c r="F3187" s="1349"/>
      <c r="G3187" s="1349"/>
      <c r="H3187" s="1349"/>
      <c r="I3187" s="1349"/>
      <c r="J3187" s="1351"/>
      <c r="K3187" s="1352"/>
      <c r="L3187" s="1353"/>
      <c r="M3187" s="1354"/>
      <c r="N3187" s="1354"/>
      <c r="O3187" s="1354"/>
      <c r="P3187" s="1354"/>
      <c r="Q3187" s="1354"/>
      <c r="R3187" s="1355"/>
      <c r="S3187" s="1356"/>
      <c r="T3187" s="1357"/>
      <c r="U3187" s="1358"/>
      <c r="V3187" s="1420">
        <f>SUM(V3178:V3186)</f>
        <v>0</v>
      </c>
      <c r="AB3187" s="15"/>
    </row>
    <row r="3188" spans="1:36" s="352" customFormat="1" ht="15.6" hidden="1">
      <c r="A3188" s="351"/>
      <c r="B3188" s="1963" t="str">
        <f>VLOOKUP(A3196,'11 - FINANCEIRA'!_xlnm.Print_Area,1,FALSE)</f>
        <v>2.5.2.6.3</v>
      </c>
      <c r="C3188" s="1965" t="str">
        <f>VLOOKUP(A3196,'11 - FINANCEIRA'!_xlnm.Print_Area,3,FALSE)</f>
        <v>Caixa de passagem de alvenaria de blocos cerâmicos 10 furos 10x20x20cm dimensões de 50x50x50cm, com revestimento interno em chapisco e reboco, tampa de concreto esp.5cm e lastro de brita 5 cm</v>
      </c>
      <c r="D3188" s="1967" t="s">
        <v>1503</v>
      </c>
      <c r="E3188" s="1968"/>
      <c r="F3188" s="1968"/>
      <c r="G3188" s="1968"/>
      <c r="H3188" s="1968"/>
      <c r="I3188" s="1969"/>
      <c r="J3188" s="1914" t="s">
        <v>1504</v>
      </c>
      <c r="K3188" s="1914" t="s">
        <v>1505</v>
      </c>
      <c r="L3188" s="1914" t="s">
        <v>1506</v>
      </c>
      <c r="M3188" s="1914" t="s">
        <v>1507</v>
      </c>
      <c r="N3188" s="1914" t="s">
        <v>1508</v>
      </c>
      <c r="O3188" s="1914" t="s">
        <v>1509</v>
      </c>
      <c r="P3188" s="1341" t="s">
        <v>1510</v>
      </c>
      <c r="Q3188" s="1914" t="s">
        <v>1493</v>
      </c>
      <c r="R3188" s="1916" t="s">
        <v>804</v>
      </c>
      <c r="S3188" s="1914" t="s">
        <v>1511</v>
      </c>
      <c r="T3188" s="1914" t="s">
        <v>1512</v>
      </c>
      <c r="U3188" s="1918" t="s">
        <v>1513</v>
      </c>
      <c r="V3188" s="1418">
        <f t="shared" ref="V3188:V3195" si="322">V3189</f>
        <v>0</v>
      </c>
      <c r="W3188" s="16"/>
      <c r="X3188" s="16"/>
      <c r="Y3188" s="16"/>
      <c r="Z3188" s="17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</row>
    <row r="3189" spans="1:36" s="352" customFormat="1" ht="15.6" hidden="1">
      <c r="A3189" s="351"/>
      <c r="B3189" s="1964" t="e">
        <f>LEFT(#REF!,5)</f>
        <v>#REF!</v>
      </c>
      <c r="C3189" s="1966" t="e">
        <f>VLOOKUP(LEFT(#REF!,5),'11 - FINANCEIRA'!_xlnm.Print_Area,2,FALSE)</f>
        <v>#REF!</v>
      </c>
      <c r="D3189" s="1920" t="s">
        <v>1514</v>
      </c>
      <c r="E3189" s="1921"/>
      <c r="F3189" s="1922"/>
      <c r="G3189" s="1923" t="s">
        <v>1515</v>
      </c>
      <c r="H3189" s="1924"/>
      <c r="I3189" s="1925"/>
      <c r="J3189" s="1915"/>
      <c r="K3189" s="1915"/>
      <c r="L3189" s="1915"/>
      <c r="M3189" s="1915"/>
      <c r="N3189" s="1915"/>
      <c r="O3189" s="1915"/>
      <c r="P3189" s="353" t="s">
        <v>1516</v>
      </c>
      <c r="Q3189" s="1915"/>
      <c r="R3189" s="1917"/>
      <c r="S3189" s="1915"/>
      <c r="T3189" s="1915"/>
      <c r="U3189" s="1919"/>
      <c r="V3189" s="1418">
        <f t="shared" si="322"/>
        <v>0</v>
      </c>
      <c r="W3189" s="16"/>
      <c r="X3189" s="16"/>
      <c r="Y3189" s="16"/>
      <c r="Z3189" s="17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</row>
    <row r="3190" spans="1:36" s="361" customFormat="1" ht="15" hidden="1">
      <c r="A3190" s="354"/>
      <c r="B3190" s="355"/>
      <c r="C3190" s="28" t="s">
        <v>1947</v>
      </c>
      <c r="D3190" s="18"/>
      <c r="E3190" s="19"/>
      <c r="F3190" s="20"/>
      <c r="G3190" s="18"/>
      <c r="H3190" s="19"/>
      <c r="I3190" s="20"/>
      <c r="J3190" s="21"/>
      <c r="K3190" s="22"/>
      <c r="L3190" s="23"/>
      <c r="M3190" s="24"/>
      <c r="N3190" s="728"/>
      <c r="O3190" s="25"/>
      <c r="P3190" s="23"/>
      <c r="Q3190" s="729"/>
      <c r="R3190" s="1109">
        <v>3</v>
      </c>
      <c r="S3190" s="730" t="s">
        <v>816</v>
      </c>
      <c r="T3190" s="446" t="s">
        <v>320</v>
      </c>
      <c r="U3190" s="44"/>
      <c r="V3190" s="1418">
        <f t="shared" si="322"/>
        <v>0</v>
      </c>
      <c r="W3190" s="357"/>
      <c r="X3190" s="357"/>
      <c r="Y3190" s="357"/>
      <c r="Z3190" s="358"/>
      <c r="AA3190" s="359"/>
      <c r="AB3190" s="360"/>
    </row>
    <row r="3191" spans="1:36" s="361" customFormat="1" ht="15" hidden="1">
      <c r="A3191" s="354"/>
      <c r="B3191" s="355"/>
      <c r="C3191" s="32"/>
      <c r="D3191" s="33"/>
      <c r="E3191" s="34"/>
      <c r="F3191" s="35"/>
      <c r="G3191" s="33"/>
      <c r="H3191" s="34"/>
      <c r="I3191" s="35"/>
      <c r="J3191" s="43"/>
      <c r="K3191" s="42"/>
      <c r="L3191" s="39"/>
      <c r="M3191" s="41"/>
      <c r="N3191" s="356"/>
      <c r="O3191" s="40"/>
      <c r="P3191" s="39"/>
      <c r="Q3191" s="45"/>
      <c r="R3191" s="362"/>
      <c r="S3191" s="363"/>
      <c r="T3191" s="46"/>
      <c r="U3191" s="44"/>
      <c r="V3191" s="1418">
        <f t="shared" si="322"/>
        <v>0</v>
      </c>
      <c r="W3191" s="357"/>
      <c r="X3191" s="357"/>
      <c r="Y3191" s="357"/>
      <c r="Z3191" s="358"/>
      <c r="AA3191" s="359"/>
      <c r="AB3191" s="360"/>
    </row>
    <row r="3192" spans="1:36" s="369" customFormat="1" ht="15" hidden="1">
      <c r="A3192" s="364"/>
      <c r="B3192" s="355"/>
      <c r="C3192" s="32"/>
      <c r="D3192" s="33"/>
      <c r="E3192" s="34"/>
      <c r="F3192" s="35"/>
      <c r="G3192" s="33"/>
      <c r="H3192" s="34"/>
      <c r="I3192" s="35"/>
      <c r="J3192" s="43"/>
      <c r="K3192" s="42"/>
      <c r="L3192" s="39"/>
      <c r="M3192" s="41"/>
      <c r="N3192" s="40"/>
      <c r="O3192" s="40"/>
      <c r="P3192" s="39"/>
      <c r="Q3192" s="38"/>
      <c r="R3192" s="365"/>
      <c r="S3192" s="366"/>
      <c r="T3192" s="46"/>
      <c r="U3192" s="44"/>
      <c r="V3192" s="1418">
        <f t="shared" si="322"/>
        <v>0</v>
      </c>
      <c r="W3192" s="367"/>
      <c r="X3192" s="367"/>
      <c r="Y3192" s="367"/>
      <c r="Z3192" s="368"/>
    </row>
    <row r="3193" spans="1:36" s="77" customFormat="1" ht="15" hidden="1">
      <c r="A3193" s="370"/>
      <c r="B3193" s="29"/>
      <c r="C3193" s="30"/>
      <c r="D3193" s="18"/>
      <c r="E3193" s="19"/>
      <c r="F3193" s="20"/>
      <c r="G3193" s="18"/>
      <c r="H3193" s="19"/>
      <c r="I3193" s="20"/>
      <c r="J3193" s="21"/>
      <c r="K3193" s="22"/>
      <c r="L3193" s="23"/>
      <c r="M3193" s="24"/>
      <c r="N3193" s="25"/>
      <c r="O3193" s="25"/>
      <c r="P3193" s="23"/>
      <c r="Q3193" s="26"/>
      <c r="R3193" s="371"/>
      <c r="S3193" s="27"/>
      <c r="T3193" s="372"/>
      <c r="U3193" s="31"/>
      <c r="V3193" s="1418">
        <f t="shared" si="322"/>
        <v>0</v>
      </c>
      <c r="AB3193" s="15"/>
    </row>
    <row r="3194" spans="1:36" s="77" customFormat="1" ht="15.6" hidden="1">
      <c r="A3194" s="370"/>
      <c r="B3194" s="499"/>
      <c r="C3194" s="37"/>
      <c r="D3194" s="1929" t="s">
        <v>1520</v>
      </c>
      <c r="E3194" s="1930"/>
      <c r="F3194" s="1930"/>
      <c r="G3194" s="1930"/>
      <c r="H3194" s="1930"/>
      <c r="I3194" s="1931"/>
      <c r="J3194" s="1932">
        <f>VLOOKUP(A3196,'11 - FINANCEIRA'!_xlnm.Print_Area,6,FALSE)</f>
        <v>3</v>
      </c>
      <c r="K3194" s="1933"/>
      <c r="L3194" s="1343" t="str">
        <f>VLOOKUP(A3196,'11 - FINANCEIRA'!_xlnm.Print_Area,4,FALSE)</f>
        <v>und</v>
      </c>
      <c r="M3194" s="1934" t="s">
        <v>1521</v>
      </c>
      <c r="N3194" s="1935"/>
      <c r="O3194" s="1935"/>
      <c r="P3194" s="1935"/>
      <c r="Q3194" s="1936"/>
      <c r="R3194" s="726">
        <f>SUM(R3190:R3193)</f>
        <v>3</v>
      </c>
      <c r="S3194" s="1344" t="str">
        <f>L3194</f>
        <v>und</v>
      </c>
      <c r="T3194" s="373"/>
      <c r="U3194" s="486"/>
      <c r="V3194" s="1418">
        <f t="shared" si="322"/>
        <v>0</v>
      </c>
      <c r="AB3194" s="15"/>
    </row>
    <row r="3195" spans="1:36" s="77" customFormat="1" ht="15.6" hidden="1">
      <c r="A3195" s="370"/>
      <c r="B3195" s="499"/>
      <c r="C3195" s="725"/>
      <c r="D3195" s="1937" t="s">
        <v>1522</v>
      </c>
      <c r="E3195" s="1938"/>
      <c r="F3195" s="1938"/>
      <c r="G3195" s="1938"/>
      <c r="H3195" s="1938"/>
      <c r="I3195" s="1939"/>
      <c r="J3195" s="1943">
        <f>R3194/J3194</f>
        <v>1</v>
      </c>
      <c r="K3195" s="1944"/>
      <c r="L3195" s="1947"/>
      <c r="M3195" s="1934" t="s">
        <v>1523</v>
      </c>
      <c r="N3195" s="1935"/>
      <c r="O3195" s="1935"/>
      <c r="P3195" s="1935"/>
      <c r="Q3195" s="1936"/>
      <c r="R3195" s="726">
        <f>VLOOKUP(A3196,'11 - FINANCEIRA'!_xlnm.Print_Area,8,FALSE)</f>
        <v>3</v>
      </c>
      <c r="S3195" s="727" t="str">
        <f>L3194</f>
        <v>und</v>
      </c>
      <c r="T3195" s="373"/>
      <c r="U3195" s="486"/>
      <c r="V3195" s="1418">
        <f t="shared" si="322"/>
        <v>0</v>
      </c>
      <c r="AB3195" s="15"/>
    </row>
    <row r="3196" spans="1:36" s="77" customFormat="1" ht="15.6" hidden="1">
      <c r="A3196" s="364" t="s">
        <v>630</v>
      </c>
      <c r="B3196" s="499"/>
      <c r="C3196" s="37"/>
      <c r="D3196" s="2013"/>
      <c r="E3196" s="2014"/>
      <c r="F3196" s="2014"/>
      <c r="G3196" s="2014"/>
      <c r="H3196" s="2014"/>
      <c r="I3196" s="2015"/>
      <c r="J3196" s="2016"/>
      <c r="K3196" s="2017"/>
      <c r="L3196" s="1962"/>
      <c r="M3196" s="2007" t="s">
        <v>1524</v>
      </c>
      <c r="N3196" s="2008"/>
      <c r="O3196" s="2008"/>
      <c r="P3196" s="2008"/>
      <c r="Q3196" s="2009"/>
      <c r="R3196" s="1345">
        <f>R3194-R3195</f>
        <v>0</v>
      </c>
      <c r="S3196" s="1346" t="str">
        <f>L3194</f>
        <v>und</v>
      </c>
      <c r="T3196" s="373"/>
      <c r="U3196" s="486"/>
      <c r="V3196" s="1418">
        <f>R3196</f>
        <v>0</v>
      </c>
      <c r="AB3196" s="15"/>
    </row>
    <row r="3197" spans="1:36" s="77" customFormat="1" ht="15.6" hidden="1">
      <c r="A3197" s="370"/>
      <c r="B3197" s="1347"/>
      <c r="C3197" s="1348"/>
      <c r="D3197" s="1349"/>
      <c r="E3197" s="1350"/>
      <c r="F3197" s="1349"/>
      <c r="G3197" s="1349"/>
      <c r="H3197" s="1349"/>
      <c r="I3197" s="1349"/>
      <c r="J3197" s="1351"/>
      <c r="K3197" s="1352"/>
      <c r="L3197" s="1353"/>
      <c r="M3197" s="1354"/>
      <c r="N3197" s="1354"/>
      <c r="O3197" s="1354"/>
      <c r="P3197" s="1354"/>
      <c r="Q3197" s="1354"/>
      <c r="R3197" s="1355"/>
      <c r="S3197" s="1356"/>
      <c r="T3197" s="1357"/>
      <c r="U3197" s="1358"/>
      <c r="V3197" s="1420">
        <f>SUM(V3188:V3196)</f>
        <v>0</v>
      </c>
      <c r="AB3197" s="15"/>
    </row>
    <row r="3198" spans="1:36" s="352" customFormat="1" ht="15.6" hidden="1">
      <c r="A3198" s="351"/>
      <c r="B3198" s="1963" t="str">
        <f>VLOOKUP(A3206,'11 - FINANCEIRA'!_xlnm.Print_Area,1,FALSE)</f>
        <v>2.5.2.6.4</v>
      </c>
      <c r="C3198" s="1965" t="str">
        <f>VLOOKUP(A3206,'11 - FINANCEIRA'!_xlnm.Print_Area,3,FALSE)</f>
        <v>Caixa de passagem de alvenaria de blocos de concreto 9x19x39cm, dimensões de 80x80x80m, com revestimento interno em chapisco e reboco tampa de concreto esp. 5cm e lastro de brita 5cm</v>
      </c>
      <c r="D3198" s="1967" t="s">
        <v>1503</v>
      </c>
      <c r="E3198" s="1968"/>
      <c r="F3198" s="1968"/>
      <c r="G3198" s="1968"/>
      <c r="H3198" s="1968"/>
      <c r="I3198" s="1969"/>
      <c r="J3198" s="1914" t="s">
        <v>1504</v>
      </c>
      <c r="K3198" s="1914" t="s">
        <v>1505</v>
      </c>
      <c r="L3198" s="1914" t="s">
        <v>1506</v>
      </c>
      <c r="M3198" s="1914" t="s">
        <v>1507</v>
      </c>
      <c r="N3198" s="1914" t="s">
        <v>1508</v>
      </c>
      <c r="O3198" s="1914" t="s">
        <v>1509</v>
      </c>
      <c r="P3198" s="1341" t="s">
        <v>1510</v>
      </c>
      <c r="Q3198" s="1914" t="s">
        <v>1493</v>
      </c>
      <c r="R3198" s="1916" t="s">
        <v>804</v>
      </c>
      <c r="S3198" s="1914" t="s">
        <v>1511</v>
      </c>
      <c r="T3198" s="1914" t="s">
        <v>1512</v>
      </c>
      <c r="U3198" s="1918" t="s">
        <v>1513</v>
      </c>
      <c r="V3198" s="1418">
        <f t="shared" ref="V3198:V3205" si="323">V3199</f>
        <v>0</v>
      </c>
      <c r="W3198" s="16"/>
      <c r="X3198" s="16"/>
      <c r="Y3198" s="16"/>
      <c r="Z3198" s="17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</row>
    <row r="3199" spans="1:36" s="352" customFormat="1" ht="15.6" hidden="1">
      <c r="A3199" s="351"/>
      <c r="B3199" s="1964" t="e">
        <f>LEFT(#REF!,5)</f>
        <v>#REF!</v>
      </c>
      <c r="C3199" s="1966" t="e">
        <f>VLOOKUP(LEFT(#REF!,5),'11 - FINANCEIRA'!_xlnm.Print_Area,2,FALSE)</f>
        <v>#REF!</v>
      </c>
      <c r="D3199" s="1920" t="s">
        <v>1514</v>
      </c>
      <c r="E3199" s="1921"/>
      <c r="F3199" s="1922"/>
      <c r="G3199" s="1923" t="s">
        <v>1515</v>
      </c>
      <c r="H3199" s="1924"/>
      <c r="I3199" s="1925"/>
      <c r="J3199" s="1915"/>
      <c r="K3199" s="1915"/>
      <c r="L3199" s="1915"/>
      <c r="M3199" s="1915"/>
      <c r="N3199" s="1915"/>
      <c r="O3199" s="1915"/>
      <c r="P3199" s="353" t="s">
        <v>1516</v>
      </c>
      <c r="Q3199" s="1915"/>
      <c r="R3199" s="1917"/>
      <c r="S3199" s="1915"/>
      <c r="T3199" s="1915"/>
      <c r="U3199" s="1919"/>
      <c r="V3199" s="1418">
        <f t="shared" si="323"/>
        <v>0</v>
      </c>
      <c r="W3199" s="16"/>
      <c r="X3199" s="16"/>
      <c r="Y3199" s="16"/>
      <c r="Z3199" s="17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</row>
    <row r="3200" spans="1:36" s="361" customFormat="1" ht="15" hidden="1">
      <c r="A3200" s="354"/>
      <c r="B3200" s="355"/>
      <c r="C3200" s="28" t="s">
        <v>1948</v>
      </c>
      <c r="D3200" s="18"/>
      <c r="E3200" s="19"/>
      <c r="F3200" s="20"/>
      <c r="G3200" s="18"/>
      <c r="H3200" s="19"/>
      <c r="I3200" s="20"/>
      <c r="J3200" s="21"/>
      <c r="K3200" s="22"/>
      <c r="L3200" s="23"/>
      <c r="M3200" s="24"/>
      <c r="N3200" s="728"/>
      <c r="O3200" s="25"/>
      <c r="P3200" s="23"/>
      <c r="Q3200" s="729"/>
      <c r="R3200" s="1109">
        <v>12</v>
      </c>
      <c r="S3200" s="730" t="s">
        <v>816</v>
      </c>
      <c r="T3200" s="446" t="s">
        <v>320</v>
      </c>
      <c r="U3200" s="44"/>
      <c r="V3200" s="1418">
        <f t="shared" si="323"/>
        <v>0</v>
      </c>
      <c r="W3200" s="357"/>
      <c r="X3200" s="357"/>
      <c r="Y3200" s="357"/>
      <c r="Z3200" s="358"/>
      <c r="AA3200" s="359"/>
      <c r="AB3200" s="360"/>
    </row>
    <row r="3201" spans="1:36" s="361" customFormat="1" ht="15" hidden="1">
      <c r="A3201" s="354"/>
      <c r="B3201" s="355"/>
      <c r="C3201" s="32"/>
      <c r="D3201" s="33"/>
      <c r="E3201" s="34"/>
      <c r="F3201" s="35"/>
      <c r="G3201" s="33"/>
      <c r="H3201" s="34"/>
      <c r="I3201" s="35"/>
      <c r="J3201" s="43"/>
      <c r="K3201" s="42"/>
      <c r="L3201" s="39"/>
      <c r="M3201" s="41"/>
      <c r="N3201" s="356"/>
      <c r="O3201" s="40"/>
      <c r="P3201" s="39"/>
      <c r="Q3201" s="45"/>
      <c r="R3201" s="362"/>
      <c r="S3201" s="363"/>
      <c r="T3201" s="46"/>
      <c r="U3201" s="44"/>
      <c r="V3201" s="1418">
        <f t="shared" si="323"/>
        <v>0</v>
      </c>
      <c r="W3201" s="357"/>
      <c r="X3201" s="357"/>
      <c r="Y3201" s="357"/>
      <c r="Z3201" s="358"/>
      <c r="AA3201" s="359"/>
      <c r="AB3201" s="360"/>
    </row>
    <row r="3202" spans="1:36" s="369" customFormat="1" ht="15" hidden="1">
      <c r="A3202" s="364"/>
      <c r="B3202" s="355"/>
      <c r="C3202" s="32"/>
      <c r="D3202" s="33"/>
      <c r="E3202" s="34"/>
      <c r="F3202" s="35"/>
      <c r="G3202" s="33"/>
      <c r="H3202" s="34"/>
      <c r="I3202" s="35"/>
      <c r="J3202" s="43"/>
      <c r="K3202" s="42"/>
      <c r="L3202" s="39"/>
      <c r="M3202" s="41"/>
      <c r="N3202" s="40"/>
      <c r="O3202" s="40"/>
      <c r="P3202" s="39"/>
      <c r="Q3202" s="38"/>
      <c r="R3202" s="365"/>
      <c r="S3202" s="366"/>
      <c r="T3202" s="46"/>
      <c r="U3202" s="44"/>
      <c r="V3202" s="1418">
        <f t="shared" si="323"/>
        <v>0</v>
      </c>
      <c r="W3202" s="367"/>
      <c r="X3202" s="367"/>
      <c r="Y3202" s="367"/>
      <c r="Z3202" s="368"/>
    </row>
    <row r="3203" spans="1:36" s="77" customFormat="1" ht="15" hidden="1">
      <c r="A3203" s="370"/>
      <c r="B3203" s="29"/>
      <c r="C3203" s="30"/>
      <c r="D3203" s="18"/>
      <c r="E3203" s="19"/>
      <c r="F3203" s="20"/>
      <c r="G3203" s="18"/>
      <c r="H3203" s="19"/>
      <c r="I3203" s="20"/>
      <c r="J3203" s="21"/>
      <c r="K3203" s="22"/>
      <c r="L3203" s="23"/>
      <c r="M3203" s="24"/>
      <c r="N3203" s="25"/>
      <c r="O3203" s="25"/>
      <c r="P3203" s="23"/>
      <c r="Q3203" s="26"/>
      <c r="R3203" s="371"/>
      <c r="S3203" s="27"/>
      <c r="T3203" s="372"/>
      <c r="U3203" s="31"/>
      <c r="V3203" s="1418">
        <f t="shared" si="323"/>
        <v>0</v>
      </c>
      <c r="AB3203" s="15"/>
    </row>
    <row r="3204" spans="1:36" s="77" customFormat="1" ht="15.6" hidden="1">
      <c r="A3204" s="370"/>
      <c r="B3204" s="499"/>
      <c r="C3204" s="37"/>
      <c r="D3204" s="1929" t="s">
        <v>1520</v>
      </c>
      <c r="E3204" s="1930"/>
      <c r="F3204" s="1930"/>
      <c r="G3204" s="1930"/>
      <c r="H3204" s="1930"/>
      <c r="I3204" s="1931"/>
      <c r="J3204" s="1932">
        <f>VLOOKUP(A3206,'11 - FINANCEIRA'!_xlnm.Print_Area,6,FALSE)</f>
        <v>12</v>
      </c>
      <c r="K3204" s="1933"/>
      <c r="L3204" s="1343" t="str">
        <f>VLOOKUP(A3206,'11 - FINANCEIRA'!_xlnm.Print_Area,4,FALSE)</f>
        <v>und</v>
      </c>
      <c r="M3204" s="1934" t="s">
        <v>1521</v>
      </c>
      <c r="N3204" s="1935"/>
      <c r="O3204" s="1935"/>
      <c r="P3204" s="1935"/>
      <c r="Q3204" s="1936"/>
      <c r="R3204" s="726">
        <f>SUM(R3200:R3203)</f>
        <v>12</v>
      </c>
      <c r="S3204" s="1344" t="str">
        <f>L3204</f>
        <v>und</v>
      </c>
      <c r="T3204" s="373"/>
      <c r="U3204" s="486"/>
      <c r="V3204" s="1418">
        <f t="shared" si="323"/>
        <v>0</v>
      </c>
      <c r="AB3204" s="15"/>
    </row>
    <row r="3205" spans="1:36" s="77" customFormat="1" ht="15.6" hidden="1">
      <c r="A3205" s="370"/>
      <c r="B3205" s="499"/>
      <c r="C3205" s="725"/>
      <c r="D3205" s="1937" t="s">
        <v>1522</v>
      </c>
      <c r="E3205" s="1938"/>
      <c r="F3205" s="1938"/>
      <c r="G3205" s="1938"/>
      <c r="H3205" s="1938"/>
      <c r="I3205" s="1939"/>
      <c r="J3205" s="1943">
        <f>R3204/J3204</f>
        <v>1</v>
      </c>
      <c r="K3205" s="1944"/>
      <c r="L3205" s="1947"/>
      <c r="M3205" s="1934" t="s">
        <v>1523</v>
      </c>
      <c r="N3205" s="1935"/>
      <c r="O3205" s="1935"/>
      <c r="P3205" s="1935"/>
      <c r="Q3205" s="1936"/>
      <c r="R3205" s="726">
        <f>VLOOKUP(A3206,'11 - FINANCEIRA'!_xlnm.Print_Area,8,FALSE)</f>
        <v>12</v>
      </c>
      <c r="S3205" s="727" t="str">
        <f>L3204</f>
        <v>und</v>
      </c>
      <c r="T3205" s="373"/>
      <c r="U3205" s="486"/>
      <c r="V3205" s="1418">
        <f t="shared" si="323"/>
        <v>0</v>
      </c>
      <c r="AB3205" s="15"/>
    </row>
    <row r="3206" spans="1:36" s="77" customFormat="1" ht="15.6" hidden="1">
      <c r="A3206" s="364" t="s">
        <v>631</v>
      </c>
      <c r="B3206" s="499"/>
      <c r="C3206" s="37"/>
      <c r="D3206" s="2013"/>
      <c r="E3206" s="2014"/>
      <c r="F3206" s="2014"/>
      <c r="G3206" s="2014"/>
      <c r="H3206" s="2014"/>
      <c r="I3206" s="2015"/>
      <c r="J3206" s="2016"/>
      <c r="K3206" s="2017"/>
      <c r="L3206" s="1962"/>
      <c r="M3206" s="2007" t="s">
        <v>1524</v>
      </c>
      <c r="N3206" s="2008"/>
      <c r="O3206" s="2008"/>
      <c r="P3206" s="2008"/>
      <c r="Q3206" s="2009"/>
      <c r="R3206" s="1345">
        <f>R3204-R3205</f>
        <v>0</v>
      </c>
      <c r="S3206" s="1346" t="str">
        <f>L3204</f>
        <v>und</v>
      </c>
      <c r="T3206" s="373"/>
      <c r="U3206" s="486"/>
      <c r="V3206" s="1418">
        <f>R3206</f>
        <v>0</v>
      </c>
      <c r="AB3206" s="15"/>
    </row>
    <row r="3207" spans="1:36" s="77" customFormat="1" ht="15.6" hidden="1">
      <c r="A3207" s="370"/>
      <c r="B3207" s="1347"/>
      <c r="C3207" s="1348"/>
      <c r="D3207" s="1349"/>
      <c r="E3207" s="1350"/>
      <c r="F3207" s="1349"/>
      <c r="G3207" s="1349"/>
      <c r="H3207" s="1349"/>
      <c r="I3207" s="1349"/>
      <c r="J3207" s="1351"/>
      <c r="K3207" s="1352"/>
      <c r="L3207" s="1353"/>
      <c r="M3207" s="1354"/>
      <c r="N3207" s="1354"/>
      <c r="O3207" s="1354"/>
      <c r="P3207" s="1354"/>
      <c r="Q3207" s="1354"/>
      <c r="R3207" s="1355"/>
      <c r="S3207" s="1356"/>
      <c r="T3207" s="1357"/>
      <c r="U3207" s="1358"/>
      <c r="V3207" s="1420">
        <f>SUM(V3198:V3206)</f>
        <v>0</v>
      </c>
      <c r="AB3207" s="15"/>
    </row>
    <row r="3208" spans="1:36" s="352" customFormat="1" ht="15.6" hidden="1">
      <c r="A3208" s="351"/>
      <c r="B3208" s="1963" t="str">
        <f>VLOOKUP(A3216,'11 - FINANCEIRA'!_xlnm.Print_Area,1,FALSE)</f>
        <v>2.5.2.6.5</v>
      </c>
      <c r="C3208" s="1965" t="str">
        <f>VLOOKUP(A3216,'11 - FINANCEIRA'!_xlnm.Print_Area,3,FALSE)</f>
        <v>Caixa de embutir marca de referência tigreflex, 4x2"</v>
      </c>
      <c r="D3208" s="1967" t="s">
        <v>1503</v>
      </c>
      <c r="E3208" s="1968"/>
      <c r="F3208" s="1968"/>
      <c r="G3208" s="1968"/>
      <c r="H3208" s="1968"/>
      <c r="I3208" s="1969"/>
      <c r="J3208" s="1914" t="s">
        <v>1504</v>
      </c>
      <c r="K3208" s="1914" t="s">
        <v>1505</v>
      </c>
      <c r="L3208" s="1914" t="s">
        <v>1506</v>
      </c>
      <c r="M3208" s="1914" t="s">
        <v>1507</v>
      </c>
      <c r="N3208" s="1914" t="s">
        <v>1508</v>
      </c>
      <c r="O3208" s="1914" t="s">
        <v>1509</v>
      </c>
      <c r="P3208" s="1341" t="s">
        <v>1510</v>
      </c>
      <c r="Q3208" s="1914" t="s">
        <v>1493</v>
      </c>
      <c r="R3208" s="1916" t="s">
        <v>804</v>
      </c>
      <c r="S3208" s="1914" t="s">
        <v>1511</v>
      </c>
      <c r="T3208" s="1914" t="s">
        <v>1512</v>
      </c>
      <c r="U3208" s="1918" t="s">
        <v>1513</v>
      </c>
      <c r="V3208" s="1418">
        <f t="shared" ref="V3208:V3215" si="324">V3209</f>
        <v>0</v>
      </c>
      <c r="W3208" s="16"/>
      <c r="X3208" s="16"/>
      <c r="Y3208" s="16"/>
      <c r="Z3208" s="17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</row>
    <row r="3209" spans="1:36" s="352" customFormat="1" ht="15.6" hidden="1">
      <c r="A3209" s="351"/>
      <c r="B3209" s="1964" t="e">
        <f>LEFT(#REF!,5)</f>
        <v>#REF!</v>
      </c>
      <c r="C3209" s="1966" t="e">
        <f>VLOOKUP(LEFT(#REF!,5),'11 - FINANCEIRA'!_xlnm.Print_Area,2,FALSE)</f>
        <v>#REF!</v>
      </c>
      <c r="D3209" s="1920" t="s">
        <v>1514</v>
      </c>
      <c r="E3209" s="1921"/>
      <c r="F3209" s="1922"/>
      <c r="G3209" s="1923" t="s">
        <v>1515</v>
      </c>
      <c r="H3209" s="1924"/>
      <c r="I3209" s="1925"/>
      <c r="J3209" s="1915"/>
      <c r="K3209" s="1915"/>
      <c r="L3209" s="1915"/>
      <c r="M3209" s="1915"/>
      <c r="N3209" s="1915"/>
      <c r="O3209" s="1915"/>
      <c r="P3209" s="353" t="s">
        <v>1516</v>
      </c>
      <c r="Q3209" s="1915"/>
      <c r="R3209" s="1917"/>
      <c r="S3209" s="1915"/>
      <c r="T3209" s="1915"/>
      <c r="U3209" s="1919"/>
      <c r="V3209" s="1418">
        <f t="shared" si="324"/>
        <v>0</v>
      </c>
      <c r="W3209" s="16"/>
      <c r="X3209" s="16"/>
      <c r="Y3209" s="16"/>
      <c r="Z3209" s="17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</row>
    <row r="3210" spans="1:36" s="361" customFormat="1" ht="15" hidden="1" customHeight="1">
      <c r="A3210" s="354"/>
      <c r="B3210" s="355"/>
      <c r="C3210" s="32" t="s">
        <v>1233</v>
      </c>
      <c r="D3210" s="33"/>
      <c r="E3210" s="34"/>
      <c r="F3210" s="35"/>
      <c r="G3210" s="33"/>
      <c r="H3210" s="34"/>
      <c r="I3210" s="35"/>
      <c r="J3210" s="43"/>
      <c r="K3210" s="42"/>
      <c r="L3210" s="39"/>
      <c r="M3210" s="41"/>
      <c r="N3210" s="356"/>
      <c r="O3210" s="40"/>
      <c r="P3210" s="39"/>
      <c r="Q3210" s="45"/>
      <c r="R3210" s="1359">
        <v>18</v>
      </c>
      <c r="S3210" s="1265" t="s">
        <v>816</v>
      </c>
      <c r="T3210" s="46" t="s">
        <v>331</v>
      </c>
      <c r="U3210" s="44"/>
      <c r="V3210" s="1418">
        <f t="shared" si="324"/>
        <v>0</v>
      </c>
      <c r="W3210" s="357"/>
      <c r="X3210" s="357"/>
      <c r="Y3210" s="357"/>
      <c r="Z3210" s="358"/>
      <c r="AA3210" s="359"/>
      <c r="AB3210" s="360"/>
    </row>
    <row r="3211" spans="1:36" s="361" customFormat="1" ht="15" hidden="1" customHeight="1">
      <c r="A3211" s="354"/>
      <c r="B3211" s="355"/>
      <c r="C3211" s="32"/>
      <c r="D3211" s="33"/>
      <c r="E3211" s="34"/>
      <c r="F3211" s="35"/>
      <c r="G3211" s="33"/>
      <c r="H3211" s="34"/>
      <c r="I3211" s="35"/>
      <c r="J3211" s="43"/>
      <c r="K3211" s="42"/>
      <c r="L3211" s="39"/>
      <c r="M3211" s="41"/>
      <c r="N3211" s="356"/>
      <c r="O3211" s="40"/>
      <c r="P3211" s="39"/>
      <c r="Q3211" s="45"/>
      <c r="R3211" s="362"/>
      <c r="S3211" s="363"/>
      <c r="T3211" s="46"/>
      <c r="U3211" s="44"/>
      <c r="V3211" s="1418">
        <f t="shared" si="324"/>
        <v>0</v>
      </c>
      <c r="W3211" s="357"/>
      <c r="X3211" s="357"/>
      <c r="Y3211" s="357"/>
      <c r="Z3211" s="358"/>
      <c r="AA3211" s="359"/>
      <c r="AB3211" s="360"/>
    </row>
    <row r="3212" spans="1:36" s="369" customFormat="1" ht="15" hidden="1">
      <c r="A3212" s="364"/>
      <c r="B3212" s="355"/>
      <c r="C3212" s="32"/>
      <c r="D3212" s="33"/>
      <c r="E3212" s="34"/>
      <c r="F3212" s="35"/>
      <c r="G3212" s="33"/>
      <c r="H3212" s="34"/>
      <c r="I3212" s="35"/>
      <c r="J3212" s="43"/>
      <c r="K3212" s="42"/>
      <c r="L3212" s="39"/>
      <c r="M3212" s="41"/>
      <c r="N3212" s="40"/>
      <c r="O3212" s="40"/>
      <c r="P3212" s="39"/>
      <c r="Q3212" s="38"/>
      <c r="R3212" s="365"/>
      <c r="S3212" s="366"/>
      <c r="T3212" s="46"/>
      <c r="U3212" s="44"/>
      <c r="V3212" s="1418">
        <f t="shared" si="324"/>
        <v>0</v>
      </c>
      <c r="W3212" s="367"/>
      <c r="X3212" s="367"/>
      <c r="Y3212" s="367"/>
      <c r="Z3212" s="368"/>
    </row>
    <row r="3213" spans="1:36" s="77" customFormat="1" ht="15" hidden="1">
      <c r="A3213" s="370"/>
      <c r="B3213" s="29"/>
      <c r="C3213" s="30"/>
      <c r="D3213" s="18"/>
      <c r="E3213" s="19"/>
      <c r="F3213" s="20"/>
      <c r="G3213" s="18"/>
      <c r="H3213" s="19"/>
      <c r="I3213" s="20"/>
      <c r="J3213" s="21"/>
      <c r="K3213" s="22"/>
      <c r="L3213" s="23"/>
      <c r="M3213" s="24"/>
      <c r="N3213" s="25"/>
      <c r="O3213" s="25"/>
      <c r="P3213" s="23"/>
      <c r="Q3213" s="26"/>
      <c r="R3213" s="371"/>
      <c r="S3213" s="27"/>
      <c r="T3213" s="372"/>
      <c r="U3213" s="31"/>
      <c r="V3213" s="1418">
        <f t="shared" si="324"/>
        <v>0</v>
      </c>
      <c r="AB3213" s="15"/>
    </row>
    <row r="3214" spans="1:36" s="77" customFormat="1" ht="15.6" hidden="1">
      <c r="A3214" s="370"/>
      <c r="B3214" s="499"/>
      <c r="C3214" s="37"/>
      <c r="D3214" s="1929" t="s">
        <v>1520</v>
      </c>
      <c r="E3214" s="1930"/>
      <c r="F3214" s="1930"/>
      <c r="G3214" s="1930"/>
      <c r="H3214" s="1930"/>
      <c r="I3214" s="1931"/>
      <c r="J3214" s="1932">
        <f>VLOOKUP(A3216,'11 - FINANCEIRA'!_xlnm.Print_Area,6,FALSE)</f>
        <v>18</v>
      </c>
      <c r="K3214" s="1933"/>
      <c r="L3214" s="1343" t="str">
        <f>VLOOKUP(A3216,'11 - FINANCEIRA'!_xlnm.Print_Area,4,FALSE)</f>
        <v>und</v>
      </c>
      <c r="M3214" s="1934" t="s">
        <v>1521</v>
      </c>
      <c r="N3214" s="1935"/>
      <c r="O3214" s="1935"/>
      <c r="P3214" s="1935"/>
      <c r="Q3214" s="1936"/>
      <c r="R3214" s="726">
        <f>SUM(R3210:R3213)</f>
        <v>18</v>
      </c>
      <c r="S3214" s="1344" t="str">
        <f>L3214</f>
        <v>und</v>
      </c>
      <c r="T3214" s="373"/>
      <c r="U3214" s="486"/>
      <c r="V3214" s="1418">
        <f t="shared" si="324"/>
        <v>0</v>
      </c>
      <c r="AB3214" s="15"/>
    </row>
    <row r="3215" spans="1:36" s="77" customFormat="1" ht="15.6" hidden="1">
      <c r="A3215" s="370"/>
      <c r="B3215" s="499"/>
      <c r="C3215" s="725"/>
      <c r="D3215" s="1937" t="s">
        <v>1522</v>
      </c>
      <c r="E3215" s="1938"/>
      <c r="F3215" s="1938"/>
      <c r="G3215" s="1938"/>
      <c r="H3215" s="1938"/>
      <c r="I3215" s="1939"/>
      <c r="J3215" s="1943">
        <f>R3214/J3214</f>
        <v>1</v>
      </c>
      <c r="K3215" s="1944"/>
      <c r="L3215" s="1947"/>
      <c r="M3215" s="1934" t="s">
        <v>1523</v>
      </c>
      <c r="N3215" s="1935"/>
      <c r="O3215" s="1935"/>
      <c r="P3215" s="1935"/>
      <c r="Q3215" s="1936"/>
      <c r="R3215" s="726">
        <f>VLOOKUP(A3216,'11 - FINANCEIRA'!_xlnm.Print_Area,8,FALSE)</f>
        <v>18</v>
      </c>
      <c r="S3215" s="727" t="str">
        <f>L3214</f>
        <v>und</v>
      </c>
      <c r="T3215" s="373"/>
      <c r="U3215" s="486"/>
      <c r="V3215" s="1418">
        <f t="shared" si="324"/>
        <v>0</v>
      </c>
      <c r="AB3215" s="15"/>
    </row>
    <row r="3216" spans="1:36" s="77" customFormat="1" ht="15.6" hidden="1">
      <c r="A3216" s="364" t="s">
        <v>632</v>
      </c>
      <c r="B3216" s="499"/>
      <c r="C3216" s="37"/>
      <c r="D3216" s="2013"/>
      <c r="E3216" s="2014"/>
      <c r="F3216" s="2014"/>
      <c r="G3216" s="2014"/>
      <c r="H3216" s="2014"/>
      <c r="I3216" s="2015"/>
      <c r="J3216" s="2016"/>
      <c r="K3216" s="2017"/>
      <c r="L3216" s="1962"/>
      <c r="M3216" s="2007" t="s">
        <v>1524</v>
      </c>
      <c r="N3216" s="2008"/>
      <c r="O3216" s="2008"/>
      <c r="P3216" s="2008"/>
      <c r="Q3216" s="2009"/>
      <c r="R3216" s="1345">
        <f>R3214-R3215</f>
        <v>0</v>
      </c>
      <c r="S3216" s="1346" t="str">
        <f>L3214</f>
        <v>und</v>
      </c>
      <c r="T3216" s="373"/>
      <c r="U3216" s="486"/>
      <c r="V3216" s="1418">
        <f>R3216</f>
        <v>0</v>
      </c>
      <c r="AB3216" s="15"/>
    </row>
    <row r="3217" spans="1:36" s="77" customFormat="1" ht="15.6" hidden="1">
      <c r="A3217" s="370"/>
      <c r="B3217" s="1347"/>
      <c r="C3217" s="1348"/>
      <c r="D3217" s="1349"/>
      <c r="E3217" s="1350"/>
      <c r="F3217" s="1349"/>
      <c r="G3217" s="1349"/>
      <c r="H3217" s="1349"/>
      <c r="I3217" s="1349"/>
      <c r="J3217" s="1351"/>
      <c r="K3217" s="1352"/>
      <c r="L3217" s="1353"/>
      <c r="M3217" s="1354"/>
      <c r="N3217" s="1354"/>
      <c r="O3217" s="1354"/>
      <c r="P3217" s="1354"/>
      <c r="Q3217" s="1354"/>
      <c r="R3217" s="1355"/>
      <c r="S3217" s="1356"/>
      <c r="T3217" s="1357"/>
      <c r="U3217" s="1358"/>
      <c r="V3217" s="1420">
        <f>SUM(V3208:V3216)</f>
        <v>0</v>
      </c>
      <c r="AB3217" s="15"/>
    </row>
    <row r="3218" spans="1:36" s="352" customFormat="1" ht="15.6" hidden="1">
      <c r="A3218" s="351"/>
      <c r="B3218" s="1963" t="str">
        <f>VLOOKUP(A3226,'11 - FINANCEIRA'!_xlnm.Print_Area,1,FALSE)</f>
        <v>2.5.2.6.6</v>
      </c>
      <c r="C3218" s="1965" t="str">
        <f>VLOOKUP(A3226,'11 - FINANCEIRA'!_xlnm.Print_Area,3,FALSE)</f>
        <v>Espelho para caixa estampada 4 x 2"</v>
      </c>
      <c r="D3218" s="1967" t="s">
        <v>1503</v>
      </c>
      <c r="E3218" s="1968"/>
      <c r="F3218" s="1968"/>
      <c r="G3218" s="1968"/>
      <c r="H3218" s="1968"/>
      <c r="I3218" s="1969"/>
      <c r="J3218" s="1914" t="s">
        <v>1504</v>
      </c>
      <c r="K3218" s="1914" t="s">
        <v>1505</v>
      </c>
      <c r="L3218" s="1914" t="s">
        <v>1506</v>
      </c>
      <c r="M3218" s="1914" t="s">
        <v>1507</v>
      </c>
      <c r="N3218" s="1914" t="s">
        <v>1508</v>
      </c>
      <c r="O3218" s="1914" t="s">
        <v>1509</v>
      </c>
      <c r="P3218" s="1341" t="s">
        <v>1510</v>
      </c>
      <c r="Q3218" s="1914" t="s">
        <v>1493</v>
      </c>
      <c r="R3218" s="1916" t="s">
        <v>804</v>
      </c>
      <c r="S3218" s="1914" t="s">
        <v>1511</v>
      </c>
      <c r="T3218" s="1914" t="s">
        <v>1512</v>
      </c>
      <c r="U3218" s="1918" t="s">
        <v>1513</v>
      </c>
      <c r="V3218" s="1418">
        <f t="shared" ref="V3218:V3225" si="325">V3219</f>
        <v>0</v>
      </c>
      <c r="W3218" s="16"/>
      <c r="X3218" s="16"/>
      <c r="Y3218" s="16"/>
      <c r="Z3218" s="17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</row>
    <row r="3219" spans="1:36" s="352" customFormat="1" ht="15.6" hidden="1">
      <c r="A3219" s="351"/>
      <c r="B3219" s="1964" t="e">
        <f>LEFT(#REF!,5)</f>
        <v>#REF!</v>
      </c>
      <c r="C3219" s="1966" t="e">
        <f>VLOOKUP(LEFT(#REF!,5),'11 - FINANCEIRA'!_xlnm.Print_Area,2,FALSE)</f>
        <v>#REF!</v>
      </c>
      <c r="D3219" s="1920" t="s">
        <v>1514</v>
      </c>
      <c r="E3219" s="1921"/>
      <c r="F3219" s="1922"/>
      <c r="G3219" s="1923" t="s">
        <v>1515</v>
      </c>
      <c r="H3219" s="1924"/>
      <c r="I3219" s="1925"/>
      <c r="J3219" s="1915"/>
      <c r="K3219" s="1915"/>
      <c r="L3219" s="1915"/>
      <c r="M3219" s="1915"/>
      <c r="N3219" s="1915"/>
      <c r="O3219" s="1915"/>
      <c r="P3219" s="353" t="s">
        <v>1516</v>
      </c>
      <c r="Q3219" s="1915"/>
      <c r="R3219" s="1917"/>
      <c r="S3219" s="1915"/>
      <c r="T3219" s="1915"/>
      <c r="U3219" s="1919"/>
      <c r="V3219" s="1418">
        <f t="shared" si="325"/>
        <v>0</v>
      </c>
      <c r="W3219" s="16"/>
      <c r="X3219" s="16"/>
      <c r="Y3219" s="16"/>
      <c r="Z3219" s="17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</row>
    <row r="3220" spans="1:36" s="361" customFormat="1" ht="15" hidden="1" customHeight="1">
      <c r="A3220" s="354"/>
      <c r="B3220" s="355"/>
      <c r="C3220" s="32" t="s">
        <v>1235</v>
      </c>
      <c r="D3220" s="33"/>
      <c r="E3220" s="34"/>
      <c r="F3220" s="35"/>
      <c r="G3220" s="33"/>
      <c r="H3220" s="34"/>
      <c r="I3220" s="35"/>
      <c r="J3220" s="43"/>
      <c r="K3220" s="42"/>
      <c r="L3220" s="39"/>
      <c r="M3220" s="41"/>
      <c r="N3220" s="356"/>
      <c r="O3220" s="40"/>
      <c r="P3220" s="39"/>
      <c r="Q3220" s="45"/>
      <c r="R3220" s="1359">
        <v>1</v>
      </c>
      <c r="S3220" s="1265" t="s">
        <v>816</v>
      </c>
      <c r="T3220" s="46" t="s">
        <v>331</v>
      </c>
      <c r="U3220" s="44"/>
      <c r="V3220" s="1418">
        <f t="shared" si="325"/>
        <v>0</v>
      </c>
      <c r="W3220" s="357"/>
      <c r="X3220" s="357"/>
      <c r="Y3220" s="357"/>
      <c r="Z3220" s="358"/>
      <c r="AA3220" s="359"/>
      <c r="AB3220" s="360"/>
    </row>
    <row r="3221" spans="1:36" s="361" customFormat="1" ht="15" hidden="1" customHeight="1">
      <c r="A3221" s="354"/>
      <c r="B3221" s="355"/>
      <c r="C3221" s="32"/>
      <c r="D3221" s="33"/>
      <c r="E3221" s="34"/>
      <c r="F3221" s="35"/>
      <c r="G3221" s="33"/>
      <c r="H3221" s="34"/>
      <c r="I3221" s="35"/>
      <c r="J3221" s="43"/>
      <c r="K3221" s="42"/>
      <c r="L3221" s="39"/>
      <c r="M3221" s="41"/>
      <c r="N3221" s="356"/>
      <c r="O3221" s="40"/>
      <c r="P3221" s="39"/>
      <c r="Q3221" s="45"/>
      <c r="R3221" s="362"/>
      <c r="S3221" s="363"/>
      <c r="T3221" s="46"/>
      <c r="U3221" s="44"/>
      <c r="V3221" s="1418">
        <f t="shared" si="325"/>
        <v>0</v>
      </c>
      <c r="W3221" s="357"/>
      <c r="X3221" s="357"/>
      <c r="Y3221" s="357"/>
      <c r="Z3221" s="358"/>
      <c r="AA3221" s="359"/>
      <c r="AB3221" s="360"/>
    </row>
    <row r="3222" spans="1:36" s="369" customFormat="1" ht="15" hidden="1">
      <c r="A3222" s="364"/>
      <c r="B3222" s="355"/>
      <c r="C3222" s="32"/>
      <c r="D3222" s="33"/>
      <c r="E3222" s="34"/>
      <c r="F3222" s="35"/>
      <c r="G3222" s="33"/>
      <c r="H3222" s="34"/>
      <c r="I3222" s="35"/>
      <c r="J3222" s="43"/>
      <c r="K3222" s="42"/>
      <c r="L3222" s="39"/>
      <c r="M3222" s="41"/>
      <c r="N3222" s="40"/>
      <c r="O3222" s="40"/>
      <c r="P3222" s="39"/>
      <c r="Q3222" s="38"/>
      <c r="R3222" s="365"/>
      <c r="S3222" s="366"/>
      <c r="T3222" s="46"/>
      <c r="U3222" s="44"/>
      <c r="V3222" s="1418">
        <f t="shared" si="325"/>
        <v>0</v>
      </c>
      <c r="W3222" s="367"/>
      <c r="X3222" s="367"/>
      <c r="Y3222" s="367"/>
      <c r="Z3222" s="368"/>
    </row>
    <row r="3223" spans="1:36" s="77" customFormat="1" ht="15" hidden="1">
      <c r="A3223" s="370"/>
      <c r="B3223" s="29"/>
      <c r="C3223" s="30"/>
      <c r="D3223" s="18"/>
      <c r="E3223" s="19"/>
      <c r="F3223" s="20"/>
      <c r="G3223" s="18"/>
      <c r="H3223" s="19"/>
      <c r="I3223" s="20"/>
      <c r="J3223" s="21"/>
      <c r="K3223" s="22"/>
      <c r="L3223" s="23"/>
      <c r="M3223" s="24"/>
      <c r="N3223" s="25"/>
      <c r="O3223" s="25"/>
      <c r="P3223" s="23"/>
      <c r="Q3223" s="26"/>
      <c r="R3223" s="371"/>
      <c r="S3223" s="27"/>
      <c r="T3223" s="372"/>
      <c r="U3223" s="31"/>
      <c r="V3223" s="1418">
        <f t="shared" si="325"/>
        <v>0</v>
      </c>
      <c r="AB3223" s="15"/>
    </row>
    <row r="3224" spans="1:36" s="77" customFormat="1" ht="15.6" hidden="1">
      <c r="A3224" s="370"/>
      <c r="B3224" s="499"/>
      <c r="C3224" s="37"/>
      <c r="D3224" s="1929" t="s">
        <v>1520</v>
      </c>
      <c r="E3224" s="1930"/>
      <c r="F3224" s="1930"/>
      <c r="G3224" s="1930"/>
      <c r="H3224" s="1930"/>
      <c r="I3224" s="1931"/>
      <c r="J3224" s="1932">
        <f>VLOOKUP(A3226,'11 - FINANCEIRA'!_xlnm.Print_Area,6,FALSE)</f>
        <v>1</v>
      </c>
      <c r="K3224" s="1933"/>
      <c r="L3224" s="1343" t="str">
        <f>VLOOKUP(A3226,'11 - FINANCEIRA'!_xlnm.Print_Area,4,FALSE)</f>
        <v>und</v>
      </c>
      <c r="M3224" s="1934" t="s">
        <v>1521</v>
      </c>
      <c r="N3224" s="1935"/>
      <c r="O3224" s="1935"/>
      <c r="P3224" s="1935"/>
      <c r="Q3224" s="1936"/>
      <c r="R3224" s="726">
        <f>SUM(R3220:R3223)</f>
        <v>1</v>
      </c>
      <c r="S3224" s="1344" t="str">
        <f>L3224</f>
        <v>und</v>
      </c>
      <c r="T3224" s="373"/>
      <c r="U3224" s="486"/>
      <c r="V3224" s="1418">
        <f t="shared" si="325"/>
        <v>0</v>
      </c>
      <c r="AB3224" s="15"/>
    </row>
    <row r="3225" spans="1:36" s="77" customFormat="1" ht="15.6" hidden="1">
      <c r="A3225" s="370"/>
      <c r="B3225" s="499"/>
      <c r="C3225" s="725"/>
      <c r="D3225" s="1937" t="s">
        <v>1522</v>
      </c>
      <c r="E3225" s="1938"/>
      <c r="F3225" s="1938"/>
      <c r="G3225" s="1938"/>
      <c r="H3225" s="1938"/>
      <c r="I3225" s="1939"/>
      <c r="J3225" s="1943">
        <f>R3224/J3224</f>
        <v>1</v>
      </c>
      <c r="K3225" s="1944"/>
      <c r="L3225" s="1947"/>
      <c r="M3225" s="1934" t="s">
        <v>1523</v>
      </c>
      <c r="N3225" s="1935"/>
      <c r="O3225" s="1935"/>
      <c r="P3225" s="1935"/>
      <c r="Q3225" s="1936"/>
      <c r="R3225" s="726">
        <f>VLOOKUP(A3226,'11 - FINANCEIRA'!_xlnm.Print_Area,8,FALSE)</f>
        <v>1</v>
      </c>
      <c r="S3225" s="727" t="str">
        <f>L3224</f>
        <v>und</v>
      </c>
      <c r="T3225" s="373"/>
      <c r="U3225" s="486"/>
      <c r="V3225" s="1418">
        <f t="shared" si="325"/>
        <v>0</v>
      </c>
      <c r="AB3225" s="15"/>
    </row>
    <row r="3226" spans="1:36" s="77" customFormat="1" ht="15.6" hidden="1">
      <c r="A3226" s="364" t="s">
        <v>633</v>
      </c>
      <c r="B3226" s="499"/>
      <c r="C3226" s="37"/>
      <c r="D3226" s="2013"/>
      <c r="E3226" s="2014"/>
      <c r="F3226" s="2014"/>
      <c r="G3226" s="2014"/>
      <c r="H3226" s="2014"/>
      <c r="I3226" s="2015"/>
      <c r="J3226" s="2016"/>
      <c r="K3226" s="2017"/>
      <c r="L3226" s="1962"/>
      <c r="M3226" s="2007" t="s">
        <v>1524</v>
      </c>
      <c r="N3226" s="2008"/>
      <c r="O3226" s="2008"/>
      <c r="P3226" s="2008"/>
      <c r="Q3226" s="2009"/>
      <c r="R3226" s="1345">
        <f>R3224-R3225</f>
        <v>0</v>
      </c>
      <c r="S3226" s="1346" t="str">
        <f>L3224</f>
        <v>und</v>
      </c>
      <c r="T3226" s="373"/>
      <c r="U3226" s="486"/>
      <c r="V3226" s="1418">
        <f>R3226</f>
        <v>0</v>
      </c>
      <c r="AB3226" s="15"/>
    </row>
    <row r="3227" spans="1:36" s="77" customFormat="1" ht="15.6" hidden="1">
      <c r="A3227" s="370"/>
      <c r="B3227" s="1347"/>
      <c r="C3227" s="1348"/>
      <c r="D3227" s="1349"/>
      <c r="E3227" s="1350"/>
      <c r="F3227" s="1349"/>
      <c r="G3227" s="1349"/>
      <c r="H3227" s="1349"/>
      <c r="I3227" s="1349"/>
      <c r="J3227" s="1351"/>
      <c r="K3227" s="1352"/>
      <c r="L3227" s="1353"/>
      <c r="M3227" s="1354"/>
      <c r="N3227" s="1354"/>
      <c r="O3227" s="1354"/>
      <c r="P3227" s="1354"/>
      <c r="Q3227" s="1354"/>
      <c r="R3227" s="1355"/>
      <c r="S3227" s="1356"/>
      <c r="T3227" s="1357"/>
      <c r="U3227" s="1358"/>
      <c r="V3227" s="1420">
        <f>SUM(V3218:V3226)</f>
        <v>0</v>
      </c>
      <c r="AB3227" s="15"/>
    </row>
    <row r="3228" spans="1:36" s="352" customFormat="1" ht="15.6" hidden="1">
      <c r="A3228" s="351"/>
      <c r="B3228" s="1963" t="str">
        <f>VLOOKUP(A3236,'11 - FINANCEIRA'!_xlnm.Print_Area,1,FALSE)</f>
        <v>2.5.2.6.7</v>
      </c>
      <c r="C3228" s="1965" t="str">
        <f>VLOOKUP(A3236,'11 - FINANCEIRA'!_xlnm.Print_Area,3,FALSE)</f>
        <v>Caixa octogonal 4" x 4", pvc, instalada em laje - fornecimento e instalação. af_12/2015</v>
      </c>
      <c r="D3228" s="1967" t="s">
        <v>1503</v>
      </c>
      <c r="E3228" s="1968"/>
      <c r="F3228" s="1968"/>
      <c r="G3228" s="1968"/>
      <c r="H3228" s="1968"/>
      <c r="I3228" s="1969"/>
      <c r="J3228" s="1914" t="s">
        <v>1504</v>
      </c>
      <c r="K3228" s="1914" t="s">
        <v>1505</v>
      </c>
      <c r="L3228" s="1914" t="s">
        <v>1506</v>
      </c>
      <c r="M3228" s="1914" t="s">
        <v>1507</v>
      </c>
      <c r="N3228" s="1914" t="s">
        <v>1508</v>
      </c>
      <c r="O3228" s="1914" t="s">
        <v>1509</v>
      </c>
      <c r="P3228" s="1341" t="s">
        <v>1510</v>
      </c>
      <c r="Q3228" s="1914" t="s">
        <v>1493</v>
      </c>
      <c r="R3228" s="1916" t="s">
        <v>804</v>
      </c>
      <c r="S3228" s="1914" t="s">
        <v>1511</v>
      </c>
      <c r="T3228" s="1914" t="s">
        <v>1512</v>
      </c>
      <c r="U3228" s="1918" t="s">
        <v>1513</v>
      </c>
      <c r="V3228" s="1418">
        <f t="shared" ref="V3228:V3235" si="326">V3229</f>
        <v>0</v>
      </c>
      <c r="W3228" s="16"/>
      <c r="X3228" s="16"/>
      <c r="Y3228" s="16"/>
      <c r="Z3228" s="17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</row>
    <row r="3229" spans="1:36" s="352" customFormat="1" ht="15.6" hidden="1">
      <c r="A3229" s="351"/>
      <c r="B3229" s="1964" t="e">
        <f>LEFT(#REF!,5)</f>
        <v>#REF!</v>
      </c>
      <c r="C3229" s="1966" t="e">
        <f>VLOOKUP(LEFT(#REF!,5),'11 - FINANCEIRA'!_xlnm.Print_Area,2,FALSE)</f>
        <v>#REF!</v>
      </c>
      <c r="D3229" s="1920" t="s">
        <v>1514</v>
      </c>
      <c r="E3229" s="1921"/>
      <c r="F3229" s="1922"/>
      <c r="G3229" s="1923" t="s">
        <v>1515</v>
      </c>
      <c r="H3229" s="1924"/>
      <c r="I3229" s="1925"/>
      <c r="J3229" s="1915"/>
      <c r="K3229" s="1915"/>
      <c r="L3229" s="1915"/>
      <c r="M3229" s="1915"/>
      <c r="N3229" s="1915"/>
      <c r="O3229" s="1915"/>
      <c r="P3229" s="353" t="s">
        <v>1516</v>
      </c>
      <c r="Q3229" s="1915"/>
      <c r="R3229" s="1917"/>
      <c r="S3229" s="1915"/>
      <c r="T3229" s="1915"/>
      <c r="U3229" s="1919"/>
      <c r="V3229" s="1418">
        <f t="shared" si="326"/>
        <v>0</v>
      </c>
      <c r="W3229" s="16"/>
      <c r="X3229" s="16"/>
      <c r="Y3229" s="16"/>
      <c r="Z3229" s="17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</row>
    <row r="3230" spans="1:36" s="361" customFormat="1" ht="15" hidden="1" customHeight="1">
      <c r="A3230" s="354"/>
      <c r="B3230" s="355"/>
      <c r="C3230" s="32" t="s">
        <v>162</v>
      </c>
      <c r="D3230" s="33"/>
      <c r="E3230" s="34"/>
      <c r="F3230" s="35"/>
      <c r="G3230" s="33"/>
      <c r="H3230" s="34"/>
      <c r="I3230" s="35"/>
      <c r="J3230" s="43"/>
      <c r="K3230" s="42"/>
      <c r="L3230" s="39"/>
      <c r="M3230" s="41"/>
      <c r="N3230" s="356"/>
      <c r="O3230" s="40"/>
      <c r="P3230" s="39"/>
      <c r="Q3230" s="45"/>
      <c r="R3230" s="1359">
        <v>5</v>
      </c>
      <c r="S3230" s="1265" t="s">
        <v>816</v>
      </c>
      <c r="T3230" s="46" t="s">
        <v>331</v>
      </c>
      <c r="U3230" s="44"/>
      <c r="V3230" s="1418">
        <f t="shared" si="326"/>
        <v>0</v>
      </c>
      <c r="W3230" s="357"/>
      <c r="X3230" s="357"/>
      <c r="Y3230" s="357"/>
      <c r="Z3230" s="358"/>
      <c r="AA3230" s="359"/>
      <c r="AB3230" s="360"/>
    </row>
    <row r="3231" spans="1:36" s="361" customFormat="1" ht="15" hidden="1" customHeight="1">
      <c r="A3231" s="354"/>
      <c r="B3231" s="355"/>
      <c r="C3231" s="32"/>
      <c r="D3231" s="33"/>
      <c r="E3231" s="34"/>
      <c r="F3231" s="35"/>
      <c r="G3231" s="33"/>
      <c r="H3231" s="34"/>
      <c r="I3231" s="35"/>
      <c r="J3231" s="43"/>
      <c r="K3231" s="42"/>
      <c r="L3231" s="39"/>
      <c r="M3231" s="41"/>
      <c r="N3231" s="356"/>
      <c r="O3231" s="40"/>
      <c r="P3231" s="39"/>
      <c r="Q3231" s="45"/>
      <c r="R3231" s="362"/>
      <c r="S3231" s="363"/>
      <c r="T3231" s="46"/>
      <c r="U3231" s="44"/>
      <c r="V3231" s="1418">
        <f t="shared" si="326"/>
        <v>0</v>
      </c>
      <c r="W3231" s="357"/>
      <c r="X3231" s="357"/>
      <c r="Y3231" s="357"/>
      <c r="Z3231" s="358"/>
      <c r="AA3231" s="359"/>
      <c r="AB3231" s="360"/>
    </row>
    <row r="3232" spans="1:36" s="369" customFormat="1" ht="15" hidden="1">
      <c r="A3232" s="364"/>
      <c r="B3232" s="355"/>
      <c r="C3232" s="32"/>
      <c r="D3232" s="33"/>
      <c r="E3232" s="34"/>
      <c r="F3232" s="35"/>
      <c r="G3232" s="33"/>
      <c r="H3232" s="34"/>
      <c r="I3232" s="35"/>
      <c r="J3232" s="43"/>
      <c r="K3232" s="42"/>
      <c r="L3232" s="39"/>
      <c r="M3232" s="41"/>
      <c r="N3232" s="40"/>
      <c r="O3232" s="40"/>
      <c r="P3232" s="39"/>
      <c r="Q3232" s="38"/>
      <c r="R3232" s="365"/>
      <c r="S3232" s="366"/>
      <c r="T3232" s="46"/>
      <c r="U3232" s="44"/>
      <c r="V3232" s="1418">
        <f t="shared" si="326"/>
        <v>0</v>
      </c>
      <c r="W3232" s="367"/>
      <c r="X3232" s="367"/>
      <c r="Y3232" s="367"/>
      <c r="Z3232" s="368"/>
    </row>
    <row r="3233" spans="1:36" s="77" customFormat="1" ht="15" hidden="1">
      <c r="A3233" s="370"/>
      <c r="B3233" s="29"/>
      <c r="C3233" s="30"/>
      <c r="D3233" s="18"/>
      <c r="E3233" s="19"/>
      <c r="F3233" s="20"/>
      <c r="G3233" s="18"/>
      <c r="H3233" s="19"/>
      <c r="I3233" s="20"/>
      <c r="J3233" s="21"/>
      <c r="K3233" s="22"/>
      <c r="L3233" s="23"/>
      <c r="M3233" s="24"/>
      <c r="N3233" s="25"/>
      <c r="O3233" s="25"/>
      <c r="P3233" s="23"/>
      <c r="Q3233" s="26"/>
      <c r="R3233" s="371"/>
      <c r="S3233" s="27"/>
      <c r="T3233" s="372"/>
      <c r="U3233" s="31"/>
      <c r="V3233" s="1418">
        <f t="shared" si="326"/>
        <v>0</v>
      </c>
      <c r="AB3233" s="15"/>
    </row>
    <row r="3234" spans="1:36" s="77" customFormat="1" ht="15.6" hidden="1">
      <c r="A3234" s="370"/>
      <c r="B3234" s="499"/>
      <c r="C3234" s="37"/>
      <c r="D3234" s="1929" t="s">
        <v>1520</v>
      </c>
      <c r="E3234" s="1930"/>
      <c r="F3234" s="1930"/>
      <c r="G3234" s="1930"/>
      <c r="H3234" s="1930"/>
      <c r="I3234" s="1931"/>
      <c r="J3234" s="1932">
        <f>VLOOKUP(A3236,'11 - FINANCEIRA'!_xlnm.Print_Area,6,FALSE)</f>
        <v>5</v>
      </c>
      <c r="K3234" s="1933"/>
      <c r="L3234" s="1343" t="str">
        <f>VLOOKUP(A3236,'11 - FINANCEIRA'!_xlnm.Print_Area,4,FALSE)</f>
        <v>und</v>
      </c>
      <c r="M3234" s="1934" t="s">
        <v>1521</v>
      </c>
      <c r="N3234" s="1935"/>
      <c r="O3234" s="1935"/>
      <c r="P3234" s="1935"/>
      <c r="Q3234" s="1936"/>
      <c r="R3234" s="726">
        <f>SUM(R3230:R3233)</f>
        <v>5</v>
      </c>
      <c r="S3234" s="1344" t="str">
        <f>L3234</f>
        <v>und</v>
      </c>
      <c r="T3234" s="373"/>
      <c r="U3234" s="486"/>
      <c r="V3234" s="1418">
        <f t="shared" si="326"/>
        <v>0</v>
      </c>
      <c r="AB3234" s="15"/>
    </row>
    <row r="3235" spans="1:36" s="77" customFormat="1" ht="15.6" hidden="1">
      <c r="A3235" s="370"/>
      <c r="B3235" s="499"/>
      <c r="C3235" s="725"/>
      <c r="D3235" s="1937" t="s">
        <v>1522</v>
      </c>
      <c r="E3235" s="1938"/>
      <c r="F3235" s="1938"/>
      <c r="G3235" s="1938"/>
      <c r="H3235" s="1938"/>
      <c r="I3235" s="1939"/>
      <c r="J3235" s="1943">
        <f>R3234/J3234</f>
        <v>1</v>
      </c>
      <c r="K3235" s="1944"/>
      <c r="L3235" s="1947"/>
      <c r="M3235" s="1934" t="s">
        <v>1523</v>
      </c>
      <c r="N3235" s="1935"/>
      <c r="O3235" s="1935"/>
      <c r="P3235" s="1935"/>
      <c r="Q3235" s="1936"/>
      <c r="R3235" s="726">
        <f>VLOOKUP(A3236,'11 - FINANCEIRA'!_xlnm.Print_Area,8,FALSE)</f>
        <v>5</v>
      </c>
      <c r="S3235" s="727" t="str">
        <f>L3234</f>
        <v>und</v>
      </c>
      <c r="T3235" s="373"/>
      <c r="U3235" s="486"/>
      <c r="V3235" s="1418">
        <f t="shared" si="326"/>
        <v>0</v>
      </c>
      <c r="AB3235" s="15"/>
    </row>
    <row r="3236" spans="1:36" s="77" customFormat="1" ht="15.6" hidden="1">
      <c r="A3236" s="364" t="s">
        <v>634</v>
      </c>
      <c r="B3236" s="499"/>
      <c r="C3236" s="37"/>
      <c r="D3236" s="2013"/>
      <c r="E3236" s="2014"/>
      <c r="F3236" s="2014"/>
      <c r="G3236" s="2014"/>
      <c r="H3236" s="2014"/>
      <c r="I3236" s="2015"/>
      <c r="J3236" s="2016"/>
      <c r="K3236" s="2017"/>
      <c r="L3236" s="1962"/>
      <c r="M3236" s="2007" t="s">
        <v>1524</v>
      </c>
      <c r="N3236" s="2008"/>
      <c r="O3236" s="2008"/>
      <c r="P3236" s="2008"/>
      <c r="Q3236" s="2009"/>
      <c r="R3236" s="1345">
        <f>R3234-R3235</f>
        <v>0</v>
      </c>
      <c r="S3236" s="1346" t="str">
        <f>L3234</f>
        <v>und</v>
      </c>
      <c r="T3236" s="373"/>
      <c r="U3236" s="486"/>
      <c r="V3236" s="1418">
        <f>R3236</f>
        <v>0</v>
      </c>
      <c r="AB3236" s="15"/>
    </row>
    <row r="3237" spans="1:36" s="77" customFormat="1" ht="15.6" hidden="1">
      <c r="A3237" s="370"/>
      <c r="B3237" s="1347"/>
      <c r="C3237" s="1348"/>
      <c r="D3237" s="1349"/>
      <c r="E3237" s="1350"/>
      <c r="F3237" s="1349"/>
      <c r="G3237" s="1349"/>
      <c r="H3237" s="1349"/>
      <c r="I3237" s="1349"/>
      <c r="J3237" s="1351"/>
      <c r="K3237" s="1352"/>
      <c r="L3237" s="1353"/>
      <c r="M3237" s="1354"/>
      <c r="N3237" s="1354"/>
      <c r="O3237" s="1354"/>
      <c r="P3237" s="1354"/>
      <c r="Q3237" s="1354"/>
      <c r="R3237" s="1355"/>
      <c r="S3237" s="1356"/>
      <c r="T3237" s="1357"/>
      <c r="U3237" s="1358"/>
      <c r="V3237" s="1420">
        <f>SUM(V3228:V3236)</f>
        <v>0</v>
      </c>
      <c r="AB3237" s="15"/>
    </row>
    <row r="3238" spans="1:36" s="632" customFormat="1" ht="15.6" hidden="1">
      <c r="A3238" s="630"/>
      <c r="B3238" s="1333" t="str">
        <f>LEFT(A3247,7)</f>
        <v>2.5.2.7</v>
      </c>
      <c r="C3238" s="1334" t="str">
        <f>VLOOKUP(LEFT(A3247,7),'11 - FINANCEIRA'!_xlnm.Print_Area,2,FALSE)</f>
        <v>Quadros, dispositivos de proteção e seccionamento</v>
      </c>
      <c r="D3238" s="1334"/>
      <c r="E3238" s="1335"/>
      <c r="F3238" s="1334"/>
      <c r="G3238" s="2071"/>
      <c r="H3238" s="2072"/>
      <c r="I3238" s="2072"/>
      <c r="J3238" s="2072"/>
      <c r="K3238" s="2072"/>
      <c r="L3238" s="2072"/>
      <c r="M3238" s="1338"/>
      <c r="N3238" s="1339"/>
      <c r="O3238" s="2072"/>
      <c r="P3238" s="2072"/>
      <c r="Q3238" s="2072"/>
      <c r="R3238" s="2082"/>
      <c r="S3238" s="633"/>
      <c r="V3238" s="631">
        <f>SUM(V3239:V4105)</f>
        <v>0</v>
      </c>
    </row>
    <row r="3239" spans="1:36" s="352" customFormat="1" ht="15.6" hidden="1">
      <c r="A3239" s="351"/>
      <c r="B3239" s="1963" t="str">
        <f>VLOOKUP(A3247,'11 - FINANCEIRA'!_xlnm.Print_Area,1,FALSE)</f>
        <v>2.5.2.7.1</v>
      </c>
      <c r="C3239" s="1965" t="str">
        <f>VLOOKUP(A3247,'11 - FINANCEIRA'!_xlnm.Print_Area,3,FALSE)</f>
        <v>Disjuntor monopolar tipo din, corrente nominal de 10a - fornecimento e instalação. af_04/2016</v>
      </c>
      <c r="D3239" s="1967" t="s">
        <v>1503</v>
      </c>
      <c r="E3239" s="1968"/>
      <c r="F3239" s="1968"/>
      <c r="G3239" s="1968"/>
      <c r="H3239" s="1968"/>
      <c r="I3239" s="1969"/>
      <c r="J3239" s="1914" t="s">
        <v>1504</v>
      </c>
      <c r="K3239" s="1914" t="s">
        <v>1505</v>
      </c>
      <c r="L3239" s="1914" t="s">
        <v>1506</v>
      </c>
      <c r="M3239" s="1914" t="s">
        <v>1507</v>
      </c>
      <c r="N3239" s="1914" t="s">
        <v>1508</v>
      </c>
      <c r="O3239" s="1914" t="s">
        <v>1509</v>
      </c>
      <c r="P3239" s="1341" t="s">
        <v>1510</v>
      </c>
      <c r="Q3239" s="1914" t="s">
        <v>1493</v>
      </c>
      <c r="R3239" s="1916" t="s">
        <v>804</v>
      </c>
      <c r="S3239" s="1914" t="s">
        <v>1511</v>
      </c>
      <c r="T3239" s="1914" t="s">
        <v>1512</v>
      </c>
      <c r="U3239" s="1918" t="s">
        <v>1513</v>
      </c>
      <c r="V3239" s="1418">
        <f t="shared" ref="V3239:V3246" si="327">V3240</f>
        <v>0</v>
      </c>
      <c r="W3239" s="16"/>
      <c r="X3239" s="16"/>
      <c r="Y3239" s="16"/>
      <c r="Z3239" s="17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</row>
    <row r="3240" spans="1:36" s="352" customFormat="1" ht="15.6" hidden="1">
      <c r="A3240" s="351"/>
      <c r="B3240" s="1964" t="e">
        <f>LEFT(#REF!,5)</f>
        <v>#REF!</v>
      </c>
      <c r="C3240" s="1966" t="e">
        <f>VLOOKUP(LEFT(#REF!,5),'11 - FINANCEIRA'!_xlnm.Print_Area,2,FALSE)</f>
        <v>#REF!</v>
      </c>
      <c r="D3240" s="1920" t="s">
        <v>1514</v>
      </c>
      <c r="E3240" s="1921"/>
      <c r="F3240" s="1922"/>
      <c r="G3240" s="1923" t="s">
        <v>1515</v>
      </c>
      <c r="H3240" s="1924"/>
      <c r="I3240" s="1925"/>
      <c r="J3240" s="1915"/>
      <c r="K3240" s="1915"/>
      <c r="L3240" s="1915"/>
      <c r="M3240" s="1915"/>
      <c r="N3240" s="1915"/>
      <c r="O3240" s="1915"/>
      <c r="P3240" s="353" t="s">
        <v>1516</v>
      </c>
      <c r="Q3240" s="1915"/>
      <c r="R3240" s="1917"/>
      <c r="S3240" s="1915"/>
      <c r="T3240" s="1915"/>
      <c r="U3240" s="1919"/>
      <c r="V3240" s="1418">
        <f t="shared" si="327"/>
        <v>0</v>
      </c>
      <c r="W3240" s="16"/>
      <c r="X3240" s="16"/>
      <c r="Y3240" s="16"/>
      <c r="Z3240" s="17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</row>
    <row r="3241" spans="1:36" s="361" customFormat="1" ht="15" hidden="1" customHeight="1">
      <c r="A3241" s="354"/>
      <c r="B3241" s="355"/>
      <c r="C3241" s="28" t="s">
        <v>1239</v>
      </c>
      <c r="D3241" s="18"/>
      <c r="E3241" s="19"/>
      <c r="F3241" s="20"/>
      <c r="G3241" s="18"/>
      <c r="H3241" s="19"/>
      <c r="I3241" s="20"/>
      <c r="J3241" s="21"/>
      <c r="K3241" s="22"/>
      <c r="L3241" s="23"/>
      <c r="M3241" s="24"/>
      <c r="N3241" s="728"/>
      <c r="O3241" s="25"/>
      <c r="P3241" s="23"/>
      <c r="Q3241" s="729"/>
      <c r="R3241" s="1109">
        <v>2</v>
      </c>
      <c r="S3241" s="730" t="s">
        <v>816</v>
      </c>
      <c r="T3241" s="446" t="s">
        <v>325</v>
      </c>
      <c r="U3241" s="44"/>
      <c r="V3241" s="1418">
        <f t="shared" si="327"/>
        <v>0</v>
      </c>
      <c r="W3241" s="357"/>
      <c r="X3241" s="357"/>
      <c r="Y3241" s="357"/>
      <c r="Z3241" s="358"/>
      <c r="AA3241" s="359"/>
      <c r="AB3241" s="360"/>
    </row>
    <row r="3242" spans="1:36" s="361" customFormat="1" ht="15" hidden="1" customHeight="1">
      <c r="A3242" s="354"/>
      <c r="B3242" s="355"/>
      <c r="C3242" s="32"/>
      <c r="D3242" s="33"/>
      <c r="E3242" s="34"/>
      <c r="F3242" s="35"/>
      <c r="G3242" s="33"/>
      <c r="H3242" s="34"/>
      <c r="I3242" s="35"/>
      <c r="J3242" s="43"/>
      <c r="K3242" s="42"/>
      <c r="L3242" s="39"/>
      <c r="M3242" s="41"/>
      <c r="N3242" s="356"/>
      <c r="O3242" s="40"/>
      <c r="P3242" s="39"/>
      <c r="Q3242" s="45"/>
      <c r="R3242" s="362"/>
      <c r="S3242" s="363"/>
      <c r="T3242" s="46"/>
      <c r="U3242" s="44"/>
      <c r="V3242" s="1418">
        <f t="shared" si="327"/>
        <v>0</v>
      </c>
      <c r="W3242" s="357"/>
      <c r="X3242" s="357"/>
      <c r="Y3242" s="357"/>
      <c r="Z3242" s="358"/>
      <c r="AA3242" s="359"/>
      <c r="AB3242" s="360"/>
    </row>
    <row r="3243" spans="1:36" s="369" customFormat="1" ht="15" hidden="1">
      <c r="A3243" s="364"/>
      <c r="B3243" s="355"/>
      <c r="C3243" s="32"/>
      <c r="D3243" s="33"/>
      <c r="E3243" s="34"/>
      <c r="F3243" s="35"/>
      <c r="G3243" s="33"/>
      <c r="H3243" s="34"/>
      <c r="I3243" s="35"/>
      <c r="J3243" s="43"/>
      <c r="K3243" s="42"/>
      <c r="L3243" s="39"/>
      <c r="M3243" s="41"/>
      <c r="N3243" s="40"/>
      <c r="O3243" s="40"/>
      <c r="P3243" s="39"/>
      <c r="Q3243" s="38"/>
      <c r="R3243" s="365"/>
      <c r="S3243" s="366"/>
      <c r="T3243" s="46"/>
      <c r="U3243" s="44"/>
      <c r="V3243" s="1418">
        <f t="shared" si="327"/>
        <v>0</v>
      </c>
      <c r="W3243" s="367"/>
      <c r="X3243" s="367"/>
      <c r="Y3243" s="367"/>
      <c r="Z3243" s="368"/>
    </row>
    <row r="3244" spans="1:36" s="77" customFormat="1" ht="15" hidden="1">
      <c r="A3244" s="370"/>
      <c r="B3244" s="29"/>
      <c r="C3244" s="30"/>
      <c r="D3244" s="18"/>
      <c r="E3244" s="19"/>
      <c r="F3244" s="20"/>
      <c r="G3244" s="18"/>
      <c r="H3244" s="19"/>
      <c r="I3244" s="20"/>
      <c r="J3244" s="21"/>
      <c r="K3244" s="22"/>
      <c r="L3244" s="23"/>
      <c r="M3244" s="24"/>
      <c r="N3244" s="25"/>
      <c r="O3244" s="25"/>
      <c r="P3244" s="23"/>
      <c r="Q3244" s="26"/>
      <c r="R3244" s="371"/>
      <c r="S3244" s="27"/>
      <c r="T3244" s="372"/>
      <c r="U3244" s="31"/>
      <c r="V3244" s="1418">
        <f t="shared" si="327"/>
        <v>0</v>
      </c>
      <c r="AB3244" s="15"/>
    </row>
    <row r="3245" spans="1:36" s="77" customFormat="1" ht="15.6" hidden="1">
      <c r="A3245" s="370"/>
      <c r="B3245" s="499"/>
      <c r="C3245" s="37"/>
      <c r="D3245" s="1929" t="s">
        <v>1520</v>
      </c>
      <c r="E3245" s="1930"/>
      <c r="F3245" s="1930"/>
      <c r="G3245" s="1930"/>
      <c r="H3245" s="1930"/>
      <c r="I3245" s="1931"/>
      <c r="J3245" s="1932">
        <f>VLOOKUP(A3247,'11 - FINANCEIRA'!_xlnm.Print_Area,6,FALSE)</f>
        <v>2</v>
      </c>
      <c r="K3245" s="1933"/>
      <c r="L3245" s="1343" t="str">
        <f>VLOOKUP(A3247,'11 - FINANCEIRA'!_xlnm.Print_Area,4,FALSE)</f>
        <v>und</v>
      </c>
      <c r="M3245" s="1934" t="s">
        <v>1521</v>
      </c>
      <c r="N3245" s="1935"/>
      <c r="O3245" s="1935"/>
      <c r="P3245" s="1935"/>
      <c r="Q3245" s="1936"/>
      <c r="R3245" s="726">
        <f>SUM(R3241:R3244)</f>
        <v>2</v>
      </c>
      <c r="S3245" s="1344" t="str">
        <f>L3245</f>
        <v>und</v>
      </c>
      <c r="T3245" s="373"/>
      <c r="U3245" s="486"/>
      <c r="V3245" s="1418">
        <f t="shared" si="327"/>
        <v>0</v>
      </c>
      <c r="AB3245" s="15"/>
    </row>
    <row r="3246" spans="1:36" s="77" customFormat="1" ht="15.6" hidden="1">
      <c r="A3246" s="370"/>
      <c r="B3246" s="499"/>
      <c r="C3246" s="725"/>
      <c r="D3246" s="1937" t="s">
        <v>1522</v>
      </c>
      <c r="E3246" s="1938"/>
      <c r="F3246" s="1938"/>
      <c r="G3246" s="1938"/>
      <c r="H3246" s="1938"/>
      <c r="I3246" s="1939"/>
      <c r="J3246" s="1943">
        <f>R3245/J3245</f>
        <v>1</v>
      </c>
      <c r="K3246" s="1944"/>
      <c r="L3246" s="1947"/>
      <c r="M3246" s="1934" t="s">
        <v>1523</v>
      </c>
      <c r="N3246" s="1935"/>
      <c r="O3246" s="1935"/>
      <c r="P3246" s="1935"/>
      <c r="Q3246" s="1936"/>
      <c r="R3246" s="726">
        <f>VLOOKUP(A3247,'11 - FINANCEIRA'!_xlnm.Print_Area,8,FALSE)</f>
        <v>2</v>
      </c>
      <c r="S3246" s="727" t="str">
        <f>L3245</f>
        <v>und</v>
      </c>
      <c r="T3246" s="373"/>
      <c r="U3246" s="486"/>
      <c r="V3246" s="1418">
        <f t="shared" si="327"/>
        <v>0</v>
      </c>
      <c r="AB3246" s="15"/>
    </row>
    <row r="3247" spans="1:36" s="77" customFormat="1" ht="15.6" hidden="1">
      <c r="A3247" s="364" t="s">
        <v>636</v>
      </c>
      <c r="B3247" s="499"/>
      <c r="C3247" s="37"/>
      <c r="D3247" s="2013"/>
      <c r="E3247" s="2014"/>
      <c r="F3247" s="2014"/>
      <c r="G3247" s="2014"/>
      <c r="H3247" s="2014"/>
      <c r="I3247" s="2015"/>
      <c r="J3247" s="2016"/>
      <c r="K3247" s="2017"/>
      <c r="L3247" s="1962"/>
      <c r="M3247" s="2007" t="s">
        <v>1524</v>
      </c>
      <c r="N3247" s="2008"/>
      <c r="O3247" s="2008"/>
      <c r="P3247" s="2008"/>
      <c r="Q3247" s="2009"/>
      <c r="R3247" s="1345">
        <f>R3245-R3246</f>
        <v>0</v>
      </c>
      <c r="S3247" s="1346" t="str">
        <f>L3245</f>
        <v>und</v>
      </c>
      <c r="T3247" s="373"/>
      <c r="U3247" s="486"/>
      <c r="V3247" s="1418">
        <f>R3247</f>
        <v>0</v>
      </c>
      <c r="AB3247" s="15"/>
    </row>
    <row r="3248" spans="1:36" s="77" customFormat="1" ht="15.6" hidden="1">
      <c r="A3248" s="370"/>
      <c r="B3248" s="1347"/>
      <c r="C3248" s="1348"/>
      <c r="D3248" s="1349"/>
      <c r="E3248" s="1350"/>
      <c r="F3248" s="1349"/>
      <c r="G3248" s="1349"/>
      <c r="H3248" s="1349"/>
      <c r="I3248" s="1349"/>
      <c r="J3248" s="1351"/>
      <c r="K3248" s="1352"/>
      <c r="L3248" s="1353"/>
      <c r="M3248" s="1354"/>
      <c r="N3248" s="1354"/>
      <c r="O3248" s="1354"/>
      <c r="P3248" s="1354"/>
      <c r="Q3248" s="1354"/>
      <c r="R3248" s="1355"/>
      <c r="S3248" s="1356"/>
      <c r="T3248" s="1357"/>
      <c r="U3248" s="1358"/>
      <c r="V3248" s="1420">
        <f>SUM(V3239:V3247)</f>
        <v>0</v>
      </c>
      <c r="AB3248" s="15"/>
    </row>
    <row r="3249" spans="1:36" s="352" customFormat="1" ht="15.6" hidden="1">
      <c r="A3249" s="351"/>
      <c r="B3249" s="1963" t="str">
        <f>VLOOKUP(A3257,'11 - FINANCEIRA'!_xlnm.Print_Area,1,FALSE)</f>
        <v>2.5.2.7.2</v>
      </c>
      <c r="C3249" s="1965" t="str">
        <f>VLOOKUP(A3257,'11 - FINANCEIRA'!_xlnm.Print_Area,3,FALSE)</f>
        <v>Disjuntor monopolar tipo din, corrente nominal de 16a - fornecimento e instalação. af_04/2016</v>
      </c>
      <c r="D3249" s="1967" t="s">
        <v>1503</v>
      </c>
      <c r="E3249" s="1968"/>
      <c r="F3249" s="1968"/>
      <c r="G3249" s="1968"/>
      <c r="H3249" s="1968"/>
      <c r="I3249" s="1969"/>
      <c r="J3249" s="1914" t="s">
        <v>1504</v>
      </c>
      <c r="K3249" s="1914" t="s">
        <v>1505</v>
      </c>
      <c r="L3249" s="1914" t="s">
        <v>1506</v>
      </c>
      <c r="M3249" s="1914" t="s">
        <v>1507</v>
      </c>
      <c r="N3249" s="1914" t="s">
        <v>1508</v>
      </c>
      <c r="O3249" s="1914" t="s">
        <v>1509</v>
      </c>
      <c r="P3249" s="1341" t="s">
        <v>1510</v>
      </c>
      <c r="Q3249" s="1914" t="s">
        <v>1493</v>
      </c>
      <c r="R3249" s="1916" t="s">
        <v>804</v>
      </c>
      <c r="S3249" s="1914" t="s">
        <v>1511</v>
      </c>
      <c r="T3249" s="1914" t="s">
        <v>1512</v>
      </c>
      <c r="U3249" s="1918" t="s">
        <v>1513</v>
      </c>
      <c r="V3249" s="1418">
        <f t="shared" ref="V3249:V3256" si="328">V3250</f>
        <v>0</v>
      </c>
      <c r="W3249" s="16"/>
      <c r="X3249" s="16"/>
      <c r="Y3249" s="16"/>
      <c r="Z3249" s="17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</row>
    <row r="3250" spans="1:36" s="352" customFormat="1" ht="15.6" hidden="1">
      <c r="A3250" s="351"/>
      <c r="B3250" s="1964" t="e">
        <f>LEFT(#REF!,5)</f>
        <v>#REF!</v>
      </c>
      <c r="C3250" s="1966" t="e">
        <f>VLOOKUP(LEFT(#REF!,5),'11 - FINANCEIRA'!_xlnm.Print_Area,2,FALSE)</f>
        <v>#REF!</v>
      </c>
      <c r="D3250" s="1920" t="s">
        <v>1514</v>
      </c>
      <c r="E3250" s="1921"/>
      <c r="F3250" s="1922"/>
      <c r="G3250" s="1923" t="s">
        <v>1515</v>
      </c>
      <c r="H3250" s="1924"/>
      <c r="I3250" s="1925"/>
      <c r="J3250" s="1915"/>
      <c r="K3250" s="1915"/>
      <c r="L3250" s="1915"/>
      <c r="M3250" s="1915"/>
      <c r="N3250" s="1915"/>
      <c r="O3250" s="1915"/>
      <c r="P3250" s="353" t="s">
        <v>1516</v>
      </c>
      <c r="Q3250" s="1915"/>
      <c r="R3250" s="1917"/>
      <c r="S3250" s="1915"/>
      <c r="T3250" s="1915"/>
      <c r="U3250" s="1919"/>
      <c r="V3250" s="1418">
        <f t="shared" si="328"/>
        <v>0</v>
      </c>
      <c r="W3250" s="16"/>
      <c r="X3250" s="16"/>
      <c r="Y3250" s="16"/>
      <c r="Z3250" s="17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</row>
    <row r="3251" spans="1:36" s="361" customFormat="1" ht="15" hidden="1" customHeight="1">
      <c r="A3251" s="354"/>
      <c r="B3251" s="355"/>
      <c r="C3251" s="28" t="s">
        <v>1241</v>
      </c>
      <c r="D3251" s="18"/>
      <c r="E3251" s="19"/>
      <c r="F3251" s="20"/>
      <c r="G3251" s="18"/>
      <c r="H3251" s="19"/>
      <c r="I3251" s="20"/>
      <c r="J3251" s="21"/>
      <c r="K3251" s="22"/>
      <c r="L3251" s="23"/>
      <c r="M3251" s="24"/>
      <c r="N3251" s="728"/>
      <c r="O3251" s="25"/>
      <c r="P3251" s="23"/>
      <c r="Q3251" s="729"/>
      <c r="R3251" s="1109">
        <v>4</v>
      </c>
      <c r="S3251" s="730" t="s">
        <v>816</v>
      </c>
      <c r="T3251" s="446" t="s">
        <v>325</v>
      </c>
      <c r="U3251" s="44"/>
      <c r="V3251" s="1418">
        <f t="shared" si="328"/>
        <v>0</v>
      </c>
      <c r="W3251" s="357"/>
      <c r="X3251" s="357"/>
      <c r="Y3251" s="357"/>
      <c r="Z3251" s="358"/>
      <c r="AA3251" s="359"/>
      <c r="AB3251" s="360"/>
    </row>
    <row r="3252" spans="1:36" s="361" customFormat="1" ht="15" hidden="1" customHeight="1">
      <c r="A3252" s="354"/>
      <c r="B3252" s="355"/>
      <c r="C3252" s="32"/>
      <c r="D3252" s="33"/>
      <c r="E3252" s="34"/>
      <c r="F3252" s="35"/>
      <c r="G3252" s="33"/>
      <c r="H3252" s="34"/>
      <c r="I3252" s="35"/>
      <c r="J3252" s="43"/>
      <c r="K3252" s="42"/>
      <c r="L3252" s="39"/>
      <c r="M3252" s="41"/>
      <c r="N3252" s="356"/>
      <c r="O3252" s="40"/>
      <c r="P3252" s="39"/>
      <c r="Q3252" s="45"/>
      <c r="R3252" s="362"/>
      <c r="S3252" s="363"/>
      <c r="T3252" s="46"/>
      <c r="U3252" s="44"/>
      <c r="V3252" s="1418">
        <f t="shared" si="328"/>
        <v>0</v>
      </c>
      <c r="W3252" s="357"/>
      <c r="X3252" s="357"/>
      <c r="Y3252" s="357"/>
      <c r="Z3252" s="358"/>
      <c r="AA3252" s="359"/>
      <c r="AB3252" s="360"/>
    </row>
    <row r="3253" spans="1:36" s="369" customFormat="1" ht="15" hidden="1">
      <c r="A3253" s="364"/>
      <c r="B3253" s="355"/>
      <c r="C3253" s="32"/>
      <c r="D3253" s="33"/>
      <c r="E3253" s="34"/>
      <c r="F3253" s="35"/>
      <c r="G3253" s="33"/>
      <c r="H3253" s="34"/>
      <c r="I3253" s="35"/>
      <c r="J3253" s="43"/>
      <c r="K3253" s="42"/>
      <c r="L3253" s="39"/>
      <c r="M3253" s="41"/>
      <c r="N3253" s="40"/>
      <c r="O3253" s="40"/>
      <c r="P3253" s="39"/>
      <c r="Q3253" s="38"/>
      <c r="R3253" s="365"/>
      <c r="S3253" s="366"/>
      <c r="T3253" s="46"/>
      <c r="U3253" s="44"/>
      <c r="V3253" s="1418">
        <f t="shared" si="328"/>
        <v>0</v>
      </c>
      <c r="W3253" s="367"/>
      <c r="X3253" s="367"/>
      <c r="Y3253" s="367"/>
      <c r="Z3253" s="368"/>
    </row>
    <row r="3254" spans="1:36" s="77" customFormat="1" ht="15" hidden="1">
      <c r="A3254" s="370"/>
      <c r="B3254" s="29"/>
      <c r="C3254" s="30"/>
      <c r="D3254" s="18"/>
      <c r="E3254" s="19"/>
      <c r="F3254" s="20"/>
      <c r="G3254" s="18"/>
      <c r="H3254" s="19"/>
      <c r="I3254" s="20"/>
      <c r="J3254" s="21"/>
      <c r="K3254" s="22"/>
      <c r="L3254" s="23"/>
      <c r="M3254" s="24"/>
      <c r="N3254" s="25"/>
      <c r="O3254" s="25"/>
      <c r="P3254" s="23"/>
      <c r="Q3254" s="26"/>
      <c r="R3254" s="371"/>
      <c r="S3254" s="27"/>
      <c r="T3254" s="372"/>
      <c r="U3254" s="31"/>
      <c r="V3254" s="1418">
        <f t="shared" si="328"/>
        <v>0</v>
      </c>
      <c r="AB3254" s="15"/>
    </row>
    <row r="3255" spans="1:36" s="77" customFormat="1" ht="15.6" hidden="1">
      <c r="A3255" s="370"/>
      <c r="B3255" s="499"/>
      <c r="C3255" s="37"/>
      <c r="D3255" s="1929" t="s">
        <v>1520</v>
      </c>
      <c r="E3255" s="1930"/>
      <c r="F3255" s="1930"/>
      <c r="G3255" s="1930"/>
      <c r="H3255" s="1930"/>
      <c r="I3255" s="1931"/>
      <c r="J3255" s="1932">
        <f>VLOOKUP(A3257,'11 - FINANCEIRA'!_xlnm.Print_Area,6,FALSE)</f>
        <v>4</v>
      </c>
      <c r="K3255" s="1933"/>
      <c r="L3255" s="1343" t="str">
        <f>VLOOKUP(A3257,'11 - FINANCEIRA'!_xlnm.Print_Area,4,FALSE)</f>
        <v>und</v>
      </c>
      <c r="M3255" s="1934" t="s">
        <v>1521</v>
      </c>
      <c r="N3255" s="1935"/>
      <c r="O3255" s="1935"/>
      <c r="P3255" s="1935"/>
      <c r="Q3255" s="1936"/>
      <c r="R3255" s="726">
        <f>SUM(R3251:R3254)</f>
        <v>4</v>
      </c>
      <c r="S3255" s="1344" t="str">
        <f>L3255</f>
        <v>und</v>
      </c>
      <c r="T3255" s="373"/>
      <c r="U3255" s="486"/>
      <c r="V3255" s="1418">
        <f t="shared" si="328"/>
        <v>0</v>
      </c>
      <c r="AB3255" s="15"/>
    </row>
    <row r="3256" spans="1:36" s="77" customFormat="1" ht="15.6" hidden="1">
      <c r="A3256" s="370"/>
      <c r="B3256" s="499"/>
      <c r="C3256" s="725"/>
      <c r="D3256" s="1937" t="s">
        <v>1522</v>
      </c>
      <c r="E3256" s="1938"/>
      <c r="F3256" s="1938"/>
      <c r="G3256" s="1938"/>
      <c r="H3256" s="1938"/>
      <c r="I3256" s="1939"/>
      <c r="J3256" s="1943">
        <f>R3255/J3255</f>
        <v>1</v>
      </c>
      <c r="K3256" s="1944"/>
      <c r="L3256" s="1947"/>
      <c r="M3256" s="1934" t="s">
        <v>1523</v>
      </c>
      <c r="N3256" s="1935"/>
      <c r="O3256" s="1935"/>
      <c r="P3256" s="1935"/>
      <c r="Q3256" s="1936"/>
      <c r="R3256" s="726">
        <f>VLOOKUP(A3257,'11 - FINANCEIRA'!_xlnm.Print_Area,8,FALSE)</f>
        <v>4</v>
      </c>
      <c r="S3256" s="727" t="str">
        <f>L3255</f>
        <v>und</v>
      </c>
      <c r="T3256" s="373"/>
      <c r="U3256" s="486"/>
      <c r="V3256" s="1418">
        <f t="shared" si="328"/>
        <v>0</v>
      </c>
      <c r="AB3256" s="15"/>
    </row>
    <row r="3257" spans="1:36" s="77" customFormat="1" ht="15.6" hidden="1">
      <c r="A3257" s="364" t="s">
        <v>637</v>
      </c>
      <c r="B3257" s="499"/>
      <c r="C3257" s="37"/>
      <c r="D3257" s="2013"/>
      <c r="E3257" s="2014"/>
      <c r="F3257" s="2014"/>
      <c r="G3257" s="2014"/>
      <c r="H3257" s="2014"/>
      <c r="I3257" s="2015"/>
      <c r="J3257" s="2016"/>
      <c r="K3257" s="2017"/>
      <c r="L3257" s="1962"/>
      <c r="M3257" s="2007" t="s">
        <v>1524</v>
      </c>
      <c r="N3257" s="2008"/>
      <c r="O3257" s="2008"/>
      <c r="P3257" s="2008"/>
      <c r="Q3257" s="2009"/>
      <c r="R3257" s="1345">
        <f>R3255-R3256</f>
        <v>0</v>
      </c>
      <c r="S3257" s="1346" t="str">
        <f>L3255</f>
        <v>und</v>
      </c>
      <c r="T3257" s="373"/>
      <c r="U3257" s="486"/>
      <c r="V3257" s="1418">
        <f>R3257</f>
        <v>0</v>
      </c>
      <c r="AB3257" s="15"/>
    </row>
    <row r="3258" spans="1:36" s="77" customFormat="1" ht="15.6" hidden="1">
      <c r="A3258" s="370"/>
      <c r="B3258" s="1347"/>
      <c r="C3258" s="1348"/>
      <c r="D3258" s="1349"/>
      <c r="E3258" s="1350"/>
      <c r="F3258" s="1349"/>
      <c r="G3258" s="1349"/>
      <c r="H3258" s="1349"/>
      <c r="I3258" s="1349"/>
      <c r="J3258" s="1351"/>
      <c r="K3258" s="1352"/>
      <c r="L3258" s="1353"/>
      <c r="M3258" s="1354"/>
      <c r="N3258" s="1354"/>
      <c r="O3258" s="1354"/>
      <c r="P3258" s="1354"/>
      <c r="Q3258" s="1354"/>
      <c r="R3258" s="1355"/>
      <c r="S3258" s="1356"/>
      <c r="T3258" s="1357"/>
      <c r="U3258" s="1358"/>
      <c r="V3258" s="1420">
        <f>SUM(V3249:V3257)</f>
        <v>0</v>
      </c>
      <c r="AB3258" s="15"/>
    </row>
    <row r="3259" spans="1:36" s="352" customFormat="1" ht="15.6" hidden="1">
      <c r="A3259" s="351"/>
      <c r="B3259" s="1963" t="str">
        <f>VLOOKUP(A3267,'11 - FINANCEIRA'!_xlnm.Print_Area,1,FALSE)</f>
        <v>2.5.2.7.3</v>
      </c>
      <c r="C3259" s="1965" t="str">
        <f>VLOOKUP(A3267,'11 - FINANCEIRA'!_xlnm.Print_Area,3,FALSE)</f>
        <v>Disjuntor monopolar tipo din, corrente nominal de 32a - fornecimento e instalação. af_04/2016</v>
      </c>
      <c r="D3259" s="1967" t="s">
        <v>1503</v>
      </c>
      <c r="E3259" s="1968"/>
      <c r="F3259" s="1968"/>
      <c r="G3259" s="1968"/>
      <c r="H3259" s="1968"/>
      <c r="I3259" s="1969"/>
      <c r="J3259" s="1914" t="s">
        <v>1504</v>
      </c>
      <c r="K3259" s="1914" t="s">
        <v>1505</v>
      </c>
      <c r="L3259" s="1914" t="s">
        <v>1506</v>
      </c>
      <c r="M3259" s="1914" t="s">
        <v>1507</v>
      </c>
      <c r="N3259" s="1914" t="s">
        <v>1508</v>
      </c>
      <c r="O3259" s="1914" t="s">
        <v>1509</v>
      </c>
      <c r="P3259" s="1341" t="s">
        <v>1510</v>
      </c>
      <c r="Q3259" s="1914" t="s">
        <v>1493</v>
      </c>
      <c r="R3259" s="1916" t="s">
        <v>804</v>
      </c>
      <c r="S3259" s="1914" t="s">
        <v>1511</v>
      </c>
      <c r="T3259" s="1914" t="s">
        <v>1512</v>
      </c>
      <c r="U3259" s="1918" t="s">
        <v>1513</v>
      </c>
      <c r="V3259" s="1418">
        <f t="shared" ref="V3259:V3266" si="329">V3260</f>
        <v>0</v>
      </c>
      <c r="W3259" s="16"/>
      <c r="X3259" s="16"/>
      <c r="Y3259" s="16"/>
      <c r="Z3259" s="17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</row>
    <row r="3260" spans="1:36" s="352" customFormat="1" ht="15.6" hidden="1">
      <c r="A3260" s="351"/>
      <c r="B3260" s="1964" t="e">
        <f>LEFT(#REF!,5)</f>
        <v>#REF!</v>
      </c>
      <c r="C3260" s="1966" t="e">
        <f>VLOOKUP(LEFT(#REF!,5),'11 - FINANCEIRA'!_xlnm.Print_Area,2,FALSE)</f>
        <v>#REF!</v>
      </c>
      <c r="D3260" s="1920" t="s">
        <v>1514</v>
      </c>
      <c r="E3260" s="1921"/>
      <c r="F3260" s="1922"/>
      <c r="G3260" s="1923" t="s">
        <v>1515</v>
      </c>
      <c r="H3260" s="1924"/>
      <c r="I3260" s="1925"/>
      <c r="J3260" s="1915"/>
      <c r="K3260" s="1915"/>
      <c r="L3260" s="1915"/>
      <c r="M3260" s="1915"/>
      <c r="N3260" s="1915"/>
      <c r="O3260" s="1915"/>
      <c r="P3260" s="353" t="s">
        <v>1516</v>
      </c>
      <c r="Q3260" s="1915"/>
      <c r="R3260" s="1917"/>
      <c r="S3260" s="1915"/>
      <c r="T3260" s="1915"/>
      <c r="U3260" s="1919"/>
      <c r="V3260" s="1418">
        <f t="shared" si="329"/>
        <v>0</v>
      </c>
      <c r="W3260" s="16"/>
      <c r="X3260" s="16"/>
      <c r="Y3260" s="16"/>
      <c r="Z3260" s="17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</row>
    <row r="3261" spans="1:36" s="361" customFormat="1" ht="15" hidden="1" customHeight="1">
      <c r="A3261" s="354"/>
      <c r="B3261" s="355"/>
      <c r="C3261" s="28" t="s">
        <v>1243</v>
      </c>
      <c r="D3261" s="18"/>
      <c r="E3261" s="19"/>
      <c r="F3261" s="20"/>
      <c r="G3261" s="18"/>
      <c r="H3261" s="19"/>
      <c r="I3261" s="20"/>
      <c r="J3261" s="21"/>
      <c r="K3261" s="22"/>
      <c r="L3261" s="23"/>
      <c r="M3261" s="24"/>
      <c r="N3261" s="728"/>
      <c r="O3261" s="25"/>
      <c r="P3261" s="23"/>
      <c r="Q3261" s="729"/>
      <c r="R3261" s="1109">
        <v>1</v>
      </c>
      <c r="S3261" s="730" t="s">
        <v>816</v>
      </c>
      <c r="T3261" s="446" t="s">
        <v>325</v>
      </c>
      <c r="U3261" s="44"/>
      <c r="V3261" s="1418">
        <f t="shared" si="329"/>
        <v>0</v>
      </c>
      <c r="W3261" s="357"/>
      <c r="X3261" s="357"/>
      <c r="Y3261" s="357"/>
      <c r="Z3261" s="358"/>
      <c r="AA3261" s="359"/>
      <c r="AB3261" s="360"/>
    </row>
    <row r="3262" spans="1:36" s="361" customFormat="1" ht="15" hidden="1" customHeight="1">
      <c r="A3262" s="354"/>
      <c r="B3262" s="355"/>
      <c r="C3262" s="32"/>
      <c r="D3262" s="33"/>
      <c r="E3262" s="34"/>
      <c r="F3262" s="35"/>
      <c r="G3262" s="33"/>
      <c r="H3262" s="34"/>
      <c r="I3262" s="35"/>
      <c r="J3262" s="43"/>
      <c r="K3262" s="42"/>
      <c r="L3262" s="39"/>
      <c r="M3262" s="41"/>
      <c r="N3262" s="356"/>
      <c r="O3262" s="40"/>
      <c r="P3262" s="39"/>
      <c r="Q3262" s="45"/>
      <c r="R3262" s="362"/>
      <c r="S3262" s="363"/>
      <c r="T3262" s="46"/>
      <c r="U3262" s="44"/>
      <c r="V3262" s="1418">
        <f t="shared" si="329"/>
        <v>0</v>
      </c>
      <c r="W3262" s="357"/>
      <c r="X3262" s="357"/>
      <c r="Y3262" s="357"/>
      <c r="Z3262" s="358"/>
      <c r="AA3262" s="359"/>
      <c r="AB3262" s="360"/>
    </row>
    <row r="3263" spans="1:36" s="369" customFormat="1" ht="15" hidden="1">
      <c r="A3263" s="364"/>
      <c r="B3263" s="355"/>
      <c r="C3263" s="32"/>
      <c r="D3263" s="33"/>
      <c r="E3263" s="34"/>
      <c r="F3263" s="35"/>
      <c r="G3263" s="33"/>
      <c r="H3263" s="34"/>
      <c r="I3263" s="35"/>
      <c r="J3263" s="43"/>
      <c r="K3263" s="42"/>
      <c r="L3263" s="39"/>
      <c r="M3263" s="41"/>
      <c r="N3263" s="40"/>
      <c r="O3263" s="40"/>
      <c r="P3263" s="39"/>
      <c r="Q3263" s="38"/>
      <c r="R3263" s="365"/>
      <c r="S3263" s="366"/>
      <c r="T3263" s="46"/>
      <c r="U3263" s="44"/>
      <c r="V3263" s="1418">
        <f t="shared" si="329"/>
        <v>0</v>
      </c>
      <c r="W3263" s="367"/>
      <c r="X3263" s="367"/>
      <c r="Y3263" s="367"/>
      <c r="Z3263" s="368"/>
    </row>
    <row r="3264" spans="1:36" s="77" customFormat="1" ht="15" hidden="1">
      <c r="A3264" s="370"/>
      <c r="B3264" s="29"/>
      <c r="C3264" s="30"/>
      <c r="D3264" s="18"/>
      <c r="E3264" s="19"/>
      <c r="F3264" s="20"/>
      <c r="G3264" s="18"/>
      <c r="H3264" s="19"/>
      <c r="I3264" s="20"/>
      <c r="J3264" s="21"/>
      <c r="K3264" s="22"/>
      <c r="L3264" s="23"/>
      <c r="M3264" s="24"/>
      <c r="N3264" s="25"/>
      <c r="O3264" s="25"/>
      <c r="P3264" s="23"/>
      <c r="Q3264" s="26"/>
      <c r="R3264" s="371"/>
      <c r="S3264" s="27"/>
      <c r="T3264" s="372"/>
      <c r="U3264" s="31"/>
      <c r="V3264" s="1418">
        <f t="shared" si="329"/>
        <v>0</v>
      </c>
      <c r="AB3264" s="15"/>
    </row>
    <row r="3265" spans="1:36" s="77" customFormat="1" ht="15.6" hidden="1">
      <c r="A3265" s="370"/>
      <c r="B3265" s="499"/>
      <c r="C3265" s="37"/>
      <c r="D3265" s="1929" t="s">
        <v>1520</v>
      </c>
      <c r="E3265" s="1930"/>
      <c r="F3265" s="1930"/>
      <c r="G3265" s="1930"/>
      <c r="H3265" s="1930"/>
      <c r="I3265" s="1931"/>
      <c r="J3265" s="1932">
        <f>VLOOKUP(A3267,'11 - FINANCEIRA'!_xlnm.Print_Area,6,FALSE)</f>
        <v>1</v>
      </c>
      <c r="K3265" s="1933"/>
      <c r="L3265" s="1343" t="str">
        <f>VLOOKUP(A3267,'11 - FINANCEIRA'!_xlnm.Print_Area,4,FALSE)</f>
        <v>und</v>
      </c>
      <c r="M3265" s="1934" t="s">
        <v>1521</v>
      </c>
      <c r="N3265" s="1935"/>
      <c r="O3265" s="1935"/>
      <c r="P3265" s="1935"/>
      <c r="Q3265" s="1936"/>
      <c r="R3265" s="726">
        <f>SUM(R3261:R3264)</f>
        <v>1</v>
      </c>
      <c r="S3265" s="1344" t="str">
        <f>L3265</f>
        <v>und</v>
      </c>
      <c r="T3265" s="373"/>
      <c r="U3265" s="486"/>
      <c r="V3265" s="1418">
        <f t="shared" si="329"/>
        <v>0</v>
      </c>
      <c r="AB3265" s="15"/>
    </row>
    <row r="3266" spans="1:36" s="77" customFormat="1" ht="15.6" hidden="1">
      <c r="A3266" s="370"/>
      <c r="B3266" s="499"/>
      <c r="C3266" s="725"/>
      <c r="D3266" s="1937" t="s">
        <v>1522</v>
      </c>
      <c r="E3266" s="1938"/>
      <c r="F3266" s="1938"/>
      <c r="G3266" s="1938"/>
      <c r="H3266" s="1938"/>
      <c r="I3266" s="1939"/>
      <c r="J3266" s="1943">
        <f>R3265/J3265</f>
        <v>1</v>
      </c>
      <c r="K3266" s="1944"/>
      <c r="L3266" s="1947"/>
      <c r="M3266" s="1934" t="s">
        <v>1523</v>
      </c>
      <c r="N3266" s="1935"/>
      <c r="O3266" s="1935"/>
      <c r="P3266" s="1935"/>
      <c r="Q3266" s="1936"/>
      <c r="R3266" s="726">
        <f>VLOOKUP(A3267,'11 - FINANCEIRA'!_xlnm.Print_Area,8,FALSE)</f>
        <v>1</v>
      </c>
      <c r="S3266" s="727" t="str">
        <f>L3265</f>
        <v>und</v>
      </c>
      <c r="T3266" s="373"/>
      <c r="U3266" s="486"/>
      <c r="V3266" s="1418">
        <f t="shared" si="329"/>
        <v>0</v>
      </c>
      <c r="AB3266" s="15"/>
    </row>
    <row r="3267" spans="1:36" s="77" customFormat="1" ht="15.6" hidden="1">
      <c r="A3267" s="364" t="s">
        <v>638</v>
      </c>
      <c r="B3267" s="499"/>
      <c r="C3267" s="37"/>
      <c r="D3267" s="2013"/>
      <c r="E3267" s="2014"/>
      <c r="F3267" s="2014"/>
      <c r="G3267" s="2014"/>
      <c r="H3267" s="2014"/>
      <c r="I3267" s="2015"/>
      <c r="J3267" s="2016"/>
      <c r="K3267" s="2017"/>
      <c r="L3267" s="1962"/>
      <c r="M3267" s="2007" t="s">
        <v>1524</v>
      </c>
      <c r="N3267" s="2008"/>
      <c r="O3267" s="2008"/>
      <c r="P3267" s="2008"/>
      <c r="Q3267" s="2009"/>
      <c r="R3267" s="1345">
        <f>R3265-R3266</f>
        <v>0</v>
      </c>
      <c r="S3267" s="1346" t="str">
        <f>L3265</f>
        <v>und</v>
      </c>
      <c r="T3267" s="373"/>
      <c r="U3267" s="486"/>
      <c r="V3267" s="1418">
        <f>R3267</f>
        <v>0</v>
      </c>
      <c r="AB3267" s="15"/>
    </row>
    <row r="3268" spans="1:36" s="77" customFormat="1" ht="15.6" hidden="1">
      <c r="A3268" s="370"/>
      <c r="B3268" s="1347"/>
      <c r="C3268" s="1348"/>
      <c r="D3268" s="1349"/>
      <c r="E3268" s="1350"/>
      <c r="F3268" s="1349"/>
      <c r="G3268" s="1349"/>
      <c r="H3268" s="1349"/>
      <c r="I3268" s="1349"/>
      <c r="J3268" s="1351"/>
      <c r="K3268" s="1352"/>
      <c r="L3268" s="1353"/>
      <c r="M3268" s="1354"/>
      <c r="N3268" s="1354"/>
      <c r="O3268" s="1354"/>
      <c r="P3268" s="1354"/>
      <c r="Q3268" s="1354"/>
      <c r="R3268" s="1355"/>
      <c r="S3268" s="1356"/>
      <c r="T3268" s="1357"/>
      <c r="U3268" s="1358"/>
      <c r="V3268" s="1420">
        <f>SUM(V3259:V3267)</f>
        <v>0</v>
      </c>
      <c r="AB3268" s="15"/>
    </row>
    <row r="3269" spans="1:36" s="352" customFormat="1" ht="15.6" hidden="1">
      <c r="A3269" s="351"/>
      <c r="B3269" s="1963" t="str">
        <f>VLOOKUP(A3277,'11 - FINANCEIRA'!_xlnm.Print_Area,1,FALSE)</f>
        <v>2.5.2.7.4</v>
      </c>
      <c r="C3269" s="1965" t="str">
        <f>VLOOKUP(A3277,'11 - FINANCEIRA'!_xlnm.Print_Area,3,FALSE)</f>
        <v xml:space="preserve">Disjuntor dr tetrapolar din 40a, 30ma </v>
      </c>
      <c r="D3269" s="1967" t="s">
        <v>1503</v>
      </c>
      <c r="E3269" s="1968"/>
      <c r="F3269" s="1968"/>
      <c r="G3269" s="1968"/>
      <c r="H3269" s="1968"/>
      <c r="I3269" s="1969"/>
      <c r="J3269" s="1914" t="s">
        <v>1504</v>
      </c>
      <c r="K3269" s="1914" t="s">
        <v>1505</v>
      </c>
      <c r="L3269" s="1914" t="s">
        <v>1506</v>
      </c>
      <c r="M3269" s="1914" t="s">
        <v>1507</v>
      </c>
      <c r="N3269" s="1914" t="s">
        <v>1508</v>
      </c>
      <c r="O3269" s="1914" t="s">
        <v>1509</v>
      </c>
      <c r="P3269" s="1341" t="s">
        <v>1510</v>
      </c>
      <c r="Q3269" s="1914" t="s">
        <v>1493</v>
      </c>
      <c r="R3269" s="1916" t="s">
        <v>804</v>
      </c>
      <c r="S3269" s="1914" t="s">
        <v>1511</v>
      </c>
      <c r="T3269" s="1914" t="s">
        <v>1512</v>
      </c>
      <c r="U3269" s="1918" t="s">
        <v>1513</v>
      </c>
      <c r="V3269" s="1418">
        <f t="shared" ref="V3269:V3276" si="330">V3270</f>
        <v>0</v>
      </c>
      <c r="W3269" s="16"/>
      <c r="X3269" s="16"/>
      <c r="Y3269" s="16"/>
      <c r="Z3269" s="17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</row>
    <row r="3270" spans="1:36" s="352" customFormat="1" ht="15.6" hidden="1">
      <c r="A3270" s="351"/>
      <c r="B3270" s="1964" t="e">
        <f>LEFT(#REF!,5)</f>
        <v>#REF!</v>
      </c>
      <c r="C3270" s="1966" t="e">
        <f>VLOOKUP(LEFT(#REF!,5),'11 - FINANCEIRA'!_xlnm.Print_Area,2,FALSE)</f>
        <v>#REF!</v>
      </c>
      <c r="D3270" s="1920" t="s">
        <v>1514</v>
      </c>
      <c r="E3270" s="1921"/>
      <c r="F3270" s="1922"/>
      <c r="G3270" s="1923" t="s">
        <v>1515</v>
      </c>
      <c r="H3270" s="1924"/>
      <c r="I3270" s="1925"/>
      <c r="J3270" s="1915"/>
      <c r="K3270" s="1915"/>
      <c r="L3270" s="1915"/>
      <c r="M3270" s="1915"/>
      <c r="N3270" s="1915"/>
      <c r="O3270" s="1915"/>
      <c r="P3270" s="353" t="s">
        <v>1516</v>
      </c>
      <c r="Q3270" s="1915"/>
      <c r="R3270" s="1917"/>
      <c r="S3270" s="1915"/>
      <c r="T3270" s="1915"/>
      <c r="U3270" s="1919"/>
      <c r="V3270" s="1418">
        <f t="shared" si="330"/>
        <v>0</v>
      </c>
      <c r="W3270" s="16"/>
      <c r="X3270" s="16"/>
      <c r="Y3270" s="16"/>
      <c r="Z3270" s="17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</row>
    <row r="3271" spans="1:36" s="361" customFormat="1" ht="15" hidden="1" customHeight="1">
      <c r="A3271" s="354"/>
      <c r="B3271" s="355"/>
      <c r="C3271" s="28" t="s">
        <v>1245</v>
      </c>
      <c r="D3271" s="18"/>
      <c r="E3271" s="19"/>
      <c r="F3271" s="20"/>
      <c r="G3271" s="18"/>
      <c r="H3271" s="19"/>
      <c r="I3271" s="20"/>
      <c r="J3271" s="21"/>
      <c r="K3271" s="22"/>
      <c r="L3271" s="23"/>
      <c r="M3271" s="24"/>
      <c r="N3271" s="728"/>
      <c r="O3271" s="25"/>
      <c r="P3271" s="23"/>
      <c r="Q3271" s="729"/>
      <c r="R3271" s="1109">
        <v>1</v>
      </c>
      <c r="S3271" s="730" t="s">
        <v>816</v>
      </c>
      <c r="T3271" s="446" t="s">
        <v>325</v>
      </c>
      <c r="U3271" s="44"/>
      <c r="V3271" s="1418">
        <f t="shared" si="330"/>
        <v>0</v>
      </c>
      <c r="W3271" s="357"/>
      <c r="X3271" s="357"/>
      <c r="Y3271" s="357"/>
      <c r="Z3271" s="358"/>
      <c r="AA3271" s="359"/>
      <c r="AB3271" s="360"/>
    </row>
    <row r="3272" spans="1:36" s="361" customFormat="1" ht="15" hidden="1" customHeight="1">
      <c r="A3272" s="354"/>
      <c r="B3272" s="355"/>
      <c r="C3272" s="28"/>
      <c r="D3272" s="18"/>
      <c r="E3272" s="19"/>
      <c r="F3272" s="20"/>
      <c r="G3272" s="18"/>
      <c r="H3272" s="19"/>
      <c r="I3272" s="20"/>
      <c r="J3272" s="21"/>
      <c r="K3272" s="22"/>
      <c r="L3272" s="23"/>
      <c r="M3272" s="24"/>
      <c r="N3272" s="728"/>
      <c r="O3272" s="25"/>
      <c r="P3272" s="23"/>
      <c r="Q3272" s="729"/>
      <c r="R3272" s="445"/>
      <c r="S3272" s="792"/>
      <c r="T3272" s="446"/>
      <c r="U3272" s="44"/>
      <c r="V3272" s="1418">
        <f t="shared" si="330"/>
        <v>0</v>
      </c>
      <c r="W3272" s="357"/>
      <c r="X3272" s="357"/>
      <c r="Y3272" s="357"/>
      <c r="Z3272" s="358"/>
      <c r="AA3272" s="359"/>
      <c r="AB3272" s="360"/>
    </row>
    <row r="3273" spans="1:36" s="369" customFormat="1" ht="15" hidden="1">
      <c r="A3273" s="364"/>
      <c r="B3273" s="355"/>
      <c r="C3273" s="32"/>
      <c r="D3273" s="33"/>
      <c r="E3273" s="34"/>
      <c r="F3273" s="35"/>
      <c r="G3273" s="33"/>
      <c r="H3273" s="34"/>
      <c r="I3273" s="35"/>
      <c r="J3273" s="43"/>
      <c r="K3273" s="42"/>
      <c r="L3273" s="39"/>
      <c r="M3273" s="41"/>
      <c r="N3273" s="40"/>
      <c r="O3273" s="40"/>
      <c r="P3273" s="39"/>
      <c r="Q3273" s="38"/>
      <c r="R3273" s="365"/>
      <c r="S3273" s="366"/>
      <c r="T3273" s="46"/>
      <c r="U3273" s="44"/>
      <c r="V3273" s="1418">
        <f t="shared" si="330"/>
        <v>0</v>
      </c>
      <c r="W3273" s="367"/>
      <c r="X3273" s="367"/>
      <c r="Y3273" s="367"/>
      <c r="Z3273" s="368"/>
    </row>
    <row r="3274" spans="1:36" s="77" customFormat="1" ht="15" hidden="1">
      <c r="A3274" s="370"/>
      <c r="B3274" s="29"/>
      <c r="C3274" s="30"/>
      <c r="D3274" s="18"/>
      <c r="E3274" s="19"/>
      <c r="F3274" s="20"/>
      <c r="G3274" s="18"/>
      <c r="H3274" s="19"/>
      <c r="I3274" s="20"/>
      <c r="J3274" s="21"/>
      <c r="K3274" s="22"/>
      <c r="L3274" s="23"/>
      <c r="M3274" s="24"/>
      <c r="N3274" s="25"/>
      <c r="O3274" s="25"/>
      <c r="P3274" s="23"/>
      <c r="Q3274" s="26"/>
      <c r="R3274" s="371"/>
      <c r="S3274" s="27"/>
      <c r="T3274" s="372"/>
      <c r="U3274" s="31"/>
      <c r="V3274" s="1418">
        <f t="shared" si="330"/>
        <v>0</v>
      </c>
      <c r="AB3274" s="15"/>
    </row>
    <row r="3275" spans="1:36" s="77" customFormat="1" ht="15.6" hidden="1">
      <c r="A3275" s="370"/>
      <c r="B3275" s="499"/>
      <c r="C3275" s="37"/>
      <c r="D3275" s="1929" t="s">
        <v>1520</v>
      </c>
      <c r="E3275" s="1930"/>
      <c r="F3275" s="1930"/>
      <c r="G3275" s="1930"/>
      <c r="H3275" s="1930"/>
      <c r="I3275" s="1931"/>
      <c r="J3275" s="1932">
        <f>VLOOKUP(A3277,'11 - FINANCEIRA'!_xlnm.Print_Area,6,FALSE)</f>
        <v>1</v>
      </c>
      <c r="K3275" s="1933"/>
      <c r="L3275" s="1343" t="str">
        <f>VLOOKUP(A3277,'11 - FINANCEIRA'!_xlnm.Print_Area,4,FALSE)</f>
        <v>und</v>
      </c>
      <c r="M3275" s="1934" t="s">
        <v>1521</v>
      </c>
      <c r="N3275" s="1935"/>
      <c r="O3275" s="1935"/>
      <c r="P3275" s="1935"/>
      <c r="Q3275" s="1936"/>
      <c r="R3275" s="726">
        <f>SUM(R3271:R3274)</f>
        <v>1</v>
      </c>
      <c r="S3275" s="1344" t="str">
        <f>L3275</f>
        <v>und</v>
      </c>
      <c r="T3275" s="373"/>
      <c r="U3275" s="486"/>
      <c r="V3275" s="1418">
        <f t="shared" si="330"/>
        <v>0</v>
      </c>
      <c r="AB3275" s="15"/>
    </row>
    <row r="3276" spans="1:36" s="77" customFormat="1" ht="15.6" hidden="1">
      <c r="A3276" s="370"/>
      <c r="B3276" s="499"/>
      <c r="C3276" s="725"/>
      <c r="D3276" s="1937" t="s">
        <v>1522</v>
      </c>
      <c r="E3276" s="1938"/>
      <c r="F3276" s="1938"/>
      <c r="G3276" s="1938"/>
      <c r="H3276" s="1938"/>
      <c r="I3276" s="1939"/>
      <c r="J3276" s="1943">
        <f>R3275/J3275</f>
        <v>1</v>
      </c>
      <c r="K3276" s="1944"/>
      <c r="L3276" s="1947"/>
      <c r="M3276" s="1934" t="s">
        <v>1523</v>
      </c>
      <c r="N3276" s="1935"/>
      <c r="O3276" s="1935"/>
      <c r="P3276" s="1935"/>
      <c r="Q3276" s="1936"/>
      <c r="R3276" s="726">
        <f>VLOOKUP(A3277,'11 - FINANCEIRA'!_xlnm.Print_Area,8,FALSE)</f>
        <v>1</v>
      </c>
      <c r="S3276" s="727" t="str">
        <f>L3275</f>
        <v>und</v>
      </c>
      <c r="T3276" s="373"/>
      <c r="U3276" s="486"/>
      <c r="V3276" s="1418">
        <f t="shared" si="330"/>
        <v>0</v>
      </c>
      <c r="AB3276" s="15"/>
    </row>
    <row r="3277" spans="1:36" s="77" customFormat="1" ht="15.6" hidden="1">
      <c r="A3277" s="364" t="s">
        <v>639</v>
      </c>
      <c r="B3277" s="499"/>
      <c r="C3277" s="37"/>
      <c r="D3277" s="2013"/>
      <c r="E3277" s="2014"/>
      <c r="F3277" s="2014"/>
      <c r="G3277" s="2014"/>
      <c r="H3277" s="2014"/>
      <c r="I3277" s="2015"/>
      <c r="J3277" s="2016"/>
      <c r="K3277" s="2017"/>
      <c r="L3277" s="1962"/>
      <c r="M3277" s="2007" t="s">
        <v>1524</v>
      </c>
      <c r="N3277" s="2008"/>
      <c r="O3277" s="2008"/>
      <c r="P3277" s="2008"/>
      <c r="Q3277" s="2009"/>
      <c r="R3277" s="1345">
        <f>R3275-R3276</f>
        <v>0</v>
      </c>
      <c r="S3277" s="1346" t="str">
        <f>L3275</f>
        <v>und</v>
      </c>
      <c r="T3277" s="373"/>
      <c r="U3277" s="486"/>
      <c r="V3277" s="1418">
        <f>R3277</f>
        <v>0</v>
      </c>
      <c r="AB3277" s="15"/>
    </row>
    <row r="3278" spans="1:36" s="77" customFormat="1" ht="15.6" hidden="1">
      <c r="A3278" s="370"/>
      <c r="B3278" s="1347"/>
      <c r="C3278" s="1348"/>
      <c r="D3278" s="1349"/>
      <c r="E3278" s="1350"/>
      <c r="F3278" s="1349"/>
      <c r="G3278" s="1349"/>
      <c r="H3278" s="1349"/>
      <c r="I3278" s="1349"/>
      <c r="J3278" s="1351"/>
      <c r="K3278" s="1352"/>
      <c r="L3278" s="1353"/>
      <c r="M3278" s="1354"/>
      <c r="N3278" s="1354"/>
      <c r="O3278" s="1354"/>
      <c r="P3278" s="1354"/>
      <c r="Q3278" s="1354"/>
      <c r="R3278" s="1355"/>
      <c r="S3278" s="1356"/>
      <c r="T3278" s="1357"/>
      <c r="U3278" s="1358"/>
      <c r="V3278" s="1420">
        <f>SUM(V3269:V3277)</f>
        <v>0</v>
      </c>
      <c r="AB3278" s="15"/>
    </row>
    <row r="3279" spans="1:36" s="352" customFormat="1" ht="15.6" hidden="1">
      <c r="A3279" s="351"/>
      <c r="B3279" s="1963" t="str">
        <f>VLOOKUP(A3287,'11 - FINANCEIRA'!_xlnm.Print_Area,1,FALSE)</f>
        <v>2.5.2.7.5</v>
      </c>
      <c r="C3279" s="1965" t="str">
        <f>VLOOKUP(A3287,'11 - FINANCEIRA'!_xlnm.Print_Area,3,FALSE)</f>
        <v>Dispositivo de proteção contra surto (dps) bipolar, tensão nominal máxima 275vca, corente de surto máxima 40ka.</v>
      </c>
      <c r="D3279" s="1967" t="s">
        <v>1503</v>
      </c>
      <c r="E3279" s="1968"/>
      <c r="F3279" s="1968"/>
      <c r="G3279" s="1968"/>
      <c r="H3279" s="1968"/>
      <c r="I3279" s="1969"/>
      <c r="J3279" s="1914" t="s">
        <v>1504</v>
      </c>
      <c r="K3279" s="1914" t="s">
        <v>1505</v>
      </c>
      <c r="L3279" s="1914" t="s">
        <v>1506</v>
      </c>
      <c r="M3279" s="1914" t="s">
        <v>1507</v>
      </c>
      <c r="N3279" s="1914" t="s">
        <v>1508</v>
      </c>
      <c r="O3279" s="1914" t="s">
        <v>1509</v>
      </c>
      <c r="P3279" s="1341" t="s">
        <v>1510</v>
      </c>
      <c r="Q3279" s="1914" t="s">
        <v>1493</v>
      </c>
      <c r="R3279" s="1916" t="s">
        <v>804</v>
      </c>
      <c r="S3279" s="1914" t="s">
        <v>1511</v>
      </c>
      <c r="T3279" s="1914" t="s">
        <v>1512</v>
      </c>
      <c r="U3279" s="1918" t="s">
        <v>1513</v>
      </c>
      <c r="V3279" s="1418">
        <f t="shared" ref="V3279:V3286" si="331">V3280</f>
        <v>0</v>
      </c>
      <c r="W3279" s="16"/>
      <c r="X3279" s="16"/>
      <c r="Y3279" s="16"/>
      <c r="Z3279" s="17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</row>
    <row r="3280" spans="1:36" s="352" customFormat="1" ht="15.6" hidden="1">
      <c r="A3280" s="351"/>
      <c r="B3280" s="1964" t="e">
        <f>LEFT(#REF!,5)</f>
        <v>#REF!</v>
      </c>
      <c r="C3280" s="1966" t="e">
        <f>VLOOKUP(LEFT(#REF!,5),'11 - FINANCEIRA'!_xlnm.Print_Area,2,FALSE)</f>
        <v>#REF!</v>
      </c>
      <c r="D3280" s="1920" t="s">
        <v>1514</v>
      </c>
      <c r="E3280" s="1921"/>
      <c r="F3280" s="1922"/>
      <c r="G3280" s="1923" t="s">
        <v>1515</v>
      </c>
      <c r="H3280" s="1924"/>
      <c r="I3280" s="1925"/>
      <c r="J3280" s="1915"/>
      <c r="K3280" s="1915"/>
      <c r="L3280" s="1915"/>
      <c r="M3280" s="1915"/>
      <c r="N3280" s="1915"/>
      <c r="O3280" s="1915"/>
      <c r="P3280" s="353" t="s">
        <v>1516</v>
      </c>
      <c r="Q3280" s="1915"/>
      <c r="R3280" s="1917"/>
      <c r="S3280" s="1915"/>
      <c r="T3280" s="1915"/>
      <c r="U3280" s="1919"/>
      <c r="V3280" s="1418">
        <f t="shared" si="331"/>
        <v>0</v>
      </c>
      <c r="W3280" s="16"/>
      <c r="X3280" s="16"/>
      <c r="Y3280" s="16"/>
      <c r="Z3280" s="17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</row>
    <row r="3281" spans="1:36" s="361" customFormat="1" ht="15" hidden="1" customHeight="1">
      <c r="A3281" s="354"/>
      <c r="B3281" s="355"/>
      <c r="C3281" s="28" t="s">
        <v>1247</v>
      </c>
      <c r="D3281" s="18"/>
      <c r="E3281" s="19"/>
      <c r="F3281" s="20"/>
      <c r="G3281" s="18"/>
      <c r="H3281" s="19"/>
      <c r="I3281" s="20"/>
      <c r="J3281" s="21"/>
      <c r="K3281" s="22"/>
      <c r="L3281" s="23"/>
      <c r="M3281" s="24"/>
      <c r="N3281" s="728"/>
      <c r="O3281" s="25"/>
      <c r="P3281" s="23"/>
      <c r="Q3281" s="729"/>
      <c r="R3281" s="1109">
        <v>6</v>
      </c>
      <c r="S3281" s="730" t="s">
        <v>816</v>
      </c>
      <c r="T3281" s="446" t="s">
        <v>325</v>
      </c>
      <c r="U3281" s="44"/>
      <c r="V3281" s="1418">
        <f t="shared" si="331"/>
        <v>0</v>
      </c>
      <c r="W3281" s="357"/>
      <c r="X3281" s="357"/>
      <c r="Y3281" s="357"/>
      <c r="Z3281" s="358"/>
      <c r="AA3281" s="359"/>
      <c r="AB3281" s="360"/>
    </row>
    <row r="3282" spans="1:36" s="361" customFormat="1" ht="15" hidden="1" customHeight="1">
      <c r="A3282" s="354"/>
      <c r="B3282" s="355"/>
      <c r="C3282" s="32"/>
      <c r="D3282" s="33"/>
      <c r="E3282" s="34"/>
      <c r="F3282" s="35"/>
      <c r="G3282" s="33"/>
      <c r="H3282" s="34"/>
      <c r="I3282" s="35"/>
      <c r="J3282" s="43"/>
      <c r="K3282" s="42"/>
      <c r="L3282" s="39"/>
      <c r="M3282" s="41"/>
      <c r="N3282" s="356"/>
      <c r="O3282" s="40"/>
      <c r="P3282" s="39"/>
      <c r="Q3282" s="45"/>
      <c r="R3282" s="362"/>
      <c r="S3282" s="363"/>
      <c r="T3282" s="46"/>
      <c r="U3282" s="44"/>
      <c r="V3282" s="1418">
        <f t="shared" si="331"/>
        <v>0</v>
      </c>
      <c r="W3282" s="357"/>
      <c r="X3282" s="357"/>
      <c r="Y3282" s="357"/>
      <c r="Z3282" s="358"/>
      <c r="AA3282" s="359"/>
      <c r="AB3282" s="360"/>
    </row>
    <row r="3283" spans="1:36" s="369" customFormat="1" ht="15" hidden="1">
      <c r="A3283" s="364"/>
      <c r="B3283" s="355"/>
      <c r="C3283" s="32"/>
      <c r="D3283" s="33"/>
      <c r="E3283" s="34"/>
      <c r="F3283" s="35"/>
      <c r="G3283" s="33"/>
      <c r="H3283" s="34"/>
      <c r="I3283" s="35"/>
      <c r="J3283" s="43"/>
      <c r="K3283" s="42"/>
      <c r="L3283" s="39"/>
      <c r="M3283" s="41"/>
      <c r="N3283" s="40"/>
      <c r="O3283" s="40"/>
      <c r="P3283" s="39"/>
      <c r="Q3283" s="38"/>
      <c r="R3283" s="365"/>
      <c r="S3283" s="366"/>
      <c r="T3283" s="46"/>
      <c r="U3283" s="44"/>
      <c r="V3283" s="1418">
        <f t="shared" si="331"/>
        <v>0</v>
      </c>
      <c r="W3283" s="367"/>
      <c r="X3283" s="367"/>
      <c r="Y3283" s="367"/>
      <c r="Z3283" s="368"/>
    </row>
    <row r="3284" spans="1:36" s="77" customFormat="1" ht="15" hidden="1">
      <c r="A3284" s="370"/>
      <c r="B3284" s="29"/>
      <c r="C3284" s="30"/>
      <c r="D3284" s="18"/>
      <c r="E3284" s="19"/>
      <c r="F3284" s="20"/>
      <c r="G3284" s="18"/>
      <c r="H3284" s="19"/>
      <c r="I3284" s="20"/>
      <c r="J3284" s="21"/>
      <c r="K3284" s="22"/>
      <c r="L3284" s="23"/>
      <c r="M3284" s="24"/>
      <c r="N3284" s="25"/>
      <c r="O3284" s="25"/>
      <c r="P3284" s="23"/>
      <c r="Q3284" s="26"/>
      <c r="R3284" s="371"/>
      <c r="S3284" s="27"/>
      <c r="T3284" s="372"/>
      <c r="U3284" s="31"/>
      <c r="V3284" s="1418">
        <f t="shared" si="331"/>
        <v>0</v>
      </c>
      <c r="AB3284" s="15"/>
    </row>
    <row r="3285" spans="1:36" s="77" customFormat="1" ht="15.6" hidden="1">
      <c r="A3285" s="370"/>
      <c r="B3285" s="499"/>
      <c r="C3285" s="37"/>
      <c r="D3285" s="1929" t="s">
        <v>1520</v>
      </c>
      <c r="E3285" s="1930"/>
      <c r="F3285" s="1930"/>
      <c r="G3285" s="1930"/>
      <c r="H3285" s="1930"/>
      <c r="I3285" s="1931"/>
      <c r="J3285" s="1932">
        <f>VLOOKUP(A3287,'11 - FINANCEIRA'!_xlnm.Print_Area,6,FALSE)</f>
        <v>6</v>
      </c>
      <c r="K3285" s="1933"/>
      <c r="L3285" s="1343" t="str">
        <f>VLOOKUP(A3287,'11 - FINANCEIRA'!_xlnm.Print_Area,4,FALSE)</f>
        <v>und</v>
      </c>
      <c r="M3285" s="1934" t="s">
        <v>1521</v>
      </c>
      <c r="N3285" s="1935"/>
      <c r="O3285" s="1935"/>
      <c r="P3285" s="1935"/>
      <c r="Q3285" s="1936"/>
      <c r="R3285" s="726">
        <f>SUM(R3281:R3284)</f>
        <v>6</v>
      </c>
      <c r="S3285" s="1344" t="str">
        <f>L3285</f>
        <v>und</v>
      </c>
      <c r="T3285" s="373"/>
      <c r="U3285" s="486"/>
      <c r="V3285" s="1418">
        <f t="shared" si="331"/>
        <v>0</v>
      </c>
      <c r="AB3285" s="15"/>
    </row>
    <row r="3286" spans="1:36" s="77" customFormat="1" ht="15.6" hidden="1">
      <c r="A3286" s="370"/>
      <c r="B3286" s="499"/>
      <c r="C3286" s="725"/>
      <c r="D3286" s="1937" t="s">
        <v>1522</v>
      </c>
      <c r="E3286" s="1938"/>
      <c r="F3286" s="1938"/>
      <c r="G3286" s="1938"/>
      <c r="H3286" s="1938"/>
      <c r="I3286" s="1939"/>
      <c r="J3286" s="1943">
        <f>R3285/J3285</f>
        <v>1</v>
      </c>
      <c r="K3286" s="1944"/>
      <c r="L3286" s="1947"/>
      <c r="M3286" s="1934" t="s">
        <v>1523</v>
      </c>
      <c r="N3286" s="1935"/>
      <c r="O3286" s="1935"/>
      <c r="P3286" s="1935"/>
      <c r="Q3286" s="1936"/>
      <c r="R3286" s="726">
        <f>VLOOKUP(A3287,'11 - FINANCEIRA'!_xlnm.Print_Area,8,FALSE)</f>
        <v>6</v>
      </c>
      <c r="S3286" s="727" t="str">
        <f>L3285</f>
        <v>und</v>
      </c>
      <c r="T3286" s="373"/>
      <c r="U3286" s="486"/>
      <c r="V3286" s="1418">
        <f t="shared" si="331"/>
        <v>0</v>
      </c>
      <c r="AB3286" s="15"/>
    </row>
    <row r="3287" spans="1:36" s="77" customFormat="1" ht="15.6" hidden="1">
      <c r="A3287" s="364" t="s">
        <v>640</v>
      </c>
      <c r="B3287" s="499"/>
      <c r="C3287" s="37"/>
      <c r="D3287" s="2013"/>
      <c r="E3287" s="2014"/>
      <c r="F3287" s="2014"/>
      <c r="G3287" s="2014"/>
      <c r="H3287" s="2014"/>
      <c r="I3287" s="2015"/>
      <c r="J3287" s="2016"/>
      <c r="K3287" s="2017"/>
      <c r="L3287" s="1962"/>
      <c r="M3287" s="2007" t="s">
        <v>1524</v>
      </c>
      <c r="N3287" s="2008"/>
      <c r="O3287" s="2008"/>
      <c r="P3287" s="2008"/>
      <c r="Q3287" s="2009"/>
      <c r="R3287" s="1345">
        <f>R3285-R3286</f>
        <v>0</v>
      </c>
      <c r="S3287" s="1346" t="str">
        <f>L3285</f>
        <v>und</v>
      </c>
      <c r="T3287" s="373"/>
      <c r="U3287" s="486"/>
      <c r="V3287" s="1418">
        <f>R3287</f>
        <v>0</v>
      </c>
      <c r="AB3287" s="15"/>
    </row>
    <row r="3288" spans="1:36" s="77" customFormat="1" ht="15.6" hidden="1">
      <c r="A3288" s="370"/>
      <c r="B3288" s="1347"/>
      <c r="C3288" s="1348"/>
      <c r="D3288" s="1349"/>
      <c r="E3288" s="1350"/>
      <c r="F3288" s="1349"/>
      <c r="G3288" s="1349"/>
      <c r="H3288" s="1349"/>
      <c r="I3288" s="1349"/>
      <c r="J3288" s="1351"/>
      <c r="K3288" s="1352"/>
      <c r="L3288" s="1353"/>
      <c r="M3288" s="1354"/>
      <c r="N3288" s="1354"/>
      <c r="O3288" s="1354"/>
      <c r="P3288" s="1354"/>
      <c r="Q3288" s="1354"/>
      <c r="R3288" s="1355"/>
      <c r="S3288" s="1356"/>
      <c r="T3288" s="1357"/>
      <c r="U3288" s="1358"/>
      <c r="V3288" s="1420">
        <f>SUM(V3279:V3287)</f>
        <v>0</v>
      </c>
      <c r="AB3288" s="15"/>
    </row>
    <row r="3289" spans="1:36" s="352" customFormat="1" ht="15.6" hidden="1">
      <c r="A3289" s="351"/>
      <c r="B3289" s="1963" t="str">
        <f>VLOOKUP(A3297,'11 - FINANCEIRA'!_xlnm.Print_Area,1,FALSE)</f>
        <v>2.5.2.7.6</v>
      </c>
      <c r="C3289" s="1965" t="str">
        <f>VLOOKUP(A3297,'11 - FINANCEIRA'!_xlnm.Print_Area,3,FALSE)</f>
        <v>Quadro de distribuição elétrica, de embutir, padrão din para até 18 disjuntores, com barramento de cobre trifásico 100a (barras isoladas com revestimento termocontrátil), espelho para proteção,  ip 54.</v>
      </c>
      <c r="D3289" s="1967" t="s">
        <v>1503</v>
      </c>
      <c r="E3289" s="1968"/>
      <c r="F3289" s="1968"/>
      <c r="G3289" s="1968"/>
      <c r="H3289" s="1968"/>
      <c r="I3289" s="1969"/>
      <c r="J3289" s="1914" t="s">
        <v>1504</v>
      </c>
      <c r="K3289" s="1914" t="s">
        <v>1505</v>
      </c>
      <c r="L3289" s="1914" t="s">
        <v>1506</v>
      </c>
      <c r="M3289" s="1914" t="s">
        <v>1507</v>
      </c>
      <c r="N3289" s="1914" t="s">
        <v>1508</v>
      </c>
      <c r="O3289" s="1914" t="s">
        <v>1509</v>
      </c>
      <c r="P3289" s="1341" t="s">
        <v>1510</v>
      </c>
      <c r="Q3289" s="1914" t="s">
        <v>1493</v>
      </c>
      <c r="R3289" s="1916" t="s">
        <v>804</v>
      </c>
      <c r="S3289" s="1914" t="s">
        <v>1511</v>
      </c>
      <c r="T3289" s="1914" t="s">
        <v>1512</v>
      </c>
      <c r="U3289" s="1918" t="s">
        <v>1513</v>
      </c>
      <c r="V3289" s="1418">
        <f t="shared" ref="V3289:V3296" si="332">V3290</f>
        <v>0</v>
      </c>
      <c r="W3289" s="16"/>
      <c r="X3289" s="16"/>
      <c r="Y3289" s="16"/>
      <c r="Z3289" s="17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</row>
    <row r="3290" spans="1:36" s="352" customFormat="1" ht="15.6" hidden="1">
      <c r="A3290" s="351"/>
      <c r="B3290" s="1964" t="e">
        <f>LEFT(#REF!,5)</f>
        <v>#REF!</v>
      </c>
      <c r="C3290" s="1966" t="e">
        <f>VLOOKUP(LEFT(#REF!,5),'11 - FINANCEIRA'!_xlnm.Print_Area,2,FALSE)</f>
        <v>#REF!</v>
      </c>
      <c r="D3290" s="1920" t="s">
        <v>1514</v>
      </c>
      <c r="E3290" s="1921"/>
      <c r="F3290" s="1922"/>
      <c r="G3290" s="1923" t="s">
        <v>1515</v>
      </c>
      <c r="H3290" s="1924"/>
      <c r="I3290" s="1925"/>
      <c r="J3290" s="1915"/>
      <c r="K3290" s="1915"/>
      <c r="L3290" s="1915"/>
      <c r="M3290" s="1915"/>
      <c r="N3290" s="1915"/>
      <c r="O3290" s="1915"/>
      <c r="P3290" s="353" t="s">
        <v>1516</v>
      </c>
      <c r="Q3290" s="1915"/>
      <c r="R3290" s="1917"/>
      <c r="S3290" s="1915"/>
      <c r="T3290" s="1915"/>
      <c r="U3290" s="1919"/>
      <c r="V3290" s="1418">
        <f t="shared" si="332"/>
        <v>0</v>
      </c>
      <c r="W3290" s="16"/>
      <c r="X3290" s="16"/>
      <c r="Y3290" s="16"/>
      <c r="Z3290" s="17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</row>
    <row r="3291" spans="1:36" s="361" customFormat="1" ht="15" hidden="1" customHeight="1">
      <c r="A3291" s="354"/>
      <c r="B3291" s="355"/>
      <c r="C3291" s="28" t="s">
        <v>1249</v>
      </c>
      <c r="D3291" s="18"/>
      <c r="E3291" s="19"/>
      <c r="F3291" s="20"/>
      <c r="G3291" s="18"/>
      <c r="H3291" s="19"/>
      <c r="I3291" s="20"/>
      <c r="J3291" s="21"/>
      <c r="K3291" s="22"/>
      <c r="L3291" s="23"/>
      <c r="M3291" s="24"/>
      <c r="N3291" s="728"/>
      <c r="O3291" s="25"/>
      <c r="P3291" s="23"/>
      <c r="Q3291" s="729"/>
      <c r="R3291" s="1109">
        <v>1</v>
      </c>
      <c r="S3291" s="730" t="s">
        <v>816</v>
      </c>
      <c r="T3291" s="446" t="s">
        <v>325</v>
      </c>
      <c r="U3291" s="44"/>
      <c r="V3291" s="1418">
        <f t="shared" si="332"/>
        <v>0</v>
      </c>
      <c r="W3291" s="357"/>
      <c r="X3291" s="357"/>
      <c r="Y3291" s="357"/>
      <c r="Z3291" s="358"/>
      <c r="AA3291" s="359"/>
      <c r="AB3291" s="360"/>
    </row>
    <row r="3292" spans="1:36" s="361" customFormat="1" ht="15" hidden="1" customHeight="1">
      <c r="A3292" s="354"/>
      <c r="B3292" s="355"/>
      <c r="C3292" s="32"/>
      <c r="D3292" s="33"/>
      <c r="E3292" s="34"/>
      <c r="F3292" s="35"/>
      <c r="G3292" s="33"/>
      <c r="H3292" s="34"/>
      <c r="I3292" s="35"/>
      <c r="J3292" s="43"/>
      <c r="K3292" s="42"/>
      <c r="L3292" s="39"/>
      <c r="M3292" s="41"/>
      <c r="N3292" s="356"/>
      <c r="O3292" s="40"/>
      <c r="P3292" s="39"/>
      <c r="Q3292" s="45"/>
      <c r="R3292" s="362"/>
      <c r="S3292" s="363"/>
      <c r="T3292" s="46"/>
      <c r="U3292" s="44"/>
      <c r="V3292" s="1418">
        <f t="shared" si="332"/>
        <v>0</v>
      </c>
      <c r="W3292" s="357"/>
      <c r="X3292" s="357"/>
      <c r="Y3292" s="357"/>
      <c r="Z3292" s="358"/>
      <c r="AA3292" s="359"/>
      <c r="AB3292" s="360"/>
    </row>
    <row r="3293" spans="1:36" s="369" customFormat="1" ht="15" hidden="1">
      <c r="A3293" s="364"/>
      <c r="B3293" s="355"/>
      <c r="C3293" s="32"/>
      <c r="D3293" s="33"/>
      <c r="E3293" s="34"/>
      <c r="F3293" s="35"/>
      <c r="G3293" s="33"/>
      <c r="H3293" s="34"/>
      <c r="I3293" s="35"/>
      <c r="J3293" s="43"/>
      <c r="K3293" s="42"/>
      <c r="L3293" s="39"/>
      <c r="M3293" s="41"/>
      <c r="N3293" s="40"/>
      <c r="O3293" s="40"/>
      <c r="P3293" s="39"/>
      <c r="Q3293" s="38"/>
      <c r="R3293" s="365"/>
      <c r="S3293" s="366"/>
      <c r="T3293" s="46"/>
      <c r="U3293" s="44"/>
      <c r="V3293" s="1418">
        <f t="shared" si="332"/>
        <v>0</v>
      </c>
      <c r="W3293" s="367"/>
      <c r="X3293" s="367"/>
      <c r="Y3293" s="367"/>
      <c r="Z3293" s="368"/>
    </row>
    <row r="3294" spans="1:36" s="77" customFormat="1" ht="15" hidden="1">
      <c r="A3294" s="370"/>
      <c r="B3294" s="29"/>
      <c r="C3294" s="30"/>
      <c r="D3294" s="18"/>
      <c r="E3294" s="19"/>
      <c r="F3294" s="20"/>
      <c r="G3294" s="18"/>
      <c r="H3294" s="19"/>
      <c r="I3294" s="20"/>
      <c r="J3294" s="21"/>
      <c r="K3294" s="22"/>
      <c r="L3294" s="23"/>
      <c r="M3294" s="24"/>
      <c r="N3294" s="25"/>
      <c r="O3294" s="25"/>
      <c r="P3294" s="23"/>
      <c r="Q3294" s="26"/>
      <c r="R3294" s="371"/>
      <c r="S3294" s="27"/>
      <c r="T3294" s="372"/>
      <c r="U3294" s="31"/>
      <c r="V3294" s="1418">
        <f t="shared" si="332"/>
        <v>0</v>
      </c>
      <c r="AB3294" s="15"/>
    </row>
    <row r="3295" spans="1:36" s="77" customFormat="1" ht="15.6" hidden="1">
      <c r="A3295" s="370"/>
      <c r="B3295" s="499"/>
      <c r="C3295" s="37"/>
      <c r="D3295" s="1929" t="s">
        <v>1520</v>
      </c>
      <c r="E3295" s="1930"/>
      <c r="F3295" s="1930"/>
      <c r="G3295" s="1930"/>
      <c r="H3295" s="1930"/>
      <c r="I3295" s="1931"/>
      <c r="J3295" s="1932">
        <f>VLOOKUP(A3297,'11 - FINANCEIRA'!_xlnm.Print_Area,6,FALSE)</f>
        <v>1</v>
      </c>
      <c r="K3295" s="1933"/>
      <c r="L3295" s="1343" t="str">
        <f>VLOOKUP(A3297,'11 - FINANCEIRA'!_xlnm.Print_Area,4,FALSE)</f>
        <v>und</v>
      </c>
      <c r="M3295" s="1934" t="s">
        <v>1521</v>
      </c>
      <c r="N3295" s="1935"/>
      <c r="O3295" s="1935"/>
      <c r="P3295" s="1935"/>
      <c r="Q3295" s="1936"/>
      <c r="R3295" s="726">
        <f>SUM(R3291:R3294)</f>
        <v>1</v>
      </c>
      <c r="S3295" s="1344" t="str">
        <f>L3295</f>
        <v>und</v>
      </c>
      <c r="T3295" s="373"/>
      <c r="U3295" s="486"/>
      <c r="V3295" s="1418">
        <f t="shared" si="332"/>
        <v>0</v>
      </c>
      <c r="AB3295" s="15"/>
    </row>
    <row r="3296" spans="1:36" s="77" customFormat="1" ht="15.6" hidden="1">
      <c r="A3296" s="370"/>
      <c r="B3296" s="499"/>
      <c r="C3296" s="725"/>
      <c r="D3296" s="1937" t="s">
        <v>1522</v>
      </c>
      <c r="E3296" s="1938"/>
      <c r="F3296" s="1938"/>
      <c r="G3296" s="1938"/>
      <c r="H3296" s="1938"/>
      <c r="I3296" s="1939"/>
      <c r="J3296" s="1943">
        <f>R3295/J3295</f>
        <v>1</v>
      </c>
      <c r="K3296" s="1944"/>
      <c r="L3296" s="1947"/>
      <c r="M3296" s="1934" t="s">
        <v>1523</v>
      </c>
      <c r="N3296" s="1935"/>
      <c r="O3296" s="1935"/>
      <c r="P3296" s="1935"/>
      <c r="Q3296" s="1936"/>
      <c r="R3296" s="726">
        <f>VLOOKUP(A3297,'11 - FINANCEIRA'!_xlnm.Print_Area,8,FALSE)</f>
        <v>1</v>
      </c>
      <c r="S3296" s="727" t="str">
        <f>L3295</f>
        <v>und</v>
      </c>
      <c r="T3296" s="373"/>
      <c r="U3296" s="486"/>
      <c r="V3296" s="1418">
        <f t="shared" si="332"/>
        <v>0</v>
      </c>
      <c r="AB3296" s="15"/>
    </row>
    <row r="3297" spans="1:36" s="77" customFormat="1" ht="15.6" hidden="1">
      <c r="A3297" s="364" t="s">
        <v>641</v>
      </c>
      <c r="B3297" s="499"/>
      <c r="C3297" s="37"/>
      <c r="D3297" s="2013"/>
      <c r="E3297" s="2014"/>
      <c r="F3297" s="2014"/>
      <c r="G3297" s="2014"/>
      <c r="H3297" s="2014"/>
      <c r="I3297" s="2015"/>
      <c r="J3297" s="2016"/>
      <c r="K3297" s="2017"/>
      <c r="L3297" s="1962"/>
      <c r="M3297" s="2007" t="s">
        <v>1524</v>
      </c>
      <c r="N3297" s="2008"/>
      <c r="O3297" s="2008"/>
      <c r="P3297" s="2008"/>
      <c r="Q3297" s="2009"/>
      <c r="R3297" s="1345">
        <f>R3295-R3296</f>
        <v>0</v>
      </c>
      <c r="S3297" s="1346" t="str">
        <f>L3295</f>
        <v>und</v>
      </c>
      <c r="T3297" s="373"/>
      <c r="U3297" s="486"/>
      <c r="V3297" s="1418">
        <f>R3297</f>
        <v>0</v>
      </c>
      <c r="AB3297" s="15"/>
    </row>
    <row r="3298" spans="1:36" s="77" customFormat="1" ht="15.6" hidden="1">
      <c r="A3298" s="370"/>
      <c r="B3298" s="1347"/>
      <c r="C3298" s="1348"/>
      <c r="D3298" s="1349"/>
      <c r="E3298" s="1350"/>
      <c r="F3298" s="1349"/>
      <c r="G3298" s="1349"/>
      <c r="H3298" s="1349"/>
      <c r="I3298" s="1349"/>
      <c r="J3298" s="1351"/>
      <c r="K3298" s="1352"/>
      <c r="L3298" s="1353"/>
      <c r="M3298" s="1354"/>
      <c r="N3298" s="1354"/>
      <c r="O3298" s="1354"/>
      <c r="P3298" s="1354"/>
      <c r="Q3298" s="1354"/>
      <c r="R3298" s="1355"/>
      <c r="S3298" s="1356"/>
      <c r="T3298" s="1357"/>
      <c r="U3298" s="1358"/>
      <c r="V3298" s="1420">
        <f>SUM(V3289:V3297)</f>
        <v>0</v>
      </c>
      <c r="AB3298" s="15"/>
    </row>
    <row r="3299" spans="1:36" s="352" customFormat="1" ht="15.6" hidden="1">
      <c r="A3299" s="351"/>
      <c r="B3299" s="1963" t="str">
        <f>VLOOKUP(A3307,'11 - FINANCEIRA'!_xlnm.Print_Area,1,FALSE)</f>
        <v>2.5.2.7.7</v>
      </c>
      <c r="C3299" s="1965" t="str">
        <f>VLOOKUP(A3307,'11 - FINANCEIRA'!_xlnm.Print_Area,3,FALSE)</f>
        <v>Interruptor simples (1 módulo), 10a/250v, incluindo suporte e placa - fornecimento e instalação. af_12/2015</v>
      </c>
      <c r="D3299" s="1967" t="s">
        <v>1503</v>
      </c>
      <c r="E3299" s="1968"/>
      <c r="F3299" s="1968"/>
      <c r="G3299" s="1968"/>
      <c r="H3299" s="1968"/>
      <c r="I3299" s="1969"/>
      <c r="J3299" s="1914" t="s">
        <v>1504</v>
      </c>
      <c r="K3299" s="1914" t="s">
        <v>1505</v>
      </c>
      <c r="L3299" s="1914" t="s">
        <v>1506</v>
      </c>
      <c r="M3299" s="1914" t="s">
        <v>1507</v>
      </c>
      <c r="N3299" s="1914" t="s">
        <v>1508</v>
      </c>
      <c r="O3299" s="1914" t="s">
        <v>1509</v>
      </c>
      <c r="P3299" s="1341" t="s">
        <v>1510</v>
      </c>
      <c r="Q3299" s="1914" t="s">
        <v>1493</v>
      </c>
      <c r="R3299" s="1916" t="s">
        <v>804</v>
      </c>
      <c r="S3299" s="1914" t="s">
        <v>1511</v>
      </c>
      <c r="T3299" s="1914" t="s">
        <v>1512</v>
      </c>
      <c r="U3299" s="1918" t="s">
        <v>1513</v>
      </c>
      <c r="V3299" s="1418">
        <f t="shared" ref="V3299:V3306" si="333">V3300</f>
        <v>0</v>
      </c>
      <c r="W3299" s="16"/>
      <c r="X3299" s="16"/>
      <c r="Y3299" s="16"/>
      <c r="Z3299" s="17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</row>
    <row r="3300" spans="1:36" s="352" customFormat="1" ht="15.6" hidden="1">
      <c r="A3300" s="351"/>
      <c r="B3300" s="1964" t="e">
        <f>LEFT(#REF!,5)</f>
        <v>#REF!</v>
      </c>
      <c r="C3300" s="1966" t="e">
        <f>VLOOKUP(LEFT(#REF!,5),'11 - FINANCEIRA'!_xlnm.Print_Area,2,FALSE)</f>
        <v>#REF!</v>
      </c>
      <c r="D3300" s="1920" t="s">
        <v>1514</v>
      </c>
      <c r="E3300" s="1921"/>
      <c r="F3300" s="1922"/>
      <c r="G3300" s="1923" t="s">
        <v>1515</v>
      </c>
      <c r="H3300" s="1924"/>
      <c r="I3300" s="1925"/>
      <c r="J3300" s="1915"/>
      <c r="K3300" s="1915"/>
      <c r="L3300" s="1915"/>
      <c r="M3300" s="1915"/>
      <c r="N3300" s="1915"/>
      <c r="O3300" s="1915"/>
      <c r="P3300" s="353" t="s">
        <v>1516</v>
      </c>
      <c r="Q3300" s="1915"/>
      <c r="R3300" s="1917"/>
      <c r="S3300" s="1915"/>
      <c r="T3300" s="1915"/>
      <c r="U3300" s="1919"/>
      <c r="V3300" s="1418">
        <f t="shared" si="333"/>
        <v>0</v>
      </c>
      <c r="W3300" s="16"/>
      <c r="X3300" s="16"/>
      <c r="Y3300" s="16"/>
      <c r="Z3300" s="17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</row>
    <row r="3301" spans="1:36" s="361" customFormat="1" ht="15" hidden="1" customHeight="1">
      <c r="A3301" s="354"/>
      <c r="B3301" s="355"/>
      <c r="C3301" s="32" t="s">
        <v>1251</v>
      </c>
      <c r="D3301" s="33"/>
      <c r="E3301" s="34"/>
      <c r="F3301" s="35"/>
      <c r="G3301" s="33"/>
      <c r="H3301" s="34"/>
      <c r="I3301" s="35"/>
      <c r="J3301" s="43"/>
      <c r="K3301" s="42"/>
      <c r="L3301" s="39"/>
      <c r="M3301" s="41"/>
      <c r="N3301" s="356"/>
      <c r="O3301" s="40"/>
      <c r="P3301" s="39"/>
      <c r="Q3301" s="45"/>
      <c r="R3301" s="1359">
        <v>4</v>
      </c>
      <c r="S3301" s="1265" t="s">
        <v>816</v>
      </c>
      <c r="T3301" s="46" t="s">
        <v>329</v>
      </c>
      <c r="U3301" s="44"/>
      <c r="V3301" s="1418">
        <f t="shared" si="333"/>
        <v>0</v>
      </c>
      <c r="W3301" s="357"/>
      <c r="X3301" s="357"/>
      <c r="Y3301" s="357"/>
      <c r="Z3301" s="358"/>
      <c r="AA3301" s="359"/>
      <c r="AB3301" s="360"/>
    </row>
    <row r="3302" spans="1:36" s="361" customFormat="1" ht="15" hidden="1" customHeight="1">
      <c r="A3302" s="354"/>
      <c r="B3302" s="355"/>
      <c r="C3302" s="32"/>
      <c r="D3302" s="33"/>
      <c r="E3302" s="34"/>
      <c r="F3302" s="35"/>
      <c r="G3302" s="33"/>
      <c r="H3302" s="34"/>
      <c r="I3302" s="35"/>
      <c r="J3302" s="43"/>
      <c r="K3302" s="42"/>
      <c r="L3302" s="39"/>
      <c r="M3302" s="41"/>
      <c r="N3302" s="356"/>
      <c r="O3302" s="40"/>
      <c r="P3302" s="39"/>
      <c r="Q3302" s="45"/>
      <c r="R3302" s="362"/>
      <c r="S3302" s="363"/>
      <c r="T3302" s="46"/>
      <c r="U3302" s="44"/>
      <c r="V3302" s="1418">
        <f t="shared" si="333"/>
        <v>0</v>
      </c>
      <c r="W3302" s="357"/>
      <c r="X3302" s="357"/>
      <c r="Y3302" s="357"/>
      <c r="Z3302" s="358"/>
      <c r="AA3302" s="359"/>
      <c r="AB3302" s="360"/>
    </row>
    <row r="3303" spans="1:36" s="369" customFormat="1" ht="15" hidden="1">
      <c r="A3303" s="364"/>
      <c r="B3303" s="355"/>
      <c r="C3303" s="32"/>
      <c r="D3303" s="33"/>
      <c r="E3303" s="34"/>
      <c r="F3303" s="35"/>
      <c r="G3303" s="33"/>
      <c r="H3303" s="34"/>
      <c r="I3303" s="35"/>
      <c r="J3303" s="43"/>
      <c r="K3303" s="42"/>
      <c r="L3303" s="39"/>
      <c r="M3303" s="41"/>
      <c r="N3303" s="40"/>
      <c r="O3303" s="40"/>
      <c r="P3303" s="39"/>
      <c r="Q3303" s="38"/>
      <c r="R3303" s="365"/>
      <c r="S3303" s="366"/>
      <c r="T3303" s="46"/>
      <c r="U3303" s="44"/>
      <c r="V3303" s="1418">
        <f t="shared" si="333"/>
        <v>0</v>
      </c>
      <c r="W3303" s="367"/>
      <c r="X3303" s="367"/>
      <c r="Y3303" s="367"/>
      <c r="Z3303" s="368"/>
    </row>
    <row r="3304" spans="1:36" s="77" customFormat="1" ht="15" hidden="1">
      <c r="A3304" s="370"/>
      <c r="B3304" s="29"/>
      <c r="C3304" s="30"/>
      <c r="D3304" s="18"/>
      <c r="E3304" s="19"/>
      <c r="F3304" s="20"/>
      <c r="G3304" s="18"/>
      <c r="H3304" s="19"/>
      <c r="I3304" s="20"/>
      <c r="J3304" s="21"/>
      <c r="K3304" s="22"/>
      <c r="L3304" s="23"/>
      <c r="M3304" s="24"/>
      <c r="N3304" s="25"/>
      <c r="O3304" s="25"/>
      <c r="P3304" s="23"/>
      <c r="Q3304" s="26"/>
      <c r="R3304" s="371"/>
      <c r="S3304" s="27"/>
      <c r="T3304" s="372"/>
      <c r="U3304" s="31"/>
      <c r="V3304" s="1418">
        <f t="shared" si="333"/>
        <v>0</v>
      </c>
      <c r="AB3304" s="15"/>
    </row>
    <row r="3305" spans="1:36" s="77" customFormat="1" ht="15.6" hidden="1">
      <c r="A3305" s="370"/>
      <c r="B3305" s="499"/>
      <c r="C3305" s="37"/>
      <c r="D3305" s="1929" t="s">
        <v>1520</v>
      </c>
      <c r="E3305" s="1930"/>
      <c r="F3305" s="1930"/>
      <c r="G3305" s="1930"/>
      <c r="H3305" s="1930"/>
      <c r="I3305" s="1931"/>
      <c r="J3305" s="1932">
        <f>VLOOKUP(A3307,'11 - FINANCEIRA'!_xlnm.Print_Area,6,FALSE)</f>
        <v>4</v>
      </c>
      <c r="K3305" s="1933"/>
      <c r="L3305" s="1343" t="str">
        <f>VLOOKUP(A3307,'11 - FINANCEIRA'!_xlnm.Print_Area,4,FALSE)</f>
        <v>und</v>
      </c>
      <c r="M3305" s="1934" t="s">
        <v>1521</v>
      </c>
      <c r="N3305" s="1935"/>
      <c r="O3305" s="1935"/>
      <c r="P3305" s="1935"/>
      <c r="Q3305" s="1936"/>
      <c r="R3305" s="726">
        <f>SUM(R3301:R3304)</f>
        <v>4</v>
      </c>
      <c r="S3305" s="1344" t="str">
        <f>L3305</f>
        <v>und</v>
      </c>
      <c r="T3305" s="373"/>
      <c r="U3305" s="486"/>
      <c r="V3305" s="1418">
        <f t="shared" si="333"/>
        <v>0</v>
      </c>
      <c r="AB3305" s="15"/>
    </row>
    <row r="3306" spans="1:36" s="77" customFormat="1" ht="15.6" hidden="1">
      <c r="A3306" s="370"/>
      <c r="B3306" s="499"/>
      <c r="C3306" s="725"/>
      <c r="D3306" s="1937" t="s">
        <v>1522</v>
      </c>
      <c r="E3306" s="1938"/>
      <c r="F3306" s="1938"/>
      <c r="G3306" s="1938"/>
      <c r="H3306" s="1938"/>
      <c r="I3306" s="1939"/>
      <c r="J3306" s="1943">
        <f>R3305/J3305</f>
        <v>1</v>
      </c>
      <c r="K3306" s="1944"/>
      <c r="L3306" s="1947"/>
      <c r="M3306" s="1934" t="s">
        <v>1523</v>
      </c>
      <c r="N3306" s="1935"/>
      <c r="O3306" s="1935"/>
      <c r="P3306" s="1935"/>
      <c r="Q3306" s="1936"/>
      <c r="R3306" s="726">
        <f>VLOOKUP(A3307,'11 - FINANCEIRA'!_xlnm.Print_Area,8,FALSE)</f>
        <v>4</v>
      </c>
      <c r="S3306" s="727" t="str">
        <f>L3305</f>
        <v>und</v>
      </c>
      <c r="T3306" s="373"/>
      <c r="U3306" s="486"/>
      <c r="V3306" s="1418">
        <f t="shared" si="333"/>
        <v>0</v>
      </c>
      <c r="AB3306" s="15"/>
    </row>
    <row r="3307" spans="1:36" s="77" customFormat="1" ht="15.6" hidden="1">
      <c r="A3307" s="364" t="s">
        <v>642</v>
      </c>
      <c r="B3307" s="499"/>
      <c r="C3307" s="37"/>
      <c r="D3307" s="2013"/>
      <c r="E3307" s="2014"/>
      <c r="F3307" s="2014"/>
      <c r="G3307" s="2014"/>
      <c r="H3307" s="2014"/>
      <c r="I3307" s="2015"/>
      <c r="J3307" s="2016"/>
      <c r="K3307" s="2017"/>
      <c r="L3307" s="1962"/>
      <c r="M3307" s="2007" t="s">
        <v>1524</v>
      </c>
      <c r="N3307" s="2008"/>
      <c r="O3307" s="2008"/>
      <c r="P3307" s="2008"/>
      <c r="Q3307" s="2009"/>
      <c r="R3307" s="1345">
        <f>R3305-R3306</f>
        <v>0</v>
      </c>
      <c r="S3307" s="1346" t="str">
        <f>L3305</f>
        <v>und</v>
      </c>
      <c r="T3307" s="373"/>
      <c r="U3307" s="486"/>
      <c r="V3307" s="1418">
        <f>R3307</f>
        <v>0</v>
      </c>
      <c r="AB3307" s="15"/>
    </row>
    <row r="3308" spans="1:36" s="77" customFormat="1" ht="15.6" hidden="1">
      <c r="A3308" s="370"/>
      <c r="B3308" s="1347"/>
      <c r="C3308" s="1348"/>
      <c r="D3308" s="1349"/>
      <c r="E3308" s="1350"/>
      <c r="F3308" s="1349"/>
      <c r="G3308" s="1349"/>
      <c r="H3308" s="1349"/>
      <c r="I3308" s="1349"/>
      <c r="J3308" s="1351"/>
      <c r="K3308" s="1352"/>
      <c r="L3308" s="1353"/>
      <c r="M3308" s="1354"/>
      <c r="N3308" s="1354"/>
      <c r="O3308" s="1354"/>
      <c r="P3308" s="1354"/>
      <c r="Q3308" s="1354"/>
      <c r="R3308" s="1355"/>
      <c r="S3308" s="1356"/>
      <c r="T3308" s="1357"/>
      <c r="U3308" s="1358"/>
      <c r="V3308" s="1420">
        <f>SUM(V3299:V3307)</f>
        <v>0</v>
      </c>
      <c r="AB3308" s="15"/>
    </row>
    <row r="3309" spans="1:36" s="352" customFormat="1" ht="15.6" hidden="1">
      <c r="A3309" s="351"/>
      <c r="B3309" s="1963" t="str">
        <f>VLOOKUP(A3317,'11 - FINANCEIRA'!_xlnm.Print_Area,1,FALSE)</f>
        <v>2.5.2.7.8</v>
      </c>
      <c r="C3309" s="1965" t="str">
        <f>VLOOKUP(A3317,'11 - FINANCEIRA'!_xlnm.Print_Area,3,FALSE)</f>
        <v>Interruptor simples (2 módulos), 10a/250v, incluindo suporte e placa - fornecimento e instalação. af_12/2015</v>
      </c>
      <c r="D3309" s="1967" t="s">
        <v>1503</v>
      </c>
      <c r="E3309" s="1968"/>
      <c r="F3309" s="1968"/>
      <c r="G3309" s="1968"/>
      <c r="H3309" s="1968"/>
      <c r="I3309" s="1969"/>
      <c r="J3309" s="1914" t="s">
        <v>1504</v>
      </c>
      <c r="K3309" s="1914" t="s">
        <v>1505</v>
      </c>
      <c r="L3309" s="1914" t="s">
        <v>1506</v>
      </c>
      <c r="M3309" s="1914" t="s">
        <v>1507</v>
      </c>
      <c r="N3309" s="1914" t="s">
        <v>1508</v>
      </c>
      <c r="O3309" s="1914" t="s">
        <v>1509</v>
      </c>
      <c r="P3309" s="1341" t="s">
        <v>1510</v>
      </c>
      <c r="Q3309" s="1914" t="s">
        <v>1493</v>
      </c>
      <c r="R3309" s="1916" t="s">
        <v>804</v>
      </c>
      <c r="S3309" s="1914" t="s">
        <v>1511</v>
      </c>
      <c r="T3309" s="1914" t="s">
        <v>1512</v>
      </c>
      <c r="U3309" s="1918" t="s">
        <v>1513</v>
      </c>
      <c r="V3309" s="1418">
        <f t="shared" ref="V3309:V3316" si="334">V3310</f>
        <v>0</v>
      </c>
      <c r="W3309" s="16"/>
      <c r="X3309" s="16"/>
      <c r="Y3309" s="16"/>
      <c r="Z3309" s="17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</row>
    <row r="3310" spans="1:36" s="352" customFormat="1" ht="15.6" hidden="1">
      <c r="A3310" s="351"/>
      <c r="B3310" s="1964" t="e">
        <f>LEFT(#REF!,5)</f>
        <v>#REF!</v>
      </c>
      <c r="C3310" s="1966" t="e">
        <f>VLOOKUP(LEFT(#REF!,5),'11 - FINANCEIRA'!_xlnm.Print_Area,2,FALSE)</f>
        <v>#REF!</v>
      </c>
      <c r="D3310" s="1920" t="s">
        <v>1514</v>
      </c>
      <c r="E3310" s="1921"/>
      <c r="F3310" s="1922"/>
      <c r="G3310" s="1923" t="s">
        <v>1515</v>
      </c>
      <c r="H3310" s="1924"/>
      <c r="I3310" s="1925"/>
      <c r="J3310" s="1915"/>
      <c r="K3310" s="1915"/>
      <c r="L3310" s="1915"/>
      <c r="M3310" s="1915"/>
      <c r="N3310" s="1915"/>
      <c r="O3310" s="1915"/>
      <c r="P3310" s="353" t="s">
        <v>1516</v>
      </c>
      <c r="Q3310" s="1915"/>
      <c r="R3310" s="1917"/>
      <c r="S3310" s="1915"/>
      <c r="T3310" s="1915"/>
      <c r="U3310" s="1919"/>
      <c r="V3310" s="1418">
        <f t="shared" si="334"/>
        <v>0</v>
      </c>
      <c r="W3310" s="16"/>
      <c r="X3310" s="16"/>
      <c r="Y3310" s="16"/>
      <c r="Z3310" s="17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</row>
    <row r="3311" spans="1:36" s="361" customFormat="1" ht="30" hidden="1">
      <c r="A3311" s="354"/>
      <c r="B3311" s="355"/>
      <c r="C3311" s="32" t="s">
        <v>1253</v>
      </c>
      <c r="D3311" s="33"/>
      <c r="E3311" s="34"/>
      <c r="F3311" s="35"/>
      <c r="G3311" s="33"/>
      <c r="H3311" s="34"/>
      <c r="I3311" s="35"/>
      <c r="J3311" s="43"/>
      <c r="K3311" s="42"/>
      <c r="L3311" s="39"/>
      <c r="M3311" s="41"/>
      <c r="N3311" s="356"/>
      <c r="O3311" s="40"/>
      <c r="P3311" s="39"/>
      <c r="Q3311" s="45"/>
      <c r="R3311" s="1359">
        <v>1</v>
      </c>
      <c r="S3311" s="1265" t="s">
        <v>816</v>
      </c>
      <c r="T3311" s="46" t="s">
        <v>329</v>
      </c>
      <c r="U3311" s="44"/>
      <c r="V3311" s="1418">
        <f t="shared" si="334"/>
        <v>0</v>
      </c>
      <c r="W3311" s="357"/>
      <c r="X3311" s="357"/>
      <c r="Y3311" s="357"/>
      <c r="Z3311" s="358"/>
      <c r="AA3311" s="359"/>
      <c r="AB3311" s="360"/>
    </row>
    <row r="3312" spans="1:36" s="361" customFormat="1" ht="15" hidden="1" customHeight="1">
      <c r="A3312" s="354"/>
      <c r="B3312" s="355"/>
      <c r="C3312" s="32"/>
      <c r="D3312" s="33"/>
      <c r="E3312" s="34"/>
      <c r="F3312" s="35"/>
      <c r="G3312" s="33"/>
      <c r="H3312" s="34"/>
      <c r="I3312" s="35"/>
      <c r="J3312" s="43"/>
      <c r="K3312" s="42"/>
      <c r="L3312" s="39"/>
      <c r="M3312" s="41"/>
      <c r="N3312" s="356"/>
      <c r="O3312" s="40"/>
      <c r="P3312" s="39"/>
      <c r="Q3312" s="45"/>
      <c r="R3312" s="362"/>
      <c r="S3312" s="363"/>
      <c r="T3312" s="46"/>
      <c r="U3312" s="44"/>
      <c r="V3312" s="1418">
        <f t="shared" si="334"/>
        <v>0</v>
      </c>
      <c r="W3312" s="357"/>
      <c r="X3312" s="357"/>
      <c r="Y3312" s="357"/>
      <c r="Z3312" s="358"/>
      <c r="AA3312" s="359"/>
      <c r="AB3312" s="360"/>
    </row>
    <row r="3313" spans="1:36" s="369" customFormat="1" ht="15" hidden="1">
      <c r="A3313" s="364"/>
      <c r="B3313" s="355"/>
      <c r="C3313" s="32"/>
      <c r="D3313" s="33"/>
      <c r="E3313" s="34"/>
      <c r="F3313" s="35"/>
      <c r="G3313" s="33"/>
      <c r="H3313" s="34"/>
      <c r="I3313" s="35"/>
      <c r="J3313" s="43"/>
      <c r="K3313" s="42"/>
      <c r="L3313" s="39"/>
      <c r="M3313" s="41"/>
      <c r="N3313" s="40"/>
      <c r="O3313" s="40"/>
      <c r="P3313" s="39"/>
      <c r="Q3313" s="38"/>
      <c r="R3313" s="365"/>
      <c r="S3313" s="366"/>
      <c r="T3313" s="46"/>
      <c r="U3313" s="44"/>
      <c r="V3313" s="1418">
        <f t="shared" si="334"/>
        <v>0</v>
      </c>
      <c r="W3313" s="367"/>
      <c r="X3313" s="367"/>
      <c r="Y3313" s="367"/>
      <c r="Z3313" s="368"/>
    </row>
    <row r="3314" spans="1:36" s="77" customFormat="1" ht="15" hidden="1">
      <c r="A3314" s="370"/>
      <c r="B3314" s="29"/>
      <c r="C3314" s="30"/>
      <c r="D3314" s="18"/>
      <c r="E3314" s="19"/>
      <c r="F3314" s="20"/>
      <c r="G3314" s="18"/>
      <c r="H3314" s="19"/>
      <c r="I3314" s="20"/>
      <c r="J3314" s="21"/>
      <c r="K3314" s="22"/>
      <c r="L3314" s="23"/>
      <c r="M3314" s="24"/>
      <c r="N3314" s="25"/>
      <c r="O3314" s="25"/>
      <c r="P3314" s="23"/>
      <c r="Q3314" s="26"/>
      <c r="R3314" s="371"/>
      <c r="S3314" s="27"/>
      <c r="T3314" s="372"/>
      <c r="U3314" s="31"/>
      <c r="V3314" s="1418">
        <f t="shared" si="334"/>
        <v>0</v>
      </c>
      <c r="AB3314" s="15"/>
    </row>
    <row r="3315" spans="1:36" s="77" customFormat="1" ht="15.6" hidden="1">
      <c r="A3315" s="370"/>
      <c r="B3315" s="499"/>
      <c r="C3315" s="37"/>
      <c r="D3315" s="1929" t="s">
        <v>1520</v>
      </c>
      <c r="E3315" s="1930"/>
      <c r="F3315" s="1930"/>
      <c r="G3315" s="1930"/>
      <c r="H3315" s="1930"/>
      <c r="I3315" s="1931"/>
      <c r="J3315" s="1932">
        <f>VLOOKUP(A3317,'11 - FINANCEIRA'!_xlnm.Print_Area,6,FALSE)</f>
        <v>1</v>
      </c>
      <c r="K3315" s="1933"/>
      <c r="L3315" s="1343" t="str">
        <f>VLOOKUP(A3317,'11 - FINANCEIRA'!_xlnm.Print_Area,4,FALSE)</f>
        <v>und</v>
      </c>
      <c r="M3315" s="1934" t="s">
        <v>1521</v>
      </c>
      <c r="N3315" s="1935"/>
      <c r="O3315" s="1935"/>
      <c r="P3315" s="1935"/>
      <c r="Q3315" s="1936"/>
      <c r="R3315" s="726">
        <f>SUM(R3311:R3314)</f>
        <v>1</v>
      </c>
      <c r="S3315" s="1344" t="str">
        <f>L3315</f>
        <v>und</v>
      </c>
      <c r="T3315" s="373"/>
      <c r="U3315" s="486"/>
      <c r="V3315" s="1418">
        <f t="shared" si="334"/>
        <v>0</v>
      </c>
      <c r="AB3315" s="15"/>
    </row>
    <row r="3316" spans="1:36" s="77" customFormat="1" ht="15.6" hidden="1">
      <c r="A3316" s="370"/>
      <c r="B3316" s="499"/>
      <c r="C3316" s="725"/>
      <c r="D3316" s="1937" t="s">
        <v>1522</v>
      </c>
      <c r="E3316" s="1938"/>
      <c r="F3316" s="1938"/>
      <c r="G3316" s="1938"/>
      <c r="H3316" s="1938"/>
      <c r="I3316" s="1939"/>
      <c r="J3316" s="1943">
        <f>R3315/J3315</f>
        <v>1</v>
      </c>
      <c r="K3316" s="1944"/>
      <c r="L3316" s="1947"/>
      <c r="M3316" s="1934" t="s">
        <v>1523</v>
      </c>
      <c r="N3316" s="1935"/>
      <c r="O3316" s="1935"/>
      <c r="P3316" s="1935"/>
      <c r="Q3316" s="1936"/>
      <c r="R3316" s="726">
        <f>VLOOKUP(A3317,'11 - FINANCEIRA'!_xlnm.Print_Area,8,FALSE)</f>
        <v>1</v>
      </c>
      <c r="S3316" s="727" t="str">
        <f>L3315</f>
        <v>und</v>
      </c>
      <c r="T3316" s="373"/>
      <c r="U3316" s="486"/>
      <c r="V3316" s="1418">
        <f t="shared" si="334"/>
        <v>0</v>
      </c>
      <c r="AB3316" s="15"/>
    </row>
    <row r="3317" spans="1:36" s="77" customFormat="1" ht="15.6" hidden="1">
      <c r="A3317" s="364" t="s">
        <v>643</v>
      </c>
      <c r="B3317" s="499"/>
      <c r="C3317" s="37"/>
      <c r="D3317" s="2013"/>
      <c r="E3317" s="2014"/>
      <c r="F3317" s="2014"/>
      <c r="G3317" s="2014"/>
      <c r="H3317" s="2014"/>
      <c r="I3317" s="2015"/>
      <c r="J3317" s="2016"/>
      <c r="K3317" s="2017"/>
      <c r="L3317" s="1962"/>
      <c r="M3317" s="2007" t="s">
        <v>1524</v>
      </c>
      <c r="N3317" s="2008"/>
      <c r="O3317" s="2008"/>
      <c r="P3317" s="2008"/>
      <c r="Q3317" s="2009"/>
      <c r="R3317" s="1345">
        <f>R3315-R3316</f>
        <v>0</v>
      </c>
      <c r="S3317" s="1346" t="str">
        <f>L3315</f>
        <v>und</v>
      </c>
      <c r="T3317" s="373"/>
      <c r="U3317" s="486"/>
      <c r="V3317" s="1418">
        <f>R3317</f>
        <v>0</v>
      </c>
      <c r="AB3317" s="15"/>
    </row>
    <row r="3318" spans="1:36" s="77" customFormat="1" ht="15.6" hidden="1">
      <c r="A3318" s="370"/>
      <c r="B3318" s="1347"/>
      <c r="C3318" s="1348"/>
      <c r="D3318" s="1349"/>
      <c r="E3318" s="1350"/>
      <c r="F3318" s="1349"/>
      <c r="G3318" s="1349"/>
      <c r="H3318" s="1349"/>
      <c r="I3318" s="1349"/>
      <c r="J3318" s="1351"/>
      <c r="K3318" s="1352"/>
      <c r="L3318" s="1353"/>
      <c r="M3318" s="1354"/>
      <c r="N3318" s="1354"/>
      <c r="O3318" s="1354"/>
      <c r="P3318" s="1354"/>
      <c r="Q3318" s="1354"/>
      <c r="R3318" s="1355"/>
      <c r="S3318" s="1356"/>
      <c r="T3318" s="1357"/>
      <c r="U3318" s="1358"/>
      <c r="V3318" s="1420">
        <f>SUM(V3309:V3317)</f>
        <v>0</v>
      </c>
      <c r="AB3318" s="15"/>
    </row>
    <row r="3319" spans="1:36" s="352" customFormat="1" ht="15.6" hidden="1">
      <c r="A3319" s="351"/>
      <c r="B3319" s="1963" t="str">
        <f>VLOOKUP(A3327,'11 - FINANCEIRA'!_xlnm.Print_Area,1,FALSE)</f>
        <v>2.5.2.7.9</v>
      </c>
      <c r="C3319" s="1965" t="str">
        <f>VLOOKUP(A3327,'11 - FINANCEIRA'!_xlnm.Print_Area,3,FALSE)</f>
        <v>Interruptor simples (3 módulos), 10a/250v, incluindo suporte e placa - fornecimento e instalação. af_12/2015</v>
      </c>
      <c r="D3319" s="1967" t="s">
        <v>1503</v>
      </c>
      <c r="E3319" s="1968"/>
      <c r="F3319" s="1968"/>
      <c r="G3319" s="1968"/>
      <c r="H3319" s="1968"/>
      <c r="I3319" s="1969"/>
      <c r="J3319" s="1914" t="s">
        <v>1504</v>
      </c>
      <c r="K3319" s="1914" t="s">
        <v>1505</v>
      </c>
      <c r="L3319" s="1914" t="s">
        <v>1506</v>
      </c>
      <c r="M3319" s="1914" t="s">
        <v>1507</v>
      </c>
      <c r="N3319" s="1914" t="s">
        <v>1508</v>
      </c>
      <c r="O3319" s="1914" t="s">
        <v>1509</v>
      </c>
      <c r="P3319" s="1341" t="s">
        <v>1510</v>
      </c>
      <c r="Q3319" s="1914" t="s">
        <v>1493</v>
      </c>
      <c r="R3319" s="1916" t="s">
        <v>804</v>
      </c>
      <c r="S3319" s="1914" t="s">
        <v>1511</v>
      </c>
      <c r="T3319" s="1914" t="s">
        <v>1512</v>
      </c>
      <c r="U3319" s="1918" t="s">
        <v>1513</v>
      </c>
      <c r="V3319" s="1418">
        <f t="shared" ref="V3319:V3326" si="335">V3320</f>
        <v>0</v>
      </c>
      <c r="W3319" s="16"/>
      <c r="X3319" s="16"/>
      <c r="Y3319" s="16"/>
      <c r="Z3319" s="17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</row>
    <row r="3320" spans="1:36" s="352" customFormat="1" ht="15.6" hidden="1">
      <c r="A3320" s="351"/>
      <c r="B3320" s="1964" t="e">
        <f>LEFT(#REF!,5)</f>
        <v>#REF!</v>
      </c>
      <c r="C3320" s="1966" t="e">
        <f>VLOOKUP(LEFT(#REF!,5),'11 - FINANCEIRA'!_xlnm.Print_Area,2,FALSE)</f>
        <v>#REF!</v>
      </c>
      <c r="D3320" s="1920" t="s">
        <v>1514</v>
      </c>
      <c r="E3320" s="1921"/>
      <c r="F3320" s="1922"/>
      <c r="G3320" s="1923" t="s">
        <v>1515</v>
      </c>
      <c r="H3320" s="1924"/>
      <c r="I3320" s="1925"/>
      <c r="J3320" s="1915"/>
      <c r="K3320" s="1915"/>
      <c r="L3320" s="1915"/>
      <c r="M3320" s="1915"/>
      <c r="N3320" s="1915"/>
      <c r="O3320" s="1915"/>
      <c r="P3320" s="353" t="s">
        <v>1516</v>
      </c>
      <c r="Q3320" s="1915"/>
      <c r="R3320" s="1917"/>
      <c r="S3320" s="1915"/>
      <c r="T3320" s="1915"/>
      <c r="U3320" s="1919"/>
      <c r="V3320" s="1418">
        <f t="shared" si="335"/>
        <v>0</v>
      </c>
      <c r="W3320" s="16"/>
      <c r="X3320" s="16"/>
      <c r="Y3320" s="16"/>
      <c r="Z3320" s="17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</row>
    <row r="3321" spans="1:36" s="361" customFormat="1" ht="30" hidden="1">
      <c r="A3321" s="354"/>
      <c r="B3321" s="355"/>
      <c r="C3321" s="32" t="s">
        <v>1255</v>
      </c>
      <c r="D3321" s="33"/>
      <c r="E3321" s="34"/>
      <c r="F3321" s="35"/>
      <c r="G3321" s="33"/>
      <c r="H3321" s="34"/>
      <c r="I3321" s="35"/>
      <c r="J3321" s="43"/>
      <c r="K3321" s="42"/>
      <c r="L3321" s="39"/>
      <c r="M3321" s="41"/>
      <c r="N3321" s="356"/>
      <c r="O3321" s="40"/>
      <c r="P3321" s="39"/>
      <c r="Q3321" s="45"/>
      <c r="R3321" s="1359">
        <v>1</v>
      </c>
      <c r="S3321" s="1265" t="s">
        <v>816</v>
      </c>
      <c r="T3321" s="46" t="s">
        <v>329</v>
      </c>
      <c r="U3321" s="44"/>
      <c r="V3321" s="1418">
        <f t="shared" si="335"/>
        <v>0</v>
      </c>
      <c r="W3321" s="357"/>
      <c r="X3321" s="357"/>
      <c r="Y3321" s="357"/>
      <c r="Z3321" s="358"/>
      <c r="AA3321" s="359"/>
      <c r="AB3321" s="360"/>
    </row>
    <row r="3322" spans="1:36" s="361" customFormat="1" ht="15" hidden="1" customHeight="1">
      <c r="A3322" s="354"/>
      <c r="B3322" s="355"/>
      <c r="C3322" s="32"/>
      <c r="D3322" s="33"/>
      <c r="E3322" s="34"/>
      <c r="F3322" s="35"/>
      <c r="G3322" s="33"/>
      <c r="H3322" s="34"/>
      <c r="I3322" s="35"/>
      <c r="J3322" s="43"/>
      <c r="K3322" s="42"/>
      <c r="L3322" s="39"/>
      <c r="M3322" s="41"/>
      <c r="N3322" s="356"/>
      <c r="O3322" s="40"/>
      <c r="P3322" s="39"/>
      <c r="Q3322" s="45"/>
      <c r="R3322" s="362"/>
      <c r="S3322" s="363"/>
      <c r="T3322" s="46"/>
      <c r="U3322" s="44"/>
      <c r="V3322" s="1418">
        <f t="shared" si="335"/>
        <v>0</v>
      </c>
      <c r="W3322" s="357"/>
      <c r="X3322" s="357"/>
      <c r="Y3322" s="357"/>
      <c r="Z3322" s="358"/>
      <c r="AA3322" s="359"/>
      <c r="AB3322" s="360"/>
    </row>
    <row r="3323" spans="1:36" s="369" customFormat="1" ht="15" hidden="1">
      <c r="A3323" s="364"/>
      <c r="B3323" s="355"/>
      <c r="C3323" s="32"/>
      <c r="D3323" s="33"/>
      <c r="E3323" s="34"/>
      <c r="F3323" s="35"/>
      <c r="G3323" s="33"/>
      <c r="H3323" s="34"/>
      <c r="I3323" s="35"/>
      <c r="J3323" s="43"/>
      <c r="K3323" s="42"/>
      <c r="L3323" s="39"/>
      <c r="M3323" s="41"/>
      <c r="N3323" s="40"/>
      <c r="O3323" s="40"/>
      <c r="P3323" s="39"/>
      <c r="Q3323" s="38"/>
      <c r="R3323" s="365"/>
      <c r="S3323" s="366"/>
      <c r="T3323" s="46"/>
      <c r="U3323" s="44"/>
      <c r="V3323" s="1418">
        <f t="shared" si="335"/>
        <v>0</v>
      </c>
      <c r="W3323" s="367"/>
      <c r="X3323" s="367"/>
      <c r="Y3323" s="367"/>
      <c r="Z3323" s="368"/>
    </row>
    <row r="3324" spans="1:36" s="77" customFormat="1" ht="15" hidden="1">
      <c r="A3324" s="370"/>
      <c r="B3324" s="29"/>
      <c r="C3324" s="30"/>
      <c r="D3324" s="18"/>
      <c r="E3324" s="19"/>
      <c r="F3324" s="20"/>
      <c r="G3324" s="18"/>
      <c r="H3324" s="19"/>
      <c r="I3324" s="20"/>
      <c r="J3324" s="21"/>
      <c r="K3324" s="22"/>
      <c r="L3324" s="23"/>
      <c r="M3324" s="24"/>
      <c r="N3324" s="25"/>
      <c r="O3324" s="25"/>
      <c r="P3324" s="23"/>
      <c r="Q3324" s="26"/>
      <c r="R3324" s="371"/>
      <c r="S3324" s="27"/>
      <c r="T3324" s="372"/>
      <c r="U3324" s="31"/>
      <c r="V3324" s="1418">
        <f t="shared" si="335"/>
        <v>0</v>
      </c>
      <c r="AB3324" s="15"/>
    </row>
    <row r="3325" spans="1:36" s="77" customFormat="1" ht="15.6" hidden="1">
      <c r="A3325" s="370"/>
      <c r="B3325" s="499"/>
      <c r="C3325" s="37"/>
      <c r="D3325" s="1929" t="s">
        <v>1520</v>
      </c>
      <c r="E3325" s="1930"/>
      <c r="F3325" s="1930"/>
      <c r="G3325" s="1930"/>
      <c r="H3325" s="1930"/>
      <c r="I3325" s="1931"/>
      <c r="J3325" s="1932">
        <f>VLOOKUP(A3327,'11 - FINANCEIRA'!_xlnm.Print_Area,6,FALSE)</f>
        <v>1</v>
      </c>
      <c r="K3325" s="1933"/>
      <c r="L3325" s="1343" t="str">
        <f>VLOOKUP(A3327,'11 - FINANCEIRA'!_xlnm.Print_Area,4,FALSE)</f>
        <v>und</v>
      </c>
      <c r="M3325" s="1934" t="s">
        <v>1521</v>
      </c>
      <c r="N3325" s="1935"/>
      <c r="O3325" s="1935"/>
      <c r="P3325" s="1935"/>
      <c r="Q3325" s="1936"/>
      <c r="R3325" s="726">
        <f>SUM(R3321:R3324)</f>
        <v>1</v>
      </c>
      <c r="S3325" s="1344" t="str">
        <f>L3325</f>
        <v>und</v>
      </c>
      <c r="T3325" s="373"/>
      <c r="U3325" s="486"/>
      <c r="V3325" s="1418">
        <f t="shared" si="335"/>
        <v>0</v>
      </c>
      <c r="AB3325" s="15"/>
    </row>
    <row r="3326" spans="1:36" s="77" customFormat="1" ht="15.6" hidden="1">
      <c r="A3326" s="370"/>
      <c r="B3326" s="499"/>
      <c r="C3326" s="725"/>
      <c r="D3326" s="1937" t="s">
        <v>1522</v>
      </c>
      <c r="E3326" s="1938"/>
      <c r="F3326" s="1938"/>
      <c r="G3326" s="1938"/>
      <c r="H3326" s="1938"/>
      <c r="I3326" s="1939"/>
      <c r="J3326" s="1943">
        <f>R3325/J3325</f>
        <v>1</v>
      </c>
      <c r="K3326" s="1944"/>
      <c r="L3326" s="1947"/>
      <c r="M3326" s="1934" t="s">
        <v>1523</v>
      </c>
      <c r="N3326" s="1935"/>
      <c r="O3326" s="1935"/>
      <c r="P3326" s="1935"/>
      <c r="Q3326" s="1936"/>
      <c r="R3326" s="726">
        <f>VLOOKUP(A3327,'11 - FINANCEIRA'!_xlnm.Print_Area,8,FALSE)</f>
        <v>1</v>
      </c>
      <c r="S3326" s="727" t="str">
        <f>L3325</f>
        <v>und</v>
      </c>
      <c r="T3326" s="373"/>
      <c r="U3326" s="486"/>
      <c r="V3326" s="1418">
        <f t="shared" si="335"/>
        <v>0</v>
      </c>
      <c r="AB3326" s="15"/>
    </row>
    <row r="3327" spans="1:36" s="77" customFormat="1" ht="15.6" hidden="1">
      <c r="A3327" s="364" t="s">
        <v>644</v>
      </c>
      <c r="B3327" s="499"/>
      <c r="C3327" s="37"/>
      <c r="D3327" s="2013"/>
      <c r="E3327" s="2014"/>
      <c r="F3327" s="2014"/>
      <c r="G3327" s="2014"/>
      <c r="H3327" s="2014"/>
      <c r="I3327" s="2015"/>
      <c r="J3327" s="2016"/>
      <c r="K3327" s="2017"/>
      <c r="L3327" s="1962"/>
      <c r="M3327" s="2007" t="s">
        <v>1524</v>
      </c>
      <c r="N3327" s="2008"/>
      <c r="O3327" s="2008"/>
      <c r="P3327" s="2008"/>
      <c r="Q3327" s="2009"/>
      <c r="R3327" s="1345">
        <f>R3325-R3326</f>
        <v>0</v>
      </c>
      <c r="S3327" s="1346" t="str">
        <f>L3325</f>
        <v>und</v>
      </c>
      <c r="T3327" s="373"/>
      <c r="U3327" s="486"/>
      <c r="V3327" s="1418">
        <f>R3327</f>
        <v>0</v>
      </c>
      <c r="AB3327" s="15"/>
    </row>
    <row r="3328" spans="1:36" s="77" customFormat="1" ht="15.6" hidden="1">
      <c r="A3328" s="370"/>
      <c r="B3328" s="1347"/>
      <c r="C3328" s="1348"/>
      <c r="D3328" s="1349"/>
      <c r="E3328" s="1350"/>
      <c r="F3328" s="1349"/>
      <c r="G3328" s="1349"/>
      <c r="H3328" s="1349"/>
      <c r="I3328" s="1349"/>
      <c r="J3328" s="1351"/>
      <c r="K3328" s="1352"/>
      <c r="L3328" s="1353"/>
      <c r="M3328" s="1354"/>
      <c r="N3328" s="1354"/>
      <c r="O3328" s="1354"/>
      <c r="P3328" s="1354"/>
      <c r="Q3328" s="1354"/>
      <c r="R3328" s="1355"/>
      <c r="S3328" s="1356"/>
      <c r="T3328" s="1357"/>
      <c r="U3328" s="1358"/>
      <c r="V3328" s="1420">
        <f>SUM(V3319:V3327)</f>
        <v>0</v>
      </c>
      <c r="AB3328" s="15"/>
    </row>
    <row r="3329" spans="1:36" s="352" customFormat="1" ht="15.6" hidden="1">
      <c r="A3329" s="351"/>
      <c r="B3329" s="1963" t="str">
        <f>VLOOKUP(A3337,'11 - FINANCEIRA'!_xlnm.Print_Area,1,FALSE)</f>
        <v>2.5.2.7.10</v>
      </c>
      <c r="C3329" s="1965" t="str">
        <f>VLOOKUP(A3337,'11 - FINANCEIRA'!_xlnm.Print_Area,3,FALSE)</f>
        <v>Disjuntor DR bipolar 16a a 25a, corrente nominal 30 ma</v>
      </c>
      <c r="D3329" s="1967" t="s">
        <v>1503</v>
      </c>
      <c r="E3329" s="1968"/>
      <c r="F3329" s="1968"/>
      <c r="G3329" s="1968"/>
      <c r="H3329" s="1968"/>
      <c r="I3329" s="1969"/>
      <c r="J3329" s="1914" t="s">
        <v>1504</v>
      </c>
      <c r="K3329" s="1914" t="s">
        <v>1505</v>
      </c>
      <c r="L3329" s="1914" t="s">
        <v>1506</v>
      </c>
      <c r="M3329" s="1914" t="s">
        <v>1507</v>
      </c>
      <c r="N3329" s="1914" t="s">
        <v>1508</v>
      </c>
      <c r="O3329" s="1914" t="s">
        <v>1509</v>
      </c>
      <c r="P3329" s="1341" t="s">
        <v>1510</v>
      </c>
      <c r="Q3329" s="1914" t="s">
        <v>1493</v>
      </c>
      <c r="R3329" s="1916" t="s">
        <v>804</v>
      </c>
      <c r="S3329" s="1914" t="s">
        <v>1511</v>
      </c>
      <c r="T3329" s="1914" t="s">
        <v>1512</v>
      </c>
      <c r="U3329" s="1918" t="s">
        <v>1513</v>
      </c>
      <c r="V3329" s="1418">
        <f t="shared" ref="V3329:V3336" si="336">V3330</f>
        <v>0</v>
      </c>
      <c r="W3329" s="16"/>
      <c r="X3329" s="16"/>
      <c r="Y3329" s="16"/>
      <c r="Z3329" s="17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</row>
    <row r="3330" spans="1:36" s="352" customFormat="1" ht="15.6" hidden="1">
      <c r="A3330" s="351"/>
      <c r="B3330" s="1964" t="e">
        <f>LEFT(#REF!,5)</f>
        <v>#REF!</v>
      </c>
      <c r="C3330" s="1966" t="e">
        <f>VLOOKUP(LEFT(#REF!,5),'11 - FINANCEIRA'!_xlnm.Print_Area,2,FALSE)</f>
        <v>#REF!</v>
      </c>
      <c r="D3330" s="1920" t="s">
        <v>1514</v>
      </c>
      <c r="E3330" s="1921"/>
      <c r="F3330" s="1922"/>
      <c r="G3330" s="1923" t="s">
        <v>1515</v>
      </c>
      <c r="H3330" s="1924"/>
      <c r="I3330" s="1925"/>
      <c r="J3330" s="1915"/>
      <c r="K3330" s="1915"/>
      <c r="L3330" s="1915"/>
      <c r="M3330" s="1915"/>
      <c r="N3330" s="1915"/>
      <c r="O3330" s="1915"/>
      <c r="P3330" s="353" t="s">
        <v>1516</v>
      </c>
      <c r="Q3330" s="1915"/>
      <c r="R3330" s="1917"/>
      <c r="S3330" s="1915"/>
      <c r="T3330" s="1915"/>
      <c r="U3330" s="1919"/>
      <c r="V3330" s="1418">
        <f t="shared" si="336"/>
        <v>0</v>
      </c>
      <c r="W3330" s="16"/>
      <c r="X3330" s="16"/>
      <c r="Y3330" s="16"/>
      <c r="Z3330" s="17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</row>
    <row r="3331" spans="1:36" s="361" customFormat="1" ht="15" hidden="1" customHeight="1">
      <c r="A3331" s="354"/>
      <c r="B3331" s="355"/>
      <c r="C3331" s="28" t="s">
        <v>1257</v>
      </c>
      <c r="D3331" s="18"/>
      <c r="E3331" s="19"/>
      <c r="F3331" s="20"/>
      <c r="G3331" s="18"/>
      <c r="H3331" s="19"/>
      <c r="I3331" s="20"/>
      <c r="J3331" s="21"/>
      <c r="K3331" s="22"/>
      <c r="L3331" s="23"/>
      <c r="M3331" s="24"/>
      <c r="N3331" s="728"/>
      <c r="O3331" s="25"/>
      <c r="P3331" s="23"/>
      <c r="Q3331" s="729"/>
      <c r="R3331" s="1109">
        <v>1</v>
      </c>
      <c r="S3331" s="730" t="s">
        <v>816</v>
      </c>
      <c r="T3331" s="446" t="s">
        <v>325</v>
      </c>
      <c r="U3331" s="44"/>
      <c r="V3331" s="1418">
        <f t="shared" si="336"/>
        <v>0</v>
      </c>
      <c r="W3331" s="357"/>
      <c r="X3331" s="357"/>
      <c r="Y3331" s="357"/>
      <c r="Z3331" s="358"/>
      <c r="AA3331" s="359"/>
      <c r="AB3331" s="360"/>
    </row>
    <row r="3332" spans="1:36" s="361" customFormat="1" ht="15" hidden="1" customHeight="1">
      <c r="A3332" s="354"/>
      <c r="B3332" s="355"/>
      <c r="C3332" s="32"/>
      <c r="D3332" s="33"/>
      <c r="E3332" s="34"/>
      <c r="F3332" s="35"/>
      <c r="G3332" s="33"/>
      <c r="H3332" s="34"/>
      <c r="I3332" s="35"/>
      <c r="J3332" s="43"/>
      <c r="K3332" s="42"/>
      <c r="L3332" s="39"/>
      <c r="M3332" s="41"/>
      <c r="N3332" s="356"/>
      <c r="O3332" s="40"/>
      <c r="P3332" s="39"/>
      <c r="Q3332" s="45"/>
      <c r="R3332" s="362"/>
      <c r="S3332" s="363"/>
      <c r="T3332" s="46"/>
      <c r="U3332" s="44"/>
      <c r="V3332" s="1418">
        <f t="shared" si="336"/>
        <v>0</v>
      </c>
      <c r="W3332" s="357"/>
      <c r="X3332" s="357"/>
      <c r="Y3332" s="357"/>
      <c r="Z3332" s="358"/>
      <c r="AA3332" s="359"/>
      <c r="AB3332" s="360"/>
    </row>
    <row r="3333" spans="1:36" s="369" customFormat="1" ht="15" hidden="1">
      <c r="A3333" s="364"/>
      <c r="B3333" s="355"/>
      <c r="C3333" s="32"/>
      <c r="D3333" s="33"/>
      <c r="E3333" s="34"/>
      <c r="F3333" s="35"/>
      <c r="G3333" s="33"/>
      <c r="H3333" s="34"/>
      <c r="I3333" s="35"/>
      <c r="J3333" s="43"/>
      <c r="K3333" s="42"/>
      <c r="L3333" s="39"/>
      <c r="M3333" s="41"/>
      <c r="N3333" s="40"/>
      <c r="O3333" s="40"/>
      <c r="P3333" s="39"/>
      <c r="Q3333" s="38"/>
      <c r="R3333" s="365"/>
      <c r="S3333" s="366"/>
      <c r="T3333" s="46"/>
      <c r="U3333" s="44"/>
      <c r="V3333" s="1418">
        <f t="shared" si="336"/>
        <v>0</v>
      </c>
      <c r="W3333" s="367"/>
      <c r="X3333" s="367"/>
      <c r="Y3333" s="367"/>
      <c r="Z3333" s="368"/>
    </row>
    <row r="3334" spans="1:36" s="77" customFormat="1" ht="15" hidden="1">
      <c r="A3334" s="370"/>
      <c r="B3334" s="29"/>
      <c r="C3334" s="30"/>
      <c r="D3334" s="18"/>
      <c r="E3334" s="19"/>
      <c r="F3334" s="20"/>
      <c r="G3334" s="18"/>
      <c r="H3334" s="19"/>
      <c r="I3334" s="20"/>
      <c r="J3334" s="21"/>
      <c r="K3334" s="22"/>
      <c r="L3334" s="23"/>
      <c r="M3334" s="24"/>
      <c r="N3334" s="25"/>
      <c r="O3334" s="25"/>
      <c r="P3334" s="23"/>
      <c r="Q3334" s="26"/>
      <c r="R3334" s="371"/>
      <c r="S3334" s="27"/>
      <c r="T3334" s="372"/>
      <c r="U3334" s="31"/>
      <c r="V3334" s="1418">
        <f t="shared" si="336"/>
        <v>0</v>
      </c>
      <c r="AB3334" s="15"/>
    </row>
    <row r="3335" spans="1:36" s="77" customFormat="1" ht="15.6" hidden="1">
      <c r="A3335" s="370"/>
      <c r="B3335" s="499"/>
      <c r="C3335" s="37"/>
      <c r="D3335" s="1929" t="s">
        <v>1520</v>
      </c>
      <c r="E3335" s="1930"/>
      <c r="F3335" s="1930"/>
      <c r="G3335" s="1930"/>
      <c r="H3335" s="1930"/>
      <c r="I3335" s="1931"/>
      <c r="J3335" s="1932">
        <f>VLOOKUP(A3337,'11 - FINANCEIRA'!_xlnm.Print_Area,6,FALSE)</f>
        <v>1</v>
      </c>
      <c r="K3335" s="1933"/>
      <c r="L3335" s="1343" t="str">
        <f>VLOOKUP(A3337,'11 - FINANCEIRA'!_xlnm.Print_Area,4,FALSE)</f>
        <v>und</v>
      </c>
      <c r="M3335" s="1934" t="s">
        <v>1521</v>
      </c>
      <c r="N3335" s="1935"/>
      <c r="O3335" s="1935"/>
      <c r="P3335" s="1935"/>
      <c r="Q3335" s="1936"/>
      <c r="R3335" s="726">
        <f>SUM(R3331:R3334)</f>
        <v>1</v>
      </c>
      <c r="S3335" s="1344" t="str">
        <f>L3335</f>
        <v>und</v>
      </c>
      <c r="T3335" s="373"/>
      <c r="U3335" s="486"/>
      <c r="V3335" s="1418">
        <f t="shared" si="336"/>
        <v>0</v>
      </c>
      <c r="AB3335" s="15"/>
    </row>
    <row r="3336" spans="1:36" s="77" customFormat="1" ht="15.6" hidden="1">
      <c r="A3336" s="370"/>
      <c r="B3336" s="499"/>
      <c r="C3336" s="725"/>
      <c r="D3336" s="1937" t="s">
        <v>1522</v>
      </c>
      <c r="E3336" s="1938"/>
      <c r="F3336" s="1938"/>
      <c r="G3336" s="1938"/>
      <c r="H3336" s="1938"/>
      <c r="I3336" s="1939"/>
      <c r="J3336" s="1943">
        <f>R3335/J3335</f>
        <v>1</v>
      </c>
      <c r="K3336" s="1944"/>
      <c r="L3336" s="1947"/>
      <c r="M3336" s="1934" t="s">
        <v>1523</v>
      </c>
      <c r="N3336" s="1935"/>
      <c r="O3336" s="1935"/>
      <c r="P3336" s="1935"/>
      <c r="Q3336" s="1936"/>
      <c r="R3336" s="726">
        <f>VLOOKUP(A3337,'11 - FINANCEIRA'!_xlnm.Print_Area,8,FALSE)</f>
        <v>1</v>
      </c>
      <c r="S3336" s="727" t="str">
        <f>L3335</f>
        <v>und</v>
      </c>
      <c r="T3336" s="373"/>
      <c r="U3336" s="486"/>
      <c r="V3336" s="1418">
        <f t="shared" si="336"/>
        <v>0</v>
      </c>
      <c r="AB3336" s="15"/>
    </row>
    <row r="3337" spans="1:36" s="77" customFormat="1" ht="15.6" hidden="1">
      <c r="A3337" s="364" t="s">
        <v>645</v>
      </c>
      <c r="B3337" s="499"/>
      <c r="C3337" s="37"/>
      <c r="D3337" s="2013"/>
      <c r="E3337" s="2014"/>
      <c r="F3337" s="2014"/>
      <c r="G3337" s="2014"/>
      <c r="H3337" s="2014"/>
      <c r="I3337" s="2015"/>
      <c r="J3337" s="2016"/>
      <c r="K3337" s="2017"/>
      <c r="L3337" s="1962"/>
      <c r="M3337" s="2007" t="s">
        <v>1524</v>
      </c>
      <c r="N3337" s="2008"/>
      <c r="O3337" s="2008"/>
      <c r="P3337" s="2008"/>
      <c r="Q3337" s="2009"/>
      <c r="R3337" s="1345">
        <f>R3335-R3336</f>
        <v>0</v>
      </c>
      <c r="S3337" s="1346" t="str">
        <f>L3335</f>
        <v>und</v>
      </c>
      <c r="T3337" s="373"/>
      <c r="U3337" s="486"/>
      <c r="V3337" s="1418">
        <f>R3337</f>
        <v>0</v>
      </c>
      <c r="AB3337" s="15"/>
    </row>
    <row r="3338" spans="1:36" s="77" customFormat="1" ht="15.6" hidden="1">
      <c r="A3338" s="370"/>
      <c r="B3338" s="1347"/>
      <c r="C3338" s="1348"/>
      <c r="D3338" s="1349"/>
      <c r="E3338" s="1350"/>
      <c r="F3338" s="1349"/>
      <c r="G3338" s="1349"/>
      <c r="H3338" s="1349"/>
      <c r="I3338" s="1349"/>
      <c r="J3338" s="1351"/>
      <c r="K3338" s="1352"/>
      <c r="L3338" s="1353"/>
      <c r="M3338" s="1354"/>
      <c r="N3338" s="1354"/>
      <c r="O3338" s="1354"/>
      <c r="P3338" s="1354"/>
      <c r="Q3338" s="1354"/>
      <c r="R3338" s="1355"/>
      <c r="S3338" s="1356"/>
      <c r="T3338" s="1357"/>
      <c r="U3338" s="1358"/>
      <c r="V3338" s="1420">
        <f>SUM(V3329:V3337)</f>
        <v>0</v>
      </c>
      <c r="AB3338" s="15"/>
    </row>
    <row r="3339" spans="1:36" s="352" customFormat="1" ht="15.6" hidden="1">
      <c r="A3339" s="351"/>
      <c r="B3339" s="1963" t="str">
        <f>VLOOKUP(A3347,'11 - FINANCEIRA'!_xlnm.Print_Area,1,FALSE)</f>
        <v>2.5.2.7.11</v>
      </c>
      <c r="C3339" s="1965" t="str">
        <f>VLOOKUP(A3347,'11 - FINANCEIRA'!_xlnm.Print_Area,3,FALSE)</f>
        <v>Quadro de distribuicao, em pvc, de embutir, com barramento terra / neutro, para 6 disjuntores nema ou 8 disjuntores din</v>
      </c>
      <c r="D3339" s="1967" t="s">
        <v>1503</v>
      </c>
      <c r="E3339" s="1968"/>
      <c r="F3339" s="1968"/>
      <c r="G3339" s="1968"/>
      <c r="H3339" s="1968"/>
      <c r="I3339" s="1969"/>
      <c r="J3339" s="1914" t="s">
        <v>1504</v>
      </c>
      <c r="K3339" s="1914" t="s">
        <v>1505</v>
      </c>
      <c r="L3339" s="1914" t="s">
        <v>1506</v>
      </c>
      <c r="M3339" s="1914" t="s">
        <v>1507</v>
      </c>
      <c r="N3339" s="1914" t="s">
        <v>1508</v>
      </c>
      <c r="O3339" s="1914" t="s">
        <v>1509</v>
      </c>
      <c r="P3339" s="1341" t="s">
        <v>1510</v>
      </c>
      <c r="Q3339" s="1914" t="s">
        <v>1493</v>
      </c>
      <c r="R3339" s="1916" t="s">
        <v>804</v>
      </c>
      <c r="S3339" s="1914" t="s">
        <v>1511</v>
      </c>
      <c r="T3339" s="1914" t="s">
        <v>1512</v>
      </c>
      <c r="U3339" s="1918" t="s">
        <v>1513</v>
      </c>
      <c r="V3339" s="1418">
        <f t="shared" ref="V3339:V3346" si="337">V3340</f>
        <v>0</v>
      </c>
      <c r="W3339" s="16"/>
      <c r="X3339" s="16"/>
      <c r="Y3339" s="16"/>
      <c r="Z3339" s="17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</row>
    <row r="3340" spans="1:36" s="352" customFormat="1" ht="15.6" hidden="1">
      <c r="A3340" s="351"/>
      <c r="B3340" s="1964" t="e">
        <f>LEFT(#REF!,5)</f>
        <v>#REF!</v>
      </c>
      <c r="C3340" s="1966" t="e">
        <f>VLOOKUP(LEFT(#REF!,5),'11 - FINANCEIRA'!_xlnm.Print_Area,2,FALSE)</f>
        <v>#REF!</v>
      </c>
      <c r="D3340" s="1920" t="s">
        <v>1514</v>
      </c>
      <c r="E3340" s="1921"/>
      <c r="F3340" s="1922"/>
      <c r="G3340" s="1923" t="s">
        <v>1515</v>
      </c>
      <c r="H3340" s="1924"/>
      <c r="I3340" s="1925"/>
      <c r="J3340" s="1915"/>
      <c r="K3340" s="1915"/>
      <c r="L3340" s="1915"/>
      <c r="M3340" s="1915"/>
      <c r="N3340" s="1915"/>
      <c r="O3340" s="1915"/>
      <c r="P3340" s="353" t="s">
        <v>1516</v>
      </c>
      <c r="Q3340" s="1915"/>
      <c r="R3340" s="1917"/>
      <c r="S3340" s="1915"/>
      <c r="T3340" s="1915"/>
      <c r="U3340" s="1919"/>
      <c r="V3340" s="1418">
        <f t="shared" si="337"/>
        <v>0</v>
      </c>
      <c r="W3340" s="16"/>
      <c r="X3340" s="16"/>
      <c r="Y3340" s="16"/>
      <c r="Z3340" s="17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</row>
    <row r="3341" spans="1:36" s="361" customFormat="1" ht="15" hidden="1" customHeight="1">
      <c r="A3341" s="354"/>
      <c r="B3341" s="355"/>
      <c r="C3341" s="28" t="s">
        <v>1259</v>
      </c>
      <c r="D3341" s="18"/>
      <c r="E3341" s="19"/>
      <c r="F3341" s="20"/>
      <c r="G3341" s="18"/>
      <c r="H3341" s="19"/>
      <c r="I3341" s="20"/>
      <c r="J3341" s="21"/>
      <c r="K3341" s="22"/>
      <c r="L3341" s="23"/>
      <c r="M3341" s="24"/>
      <c r="N3341" s="728"/>
      <c r="O3341" s="25"/>
      <c r="P3341" s="23"/>
      <c r="Q3341" s="729"/>
      <c r="R3341" s="1109">
        <v>1</v>
      </c>
      <c r="S3341" s="730" t="s">
        <v>816</v>
      </c>
      <c r="T3341" s="446" t="s">
        <v>325</v>
      </c>
      <c r="U3341" s="44"/>
      <c r="V3341" s="1418">
        <f t="shared" si="337"/>
        <v>0</v>
      </c>
      <c r="W3341" s="357"/>
      <c r="X3341" s="357"/>
      <c r="Y3341" s="357"/>
      <c r="Z3341" s="358"/>
      <c r="AA3341" s="359"/>
      <c r="AB3341" s="360"/>
    </row>
    <row r="3342" spans="1:36" s="361" customFormat="1" ht="15" hidden="1" customHeight="1">
      <c r="A3342" s="354"/>
      <c r="B3342" s="355"/>
      <c r="C3342" s="32"/>
      <c r="D3342" s="33"/>
      <c r="E3342" s="34"/>
      <c r="F3342" s="35"/>
      <c r="G3342" s="33"/>
      <c r="H3342" s="34"/>
      <c r="I3342" s="35"/>
      <c r="J3342" s="43"/>
      <c r="K3342" s="42"/>
      <c r="L3342" s="39"/>
      <c r="M3342" s="41"/>
      <c r="N3342" s="356"/>
      <c r="O3342" s="40"/>
      <c r="P3342" s="39"/>
      <c r="Q3342" s="45"/>
      <c r="R3342" s="362"/>
      <c r="S3342" s="363"/>
      <c r="T3342" s="46"/>
      <c r="U3342" s="44"/>
      <c r="V3342" s="1418">
        <f t="shared" si="337"/>
        <v>0</v>
      </c>
      <c r="W3342" s="357"/>
      <c r="X3342" s="357"/>
      <c r="Y3342" s="357"/>
      <c r="Z3342" s="358"/>
      <c r="AA3342" s="359"/>
      <c r="AB3342" s="360"/>
    </row>
    <row r="3343" spans="1:36" s="369" customFormat="1" ht="15" hidden="1">
      <c r="A3343" s="364"/>
      <c r="B3343" s="355"/>
      <c r="C3343" s="32"/>
      <c r="D3343" s="33"/>
      <c r="E3343" s="34"/>
      <c r="F3343" s="35"/>
      <c r="G3343" s="33"/>
      <c r="H3343" s="34"/>
      <c r="I3343" s="35"/>
      <c r="J3343" s="43"/>
      <c r="K3343" s="42"/>
      <c r="L3343" s="39"/>
      <c r="M3343" s="41"/>
      <c r="N3343" s="40"/>
      <c r="O3343" s="40"/>
      <c r="P3343" s="39"/>
      <c r="Q3343" s="38"/>
      <c r="R3343" s="365"/>
      <c r="S3343" s="366"/>
      <c r="T3343" s="46"/>
      <c r="U3343" s="44"/>
      <c r="V3343" s="1418">
        <f t="shared" si="337"/>
        <v>0</v>
      </c>
      <c r="W3343" s="367"/>
      <c r="X3343" s="367"/>
      <c r="Y3343" s="367"/>
      <c r="Z3343" s="368"/>
    </row>
    <row r="3344" spans="1:36" s="77" customFormat="1" ht="15" hidden="1">
      <c r="A3344" s="370"/>
      <c r="B3344" s="29"/>
      <c r="C3344" s="30"/>
      <c r="D3344" s="18"/>
      <c r="E3344" s="19"/>
      <c r="F3344" s="20"/>
      <c r="G3344" s="18"/>
      <c r="H3344" s="19"/>
      <c r="I3344" s="20"/>
      <c r="J3344" s="21"/>
      <c r="K3344" s="22"/>
      <c r="L3344" s="23"/>
      <c r="M3344" s="24"/>
      <c r="N3344" s="25"/>
      <c r="O3344" s="25"/>
      <c r="P3344" s="23"/>
      <c r="Q3344" s="26"/>
      <c r="R3344" s="371"/>
      <c r="S3344" s="27"/>
      <c r="T3344" s="372"/>
      <c r="U3344" s="31"/>
      <c r="V3344" s="1418">
        <f t="shared" si="337"/>
        <v>0</v>
      </c>
      <c r="AB3344" s="15"/>
    </row>
    <row r="3345" spans="1:36" s="77" customFormat="1" ht="15.6" hidden="1">
      <c r="A3345" s="370"/>
      <c r="B3345" s="499"/>
      <c r="C3345" s="37"/>
      <c r="D3345" s="1929" t="s">
        <v>1520</v>
      </c>
      <c r="E3345" s="1930"/>
      <c r="F3345" s="1930"/>
      <c r="G3345" s="1930"/>
      <c r="H3345" s="1930"/>
      <c r="I3345" s="1931"/>
      <c r="J3345" s="1932">
        <f>VLOOKUP(A3347,'11 - FINANCEIRA'!_xlnm.Print_Area,6,FALSE)</f>
        <v>1</v>
      </c>
      <c r="K3345" s="1933"/>
      <c r="L3345" s="1343" t="str">
        <f>VLOOKUP(A3347,'11 - FINANCEIRA'!_xlnm.Print_Area,4,FALSE)</f>
        <v>und</v>
      </c>
      <c r="M3345" s="1934" t="s">
        <v>1521</v>
      </c>
      <c r="N3345" s="1935"/>
      <c r="O3345" s="1935"/>
      <c r="P3345" s="1935"/>
      <c r="Q3345" s="1936"/>
      <c r="R3345" s="726">
        <f>SUM(R3341:R3344)</f>
        <v>1</v>
      </c>
      <c r="S3345" s="1344" t="str">
        <f>L3345</f>
        <v>und</v>
      </c>
      <c r="T3345" s="373"/>
      <c r="U3345" s="486"/>
      <c r="V3345" s="1418">
        <f t="shared" si="337"/>
        <v>0</v>
      </c>
      <c r="AB3345" s="15"/>
    </row>
    <row r="3346" spans="1:36" s="77" customFormat="1" ht="15.6" hidden="1">
      <c r="A3346" s="370"/>
      <c r="B3346" s="499"/>
      <c r="C3346" s="725"/>
      <c r="D3346" s="1937" t="s">
        <v>1522</v>
      </c>
      <c r="E3346" s="1938"/>
      <c r="F3346" s="1938"/>
      <c r="G3346" s="1938"/>
      <c r="H3346" s="1938"/>
      <c r="I3346" s="1939"/>
      <c r="J3346" s="1943">
        <f>R3345/J3345</f>
        <v>1</v>
      </c>
      <c r="K3346" s="1944"/>
      <c r="L3346" s="1947"/>
      <c r="M3346" s="1934" t="s">
        <v>1523</v>
      </c>
      <c r="N3346" s="1935"/>
      <c r="O3346" s="1935"/>
      <c r="P3346" s="1935"/>
      <c r="Q3346" s="1936"/>
      <c r="R3346" s="726">
        <f>VLOOKUP(A3347,'11 - FINANCEIRA'!_xlnm.Print_Area,8,FALSE)</f>
        <v>1</v>
      </c>
      <c r="S3346" s="727" t="str">
        <f>L3345</f>
        <v>und</v>
      </c>
      <c r="T3346" s="373"/>
      <c r="U3346" s="486"/>
      <c r="V3346" s="1418">
        <f t="shared" si="337"/>
        <v>0</v>
      </c>
      <c r="AB3346" s="15"/>
    </row>
    <row r="3347" spans="1:36" s="77" customFormat="1" ht="15.6" hidden="1">
      <c r="A3347" s="364" t="s">
        <v>646</v>
      </c>
      <c r="B3347" s="499"/>
      <c r="C3347" s="37"/>
      <c r="D3347" s="2013"/>
      <c r="E3347" s="2014"/>
      <c r="F3347" s="2014"/>
      <c r="G3347" s="2014"/>
      <c r="H3347" s="2014"/>
      <c r="I3347" s="2015"/>
      <c r="J3347" s="2016"/>
      <c r="K3347" s="2017"/>
      <c r="L3347" s="1962"/>
      <c r="M3347" s="2007" t="s">
        <v>1524</v>
      </c>
      <c r="N3347" s="2008"/>
      <c r="O3347" s="2008"/>
      <c r="P3347" s="2008"/>
      <c r="Q3347" s="2009"/>
      <c r="R3347" s="1345">
        <f>R3345-R3346</f>
        <v>0</v>
      </c>
      <c r="S3347" s="1346" t="str">
        <f>L3345</f>
        <v>und</v>
      </c>
      <c r="T3347" s="373"/>
      <c r="U3347" s="486"/>
      <c r="V3347" s="1418">
        <f>R3347</f>
        <v>0</v>
      </c>
      <c r="AB3347" s="15"/>
    </row>
    <row r="3348" spans="1:36" s="77" customFormat="1" ht="15.6" hidden="1">
      <c r="A3348" s="370"/>
      <c r="B3348" s="1347"/>
      <c r="C3348" s="1348"/>
      <c r="D3348" s="1349"/>
      <c r="E3348" s="1350"/>
      <c r="F3348" s="1349"/>
      <c r="G3348" s="1349"/>
      <c r="H3348" s="1349"/>
      <c r="I3348" s="1349"/>
      <c r="J3348" s="1351"/>
      <c r="K3348" s="1352"/>
      <c r="L3348" s="1353"/>
      <c r="M3348" s="1354"/>
      <c r="N3348" s="1354"/>
      <c r="O3348" s="1354"/>
      <c r="P3348" s="1354"/>
      <c r="Q3348" s="1354"/>
      <c r="R3348" s="1355"/>
      <c r="S3348" s="1356"/>
      <c r="T3348" s="1357"/>
      <c r="U3348" s="1358"/>
      <c r="V3348" s="1420">
        <f>SUM(V3339:V3347)</f>
        <v>0</v>
      </c>
      <c r="AB3348" s="15"/>
    </row>
    <row r="3349" spans="1:36" s="632" customFormat="1" ht="15.6" hidden="1">
      <c r="A3349" s="630"/>
      <c r="B3349" s="1333" t="str">
        <f>LEFT(A3358,7)</f>
        <v>2.5.2.8</v>
      </c>
      <c r="C3349" s="1334" t="str">
        <f>VLOOKUP(LEFT(A3358,7),'11 - FINANCEIRA'!_xlnm.Print_Area,2,FALSE)</f>
        <v>Aterramento</v>
      </c>
      <c r="D3349" s="1334"/>
      <c r="E3349" s="1335"/>
      <c r="F3349" s="1334"/>
      <c r="G3349" s="2071"/>
      <c r="H3349" s="2072"/>
      <c r="I3349" s="2072"/>
      <c r="J3349" s="2072"/>
      <c r="K3349" s="2072"/>
      <c r="L3349" s="2072"/>
      <c r="M3349" s="1338"/>
      <c r="N3349" s="1339"/>
      <c r="O3349" s="2072"/>
      <c r="P3349" s="2072"/>
      <c r="Q3349" s="2072"/>
      <c r="R3349" s="2082"/>
      <c r="S3349" s="633"/>
      <c r="V3349" s="631">
        <f>SUM(V3350:V3419)</f>
        <v>0</v>
      </c>
    </row>
    <row r="3350" spans="1:36" s="352" customFormat="1" ht="15.6" hidden="1">
      <c r="A3350" s="351"/>
      <c r="B3350" s="1963" t="str">
        <f>VLOOKUP(A3358,'11 - FINANCEIRA'!_xlnm.Print_Area,1,FALSE)</f>
        <v>2.5.2.8.1</v>
      </c>
      <c r="C3350" s="1965" t="str">
        <f>VLOOKUP(A3358,'11 - FINANCEIRA'!_xlnm.Print_Area,3,FALSE)</f>
        <v>Cordoalha de cobre nu 50 mm², enterrada, sem isolador - fornecimento e instalação. af_12/2017</v>
      </c>
      <c r="D3350" s="1967" t="s">
        <v>1503</v>
      </c>
      <c r="E3350" s="1968"/>
      <c r="F3350" s="1968"/>
      <c r="G3350" s="1968"/>
      <c r="H3350" s="1968"/>
      <c r="I3350" s="1969"/>
      <c r="J3350" s="1914" t="s">
        <v>1504</v>
      </c>
      <c r="K3350" s="1914" t="s">
        <v>1505</v>
      </c>
      <c r="L3350" s="1914" t="s">
        <v>1506</v>
      </c>
      <c r="M3350" s="1914" t="s">
        <v>1507</v>
      </c>
      <c r="N3350" s="1914" t="s">
        <v>1508</v>
      </c>
      <c r="O3350" s="1914" t="s">
        <v>1509</v>
      </c>
      <c r="P3350" s="1341" t="s">
        <v>1510</v>
      </c>
      <c r="Q3350" s="1914" t="s">
        <v>1493</v>
      </c>
      <c r="R3350" s="1916" t="s">
        <v>804</v>
      </c>
      <c r="S3350" s="1914" t="s">
        <v>1511</v>
      </c>
      <c r="T3350" s="1914" t="s">
        <v>1512</v>
      </c>
      <c r="U3350" s="1918" t="s">
        <v>1513</v>
      </c>
      <c r="V3350" s="1418">
        <f t="shared" ref="V3350:V3357" si="338">V3351</f>
        <v>0</v>
      </c>
      <c r="W3350" s="16"/>
      <c r="X3350" s="16"/>
      <c r="Y3350" s="16"/>
      <c r="Z3350" s="17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</row>
    <row r="3351" spans="1:36" s="352" customFormat="1" ht="15.6" hidden="1">
      <c r="A3351" s="351"/>
      <c r="B3351" s="1964" t="e">
        <f>LEFT(#REF!,5)</f>
        <v>#REF!</v>
      </c>
      <c r="C3351" s="1966" t="e">
        <f>VLOOKUP(LEFT(#REF!,5),'11 - FINANCEIRA'!_xlnm.Print_Area,2,FALSE)</f>
        <v>#REF!</v>
      </c>
      <c r="D3351" s="1920" t="s">
        <v>1514</v>
      </c>
      <c r="E3351" s="1921"/>
      <c r="F3351" s="1922"/>
      <c r="G3351" s="1923" t="s">
        <v>1515</v>
      </c>
      <c r="H3351" s="1924"/>
      <c r="I3351" s="1925"/>
      <c r="J3351" s="1915"/>
      <c r="K3351" s="1915"/>
      <c r="L3351" s="1915"/>
      <c r="M3351" s="1915"/>
      <c r="N3351" s="1915"/>
      <c r="O3351" s="1915"/>
      <c r="P3351" s="353" t="s">
        <v>1516</v>
      </c>
      <c r="Q3351" s="1915"/>
      <c r="R3351" s="1917"/>
      <c r="S3351" s="1915"/>
      <c r="T3351" s="1915"/>
      <c r="U3351" s="1919"/>
      <c r="V3351" s="1418">
        <f t="shared" si="338"/>
        <v>0</v>
      </c>
      <c r="W3351" s="16"/>
      <c r="X3351" s="16"/>
      <c r="Y3351" s="16"/>
      <c r="Z3351" s="17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</row>
    <row r="3352" spans="1:36" s="361" customFormat="1" ht="15" hidden="1">
      <c r="A3352" s="354"/>
      <c r="B3352" s="355"/>
      <c r="C3352" s="28" t="s">
        <v>1949</v>
      </c>
      <c r="D3352" s="18"/>
      <c r="E3352" s="19"/>
      <c r="F3352" s="20"/>
      <c r="G3352" s="18"/>
      <c r="H3352" s="19"/>
      <c r="I3352" s="20"/>
      <c r="J3352" s="21"/>
      <c r="K3352" s="22"/>
      <c r="L3352" s="23"/>
      <c r="M3352" s="24"/>
      <c r="N3352" s="728"/>
      <c r="O3352" s="25"/>
      <c r="P3352" s="23"/>
      <c r="Q3352" s="729"/>
      <c r="R3352" s="1109">
        <v>100</v>
      </c>
      <c r="S3352" s="730" t="s">
        <v>809</v>
      </c>
      <c r="T3352" s="446" t="s">
        <v>320</v>
      </c>
      <c r="U3352" s="44"/>
      <c r="V3352" s="1418">
        <f t="shared" si="338"/>
        <v>0</v>
      </c>
      <c r="W3352" s="357"/>
      <c r="X3352" s="357"/>
      <c r="Y3352" s="357"/>
      <c r="Z3352" s="358"/>
      <c r="AA3352" s="359"/>
      <c r="AB3352" s="360"/>
    </row>
    <row r="3353" spans="1:36" s="361" customFormat="1" ht="15" hidden="1">
      <c r="A3353" s="354"/>
      <c r="B3353" s="355"/>
      <c r="C3353" s="28" t="s">
        <v>1949</v>
      </c>
      <c r="D3353" s="18"/>
      <c r="E3353" s="19"/>
      <c r="F3353" s="20"/>
      <c r="G3353" s="18"/>
      <c r="H3353" s="19"/>
      <c r="I3353" s="20"/>
      <c r="J3353" s="21"/>
      <c r="K3353" s="22"/>
      <c r="L3353" s="23"/>
      <c r="M3353" s="24"/>
      <c r="N3353" s="728"/>
      <c r="O3353" s="25"/>
      <c r="P3353" s="23"/>
      <c r="Q3353" s="729"/>
      <c r="R3353" s="445">
        <v>142</v>
      </c>
      <c r="S3353" s="792" t="s">
        <v>809</v>
      </c>
      <c r="T3353" s="446" t="s">
        <v>324</v>
      </c>
      <c r="U3353" s="44"/>
      <c r="V3353" s="1418">
        <f t="shared" si="338"/>
        <v>0</v>
      </c>
      <c r="W3353" s="357"/>
      <c r="X3353" s="357"/>
      <c r="Y3353" s="357"/>
      <c r="Z3353" s="358"/>
      <c r="AA3353" s="359"/>
      <c r="AB3353" s="360"/>
    </row>
    <row r="3354" spans="1:36" s="369" customFormat="1" ht="15" hidden="1">
      <c r="A3354" s="364"/>
      <c r="B3354" s="355"/>
      <c r="C3354" s="32"/>
      <c r="D3354" s="33"/>
      <c r="E3354" s="34"/>
      <c r="F3354" s="35"/>
      <c r="G3354" s="33"/>
      <c r="H3354" s="34"/>
      <c r="I3354" s="35"/>
      <c r="J3354" s="43"/>
      <c r="K3354" s="42"/>
      <c r="L3354" s="39"/>
      <c r="M3354" s="41"/>
      <c r="N3354" s="40"/>
      <c r="O3354" s="40"/>
      <c r="P3354" s="39"/>
      <c r="Q3354" s="38"/>
      <c r="R3354" s="365"/>
      <c r="S3354" s="366"/>
      <c r="T3354" s="46"/>
      <c r="U3354" s="44"/>
      <c r="V3354" s="1418">
        <f t="shared" si="338"/>
        <v>0</v>
      </c>
      <c r="W3354" s="367"/>
      <c r="X3354" s="367"/>
      <c r="Y3354" s="367"/>
      <c r="Z3354" s="368"/>
    </row>
    <row r="3355" spans="1:36" s="77" customFormat="1" ht="15" hidden="1">
      <c r="A3355" s="370"/>
      <c r="B3355" s="29"/>
      <c r="C3355" s="30"/>
      <c r="D3355" s="18"/>
      <c r="E3355" s="19"/>
      <c r="F3355" s="20"/>
      <c r="G3355" s="18"/>
      <c r="H3355" s="19"/>
      <c r="I3355" s="20"/>
      <c r="J3355" s="21"/>
      <c r="K3355" s="22"/>
      <c r="L3355" s="23"/>
      <c r="M3355" s="24"/>
      <c r="N3355" s="25"/>
      <c r="O3355" s="25"/>
      <c r="P3355" s="23"/>
      <c r="Q3355" s="26"/>
      <c r="R3355" s="371"/>
      <c r="S3355" s="27"/>
      <c r="T3355" s="372"/>
      <c r="U3355" s="31"/>
      <c r="V3355" s="1418">
        <f t="shared" si="338"/>
        <v>0</v>
      </c>
      <c r="AB3355" s="15"/>
    </row>
    <row r="3356" spans="1:36" s="77" customFormat="1" ht="15.6" hidden="1">
      <c r="A3356" s="370"/>
      <c r="B3356" s="499"/>
      <c r="C3356" s="37"/>
      <c r="D3356" s="1929" t="s">
        <v>1520</v>
      </c>
      <c r="E3356" s="1930"/>
      <c r="F3356" s="1930"/>
      <c r="G3356" s="1930"/>
      <c r="H3356" s="1930"/>
      <c r="I3356" s="1931"/>
      <c r="J3356" s="1932">
        <f>VLOOKUP(A3358,'11 - FINANCEIRA'!_xlnm.Print_Area,6,FALSE)</f>
        <v>242</v>
      </c>
      <c r="K3356" s="1933"/>
      <c r="L3356" s="1343" t="str">
        <f>VLOOKUP(A3358,'11 - FINANCEIRA'!_xlnm.Print_Area,4,FALSE)</f>
        <v>m</v>
      </c>
      <c r="M3356" s="1934" t="s">
        <v>1521</v>
      </c>
      <c r="N3356" s="1935"/>
      <c r="O3356" s="1935"/>
      <c r="P3356" s="1935"/>
      <c r="Q3356" s="1936"/>
      <c r="R3356" s="726">
        <f>SUM(R3352:R3355)</f>
        <v>242</v>
      </c>
      <c r="S3356" s="1344" t="str">
        <f>L3356</f>
        <v>m</v>
      </c>
      <c r="T3356" s="373"/>
      <c r="U3356" s="486"/>
      <c r="V3356" s="1418">
        <f t="shared" si="338"/>
        <v>0</v>
      </c>
      <c r="AB3356" s="15"/>
    </row>
    <row r="3357" spans="1:36" s="77" customFormat="1" ht="15.6" hidden="1">
      <c r="A3357" s="370"/>
      <c r="B3357" s="499"/>
      <c r="C3357" s="725"/>
      <c r="D3357" s="1937" t="s">
        <v>1522</v>
      </c>
      <c r="E3357" s="1938"/>
      <c r="F3357" s="1938"/>
      <c r="G3357" s="1938"/>
      <c r="H3357" s="1938"/>
      <c r="I3357" s="1939"/>
      <c r="J3357" s="1943">
        <f>R3356/J3356</f>
        <v>1</v>
      </c>
      <c r="K3357" s="1944"/>
      <c r="L3357" s="1947"/>
      <c r="M3357" s="1934" t="s">
        <v>1523</v>
      </c>
      <c r="N3357" s="1935"/>
      <c r="O3357" s="1935"/>
      <c r="P3357" s="1935"/>
      <c r="Q3357" s="1936"/>
      <c r="R3357" s="726">
        <f>VLOOKUP(A3358,'11 - FINANCEIRA'!_xlnm.Print_Area,8,FALSE)</f>
        <v>242</v>
      </c>
      <c r="S3357" s="727" t="str">
        <f>L3356</f>
        <v>m</v>
      </c>
      <c r="T3357" s="373"/>
      <c r="U3357" s="486"/>
      <c r="V3357" s="1418">
        <f t="shared" si="338"/>
        <v>0</v>
      </c>
      <c r="AB3357" s="15"/>
    </row>
    <row r="3358" spans="1:36" s="77" customFormat="1" ht="15.6" hidden="1">
      <c r="A3358" s="364" t="s">
        <v>648</v>
      </c>
      <c r="B3358" s="499"/>
      <c r="C3358" s="37"/>
      <c r="D3358" s="2013"/>
      <c r="E3358" s="2014"/>
      <c r="F3358" s="2014"/>
      <c r="G3358" s="2014"/>
      <c r="H3358" s="2014"/>
      <c r="I3358" s="2015"/>
      <c r="J3358" s="2016"/>
      <c r="K3358" s="2017"/>
      <c r="L3358" s="1962"/>
      <c r="M3358" s="2007" t="s">
        <v>1524</v>
      </c>
      <c r="N3358" s="2008"/>
      <c r="O3358" s="2008"/>
      <c r="P3358" s="2008"/>
      <c r="Q3358" s="2009"/>
      <c r="R3358" s="1345">
        <f>R3356-R3357</f>
        <v>0</v>
      </c>
      <c r="S3358" s="1346" t="str">
        <f>L3356</f>
        <v>m</v>
      </c>
      <c r="T3358" s="373"/>
      <c r="U3358" s="486"/>
      <c r="V3358" s="1418">
        <f>R3358</f>
        <v>0</v>
      </c>
      <c r="AB3358" s="15"/>
    </row>
    <row r="3359" spans="1:36" s="77" customFormat="1" ht="15.6" hidden="1">
      <c r="A3359" s="370"/>
      <c r="B3359" s="1347"/>
      <c r="C3359" s="1348"/>
      <c r="D3359" s="1349"/>
      <c r="E3359" s="1350"/>
      <c r="F3359" s="1349"/>
      <c r="G3359" s="1349"/>
      <c r="H3359" s="1349"/>
      <c r="I3359" s="1349"/>
      <c r="J3359" s="1351"/>
      <c r="K3359" s="1352"/>
      <c r="L3359" s="1353"/>
      <c r="M3359" s="1354"/>
      <c r="N3359" s="1354"/>
      <c r="O3359" s="1354"/>
      <c r="P3359" s="1354"/>
      <c r="Q3359" s="1354"/>
      <c r="R3359" s="1355"/>
      <c r="S3359" s="1356"/>
      <c r="T3359" s="1357"/>
      <c r="U3359" s="1358"/>
      <c r="V3359" s="1420">
        <f>SUM(V3350:V3358)</f>
        <v>0</v>
      </c>
      <c r="AB3359" s="15"/>
    </row>
    <row r="3360" spans="1:36" s="352" customFormat="1" ht="15.6" hidden="1">
      <c r="A3360" s="351"/>
      <c r="B3360" s="1963" t="str">
        <f>VLOOKUP(A3368,'11 - FINANCEIRA'!_xlnm.Print_Area,1,FALSE)</f>
        <v>2.5.2.8.2</v>
      </c>
      <c r="C3360" s="1965" t="str">
        <f>VLOOKUP(A3368,'11 - FINANCEIRA'!_xlnm.Print_Area,3,FALSE)</f>
        <v>Terminal estanhado de 1 compressão 1 furo, 50mm², ref. tel-5150, marca de referência termotécnica ou equivalente</v>
      </c>
      <c r="D3360" s="1967" t="s">
        <v>1503</v>
      </c>
      <c r="E3360" s="1968"/>
      <c r="F3360" s="1968"/>
      <c r="G3360" s="1968"/>
      <c r="H3360" s="1968"/>
      <c r="I3360" s="1969"/>
      <c r="J3360" s="1914" t="s">
        <v>1504</v>
      </c>
      <c r="K3360" s="1914" t="s">
        <v>1505</v>
      </c>
      <c r="L3360" s="1914" t="s">
        <v>1506</v>
      </c>
      <c r="M3360" s="1914" t="s">
        <v>1507</v>
      </c>
      <c r="N3360" s="1914" t="s">
        <v>1508</v>
      </c>
      <c r="O3360" s="1914" t="s">
        <v>1509</v>
      </c>
      <c r="P3360" s="1341" t="s">
        <v>1510</v>
      </c>
      <c r="Q3360" s="1914" t="s">
        <v>1493</v>
      </c>
      <c r="R3360" s="1916" t="s">
        <v>804</v>
      </c>
      <c r="S3360" s="1914" t="s">
        <v>1511</v>
      </c>
      <c r="T3360" s="1914" t="s">
        <v>1512</v>
      </c>
      <c r="U3360" s="1918" t="s">
        <v>1513</v>
      </c>
      <c r="V3360" s="1418">
        <f t="shared" ref="V3360:V3367" si="339">V3361</f>
        <v>0</v>
      </c>
      <c r="W3360" s="16"/>
      <c r="X3360" s="16"/>
      <c r="Y3360" s="16"/>
      <c r="Z3360" s="17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</row>
    <row r="3361" spans="1:36" s="352" customFormat="1" ht="15.6" hidden="1">
      <c r="A3361" s="351"/>
      <c r="B3361" s="1964" t="e">
        <f>LEFT(#REF!,5)</f>
        <v>#REF!</v>
      </c>
      <c r="C3361" s="1966" t="e">
        <f>VLOOKUP(LEFT(#REF!,5),'11 - FINANCEIRA'!_xlnm.Print_Area,2,FALSE)</f>
        <v>#REF!</v>
      </c>
      <c r="D3361" s="1920" t="s">
        <v>1514</v>
      </c>
      <c r="E3361" s="1921"/>
      <c r="F3361" s="1922"/>
      <c r="G3361" s="1923" t="s">
        <v>1515</v>
      </c>
      <c r="H3361" s="1924"/>
      <c r="I3361" s="1925"/>
      <c r="J3361" s="1915"/>
      <c r="K3361" s="1915"/>
      <c r="L3361" s="1915"/>
      <c r="M3361" s="1915"/>
      <c r="N3361" s="1915"/>
      <c r="O3361" s="1915"/>
      <c r="P3361" s="353" t="s">
        <v>1516</v>
      </c>
      <c r="Q3361" s="1915"/>
      <c r="R3361" s="1917"/>
      <c r="S3361" s="1915"/>
      <c r="T3361" s="1915"/>
      <c r="U3361" s="1919"/>
      <c r="V3361" s="1418">
        <f t="shared" si="339"/>
        <v>0</v>
      </c>
      <c r="W3361" s="16"/>
      <c r="X3361" s="16"/>
      <c r="Y3361" s="16"/>
      <c r="Z3361" s="17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</row>
    <row r="3362" spans="1:36" s="361" customFormat="1" ht="15" hidden="1" customHeight="1">
      <c r="A3362" s="354"/>
      <c r="B3362" s="355"/>
      <c r="C3362" s="28" t="s">
        <v>1264</v>
      </c>
      <c r="D3362" s="18"/>
      <c r="E3362" s="19"/>
      <c r="F3362" s="20"/>
      <c r="G3362" s="18"/>
      <c r="H3362" s="19"/>
      <c r="I3362" s="20"/>
      <c r="J3362" s="21"/>
      <c r="K3362" s="22"/>
      <c r="L3362" s="23"/>
      <c r="M3362" s="24"/>
      <c r="N3362" s="728"/>
      <c r="O3362" s="25"/>
      <c r="P3362" s="23"/>
      <c r="Q3362" s="729"/>
      <c r="R3362" s="1109">
        <v>8</v>
      </c>
      <c r="S3362" s="730" t="s">
        <v>816</v>
      </c>
      <c r="T3362" s="446" t="s">
        <v>324</v>
      </c>
      <c r="U3362" s="44"/>
      <c r="V3362" s="1418">
        <f t="shared" si="339"/>
        <v>0</v>
      </c>
      <c r="W3362" s="357"/>
      <c r="X3362" s="357"/>
      <c r="Y3362" s="357"/>
      <c r="Z3362" s="358"/>
      <c r="AA3362" s="359"/>
      <c r="AB3362" s="360"/>
    </row>
    <row r="3363" spans="1:36" s="361" customFormat="1" ht="15" hidden="1" customHeight="1">
      <c r="A3363" s="354"/>
      <c r="B3363" s="355"/>
      <c r="C3363" s="32"/>
      <c r="D3363" s="33"/>
      <c r="E3363" s="34"/>
      <c r="F3363" s="35"/>
      <c r="G3363" s="33"/>
      <c r="H3363" s="34"/>
      <c r="I3363" s="35"/>
      <c r="J3363" s="43"/>
      <c r="K3363" s="42"/>
      <c r="L3363" s="39"/>
      <c r="M3363" s="41"/>
      <c r="N3363" s="356"/>
      <c r="O3363" s="40"/>
      <c r="P3363" s="39"/>
      <c r="Q3363" s="45"/>
      <c r="R3363" s="362"/>
      <c r="S3363" s="363"/>
      <c r="T3363" s="46"/>
      <c r="U3363" s="44"/>
      <c r="V3363" s="1418">
        <f t="shared" si="339"/>
        <v>0</v>
      </c>
      <c r="W3363" s="357"/>
      <c r="X3363" s="357"/>
      <c r="Y3363" s="357"/>
      <c r="Z3363" s="358"/>
      <c r="AA3363" s="359"/>
      <c r="AB3363" s="360"/>
    </row>
    <row r="3364" spans="1:36" s="369" customFormat="1" ht="15" hidden="1">
      <c r="A3364" s="364"/>
      <c r="B3364" s="355"/>
      <c r="C3364" s="32"/>
      <c r="D3364" s="33"/>
      <c r="E3364" s="34"/>
      <c r="F3364" s="35"/>
      <c r="G3364" s="33"/>
      <c r="H3364" s="34"/>
      <c r="I3364" s="35"/>
      <c r="J3364" s="43"/>
      <c r="K3364" s="42"/>
      <c r="L3364" s="39"/>
      <c r="M3364" s="41"/>
      <c r="N3364" s="40"/>
      <c r="O3364" s="40"/>
      <c r="P3364" s="39"/>
      <c r="Q3364" s="38"/>
      <c r="R3364" s="365"/>
      <c r="S3364" s="366"/>
      <c r="T3364" s="46"/>
      <c r="U3364" s="44"/>
      <c r="V3364" s="1418">
        <f t="shared" si="339"/>
        <v>0</v>
      </c>
      <c r="W3364" s="367"/>
      <c r="X3364" s="367"/>
      <c r="Y3364" s="367"/>
      <c r="Z3364" s="368"/>
    </row>
    <row r="3365" spans="1:36" s="77" customFormat="1" ht="15" hidden="1">
      <c r="A3365" s="370"/>
      <c r="B3365" s="29"/>
      <c r="C3365" s="30"/>
      <c r="D3365" s="18"/>
      <c r="E3365" s="19"/>
      <c r="F3365" s="20"/>
      <c r="G3365" s="18"/>
      <c r="H3365" s="19"/>
      <c r="I3365" s="20"/>
      <c r="J3365" s="21"/>
      <c r="K3365" s="22"/>
      <c r="L3365" s="23"/>
      <c r="M3365" s="24"/>
      <c r="N3365" s="25"/>
      <c r="O3365" s="25"/>
      <c r="P3365" s="23"/>
      <c r="Q3365" s="26"/>
      <c r="R3365" s="371"/>
      <c r="S3365" s="27"/>
      <c r="T3365" s="372"/>
      <c r="U3365" s="31"/>
      <c r="V3365" s="1418">
        <f t="shared" si="339"/>
        <v>0</v>
      </c>
      <c r="AB3365" s="15"/>
    </row>
    <row r="3366" spans="1:36" s="77" customFormat="1" ht="15.6" hidden="1">
      <c r="A3366" s="370"/>
      <c r="B3366" s="499"/>
      <c r="C3366" s="37"/>
      <c r="D3366" s="1929" t="s">
        <v>1520</v>
      </c>
      <c r="E3366" s="1930"/>
      <c r="F3366" s="1930"/>
      <c r="G3366" s="1930"/>
      <c r="H3366" s="1930"/>
      <c r="I3366" s="1931"/>
      <c r="J3366" s="1932">
        <f>VLOOKUP(A3368,'11 - FINANCEIRA'!_xlnm.Print_Area,6,FALSE)</f>
        <v>8</v>
      </c>
      <c r="K3366" s="1933"/>
      <c r="L3366" s="1343" t="str">
        <f>VLOOKUP(A3368,'11 - FINANCEIRA'!_xlnm.Print_Area,4,FALSE)</f>
        <v>und</v>
      </c>
      <c r="M3366" s="1934" t="s">
        <v>1521</v>
      </c>
      <c r="N3366" s="1935"/>
      <c r="O3366" s="1935"/>
      <c r="P3366" s="1935"/>
      <c r="Q3366" s="1936"/>
      <c r="R3366" s="726">
        <f>SUM(R3362:R3365)</f>
        <v>8</v>
      </c>
      <c r="S3366" s="1344" t="str">
        <f>L3366</f>
        <v>und</v>
      </c>
      <c r="T3366" s="373"/>
      <c r="U3366" s="486"/>
      <c r="V3366" s="1418">
        <f t="shared" si="339"/>
        <v>0</v>
      </c>
      <c r="AB3366" s="15"/>
    </row>
    <row r="3367" spans="1:36" s="77" customFormat="1" ht="15.6" hidden="1">
      <c r="A3367" s="370"/>
      <c r="B3367" s="499"/>
      <c r="C3367" s="725"/>
      <c r="D3367" s="1937" t="s">
        <v>1522</v>
      </c>
      <c r="E3367" s="1938"/>
      <c r="F3367" s="1938"/>
      <c r="G3367" s="1938"/>
      <c r="H3367" s="1938"/>
      <c r="I3367" s="1939"/>
      <c r="J3367" s="1943">
        <f>R3366/J3366</f>
        <v>1</v>
      </c>
      <c r="K3367" s="1944"/>
      <c r="L3367" s="1947"/>
      <c r="M3367" s="1934" t="s">
        <v>1523</v>
      </c>
      <c r="N3367" s="1935"/>
      <c r="O3367" s="1935"/>
      <c r="P3367" s="1935"/>
      <c r="Q3367" s="1936"/>
      <c r="R3367" s="726">
        <f>VLOOKUP(A3368,'11 - FINANCEIRA'!_xlnm.Print_Area,8,FALSE)</f>
        <v>8</v>
      </c>
      <c r="S3367" s="727" t="str">
        <f>L3366</f>
        <v>und</v>
      </c>
      <c r="T3367" s="373"/>
      <c r="U3367" s="486"/>
      <c r="V3367" s="1418">
        <f t="shared" si="339"/>
        <v>0</v>
      </c>
      <c r="AB3367" s="15"/>
    </row>
    <row r="3368" spans="1:36" s="77" customFormat="1" ht="15.6" hidden="1">
      <c r="A3368" s="364" t="s">
        <v>649</v>
      </c>
      <c r="B3368" s="499"/>
      <c r="C3368" s="37"/>
      <c r="D3368" s="2013"/>
      <c r="E3368" s="2014"/>
      <c r="F3368" s="2014"/>
      <c r="G3368" s="2014"/>
      <c r="H3368" s="2014"/>
      <c r="I3368" s="2015"/>
      <c r="J3368" s="2016"/>
      <c r="K3368" s="2017"/>
      <c r="L3368" s="1962"/>
      <c r="M3368" s="2007" t="s">
        <v>1524</v>
      </c>
      <c r="N3368" s="2008"/>
      <c r="O3368" s="2008"/>
      <c r="P3368" s="2008"/>
      <c r="Q3368" s="2009"/>
      <c r="R3368" s="1345">
        <f>R3366-R3367</f>
        <v>0</v>
      </c>
      <c r="S3368" s="1346" t="str">
        <f>L3366</f>
        <v>und</v>
      </c>
      <c r="T3368" s="373"/>
      <c r="U3368" s="486"/>
      <c r="V3368" s="1418">
        <f>R3368</f>
        <v>0</v>
      </c>
      <c r="AB3368" s="15"/>
    </row>
    <row r="3369" spans="1:36" s="77" customFormat="1" ht="15.6" hidden="1">
      <c r="A3369" s="370"/>
      <c r="B3369" s="1347"/>
      <c r="C3369" s="1348"/>
      <c r="D3369" s="1349"/>
      <c r="E3369" s="1350"/>
      <c r="F3369" s="1349"/>
      <c r="G3369" s="1349"/>
      <c r="H3369" s="1349"/>
      <c r="I3369" s="1349"/>
      <c r="J3369" s="1351"/>
      <c r="K3369" s="1352"/>
      <c r="L3369" s="1353"/>
      <c r="M3369" s="1354"/>
      <c r="N3369" s="1354"/>
      <c r="O3369" s="1354"/>
      <c r="P3369" s="1354"/>
      <c r="Q3369" s="1354"/>
      <c r="R3369" s="1355"/>
      <c r="S3369" s="1356"/>
      <c r="T3369" s="1357"/>
      <c r="U3369" s="1358"/>
      <c r="V3369" s="1420">
        <f>SUM(V3360:V3368)</f>
        <v>0</v>
      </c>
      <c r="AB3369" s="15"/>
    </row>
    <row r="3370" spans="1:36" s="352" customFormat="1" ht="15.6" hidden="1">
      <c r="A3370" s="351"/>
      <c r="B3370" s="1963" t="str">
        <f>VLOOKUP(A3378,'11 - FINANCEIRA'!_xlnm.Print_Area,1,FALSE)</f>
        <v>2.5.2.8.3</v>
      </c>
      <c r="C3370" s="1965" t="str">
        <f>VLOOKUP(A3378,'11 - FINANCEIRA'!_xlnm.Print_Area,3,FALSE)</f>
        <v>Conector de medição em latão com 2 parafusos para cabos de 16 a 50 mm², ref. tel-562, termotécnica ou equivalente</v>
      </c>
      <c r="D3370" s="1967" t="s">
        <v>1503</v>
      </c>
      <c r="E3370" s="1968"/>
      <c r="F3370" s="1968"/>
      <c r="G3370" s="1968"/>
      <c r="H3370" s="1968"/>
      <c r="I3370" s="1969"/>
      <c r="J3370" s="1914" t="s">
        <v>1504</v>
      </c>
      <c r="K3370" s="1914" t="s">
        <v>1505</v>
      </c>
      <c r="L3370" s="1914" t="s">
        <v>1506</v>
      </c>
      <c r="M3370" s="1914" t="s">
        <v>1507</v>
      </c>
      <c r="N3370" s="1914" t="s">
        <v>1508</v>
      </c>
      <c r="O3370" s="1914" t="s">
        <v>1509</v>
      </c>
      <c r="P3370" s="1341" t="s">
        <v>1510</v>
      </c>
      <c r="Q3370" s="1914" t="s">
        <v>1493</v>
      </c>
      <c r="R3370" s="1916" t="s">
        <v>804</v>
      </c>
      <c r="S3370" s="1914" t="s">
        <v>1511</v>
      </c>
      <c r="T3370" s="1914" t="s">
        <v>1512</v>
      </c>
      <c r="U3370" s="1918" t="s">
        <v>1513</v>
      </c>
      <c r="V3370" s="1418">
        <f t="shared" ref="V3370:V3377" si="340">V3371</f>
        <v>0</v>
      </c>
      <c r="W3370" s="16"/>
      <c r="X3370" s="16"/>
      <c r="Y3370" s="16"/>
      <c r="Z3370" s="17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</row>
    <row r="3371" spans="1:36" s="352" customFormat="1" ht="15.6" hidden="1">
      <c r="A3371" s="351"/>
      <c r="B3371" s="1964" t="e">
        <f>LEFT(#REF!,5)</f>
        <v>#REF!</v>
      </c>
      <c r="C3371" s="1966" t="e">
        <f>VLOOKUP(LEFT(#REF!,5),'11 - FINANCEIRA'!_xlnm.Print_Area,2,FALSE)</f>
        <v>#REF!</v>
      </c>
      <c r="D3371" s="1920" t="s">
        <v>1514</v>
      </c>
      <c r="E3371" s="1921"/>
      <c r="F3371" s="1922"/>
      <c r="G3371" s="1923" t="s">
        <v>1515</v>
      </c>
      <c r="H3371" s="1924"/>
      <c r="I3371" s="1925"/>
      <c r="J3371" s="1915"/>
      <c r="K3371" s="1915"/>
      <c r="L3371" s="1915"/>
      <c r="M3371" s="1915"/>
      <c r="N3371" s="1915"/>
      <c r="O3371" s="1915"/>
      <c r="P3371" s="353" t="s">
        <v>1516</v>
      </c>
      <c r="Q3371" s="1915"/>
      <c r="R3371" s="1917"/>
      <c r="S3371" s="1915"/>
      <c r="T3371" s="1915"/>
      <c r="U3371" s="1919"/>
      <c r="V3371" s="1418">
        <f t="shared" si="340"/>
        <v>0</v>
      </c>
      <c r="W3371" s="16"/>
      <c r="X3371" s="16"/>
      <c r="Y3371" s="16"/>
      <c r="Z3371" s="17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</row>
    <row r="3372" spans="1:36" s="361" customFormat="1" ht="15" hidden="1" customHeight="1">
      <c r="A3372" s="354"/>
      <c r="B3372" s="355"/>
      <c r="C3372" s="28" t="s">
        <v>1266</v>
      </c>
      <c r="D3372" s="18"/>
      <c r="E3372" s="19"/>
      <c r="F3372" s="20"/>
      <c r="G3372" s="18"/>
      <c r="H3372" s="19"/>
      <c r="I3372" s="20"/>
      <c r="J3372" s="21"/>
      <c r="K3372" s="22"/>
      <c r="L3372" s="23"/>
      <c r="M3372" s="24"/>
      <c r="N3372" s="728"/>
      <c r="O3372" s="25"/>
      <c r="P3372" s="23"/>
      <c r="Q3372" s="729"/>
      <c r="R3372" s="1109">
        <v>8</v>
      </c>
      <c r="S3372" s="730" t="s">
        <v>816</v>
      </c>
      <c r="T3372" s="446" t="s">
        <v>324</v>
      </c>
      <c r="U3372" s="44"/>
      <c r="V3372" s="1418">
        <f t="shared" si="340"/>
        <v>0</v>
      </c>
      <c r="W3372" s="357"/>
      <c r="X3372" s="357"/>
      <c r="Y3372" s="357"/>
      <c r="Z3372" s="358"/>
      <c r="AA3372" s="359"/>
      <c r="AB3372" s="360"/>
    </row>
    <row r="3373" spans="1:36" s="361" customFormat="1" ht="15" hidden="1" customHeight="1">
      <c r="A3373" s="354"/>
      <c r="B3373" s="355"/>
      <c r="C3373" s="32"/>
      <c r="D3373" s="33"/>
      <c r="E3373" s="34"/>
      <c r="F3373" s="35"/>
      <c r="G3373" s="33"/>
      <c r="H3373" s="34"/>
      <c r="I3373" s="35"/>
      <c r="J3373" s="43"/>
      <c r="K3373" s="42"/>
      <c r="L3373" s="39"/>
      <c r="M3373" s="41"/>
      <c r="N3373" s="356"/>
      <c r="O3373" s="40"/>
      <c r="P3373" s="39"/>
      <c r="Q3373" s="45"/>
      <c r="R3373" s="362"/>
      <c r="S3373" s="363"/>
      <c r="T3373" s="46"/>
      <c r="U3373" s="44"/>
      <c r="V3373" s="1418">
        <f t="shared" si="340"/>
        <v>0</v>
      </c>
      <c r="W3373" s="357"/>
      <c r="X3373" s="357"/>
      <c r="Y3373" s="357"/>
      <c r="Z3373" s="358"/>
      <c r="AA3373" s="359"/>
      <c r="AB3373" s="360"/>
    </row>
    <row r="3374" spans="1:36" s="369" customFormat="1" ht="15" hidden="1">
      <c r="A3374" s="364"/>
      <c r="B3374" s="355"/>
      <c r="C3374" s="32"/>
      <c r="D3374" s="33"/>
      <c r="E3374" s="34"/>
      <c r="F3374" s="35"/>
      <c r="G3374" s="33"/>
      <c r="H3374" s="34"/>
      <c r="I3374" s="35"/>
      <c r="J3374" s="43"/>
      <c r="K3374" s="42"/>
      <c r="L3374" s="39"/>
      <c r="M3374" s="41"/>
      <c r="N3374" s="40"/>
      <c r="O3374" s="40"/>
      <c r="P3374" s="39"/>
      <c r="Q3374" s="38"/>
      <c r="R3374" s="365"/>
      <c r="S3374" s="366"/>
      <c r="T3374" s="46"/>
      <c r="U3374" s="44"/>
      <c r="V3374" s="1418">
        <f t="shared" si="340"/>
        <v>0</v>
      </c>
      <c r="W3374" s="367"/>
      <c r="X3374" s="367"/>
      <c r="Y3374" s="367"/>
      <c r="Z3374" s="368"/>
    </row>
    <row r="3375" spans="1:36" s="77" customFormat="1" ht="15" hidden="1">
      <c r="A3375" s="370"/>
      <c r="B3375" s="29"/>
      <c r="C3375" s="30"/>
      <c r="D3375" s="18"/>
      <c r="E3375" s="19"/>
      <c r="F3375" s="20"/>
      <c r="G3375" s="18"/>
      <c r="H3375" s="19"/>
      <c r="I3375" s="20"/>
      <c r="J3375" s="21"/>
      <c r="K3375" s="22"/>
      <c r="L3375" s="23"/>
      <c r="M3375" s="24"/>
      <c r="N3375" s="25"/>
      <c r="O3375" s="25"/>
      <c r="P3375" s="23"/>
      <c r="Q3375" s="26"/>
      <c r="R3375" s="371"/>
      <c r="S3375" s="27"/>
      <c r="T3375" s="372"/>
      <c r="U3375" s="31"/>
      <c r="V3375" s="1418">
        <f t="shared" si="340"/>
        <v>0</v>
      </c>
      <c r="AB3375" s="15"/>
    </row>
    <row r="3376" spans="1:36" s="77" customFormat="1" ht="15.6" hidden="1">
      <c r="A3376" s="370"/>
      <c r="B3376" s="499"/>
      <c r="C3376" s="37"/>
      <c r="D3376" s="1929" t="s">
        <v>1520</v>
      </c>
      <c r="E3376" s="1930"/>
      <c r="F3376" s="1930"/>
      <c r="G3376" s="1930"/>
      <c r="H3376" s="1930"/>
      <c r="I3376" s="1931"/>
      <c r="J3376" s="1932">
        <f>VLOOKUP(A3378,'11 - FINANCEIRA'!_xlnm.Print_Area,6,FALSE)</f>
        <v>8</v>
      </c>
      <c r="K3376" s="1933"/>
      <c r="L3376" s="1343" t="str">
        <f>VLOOKUP(A3378,'11 - FINANCEIRA'!_xlnm.Print_Area,4,FALSE)</f>
        <v>und</v>
      </c>
      <c r="M3376" s="1934" t="s">
        <v>1521</v>
      </c>
      <c r="N3376" s="1935"/>
      <c r="O3376" s="1935"/>
      <c r="P3376" s="1935"/>
      <c r="Q3376" s="1936"/>
      <c r="R3376" s="726">
        <f>SUM(R3372:R3375)</f>
        <v>8</v>
      </c>
      <c r="S3376" s="1344" t="str">
        <f>L3376</f>
        <v>und</v>
      </c>
      <c r="T3376" s="373"/>
      <c r="U3376" s="486"/>
      <c r="V3376" s="1418">
        <f t="shared" si="340"/>
        <v>0</v>
      </c>
      <c r="AB3376" s="15"/>
    </row>
    <row r="3377" spans="1:36" s="77" customFormat="1" ht="15.6" hidden="1">
      <c r="A3377" s="370"/>
      <c r="B3377" s="499"/>
      <c r="C3377" s="725"/>
      <c r="D3377" s="1937" t="s">
        <v>1522</v>
      </c>
      <c r="E3377" s="1938"/>
      <c r="F3377" s="1938"/>
      <c r="G3377" s="1938"/>
      <c r="H3377" s="1938"/>
      <c r="I3377" s="1939"/>
      <c r="J3377" s="1943">
        <f>R3376/J3376</f>
        <v>1</v>
      </c>
      <c r="K3377" s="1944"/>
      <c r="L3377" s="1947"/>
      <c r="M3377" s="1934" t="s">
        <v>1523</v>
      </c>
      <c r="N3377" s="1935"/>
      <c r="O3377" s="1935"/>
      <c r="P3377" s="1935"/>
      <c r="Q3377" s="1936"/>
      <c r="R3377" s="726">
        <f>VLOOKUP(A3378,'11 - FINANCEIRA'!_xlnm.Print_Area,8,FALSE)</f>
        <v>8</v>
      </c>
      <c r="S3377" s="727" t="str">
        <f>L3376</f>
        <v>und</v>
      </c>
      <c r="T3377" s="373"/>
      <c r="U3377" s="486"/>
      <c r="V3377" s="1418">
        <f t="shared" si="340"/>
        <v>0</v>
      </c>
      <c r="AB3377" s="15"/>
    </row>
    <row r="3378" spans="1:36" s="77" customFormat="1" ht="15.6" hidden="1">
      <c r="A3378" s="364" t="s">
        <v>650</v>
      </c>
      <c r="B3378" s="499"/>
      <c r="C3378" s="37"/>
      <c r="D3378" s="2013"/>
      <c r="E3378" s="2014"/>
      <c r="F3378" s="2014"/>
      <c r="G3378" s="2014"/>
      <c r="H3378" s="2014"/>
      <c r="I3378" s="2015"/>
      <c r="J3378" s="2016"/>
      <c r="K3378" s="2017"/>
      <c r="L3378" s="1962"/>
      <c r="M3378" s="2007" t="s">
        <v>1524</v>
      </c>
      <c r="N3378" s="2008"/>
      <c r="O3378" s="2008"/>
      <c r="P3378" s="2008"/>
      <c r="Q3378" s="2009"/>
      <c r="R3378" s="1345">
        <f>R3376-R3377</f>
        <v>0</v>
      </c>
      <c r="S3378" s="1346" t="str">
        <f>L3376</f>
        <v>und</v>
      </c>
      <c r="T3378" s="373"/>
      <c r="U3378" s="486"/>
      <c r="V3378" s="1418">
        <f>R3378</f>
        <v>0</v>
      </c>
      <c r="AB3378" s="15"/>
    </row>
    <row r="3379" spans="1:36" s="77" customFormat="1" ht="15.6" hidden="1">
      <c r="A3379" s="370"/>
      <c r="B3379" s="1347"/>
      <c r="C3379" s="1348"/>
      <c r="D3379" s="1349"/>
      <c r="E3379" s="1350"/>
      <c r="F3379" s="1349"/>
      <c r="G3379" s="1349"/>
      <c r="H3379" s="1349"/>
      <c r="I3379" s="1349"/>
      <c r="J3379" s="1351"/>
      <c r="K3379" s="1352"/>
      <c r="L3379" s="1353"/>
      <c r="M3379" s="1354"/>
      <c r="N3379" s="1354"/>
      <c r="O3379" s="1354"/>
      <c r="P3379" s="1354"/>
      <c r="Q3379" s="1354"/>
      <c r="R3379" s="1355"/>
      <c r="S3379" s="1356"/>
      <c r="T3379" s="1357"/>
      <c r="U3379" s="1358"/>
      <c r="V3379" s="1420">
        <f>SUM(V3370:V3378)</f>
        <v>0</v>
      </c>
      <c r="AB3379" s="15"/>
    </row>
    <row r="3380" spans="1:36" s="352" customFormat="1" ht="15.6" hidden="1">
      <c r="A3380" s="351"/>
      <c r="B3380" s="1963" t="str">
        <f>VLOOKUP(A3388,'11 - FINANCEIRA'!_xlnm.Print_Area,1,FALSE)</f>
        <v>2.5.2.8.4</v>
      </c>
      <c r="C3380" s="1965" t="str">
        <f>VLOOKUP(A3388,'11 - FINANCEIRA'!_xlnm.Print_Area,3,FALSE)</f>
        <v>Caixa de inspeção tipo solo em pvc com bocal interior quadrado articulado e borda exterior redonda ø 300 x300mm para passeios e pisos sujeitos a carga pesada. ref: tel-535, termotécnica ou similar.</v>
      </c>
      <c r="D3380" s="1967" t="s">
        <v>1503</v>
      </c>
      <c r="E3380" s="1968"/>
      <c r="F3380" s="1968"/>
      <c r="G3380" s="1968"/>
      <c r="H3380" s="1968"/>
      <c r="I3380" s="1969"/>
      <c r="J3380" s="1914" t="s">
        <v>1504</v>
      </c>
      <c r="K3380" s="1914" t="s">
        <v>1505</v>
      </c>
      <c r="L3380" s="1914" t="s">
        <v>1506</v>
      </c>
      <c r="M3380" s="1914" t="s">
        <v>1507</v>
      </c>
      <c r="N3380" s="1914" t="s">
        <v>1508</v>
      </c>
      <c r="O3380" s="1914" t="s">
        <v>1509</v>
      </c>
      <c r="P3380" s="1341" t="s">
        <v>1510</v>
      </c>
      <c r="Q3380" s="1914" t="s">
        <v>1493</v>
      </c>
      <c r="R3380" s="1916" t="s">
        <v>804</v>
      </c>
      <c r="S3380" s="1914" t="s">
        <v>1511</v>
      </c>
      <c r="T3380" s="1914" t="s">
        <v>1512</v>
      </c>
      <c r="U3380" s="1918" t="s">
        <v>1513</v>
      </c>
      <c r="V3380" s="1418">
        <f t="shared" ref="V3380:V3387" si="341">V3381</f>
        <v>0</v>
      </c>
      <c r="W3380" s="16"/>
      <c r="X3380" s="16"/>
      <c r="Y3380" s="16"/>
      <c r="Z3380" s="17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</row>
    <row r="3381" spans="1:36" s="352" customFormat="1" ht="15.6" hidden="1">
      <c r="A3381" s="351"/>
      <c r="B3381" s="1964" t="e">
        <f>LEFT(#REF!,5)</f>
        <v>#REF!</v>
      </c>
      <c r="C3381" s="1966" t="e">
        <f>VLOOKUP(LEFT(#REF!,5),'11 - FINANCEIRA'!_xlnm.Print_Area,2,FALSE)</f>
        <v>#REF!</v>
      </c>
      <c r="D3381" s="1920" t="s">
        <v>1514</v>
      </c>
      <c r="E3381" s="1921"/>
      <c r="F3381" s="1922"/>
      <c r="G3381" s="1923" t="s">
        <v>1515</v>
      </c>
      <c r="H3381" s="1924"/>
      <c r="I3381" s="1925"/>
      <c r="J3381" s="1915"/>
      <c r="K3381" s="1915"/>
      <c r="L3381" s="1915"/>
      <c r="M3381" s="1915"/>
      <c r="N3381" s="1915"/>
      <c r="O3381" s="1915"/>
      <c r="P3381" s="353" t="s">
        <v>1516</v>
      </c>
      <c r="Q3381" s="1915"/>
      <c r="R3381" s="1917"/>
      <c r="S3381" s="1915"/>
      <c r="T3381" s="1915"/>
      <c r="U3381" s="1919"/>
      <c r="V3381" s="1418">
        <f t="shared" si="341"/>
        <v>0</v>
      </c>
      <c r="W3381" s="16"/>
      <c r="X3381" s="16"/>
      <c r="Y3381" s="16"/>
      <c r="Z3381" s="17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</row>
    <row r="3382" spans="1:36" s="361" customFormat="1" ht="15" hidden="1" customHeight="1">
      <c r="A3382" s="354"/>
      <c r="B3382" s="355"/>
      <c r="C3382" s="28" t="s">
        <v>1268</v>
      </c>
      <c r="D3382" s="18"/>
      <c r="E3382" s="19"/>
      <c r="F3382" s="20"/>
      <c r="G3382" s="18"/>
      <c r="H3382" s="19"/>
      <c r="I3382" s="20"/>
      <c r="J3382" s="21"/>
      <c r="K3382" s="22"/>
      <c r="L3382" s="23"/>
      <c r="M3382" s="24"/>
      <c r="N3382" s="728"/>
      <c r="O3382" s="25"/>
      <c r="P3382" s="23"/>
      <c r="Q3382" s="729"/>
      <c r="R3382" s="1109">
        <v>9</v>
      </c>
      <c r="S3382" s="730" t="s">
        <v>816</v>
      </c>
      <c r="T3382" s="446" t="s">
        <v>322</v>
      </c>
      <c r="U3382" s="44"/>
      <c r="V3382" s="1418">
        <f t="shared" si="341"/>
        <v>0</v>
      </c>
      <c r="W3382" s="357"/>
      <c r="X3382" s="357"/>
      <c r="Y3382" s="357"/>
      <c r="Z3382" s="358"/>
      <c r="AA3382" s="359"/>
      <c r="AB3382" s="360"/>
    </row>
    <row r="3383" spans="1:36" s="361" customFormat="1" ht="15" hidden="1" customHeight="1">
      <c r="A3383" s="354"/>
      <c r="B3383" s="355"/>
      <c r="C3383" s="28" t="s">
        <v>1268</v>
      </c>
      <c r="D3383" s="18"/>
      <c r="E3383" s="19"/>
      <c r="F3383" s="20"/>
      <c r="G3383" s="18"/>
      <c r="H3383" s="19"/>
      <c r="I3383" s="20"/>
      <c r="J3383" s="21"/>
      <c r="K3383" s="22"/>
      <c r="L3383" s="23"/>
      <c r="M3383" s="24"/>
      <c r="N3383" s="728"/>
      <c r="O3383" s="25"/>
      <c r="P3383" s="23"/>
      <c r="Q3383" s="729"/>
      <c r="R3383" s="445">
        <v>18</v>
      </c>
      <c r="S3383" s="792" t="s">
        <v>816</v>
      </c>
      <c r="T3383" s="446" t="s">
        <v>324</v>
      </c>
      <c r="U3383" s="44"/>
      <c r="V3383" s="1418">
        <f t="shared" si="341"/>
        <v>0</v>
      </c>
      <c r="W3383" s="357"/>
      <c r="X3383" s="357"/>
      <c r="Y3383" s="357"/>
      <c r="Z3383" s="358"/>
      <c r="AA3383" s="359"/>
      <c r="AB3383" s="360"/>
    </row>
    <row r="3384" spans="1:36" s="369" customFormat="1" ht="15" hidden="1">
      <c r="A3384" s="364"/>
      <c r="B3384" s="355"/>
      <c r="C3384" s="32"/>
      <c r="D3384" s="33"/>
      <c r="E3384" s="34"/>
      <c r="F3384" s="35"/>
      <c r="G3384" s="33"/>
      <c r="H3384" s="34"/>
      <c r="I3384" s="35"/>
      <c r="J3384" s="43"/>
      <c r="K3384" s="42"/>
      <c r="L3384" s="39"/>
      <c r="M3384" s="41"/>
      <c r="N3384" s="40"/>
      <c r="O3384" s="40"/>
      <c r="P3384" s="39"/>
      <c r="Q3384" s="38"/>
      <c r="R3384" s="365"/>
      <c r="S3384" s="366"/>
      <c r="T3384" s="46"/>
      <c r="U3384" s="44"/>
      <c r="V3384" s="1418">
        <f t="shared" si="341"/>
        <v>0</v>
      </c>
      <c r="W3384" s="367"/>
      <c r="X3384" s="367"/>
      <c r="Y3384" s="367"/>
      <c r="Z3384" s="368"/>
    </row>
    <row r="3385" spans="1:36" s="77" customFormat="1" ht="15" hidden="1">
      <c r="A3385" s="370"/>
      <c r="B3385" s="29"/>
      <c r="C3385" s="30"/>
      <c r="D3385" s="18"/>
      <c r="E3385" s="19"/>
      <c r="F3385" s="20"/>
      <c r="G3385" s="18"/>
      <c r="H3385" s="19"/>
      <c r="I3385" s="20"/>
      <c r="J3385" s="21"/>
      <c r="K3385" s="22"/>
      <c r="L3385" s="23"/>
      <c r="M3385" s="24"/>
      <c r="N3385" s="25"/>
      <c r="O3385" s="25"/>
      <c r="P3385" s="23"/>
      <c r="Q3385" s="26"/>
      <c r="R3385" s="371"/>
      <c r="S3385" s="27"/>
      <c r="T3385" s="372"/>
      <c r="U3385" s="31"/>
      <c r="V3385" s="1418">
        <f t="shared" si="341"/>
        <v>0</v>
      </c>
      <c r="AB3385" s="15"/>
    </row>
    <row r="3386" spans="1:36" s="77" customFormat="1" ht="15.6" hidden="1">
      <c r="A3386" s="370"/>
      <c r="B3386" s="499"/>
      <c r="C3386" s="37"/>
      <c r="D3386" s="1929" t="s">
        <v>1520</v>
      </c>
      <c r="E3386" s="1930"/>
      <c r="F3386" s="1930"/>
      <c r="G3386" s="1930"/>
      <c r="H3386" s="1930"/>
      <c r="I3386" s="1931"/>
      <c r="J3386" s="1932">
        <f>VLOOKUP(A3388,'11 - FINANCEIRA'!_xlnm.Print_Area,6,FALSE)</f>
        <v>27</v>
      </c>
      <c r="K3386" s="1933"/>
      <c r="L3386" s="1343" t="str">
        <f>VLOOKUP(A3388,'11 - FINANCEIRA'!_xlnm.Print_Area,4,FALSE)</f>
        <v>und</v>
      </c>
      <c r="M3386" s="1934" t="s">
        <v>1521</v>
      </c>
      <c r="N3386" s="1935"/>
      <c r="O3386" s="1935"/>
      <c r="P3386" s="1935"/>
      <c r="Q3386" s="1936"/>
      <c r="R3386" s="726">
        <f>SUM(R3382:R3385)</f>
        <v>27</v>
      </c>
      <c r="S3386" s="1344" t="str">
        <f>L3386</f>
        <v>und</v>
      </c>
      <c r="T3386" s="373"/>
      <c r="U3386" s="486"/>
      <c r="V3386" s="1418">
        <f t="shared" si="341"/>
        <v>0</v>
      </c>
      <c r="AB3386" s="15"/>
    </row>
    <row r="3387" spans="1:36" s="77" customFormat="1" ht="15.6" hidden="1">
      <c r="A3387" s="370"/>
      <c r="B3387" s="499"/>
      <c r="C3387" s="725"/>
      <c r="D3387" s="1937" t="s">
        <v>1522</v>
      </c>
      <c r="E3387" s="1938"/>
      <c r="F3387" s="1938"/>
      <c r="G3387" s="1938"/>
      <c r="H3387" s="1938"/>
      <c r="I3387" s="1939"/>
      <c r="J3387" s="1943">
        <f>R3386/J3386</f>
        <v>1</v>
      </c>
      <c r="K3387" s="1944"/>
      <c r="L3387" s="1947"/>
      <c r="M3387" s="1934" t="s">
        <v>1523</v>
      </c>
      <c r="N3387" s="1935"/>
      <c r="O3387" s="1935"/>
      <c r="P3387" s="1935"/>
      <c r="Q3387" s="1936"/>
      <c r="R3387" s="726">
        <f>VLOOKUP(A3388,'11 - FINANCEIRA'!_xlnm.Print_Area,8,FALSE)</f>
        <v>27</v>
      </c>
      <c r="S3387" s="727" t="str">
        <f>L3386</f>
        <v>und</v>
      </c>
      <c r="T3387" s="373"/>
      <c r="U3387" s="486"/>
      <c r="V3387" s="1418">
        <f t="shared" si="341"/>
        <v>0</v>
      </c>
      <c r="AB3387" s="15"/>
    </row>
    <row r="3388" spans="1:36" s="77" customFormat="1" ht="15.6" hidden="1">
      <c r="A3388" s="364" t="s">
        <v>651</v>
      </c>
      <c r="B3388" s="499"/>
      <c r="C3388" s="37"/>
      <c r="D3388" s="2013"/>
      <c r="E3388" s="2014"/>
      <c r="F3388" s="2014"/>
      <c r="G3388" s="2014"/>
      <c r="H3388" s="2014"/>
      <c r="I3388" s="2015"/>
      <c r="J3388" s="2016"/>
      <c r="K3388" s="2017"/>
      <c r="L3388" s="1962"/>
      <c r="M3388" s="2007" t="s">
        <v>1524</v>
      </c>
      <c r="N3388" s="2008"/>
      <c r="O3388" s="2008"/>
      <c r="P3388" s="2008"/>
      <c r="Q3388" s="2009"/>
      <c r="R3388" s="1345">
        <f>R3386-R3387</f>
        <v>0</v>
      </c>
      <c r="S3388" s="1346" t="str">
        <f>L3386</f>
        <v>und</v>
      </c>
      <c r="T3388" s="373"/>
      <c r="U3388" s="486"/>
      <c r="V3388" s="1418">
        <f>R3388</f>
        <v>0</v>
      </c>
      <c r="AB3388" s="15"/>
    </row>
    <row r="3389" spans="1:36" s="77" customFormat="1" ht="15.6" hidden="1">
      <c r="A3389" s="370"/>
      <c r="B3389" s="1347"/>
      <c r="C3389" s="1348"/>
      <c r="D3389" s="1349"/>
      <c r="E3389" s="1350"/>
      <c r="F3389" s="1349"/>
      <c r="G3389" s="1349"/>
      <c r="H3389" s="1349"/>
      <c r="I3389" s="1349"/>
      <c r="J3389" s="1351"/>
      <c r="K3389" s="1352"/>
      <c r="L3389" s="1353"/>
      <c r="M3389" s="1354"/>
      <c r="N3389" s="1354"/>
      <c r="O3389" s="1354"/>
      <c r="P3389" s="1354"/>
      <c r="Q3389" s="1354"/>
      <c r="R3389" s="1355"/>
      <c r="S3389" s="1356"/>
      <c r="T3389" s="1357"/>
      <c r="U3389" s="1358"/>
      <c r="V3389" s="1420">
        <f>SUM(V3380:V3388)</f>
        <v>0</v>
      </c>
      <c r="AB3389" s="15"/>
    </row>
    <row r="3390" spans="1:36" s="352" customFormat="1" ht="15.6" hidden="1">
      <c r="A3390" s="351"/>
      <c r="B3390" s="1963" t="str">
        <f>VLOOKUP(A3398,'11 - FINANCEIRA'!_xlnm.Print_Area,1,FALSE)</f>
        <v>2.5.2.8.5</v>
      </c>
      <c r="C3390" s="1965" t="str">
        <f>VLOOKUP(A3398,'11 - FINANCEIRA'!_xlnm.Print_Area,3,FALSE)</f>
        <v>Tampa reforçada em ferro fundido com escotilha tel 536, inclusive assentamento, marca de referência termotécnica ou equivalente</v>
      </c>
      <c r="D3390" s="1967" t="s">
        <v>1503</v>
      </c>
      <c r="E3390" s="1968"/>
      <c r="F3390" s="1968"/>
      <c r="G3390" s="1968"/>
      <c r="H3390" s="1968"/>
      <c r="I3390" s="1969"/>
      <c r="J3390" s="1914" t="s">
        <v>1504</v>
      </c>
      <c r="K3390" s="1914" t="s">
        <v>1505</v>
      </c>
      <c r="L3390" s="1914" t="s">
        <v>1506</v>
      </c>
      <c r="M3390" s="1914" t="s">
        <v>1507</v>
      </c>
      <c r="N3390" s="1914" t="s">
        <v>1508</v>
      </c>
      <c r="O3390" s="1914" t="s">
        <v>1509</v>
      </c>
      <c r="P3390" s="1341" t="s">
        <v>1510</v>
      </c>
      <c r="Q3390" s="1914" t="s">
        <v>1493</v>
      </c>
      <c r="R3390" s="1916" t="s">
        <v>804</v>
      </c>
      <c r="S3390" s="1914" t="s">
        <v>1511</v>
      </c>
      <c r="T3390" s="1914" t="s">
        <v>1512</v>
      </c>
      <c r="U3390" s="1918" t="s">
        <v>1513</v>
      </c>
      <c r="V3390" s="1418">
        <f t="shared" ref="V3390:V3397" si="342">V3391</f>
        <v>0</v>
      </c>
      <c r="W3390" s="16"/>
      <c r="X3390" s="16"/>
      <c r="Y3390" s="16"/>
      <c r="Z3390" s="17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</row>
    <row r="3391" spans="1:36" s="352" customFormat="1" ht="15.6" hidden="1">
      <c r="A3391" s="351"/>
      <c r="B3391" s="1964" t="e">
        <f>LEFT(#REF!,5)</f>
        <v>#REF!</v>
      </c>
      <c r="C3391" s="1966" t="e">
        <f>VLOOKUP(LEFT(#REF!,5),'11 - FINANCEIRA'!_xlnm.Print_Area,2,FALSE)</f>
        <v>#REF!</v>
      </c>
      <c r="D3391" s="1920" t="s">
        <v>1514</v>
      </c>
      <c r="E3391" s="1921"/>
      <c r="F3391" s="1922"/>
      <c r="G3391" s="1923" t="s">
        <v>1515</v>
      </c>
      <c r="H3391" s="1924"/>
      <c r="I3391" s="1925"/>
      <c r="J3391" s="1915"/>
      <c r="K3391" s="1915"/>
      <c r="L3391" s="1915"/>
      <c r="M3391" s="1915"/>
      <c r="N3391" s="1915"/>
      <c r="O3391" s="1915"/>
      <c r="P3391" s="353" t="s">
        <v>1516</v>
      </c>
      <c r="Q3391" s="1915"/>
      <c r="R3391" s="1917"/>
      <c r="S3391" s="1915"/>
      <c r="T3391" s="1915"/>
      <c r="U3391" s="1919"/>
      <c r="V3391" s="1418">
        <f t="shared" si="342"/>
        <v>0</v>
      </c>
      <c r="W3391" s="16"/>
      <c r="X3391" s="16"/>
      <c r="Y3391" s="16"/>
      <c r="Z3391" s="17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</row>
    <row r="3392" spans="1:36" s="361" customFormat="1" ht="30" hidden="1">
      <c r="A3392" s="354"/>
      <c r="B3392" s="355"/>
      <c r="C3392" s="32" t="s">
        <v>164</v>
      </c>
      <c r="D3392" s="33"/>
      <c r="E3392" s="34"/>
      <c r="F3392" s="35"/>
      <c r="G3392" s="33"/>
      <c r="H3392" s="34"/>
      <c r="I3392" s="35"/>
      <c r="J3392" s="43"/>
      <c r="K3392" s="42"/>
      <c r="L3392" s="39"/>
      <c r="M3392" s="41"/>
      <c r="N3392" s="356"/>
      <c r="O3392" s="40"/>
      <c r="P3392" s="39"/>
      <c r="Q3392" s="45"/>
      <c r="R3392" s="1359">
        <v>27</v>
      </c>
      <c r="S3392" s="1265" t="s">
        <v>816</v>
      </c>
      <c r="T3392" s="46" t="s">
        <v>331</v>
      </c>
      <c r="U3392" s="44"/>
      <c r="V3392" s="1418">
        <f t="shared" si="342"/>
        <v>0</v>
      </c>
      <c r="W3392" s="357"/>
      <c r="X3392" s="357"/>
      <c r="Y3392" s="357"/>
      <c r="Z3392" s="358"/>
      <c r="AA3392" s="359"/>
      <c r="AB3392" s="360"/>
    </row>
    <row r="3393" spans="1:36" s="361" customFormat="1" ht="15" hidden="1" customHeight="1">
      <c r="A3393" s="354"/>
      <c r="B3393" s="355"/>
      <c r="C3393" s="32"/>
      <c r="D3393" s="33"/>
      <c r="E3393" s="34"/>
      <c r="F3393" s="35"/>
      <c r="G3393" s="33"/>
      <c r="H3393" s="34"/>
      <c r="I3393" s="35"/>
      <c r="J3393" s="43"/>
      <c r="K3393" s="42"/>
      <c r="L3393" s="39"/>
      <c r="M3393" s="41"/>
      <c r="N3393" s="356"/>
      <c r="O3393" s="40"/>
      <c r="P3393" s="39"/>
      <c r="Q3393" s="45"/>
      <c r="R3393" s="362"/>
      <c r="S3393" s="792"/>
      <c r="T3393" s="446"/>
      <c r="U3393" s="44"/>
      <c r="V3393" s="1418">
        <f t="shared" si="342"/>
        <v>0</v>
      </c>
      <c r="W3393" s="357"/>
      <c r="X3393" s="357"/>
      <c r="Y3393" s="357"/>
      <c r="Z3393" s="358"/>
      <c r="AA3393" s="359"/>
      <c r="AB3393" s="360"/>
    </row>
    <row r="3394" spans="1:36" s="369" customFormat="1" ht="15" hidden="1">
      <c r="A3394" s="364"/>
      <c r="B3394" s="355"/>
      <c r="C3394" s="32"/>
      <c r="D3394" s="33"/>
      <c r="E3394" s="34"/>
      <c r="F3394" s="35"/>
      <c r="G3394" s="33"/>
      <c r="H3394" s="34"/>
      <c r="I3394" s="35"/>
      <c r="J3394" s="43"/>
      <c r="K3394" s="42"/>
      <c r="L3394" s="39"/>
      <c r="M3394" s="41"/>
      <c r="N3394" s="40"/>
      <c r="O3394" s="40"/>
      <c r="P3394" s="39"/>
      <c r="Q3394" s="38"/>
      <c r="R3394" s="365"/>
      <c r="S3394" s="447"/>
      <c r="T3394" s="446"/>
      <c r="U3394" s="44"/>
      <c r="V3394" s="1418">
        <f t="shared" si="342"/>
        <v>0</v>
      </c>
      <c r="W3394" s="367"/>
      <c r="X3394" s="367"/>
      <c r="Y3394" s="367"/>
      <c r="Z3394" s="368"/>
    </row>
    <row r="3395" spans="1:36" s="77" customFormat="1" ht="15" hidden="1">
      <c r="A3395" s="370"/>
      <c r="B3395" s="29"/>
      <c r="C3395" s="30"/>
      <c r="D3395" s="18"/>
      <c r="E3395" s="19"/>
      <c r="F3395" s="20"/>
      <c r="G3395" s="18"/>
      <c r="H3395" s="19"/>
      <c r="I3395" s="20"/>
      <c r="J3395" s="21"/>
      <c r="K3395" s="22"/>
      <c r="L3395" s="23"/>
      <c r="M3395" s="24"/>
      <c r="N3395" s="25"/>
      <c r="O3395" s="25"/>
      <c r="P3395" s="23"/>
      <c r="Q3395" s="26"/>
      <c r="R3395" s="371"/>
      <c r="S3395" s="27"/>
      <c r="T3395" s="372"/>
      <c r="U3395" s="31"/>
      <c r="V3395" s="1418">
        <f t="shared" si="342"/>
        <v>0</v>
      </c>
      <c r="AB3395" s="15"/>
    </row>
    <row r="3396" spans="1:36" s="77" customFormat="1" ht="15.6" hidden="1">
      <c r="A3396" s="370"/>
      <c r="B3396" s="499"/>
      <c r="C3396" s="37"/>
      <c r="D3396" s="1929" t="s">
        <v>1520</v>
      </c>
      <c r="E3396" s="1930"/>
      <c r="F3396" s="1930"/>
      <c r="G3396" s="1930"/>
      <c r="H3396" s="1930"/>
      <c r="I3396" s="1931"/>
      <c r="J3396" s="1932">
        <f>VLOOKUP(A3398,'11 - FINANCEIRA'!_xlnm.Print_Area,6,FALSE)</f>
        <v>27</v>
      </c>
      <c r="K3396" s="1933"/>
      <c r="L3396" s="1343" t="str">
        <f>VLOOKUP(A3398,'11 - FINANCEIRA'!_xlnm.Print_Area,4,FALSE)</f>
        <v>und</v>
      </c>
      <c r="M3396" s="1934" t="s">
        <v>1521</v>
      </c>
      <c r="N3396" s="1935"/>
      <c r="O3396" s="1935"/>
      <c r="P3396" s="1935"/>
      <c r="Q3396" s="1936"/>
      <c r="R3396" s="726">
        <f>SUM(R3392:R3395)</f>
        <v>27</v>
      </c>
      <c r="S3396" s="1344" t="str">
        <f>L3396</f>
        <v>und</v>
      </c>
      <c r="T3396" s="373"/>
      <c r="U3396" s="486"/>
      <c r="V3396" s="1418">
        <f t="shared" si="342"/>
        <v>0</v>
      </c>
      <c r="AB3396" s="15"/>
    </row>
    <row r="3397" spans="1:36" s="77" customFormat="1" ht="15.6" hidden="1">
      <c r="A3397" s="370"/>
      <c r="B3397" s="499"/>
      <c r="C3397" s="725"/>
      <c r="D3397" s="1937" t="s">
        <v>1522</v>
      </c>
      <c r="E3397" s="1938"/>
      <c r="F3397" s="1938"/>
      <c r="G3397" s="1938"/>
      <c r="H3397" s="1938"/>
      <c r="I3397" s="1939"/>
      <c r="J3397" s="1943">
        <f>R3396/J3396</f>
        <v>1</v>
      </c>
      <c r="K3397" s="1944"/>
      <c r="L3397" s="1947"/>
      <c r="M3397" s="1934" t="s">
        <v>1523</v>
      </c>
      <c r="N3397" s="1935"/>
      <c r="O3397" s="1935"/>
      <c r="P3397" s="1935"/>
      <c r="Q3397" s="1936"/>
      <c r="R3397" s="726">
        <f>VLOOKUP(A3398,'11 - FINANCEIRA'!_xlnm.Print_Area,8,FALSE)</f>
        <v>27</v>
      </c>
      <c r="S3397" s="727" t="str">
        <f>L3396</f>
        <v>und</v>
      </c>
      <c r="T3397" s="373"/>
      <c r="U3397" s="486"/>
      <c r="V3397" s="1418">
        <f t="shared" si="342"/>
        <v>0</v>
      </c>
      <c r="AB3397" s="15"/>
    </row>
    <row r="3398" spans="1:36" s="77" customFormat="1" ht="15.6" hidden="1">
      <c r="A3398" s="364" t="s">
        <v>652</v>
      </c>
      <c r="B3398" s="499"/>
      <c r="C3398" s="37"/>
      <c r="D3398" s="2013"/>
      <c r="E3398" s="2014"/>
      <c r="F3398" s="2014"/>
      <c r="G3398" s="2014"/>
      <c r="H3398" s="2014"/>
      <c r="I3398" s="2015"/>
      <c r="J3398" s="2016"/>
      <c r="K3398" s="2017"/>
      <c r="L3398" s="1962"/>
      <c r="M3398" s="2007" t="s">
        <v>1524</v>
      </c>
      <c r="N3398" s="2008"/>
      <c r="O3398" s="2008"/>
      <c r="P3398" s="2008"/>
      <c r="Q3398" s="2009"/>
      <c r="R3398" s="1345">
        <f>R3396-R3397</f>
        <v>0</v>
      </c>
      <c r="S3398" s="1346" t="str">
        <f>L3396</f>
        <v>und</v>
      </c>
      <c r="T3398" s="373"/>
      <c r="U3398" s="486"/>
      <c r="V3398" s="1418">
        <f>R3398</f>
        <v>0</v>
      </c>
      <c r="AB3398" s="15"/>
    </row>
    <row r="3399" spans="1:36" s="77" customFormat="1" ht="15.6" hidden="1">
      <c r="A3399" s="370"/>
      <c r="B3399" s="1347"/>
      <c r="C3399" s="1348"/>
      <c r="D3399" s="1349"/>
      <c r="E3399" s="1350"/>
      <c r="F3399" s="1349"/>
      <c r="G3399" s="1349"/>
      <c r="H3399" s="1349"/>
      <c r="I3399" s="1349"/>
      <c r="J3399" s="1351"/>
      <c r="K3399" s="1352"/>
      <c r="L3399" s="1353"/>
      <c r="M3399" s="1354"/>
      <c r="N3399" s="1354"/>
      <c r="O3399" s="1354"/>
      <c r="P3399" s="1354"/>
      <c r="Q3399" s="1354"/>
      <c r="R3399" s="1355"/>
      <c r="S3399" s="1356"/>
      <c r="T3399" s="1357"/>
      <c r="U3399" s="1358"/>
      <c r="V3399" s="1420">
        <f>SUM(V3390:V3398)</f>
        <v>0</v>
      </c>
      <c r="AB3399" s="15"/>
    </row>
    <row r="3400" spans="1:36" s="352" customFormat="1" ht="15.6" hidden="1">
      <c r="A3400" s="351"/>
      <c r="B3400" s="1963" t="str">
        <f>VLOOKUP(A3408,'11 - FINANCEIRA'!_xlnm.Print_Area,1,FALSE)</f>
        <v>2.5.2.8.6</v>
      </c>
      <c r="C3400" s="1965" t="str">
        <f>VLOOKUP(A3408,'11 - FINANCEIRA'!_xlnm.Print_Area,3,FALSE)</f>
        <v>Haste de terra tipo copperweld - 5/8" x 2.40m</v>
      </c>
      <c r="D3400" s="1967" t="s">
        <v>1503</v>
      </c>
      <c r="E3400" s="1968"/>
      <c r="F3400" s="1968"/>
      <c r="G3400" s="1968"/>
      <c r="H3400" s="1968"/>
      <c r="I3400" s="1969"/>
      <c r="J3400" s="1914" t="s">
        <v>1504</v>
      </c>
      <c r="K3400" s="1914" t="s">
        <v>1505</v>
      </c>
      <c r="L3400" s="1914" t="s">
        <v>1506</v>
      </c>
      <c r="M3400" s="1914" t="s">
        <v>1507</v>
      </c>
      <c r="N3400" s="1914" t="s">
        <v>1508</v>
      </c>
      <c r="O3400" s="1914" t="s">
        <v>1509</v>
      </c>
      <c r="P3400" s="1341" t="s">
        <v>1510</v>
      </c>
      <c r="Q3400" s="1914" t="s">
        <v>1493</v>
      </c>
      <c r="R3400" s="1916" t="s">
        <v>804</v>
      </c>
      <c r="S3400" s="1914" t="s">
        <v>1511</v>
      </c>
      <c r="T3400" s="1914" t="s">
        <v>1512</v>
      </c>
      <c r="U3400" s="1918" t="s">
        <v>1513</v>
      </c>
      <c r="V3400" s="1418">
        <f t="shared" ref="V3400:V3407" si="343">V3401</f>
        <v>0</v>
      </c>
      <c r="W3400" s="16"/>
      <c r="X3400" s="16"/>
      <c r="Y3400" s="16"/>
      <c r="Z3400" s="17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</row>
    <row r="3401" spans="1:36" s="352" customFormat="1" ht="15.6" hidden="1">
      <c r="A3401" s="351"/>
      <c r="B3401" s="1964" t="e">
        <f>LEFT(#REF!,5)</f>
        <v>#REF!</v>
      </c>
      <c r="C3401" s="1966" t="e">
        <f>VLOOKUP(LEFT(#REF!,5),'11 - FINANCEIRA'!_xlnm.Print_Area,2,FALSE)</f>
        <v>#REF!</v>
      </c>
      <c r="D3401" s="1920" t="s">
        <v>1514</v>
      </c>
      <c r="E3401" s="1921"/>
      <c r="F3401" s="1922"/>
      <c r="G3401" s="1923" t="s">
        <v>1515</v>
      </c>
      <c r="H3401" s="1924"/>
      <c r="I3401" s="1925"/>
      <c r="J3401" s="1915"/>
      <c r="K3401" s="1915"/>
      <c r="L3401" s="1915"/>
      <c r="M3401" s="1915"/>
      <c r="N3401" s="1915"/>
      <c r="O3401" s="1915"/>
      <c r="P3401" s="353" t="s">
        <v>1516</v>
      </c>
      <c r="Q3401" s="1915"/>
      <c r="R3401" s="1917"/>
      <c r="S3401" s="1915"/>
      <c r="T3401" s="1915"/>
      <c r="U3401" s="1919"/>
      <c r="V3401" s="1418">
        <f t="shared" si="343"/>
        <v>0</v>
      </c>
      <c r="W3401" s="16"/>
      <c r="X3401" s="16"/>
      <c r="Y3401" s="16"/>
      <c r="Z3401" s="17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</row>
    <row r="3402" spans="1:36" s="361" customFormat="1" ht="15" hidden="1" customHeight="1">
      <c r="A3402" s="354"/>
      <c r="B3402" s="355"/>
      <c r="C3402" s="28" t="s">
        <v>1271</v>
      </c>
      <c r="D3402" s="18"/>
      <c r="E3402" s="19"/>
      <c r="F3402" s="20"/>
      <c r="G3402" s="18"/>
      <c r="H3402" s="19"/>
      <c r="I3402" s="20"/>
      <c r="J3402" s="21"/>
      <c r="K3402" s="22"/>
      <c r="L3402" s="23"/>
      <c r="M3402" s="24"/>
      <c r="N3402" s="728"/>
      <c r="O3402" s="25"/>
      <c r="P3402" s="23"/>
      <c r="Q3402" s="729"/>
      <c r="R3402" s="1109">
        <v>9</v>
      </c>
      <c r="S3402" s="730" t="s">
        <v>816</v>
      </c>
      <c r="T3402" s="446" t="s">
        <v>322</v>
      </c>
      <c r="U3402" s="44"/>
      <c r="V3402" s="1418">
        <f t="shared" si="343"/>
        <v>0</v>
      </c>
      <c r="W3402" s="357"/>
      <c r="X3402" s="357"/>
      <c r="Y3402" s="357"/>
      <c r="Z3402" s="358"/>
      <c r="AA3402" s="359"/>
      <c r="AB3402" s="360"/>
    </row>
    <row r="3403" spans="1:36" s="361" customFormat="1" ht="15" hidden="1" customHeight="1">
      <c r="A3403" s="354"/>
      <c r="B3403" s="355"/>
      <c r="C3403" s="28" t="s">
        <v>1271</v>
      </c>
      <c r="D3403" s="18"/>
      <c r="E3403" s="19"/>
      <c r="F3403" s="20"/>
      <c r="G3403" s="18"/>
      <c r="H3403" s="19"/>
      <c r="I3403" s="20"/>
      <c r="J3403" s="21"/>
      <c r="K3403" s="22"/>
      <c r="L3403" s="23"/>
      <c r="M3403" s="24"/>
      <c r="N3403" s="728"/>
      <c r="O3403" s="25"/>
      <c r="P3403" s="23"/>
      <c r="Q3403" s="729"/>
      <c r="R3403" s="445">
        <v>18</v>
      </c>
      <c r="S3403" s="792" t="s">
        <v>816</v>
      </c>
      <c r="T3403" s="446" t="s">
        <v>324</v>
      </c>
      <c r="U3403" s="44"/>
      <c r="V3403" s="1418">
        <f t="shared" si="343"/>
        <v>0</v>
      </c>
      <c r="W3403" s="357"/>
      <c r="X3403" s="357"/>
      <c r="Y3403" s="357"/>
      <c r="Z3403" s="358"/>
      <c r="AA3403" s="359"/>
      <c r="AB3403" s="360"/>
    </row>
    <row r="3404" spans="1:36" s="369" customFormat="1" ht="15" hidden="1">
      <c r="A3404" s="364"/>
      <c r="B3404" s="355"/>
      <c r="C3404" s="32"/>
      <c r="D3404" s="33"/>
      <c r="E3404" s="34"/>
      <c r="F3404" s="35"/>
      <c r="G3404" s="33"/>
      <c r="H3404" s="34"/>
      <c r="I3404" s="35"/>
      <c r="J3404" s="43"/>
      <c r="K3404" s="42"/>
      <c r="L3404" s="39"/>
      <c r="M3404" s="41"/>
      <c r="N3404" s="40"/>
      <c r="O3404" s="40"/>
      <c r="P3404" s="39"/>
      <c r="Q3404" s="38"/>
      <c r="R3404" s="365"/>
      <c r="S3404" s="366"/>
      <c r="T3404" s="46"/>
      <c r="U3404" s="44"/>
      <c r="V3404" s="1418">
        <f t="shared" si="343"/>
        <v>0</v>
      </c>
      <c r="W3404" s="367"/>
      <c r="X3404" s="367"/>
      <c r="Y3404" s="367"/>
      <c r="Z3404" s="368"/>
    </row>
    <row r="3405" spans="1:36" s="77" customFormat="1" ht="15" hidden="1">
      <c r="A3405" s="370"/>
      <c r="B3405" s="29"/>
      <c r="C3405" s="30"/>
      <c r="D3405" s="18"/>
      <c r="E3405" s="19"/>
      <c r="F3405" s="20"/>
      <c r="G3405" s="18"/>
      <c r="H3405" s="19"/>
      <c r="I3405" s="20"/>
      <c r="J3405" s="21"/>
      <c r="K3405" s="22"/>
      <c r="L3405" s="23"/>
      <c r="M3405" s="24"/>
      <c r="N3405" s="25"/>
      <c r="O3405" s="25"/>
      <c r="P3405" s="23"/>
      <c r="Q3405" s="26"/>
      <c r="R3405" s="371"/>
      <c r="S3405" s="27"/>
      <c r="T3405" s="372"/>
      <c r="U3405" s="31"/>
      <c r="V3405" s="1418">
        <f t="shared" si="343"/>
        <v>0</v>
      </c>
      <c r="AB3405" s="15"/>
    </row>
    <row r="3406" spans="1:36" s="77" customFormat="1" ht="15.6" hidden="1">
      <c r="A3406" s="370"/>
      <c r="B3406" s="499"/>
      <c r="C3406" s="37"/>
      <c r="D3406" s="1929" t="s">
        <v>1520</v>
      </c>
      <c r="E3406" s="1930"/>
      <c r="F3406" s="1930"/>
      <c r="G3406" s="1930"/>
      <c r="H3406" s="1930"/>
      <c r="I3406" s="1931"/>
      <c r="J3406" s="1932">
        <f>VLOOKUP(A3408,'11 - FINANCEIRA'!_xlnm.Print_Area,6,FALSE)</f>
        <v>27</v>
      </c>
      <c r="K3406" s="1933"/>
      <c r="L3406" s="1343" t="str">
        <f>VLOOKUP(A3408,'11 - FINANCEIRA'!_xlnm.Print_Area,4,FALSE)</f>
        <v>und</v>
      </c>
      <c r="M3406" s="1934" t="s">
        <v>1521</v>
      </c>
      <c r="N3406" s="1935"/>
      <c r="O3406" s="1935"/>
      <c r="P3406" s="1935"/>
      <c r="Q3406" s="1936"/>
      <c r="R3406" s="726">
        <f>SUM(R3402:R3405)</f>
        <v>27</v>
      </c>
      <c r="S3406" s="1344" t="str">
        <f>L3406</f>
        <v>und</v>
      </c>
      <c r="T3406" s="373"/>
      <c r="U3406" s="486"/>
      <c r="V3406" s="1418">
        <f t="shared" si="343"/>
        <v>0</v>
      </c>
      <c r="AB3406" s="15"/>
    </row>
    <row r="3407" spans="1:36" s="77" customFormat="1" ht="15.6" hidden="1">
      <c r="A3407" s="370"/>
      <c r="B3407" s="499"/>
      <c r="C3407" s="725"/>
      <c r="D3407" s="1937" t="s">
        <v>1522</v>
      </c>
      <c r="E3407" s="1938"/>
      <c r="F3407" s="1938"/>
      <c r="G3407" s="1938"/>
      <c r="H3407" s="1938"/>
      <c r="I3407" s="1939"/>
      <c r="J3407" s="1943">
        <f>R3406/J3406</f>
        <v>1</v>
      </c>
      <c r="K3407" s="1944"/>
      <c r="L3407" s="1947"/>
      <c r="M3407" s="1934" t="s">
        <v>1523</v>
      </c>
      <c r="N3407" s="1935"/>
      <c r="O3407" s="1935"/>
      <c r="P3407" s="1935"/>
      <c r="Q3407" s="1936"/>
      <c r="R3407" s="726">
        <f>VLOOKUP(A3408,'11 - FINANCEIRA'!_xlnm.Print_Area,8,FALSE)</f>
        <v>27</v>
      </c>
      <c r="S3407" s="727" t="str">
        <f>L3406</f>
        <v>und</v>
      </c>
      <c r="T3407" s="373"/>
      <c r="U3407" s="486"/>
      <c r="V3407" s="1418">
        <f t="shared" si="343"/>
        <v>0</v>
      </c>
      <c r="AB3407" s="15"/>
    </row>
    <row r="3408" spans="1:36" s="77" customFormat="1" ht="15.6" hidden="1">
      <c r="A3408" s="364" t="s">
        <v>653</v>
      </c>
      <c r="B3408" s="499"/>
      <c r="C3408" s="37"/>
      <c r="D3408" s="2013"/>
      <c r="E3408" s="2014"/>
      <c r="F3408" s="2014"/>
      <c r="G3408" s="2014"/>
      <c r="H3408" s="2014"/>
      <c r="I3408" s="2015"/>
      <c r="J3408" s="2016"/>
      <c r="K3408" s="2017"/>
      <c r="L3408" s="1962"/>
      <c r="M3408" s="2007" t="s">
        <v>1524</v>
      </c>
      <c r="N3408" s="2008"/>
      <c r="O3408" s="2008"/>
      <c r="P3408" s="2008"/>
      <c r="Q3408" s="2009"/>
      <c r="R3408" s="1345">
        <f>R3406-R3407</f>
        <v>0</v>
      </c>
      <c r="S3408" s="1346" t="str">
        <f>L3406</f>
        <v>und</v>
      </c>
      <c r="T3408" s="373"/>
      <c r="U3408" s="486"/>
      <c r="V3408" s="1418">
        <f>R3408</f>
        <v>0</v>
      </c>
      <c r="AB3408" s="15"/>
    </row>
    <row r="3409" spans="1:36" s="77" customFormat="1" ht="15.6" hidden="1">
      <c r="A3409" s="370"/>
      <c r="B3409" s="1347"/>
      <c r="C3409" s="1348"/>
      <c r="D3409" s="1349"/>
      <c r="E3409" s="1350"/>
      <c r="F3409" s="1349"/>
      <c r="G3409" s="1349"/>
      <c r="H3409" s="1349"/>
      <c r="I3409" s="1349"/>
      <c r="J3409" s="1351"/>
      <c r="K3409" s="1352"/>
      <c r="L3409" s="1353"/>
      <c r="M3409" s="1354"/>
      <c r="N3409" s="1354"/>
      <c r="O3409" s="1354"/>
      <c r="P3409" s="1354"/>
      <c r="Q3409" s="1354"/>
      <c r="R3409" s="1355"/>
      <c r="S3409" s="1356"/>
      <c r="T3409" s="1357"/>
      <c r="U3409" s="1358"/>
      <c r="V3409" s="1420">
        <f>SUM(V3400:V3408)</f>
        <v>0</v>
      </c>
      <c r="AB3409" s="15"/>
    </row>
    <row r="3410" spans="1:36" s="352" customFormat="1" ht="15.6" hidden="1">
      <c r="A3410" s="351"/>
      <c r="B3410" s="1963" t="str">
        <f>VLOOKUP(A3418,'11 - FINANCEIRA'!_xlnm.Print_Area,1,FALSE)</f>
        <v>2.5.2.8.7</v>
      </c>
      <c r="C3410" s="1965" t="str">
        <f>VLOOKUP(A3418,'11 - FINANCEIRA'!_xlnm.Print_Area,3,FALSE)</f>
        <v>Kit completo para solda exotérmica (molde hcl 5/8" ref: tel905611 / cartucho n° 115 ref: tel 909115 / alicate z 201 ref: tel 998201), marca de referência termotécnica ou equivalente inclusive conexões</v>
      </c>
      <c r="D3410" s="1967" t="s">
        <v>1503</v>
      </c>
      <c r="E3410" s="1968"/>
      <c r="F3410" s="1968"/>
      <c r="G3410" s="1968"/>
      <c r="H3410" s="1968"/>
      <c r="I3410" s="1969"/>
      <c r="J3410" s="1914" t="s">
        <v>1504</v>
      </c>
      <c r="K3410" s="1914" t="s">
        <v>1505</v>
      </c>
      <c r="L3410" s="1914" t="s">
        <v>1506</v>
      </c>
      <c r="M3410" s="1914" t="s">
        <v>1507</v>
      </c>
      <c r="N3410" s="1914" t="s">
        <v>1508</v>
      </c>
      <c r="O3410" s="1914" t="s">
        <v>1509</v>
      </c>
      <c r="P3410" s="1341" t="s">
        <v>1510</v>
      </c>
      <c r="Q3410" s="1914" t="s">
        <v>1493</v>
      </c>
      <c r="R3410" s="1916" t="s">
        <v>804</v>
      </c>
      <c r="S3410" s="1914" t="s">
        <v>1511</v>
      </c>
      <c r="T3410" s="1914" t="s">
        <v>1512</v>
      </c>
      <c r="U3410" s="1918" t="s">
        <v>1513</v>
      </c>
      <c r="V3410" s="1418">
        <f t="shared" ref="V3410:V3417" si="344">V3411</f>
        <v>0</v>
      </c>
      <c r="W3410" s="16"/>
      <c r="X3410" s="16"/>
      <c r="Y3410" s="16"/>
      <c r="Z3410" s="17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</row>
    <row r="3411" spans="1:36" s="352" customFormat="1" ht="15.6" hidden="1">
      <c r="A3411" s="351"/>
      <c r="B3411" s="1964" t="e">
        <f>LEFT(#REF!,5)</f>
        <v>#REF!</v>
      </c>
      <c r="C3411" s="1966" t="e">
        <f>VLOOKUP(LEFT(#REF!,5),'11 - FINANCEIRA'!_xlnm.Print_Area,2,FALSE)</f>
        <v>#REF!</v>
      </c>
      <c r="D3411" s="1920" t="s">
        <v>1514</v>
      </c>
      <c r="E3411" s="1921"/>
      <c r="F3411" s="1922"/>
      <c r="G3411" s="1923" t="s">
        <v>1515</v>
      </c>
      <c r="H3411" s="1924"/>
      <c r="I3411" s="1925"/>
      <c r="J3411" s="1915"/>
      <c r="K3411" s="1915"/>
      <c r="L3411" s="1915"/>
      <c r="M3411" s="1915"/>
      <c r="N3411" s="1915"/>
      <c r="O3411" s="1915"/>
      <c r="P3411" s="353" t="s">
        <v>1516</v>
      </c>
      <c r="Q3411" s="1915"/>
      <c r="R3411" s="1917"/>
      <c r="S3411" s="1915"/>
      <c r="T3411" s="1915"/>
      <c r="U3411" s="1919"/>
      <c r="V3411" s="1418">
        <f t="shared" si="344"/>
        <v>0</v>
      </c>
      <c r="W3411" s="16"/>
      <c r="X3411" s="16"/>
      <c r="Y3411" s="16"/>
      <c r="Z3411" s="17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</row>
    <row r="3412" spans="1:36" s="361" customFormat="1" ht="45" hidden="1">
      <c r="A3412" s="354"/>
      <c r="B3412" s="355"/>
      <c r="C3412" s="28" t="s">
        <v>1273</v>
      </c>
      <c r="D3412" s="18"/>
      <c r="E3412" s="19"/>
      <c r="F3412" s="20"/>
      <c r="G3412" s="18"/>
      <c r="H3412" s="19"/>
      <c r="I3412" s="20"/>
      <c r="J3412" s="21"/>
      <c r="K3412" s="22"/>
      <c r="L3412" s="23"/>
      <c r="M3412" s="24"/>
      <c r="N3412" s="728"/>
      <c r="O3412" s="25"/>
      <c r="P3412" s="23"/>
      <c r="Q3412" s="729"/>
      <c r="R3412" s="1109">
        <v>27</v>
      </c>
      <c r="S3412" s="730" t="s">
        <v>816</v>
      </c>
      <c r="T3412" s="446" t="s">
        <v>325</v>
      </c>
      <c r="U3412" s="44"/>
      <c r="V3412" s="1418">
        <f t="shared" si="344"/>
        <v>0</v>
      </c>
      <c r="W3412" s="357"/>
      <c r="X3412" s="357"/>
      <c r="Y3412" s="357"/>
      <c r="Z3412" s="358"/>
      <c r="AA3412" s="359"/>
      <c r="AB3412" s="360"/>
    </row>
    <row r="3413" spans="1:36" s="361" customFormat="1" ht="15" hidden="1" customHeight="1">
      <c r="A3413" s="354"/>
      <c r="B3413" s="355"/>
      <c r="C3413" s="32"/>
      <c r="D3413" s="33"/>
      <c r="E3413" s="34"/>
      <c r="F3413" s="35"/>
      <c r="G3413" s="33"/>
      <c r="H3413" s="34"/>
      <c r="I3413" s="35"/>
      <c r="J3413" s="43"/>
      <c r="K3413" s="42"/>
      <c r="L3413" s="39"/>
      <c r="M3413" s="41"/>
      <c r="N3413" s="356"/>
      <c r="O3413" s="40"/>
      <c r="P3413" s="39"/>
      <c r="Q3413" s="45"/>
      <c r="R3413" s="362"/>
      <c r="S3413" s="363"/>
      <c r="T3413" s="46"/>
      <c r="U3413" s="44"/>
      <c r="V3413" s="1418">
        <f t="shared" si="344"/>
        <v>0</v>
      </c>
      <c r="W3413" s="357"/>
      <c r="X3413" s="357"/>
      <c r="Y3413" s="357"/>
      <c r="Z3413" s="358"/>
      <c r="AA3413" s="359"/>
      <c r="AB3413" s="360"/>
    </row>
    <row r="3414" spans="1:36" s="369" customFormat="1" ht="15" hidden="1">
      <c r="A3414" s="364"/>
      <c r="B3414" s="355"/>
      <c r="C3414" s="32"/>
      <c r="D3414" s="33"/>
      <c r="E3414" s="34"/>
      <c r="F3414" s="35"/>
      <c r="G3414" s="33"/>
      <c r="H3414" s="34"/>
      <c r="I3414" s="35"/>
      <c r="J3414" s="43"/>
      <c r="K3414" s="42"/>
      <c r="L3414" s="39"/>
      <c r="M3414" s="41"/>
      <c r="N3414" s="40"/>
      <c r="O3414" s="40"/>
      <c r="P3414" s="39"/>
      <c r="Q3414" s="38"/>
      <c r="R3414" s="365"/>
      <c r="S3414" s="366"/>
      <c r="T3414" s="46"/>
      <c r="U3414" s="44"/>
      <c r="V3414" s="1418">
        <f t="shared" si="344"/>
        <v>0</v>
      </c>
      <c r="W3414" s="367"/>
      <c r="X3414" s="367"/>
      <c r="Y3414" s="367"/>
      <c r="Z3414" s="368"/>
    </row>
    <row r="3415" spans="1:36" s="77" customFormat="1" ht="15" hidden="1">
      <c r="A3415" s="370"/>
      <c r="B3415" s="29"/>
      <c r="C3415" s="30"/>
      <c r="D3415" s="18"/>
      <c r="E3415" s="19"/>
      <c r="F3415" s="20"/>
      <c r="G3415" s="18"/>
      <c r="H3415" s="19"/>
      <c r="I3415" s="20"/>
      <c r="J3415" s="21"/>
      <c r="K3415" s="22"/>
      <c r="L3415" s="23"/>
      <c r="M3415" s="24"/>
      <c r="N3415" s="25"/>
      <c r="O3415" s="25"/>
      <c r="P3415" s="23"/>
      <c r="Q3415" s="26"/>
      <c r="R3415" s="371"/>
      <c r="S3415" s="27"/>
      <c r="T3415" s="372"/>
      <c r="U3415" s="31"/>
      <c r="V3415" s="1418">
        <f t="shared" si="344"/>
        <v>0</v>
      </c>
      <c r="AB3415" s="15"/>
    </row>
    <row r="3416" spans="1:36" s="77" customFormat="1" ht="15.6" hidden="1">
      <c r="A3416" s="370"/>
      <c r="B3416" s="499"/>
      <c r="C3416" s="37"/>
      <c r="D3416" s="1929" t="s">
        <v>1520</v>
      </c>
      <c r="E3416" s="1930"/>
      <c r="F3416" s="1930"/>
      <c r="G3416" s="1930"/>
      <c r="H3416" s="1930"/>
      <c r="I3416" s="1931"/>
      <c r="J3416" s="1932">
        <f>VLOOKUP(A3418,'11 - FINANCEIRA'!_xlnm.Print_Area,6,FALSE)</f>
        <v>27</v>
      </c>
      <c r="K3416" s="1933"/>
      <c r="L3416" s="1343" t="str">
        <f>VLOOKUP(A3418,'11 - FINANCEIRA'!_xlnm.Print_Area,4,FALSE)</f>
        <v>und</v>
      </c>
      <c r="M3416" s="1934" t="s">
        <v>1521</v>
      </c>
      <c r="N3416" s="1935"/>
      <c r="O3416" s="1935"/>
      <c r="P3416" s="1935"/>
      <c r="Q3416" s="1936"/>
      <c r="R3416" s="726">
        <f>SUM(R3412:R3415)</f>
        <v>27</v>
      </c>
      <c r="S3416" s="1344" t="str">
        <f>L3416</f>
        <v>und</v>
      </c>
      <c r="T3416" s="373"/>
      <c r="U3416" s="486"/>
      <c r="V3416" s="1418">
        <f t="shared" si="344"/>
        <v>0</v>
      </c>
      <c r="AB3416" s="15"/>
    </row>
    <row r="3417" spans="1:36" s="77" customFormat="1" ht="15.6" hidden="1">
      <c r="A3417" s="370"/>
      <c r="B3417" s="499"/>
      <c r="C3417" s="725"/>
      <c r="D3417" s="1937" t="s">
        <v>1522</v>
      </c>
      <c r="E3417" s="1938"/>
      <c r="F3417" s="1938"/>
      <c r="G3417" s="1938"/>
      <c r="H3417" s="1938"/>
      <c r="I3417" s="1939"/>
      <c r="J3417" s="1943">
        <f>R3416/J3416</f>
        <v>1</v>
      </c>
      <c r="K3417" s="1944"/>
      <c r="L3417" s="1947"/>
      <c r="M3417" s="1934" t="s">
        <v>1523</v>
      </c>
      <c r="N3417" s="1935"/>
      <c r="O3417" s="1935"/>
      <c r="P3417" s="1935"/>
      <c r="Q3417" s="1936"/>
      <c r="R3417" s="726">
        <f>VLOOKUP(A3418,'11 - FINANCEIRA'!_xlnm.Print_Area,8,FALSE)</f>
        <v>27</v>
      </c>
      <c r="S3417" s="727" t="str">
        <f>L3416</f>
        <v>und</v>
      </c>
      <c r="T3417" s="373"/>
      <c r="U3417" s="486"/>
      <c r="V3417" s="1418">
        <f t="shared" si="344"/>
        <v>0</v>
      </c>
      <c r="AB3417" s="15"/>
    </row>
    <row r="3418" spans="1:36" s="77" customFormat="1" ht="15.6" hidden="1">
      <c r="A3418" s="364" t="s">
        <v>654</v>
      </c>
      <c r="B3418" s="499"/>
      <c r="C3418" s="37"/>
      <c r="D3418" s="2013"/>
      <c r="E3418" s="2014"/>
      <c r="F3418" s="2014"/>
      <c r="G3418" s="2014"/>
      <c r="H3418" s="2014"/>
      <c r="I3418" s="2015"/>
      <c r="J3418" s="2016"/>
      <c r="K3418" s="2017"/>
      <c r="L3418" s="1962"/>
      <c r="M3418" s="2007" t="s">
        <v>1524</v>
      </c>
      <c r="N3418" s="2008"/>
      <c r="O3418" s="2008"/>
      <c r="P3418" s="2008"/>
      <c r="Q3418" s="2009"/>
      <c r="R3418" s="1345">
        <f>R3416-R3417</f>
        <v>0</v>
      </c>
      <c r="S3418" s="1346" t="str">
        <f>L3416</f>
        <v>und</v>
      </c>
      <c r="T3418" s="373"/>
      <c r="U3418" s="486"/>
      <c r="V3418" s="1418">
        <f>R3418</f>
        <v>0</v>
      </c>
      <c r="AB3418" s="15"/>
    </row>
    <row r="3419" spans="1:36" s="77" customFormat="1" ht="15.6" hidden="1">
      <c r="A3419" s="370"/>
      <c r="B3419" s="1347"/>
      <c r="C3419" s="1348"/>
      <c r="D3419" s="1349"/>
      <c r="E3419" s="1350"/>
      <c r="F3419" s="1349"/>
      <c r="G3419" s="1349"/>
      <c r="H3419" s="1349"/>
      <c r="I3419" s="1349"/>
      <c r="J3419" s="1351"/>
      <c r="K3419" s="1352"/>
      <c r="L3419" s="1353"/>
      <c r="M3419" s="1354"/>
      <c r="N3419" s="1354"/>
      <c r="O3419" s="1354"/>
      <c r="P3419" s="1354"/>
      <c r="Q3419" s="1354"/>
      <c r="R3419" s="1355"/>
      <c r="S3419" s="1356"/>
      <c r="T3419" s="1357"/>
      <c r="U3419" s="1358"/>
      <c r="V3419" s="1420">
        <f>SUM(V3410:V3418)</f>
        <v>0</v>
      </c>
      <c r="AB3419" s="15"/>
    </row>
    <row r="3420" spans="1:36" s="632" customFormat="1" ht="15.6" hidden="1">
      <c r="A3420" s="630"/>
      <c r="B3420" s="1333" t="str">
        <f>LEFT(A3429,5)</f>
        <v>2.5.3</v>
      </c>
      <c r="C3420" s="1334" t="str">
        <f>VLOOKUP(LEFT(A3429,5),'11 - FINANCEIRA'!_xlnm.Print_Area,2,FALSE)</f>
        <v>RAMAL DE LIGAÇÃO</v>
      </c>
      <c r="D3420" s="1334"/>
      <c r="E3420" s="1335"/>
      <c r="F3420" s="1334"/>
      <c r="G3420" s="2071"/>
      <c r="H3420" s="2072"/>
      <c r="I3420" s="2072"/>
      <c r="J3420" s="2072"/>
      <c r="K3420" s="2072"/>
      <c r="L3420" s="2072"/>
      <c r="M3420" s="1338"/>
      <c r="N3420" s="1339"/>
      <c r="O3420" s="2072"/>
      <c r="P3420" s="2072"/>
      <c r="Q3420" s="2072"/>
      <c r="R3420" s="2082"/>
      <c r="S3420" s="633"/>
      <c r="V3420" s="631">
        <f>SUM(V3421:V3580)</f>
        <v>0</v>
      </c>
    </row>
    <row r="3421" spans="1:36" s="352" customFormat="1" ht="15.6" hidden="1">
      <c r="A3421" s="351"/>
      <c r="B3421" s="1963" t="str">
        <f>VLOOKUP(A3429,'11 - FINANCEIRA'!_xlnm.Print_Area,1,FALSE)</f>
        <v>2.5.3.1</v>
      </c>
      <c r="C3421" s="1965" t="str">
        <f>VLOOKUP(A3429,'11 - FINANCEIRA'!_xlnm.Print_Area,3,FALSE)</f>
        <v>Mão de obra para o ramal de ligação</v>
      </c>
      <c r="D3421" s="1967" t="s">
        <v>1503</v>
      </c>
      <c r="E3421" s="1968"/>
      <c r="F3421" s="1968"/>
      <c r="G3421" s="1968"/>
      <c r="H3421" s="1968"/>
      <c r="I3421" s="1969"/>
      <c r="J3421" s="1914" t="s">
        <v>1504</v>
      </c>
      <c r="K3421" s="1914" t="s">
        <v>1505</v>
      </c>
      <c r="L3421" s="1914" t="s">
        <v>1506</v>
      </c>
      <c r="M3421" s="1914" t="s">
        <v>1507</v>
      </c>
      <c r="N3421" s="1914" t="s">
        <v>1508</v>
      </c>
      <c r="O3421" s="1914" t="s">
        <v>1509</v>
      </c>
      <c r="P3421" s="1341" t="s">
        <v>1510</v>
      </c>
      <c r="Q3421" s="1914" t="s">
        <v>1493</v>
      </c>
      <c r="R3421" s="1916" t="s">
        <v>804</v>
      </c>
      <c r="S3421" s="1914" t="s">
        <v>1511</v>
      </c>
      <c r="T3421" s="1914" t="s">
        <v>1512</v>
      </c>
      <c r="U3421" s="1918" t="s">
        <v>1513</v>
      </c>
      <c r="V3421" s="1418">
        <f t="shared" ref="V3421:V3428" si="345">V3422</f>
        <v>0</v>
      </c>
      <c r="W3421" s="16"/>
      <c r="X3421" s="16"/>
      <c r="Y3421" s="16"/>
      <c r="Z3421" s="17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</row>
    <row r="3422" spans="1:36" s="352" customFormat="1" ht="15.6" hidden="1">
      <c r="A3422" s="351"/>
      <c r="B3422" s="1964" t="e">
        <f>LEFT(#REF!,5)</f>
        <v>#REF!</v>
      </c>
      <c r="C3422" s="1966" t="e">
        <f>VLOOKUP(LEFT(#REF!,5),'11 - FINANCEIRA'!_xlnm.Print_Area,2,FALSE)</f>
        <v>#REF!</v>
      </c>
      <c r="D3422" s="1920" t="s">
        <v>1514</v>
      </c>
      <c r="E3422" s="1921"/>
      <c r="F3422" s="1922"/>
      <c r="G3422" s="1923" t="s">
        <v>1515</v>
      </c>
      <c r="H3422" s="1924"/>
      <c r="I3422" s="1925"/>
      <c r="J3422" s="1915"/>
      <c r="K3422" s="1915"/>
      <c r="L3422" s="1915"/>
      <c r="M3422" s="1915"/>
      <c r="N3422" s="1915"/>
      <c r="O3422" s="1915"/>
      <c r="P3422" s="353" t="s">
        <v>1516</v>
      </c>
      <c r="Q3422" s="1915"/>
      <c r="R3422" s="1917"/>
      <c r="S3422" s="1915"/>
      <c r="T3422" s="1915"/>
      <c r="U3422" s="1919"/>
      <c r="V3422" s="1418">
        <f t="shared" si="345"/>
        <v>0</v>
      </c>
      <c r="W3422" s="16"/>
      <c r="X3422" s="16"/>
      <c r="Y3422" s="16"/>
      <c r="Z3422" s="17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</row>
    <row r="3423" spans="1:36" s="361" customFormat="1" ht="15" hidden="1" customHeight="1">
      <c r="A3423" s="354"/>
      <c r="B3423" s="355"/>
      <c r="C3423" s="28" t="s">
        <v>1276</v>
      </c>
      <c r="D3423" s="18"/>
      <c r="E3423" s="19"/>
      <c r="F3423" s="20"/>
      <c r="G3423" s="18"/>
      <c r="H3423" s="19"/>
      <c r="I3423" s="20"/>
      <c r="J3423" s="21"/>
      <c r="K3423" s="22"/>
      <c r="L3423" s="23"/>
      <c r="M3423" s="24"/>
      <c r="N3423" s="728"/>
      <c r="O3423" s="25"/>
      <c r="P3423" s="23"/>
      <c r="Q3423" s="729"/>
      <c r="R3423" s="1109">
        <v>1</v>
      </c>
      <c r="S3423" s="730" t="s">
        <v>816</v>
      </c>
      <c r="T3423" s="446" t="s">
        <v>324</v>
      </c>
      <c r="U3423" s="44"/>
      <c r="V3423" s="1418">
        <f t="shared" si="345"/>
        <v>0</v>
      </c>
      <c r="W3423" s="357"/>
      <c r="X3423" s="357"/>
      <c r="Y3423" s="357"/>
      <c r="Z3423" s="358"/>
      <c r="AA3423" s="359"/>
      <c r="AB3423" s="360"/>
    </row>
    <row r="3424" spans="1:36" s="361" customFormat="1" ht="15" hidden="1" customHeight="1">
      <c r="A3424" s="354"/>
      <c r="B3424" s="355"/>
      <c r="C3424" s="32"/>
      <c r="D3424" s="33"/>
      <c r="E3424" s="34"/>
      <c r="F3424" s="35"/>
      <c r="G3424" s="33"/>
      <c r="H3424" s="34"/>
      <c r="I3424" s="35"/>
      <c r="J3424" s="43"/>
      <c r="K3424" s="42"/>
      <c r="L3424" s="39"/>
      <c r="M3424" s="41"/>
      <c r="N3424" s="356"/>
      <c r="O3424" s="40"/>
      <c r="P3424" s="39"/>
      <c r="Q3424" s="45"/>
      <c r="R3424" s="362"/>
      <c r="S3424" s="363"/>
      <c r="T3424" s="46"/>
      <c r="U3424" s="44"/>
      <c r="V3424" s="1418">
        <f t="shared" si="345"/>
        <v>0</v>
      </c>
      <c r="W3424" s="357"/>
      <c r="X3424" s="357"/>
      <c r="Y3424" s="357"/>
      <c r="Z3424" s="358"/>
      <c r="AA3424" s="359"/>
      <c r="AB3424" s="360"/>
    </row>
    <row r="3425" spans="1:36" s="369" customFormat="1" ht="15" hidden="1">
      <c r="A3425" s="364"/>
      <c r="B3425" s="355"/>
      <c r="C3425" s="32"/>
      <c r="D3425" s="33"/>
      <c r="E3425" s="34"/>
      <c r="F3425" s="35"/>
      <c r="G3425" s="33"/>
      <c r="H3425" s="34"/>
      <c r="I3425" s="35"/>
      <c r="J3425" s="43"/>
      <c r="K3425" s="42"/>
      <c r="L3425" s="39"/>
      <c r="M3425" s="41"/>
      <c r="N3425" s="40"/>
      <c r="O3425" s="40"/>
      <c r="P3425" s="39"/>
      <c r="Q3425" s="38"/>
      <c r="R3425" s="365"/>
      <c r="S3425" s="366"/>
      <c r="T3425" s="46"/>
      <c r="U3425" s="44"/>
      <c r="V3425" s="1418">
        <f t="shared" si="345"/>
        <v>0</v>
      </c>
      <c r="W3425" s="367"/>
      <c r="X3425" s="367"/>
      <c r="Y3425" s="367"/>
      <c r="Z3425" s="368"/>
    </row>
    <row r="3426" spans="1:36" s="77" customFormat="1" ht="15" hidden="1">
      <c r="A3426" s="370"/>
      <c r="B3426" s="29"/>
      <c r="C3426" s="30"/>
      <c r="D3426" s="18"/>
      <c r="E3426" s="19"/>
      <c r="F3426" s="20"/>
      <c r="G3426" s="18"/>
      <c r="H3426" s="19"/>
      <c r="I3426" s="20"/>
      <c r="J3426" s="21"/>
      <c r="K3426" s="22"/>
      <c r="L3426" s="23"/>
      <c r="M3426" s="24"/>
      <c r="N3426" s="25"/>
      <c r="O3426" s="25"/>
      <c r="P3426" s="23"/>
      <c r="Q3426" s="26"/>
      <c r="R3426" s="371"/>
      <c r="S3426" s="27"/>
      <c r="T3426" s="372"/>
      <c r="U3426" s="31"/>
      <c r="V3426" s="1418">
        <f t="shared" si="345"/>
        <v>0</v>
      </c>
      <c r="AB3426" s="15"/>
    </row>
    <row r="3427" spans="1:36" s="77" customFormat="1" ht="15.6" hidden="1">
      <c r="A3427" s="370"/>
      <c r="B3427" s="499"/>
      <c r="C3427" s="37"/>
      <c r="D3427" s="1929" t="s">
        <v>1520</v>
      </c>
      <c r="E3427" s="1930"/>
      <c r="F3427" s="1930"/>
      <c r="G3427" s="1930"/>
      <c r="H3427" s="1930"/>
      <c r="I3427" s="1931"/>
      <c r="J3427" s="1932">
        <f>VLOOKUP(A3429,'11 - FINANCEIRA'!_xlnm.Print_Area,6,FALSE)</f>
        <v>1</v>
      </c>
      <c r="K3427" s="1933"/>
      <c r="L3427" s="1343" t="str">
        <f>VLOOKUP(A3429,'11 - FINANCEIRA'!_xlnm.Print_Area,4,FALSE)</f>
        <v>und</v>
      </c>
      <c r="M3427" s="1934" t="s">
        <v>1521</v>
      </c>
      <c r="N3427" s="1935"/>
      <c r="O3427" s="1935"/>
      <c r="P3427" s="1935"/>
      <c r="Q3427" s="1936"/>
      <c r="R3427" s="726">
        <f>SUM(R3423:R3426)</f>
        <v>1</v>
      </c>
      <c r="S3427" s="1344" t="str">
        <f>L3427</f>
        <v>und</v>
      </c>
      <c r="T3427" s="373"/>
      <c r="U3427" s="486"/>
      <c r="V3427" s="1418">
        <f t="shared" si="345"/>
        <v>0</v>
      </c>
      <c r="AB3427" s="15"/>
    </row>
    <row r="3428" spans="1:36" s="77" customFormat="1" ht="15.6" hidden="1">
      <c r="A3428" s="370"/>
      <c r="B3428" s="499"/>
      <c r="C3428" s="725"/>
      <c r="D3428" s="1937" t="s">
        <v>1522</v>
      </c>
      <c r="E3428" s="1938"/>
      <c r="F3428" s="1938"/>
      <c r="G3428" s="1938"/>
      <c r="H3428" s="1938"/>
      <c r="I3428" s="1939"/>
      <c r="J3428" s="1943">
        <f>R3427/J3427</f>
        <v>1</v>
      </c>
      <c r="K3428" s="1944"/>
      <c r="L3428" s="1947"/>
      <c r="M3428" s="1934" t="s">
        <v>1523</v>
      </c>
      <c r="N3428" s="1935"/>
      <c r="O3428" s="1935"/>
      <c r="P3428" s="1935"/>
      <c r="Q3428" s="1936"/>
      <c r="R3428" s="726">
        <f>VLOOKUP(A3429,'11 - FINANCEIRA'!_xlnm.Print_Area,8,FALSE)</f>
        <v>1</v>
      </c>
      <c r="S3428" s="727" t="str">
        <f>L3427</f>
        <v>und</v>
      </c>
      <c r="T3428" s="373"/>
      <c r="U3428" s="486"/>
      <c r="V3428" s="1418">
        <f t="shared" si="345"/>
        <v>0</v>
      </c>
      <c r="AB3428" s="15"/>
    </row>
    <row r="3429" spans="1:36" s="77" customFormat="1" ht="15.6" hidden="1">
      <c r="A3429" s="364" t="s">
        <v>656</v>
      </c>
      <c r="B3429" s="499"/>
      <c r="C3429" s="37"/>
      <c r="D3429" s="2013"/>
      <c r="E3429" s="2014"/>
      <c r="F3429" s="2014"/>
      <c r="G3429" s="2014"/>
      <c r="H3429" s="2014"/>
      <c r="I3429" s="2015"/>
      <c r="J3429" s="2016"/>
      <c r="K3429" s="2017"/>
      <c r="L3429" s="1962"/>
      <c r="M3429" s="2007" t="s">
        <v>1524</v>
      </c>
      <c r="N3429" s="2008"/>
      <c r="O3429" s="2008"/>
      <c r="P3429" s="2008"/>
      <c r="Q3429" s="2009"/>
      <c r="R3429" s="1345">
        <f>R3427-R3428</f>
        <v>0</v>
      </c>
      <c r="S3429" s="1346" t="str">
        <f>L3427</f>
        <v>und</v>
      </c>
      <c r="T3429" s="373"/>
      <c r="U3429" s="486"/>
      <c r="V3429" s="1418">
        <f>R3429</f>
        <v>0</v>
      </c>
      <c r="AB3429" s="15"/>
    </row>
    <row r="3430" spans="1:36" s="77" customFormat="1" ht="15.6" hidden="1">
      <c r="A3430" s="370"/>
      <c r="B3430" s="1347"/>
      <c r="C3430" s="1348"/>
      <c r="D3430" s="1349"/>
      <c r="E3430" s="1350"/>
      <c r="F3430" s="1349"/>
      <c r="G3430" s="1349"/>
      <c r="H3430" s="1349"/>
      <c r="I3430" s="1349"/>
      <c r="J3430" s="1351"/>
      <c r="K3430" s="1352"/>
      <c r="L3430" s="1353"/>
      <c r="M3430" s="1354"/>
      <c r="N3430" s="1354"/>
      <c r="O3430" s="1354"/>
      <c r="P3430" s="1354"/>
      <c r="Q3430" s="1354"/>
      <c r="R3430" s="1355"/>
      <c r="S3430" s="1356"/>
      <c r="T3430" s="1357"/>
      <c r="U3430" s="1358"/>
      <c r="V3430" s="1420">
        <f>SUM(V3421:V3429)</f>
        <v>0</v>
      </c>
      <c r="AB3430" s="15"/>
    </row>
    <row r="3431" spans="1:36" s="352" customFormat="1" ht="15.6" hidden="1">
      <c r="A3431" s="351"/>
      <c r="B3431" s="1963" t="str">
        <f>VLOOKUP(A3439,'11 - FINANCEIRA'!_xlnm.Print_Area,1,FALSE)</f>
        <v>2.5.3.2</v>
      </c>
      <c r="C3431" s="1965" t="str">
        <f>VLOOKUP(A3439,'11 - FINANCEIRA'!_xlnm.Print_Area,3,FALSE)</f>
        <v>Chave seccionadora-fusivel blindada tripolar, abertura com carga, para fusivel nh01, corrente nominal de 250 a</v>
      </c>
      <c r="D3431" s="1967" t="s">
        <v>1503</v>
      </c>
      <c r="E3431" s="1968"/>
      <c r="F3431" s="1968"/>
      <c r="G3431" s="1968"/>
      <c r="H3431" s="1968"/>
      <c r="I3431" s="1969"/>
      <c r="J3431" s="1914" t="s">
        <v>1504</v>
      </c>
      <c r="K3431" s="1914" t="s">
        <v>1505</v>
      </c>
      <c r="L3431" s="1914" t="s">
        <v>1506</v>
      </c>
      <c r="M3431" s="1914" t="s">
        <v>1507</v>
      </c>
      <c r="N3431" s="1914" t="s">
        <v>1508</v>
      </c>
      <c r="O3431" s="1914" t="s">
        <v>1509</v>
      </c>
      <c r="P3431" s="1341" t="s">
        <v>1510</v>
      </c>
      <c r="Q3431" s="1914" t="s">
        <v>1493</v>
      </c>
      <c r="R3431" s="1916" t="s">
        <v>804</v>
      </c>
      <c r="S3431" s="1914" t="s">
        <v>1511</v>
      </c>
      <c r="T3431" s="1914" t="s">
        <v>1512</v>
      </c>
      <c r="U3431" s="1918" t="s">
        <v>1513</v>
      </c>
      <c r="V3431" s="1418">
        <f t="shared" ref="V3431:V3438" si="346">V3432</f>
        <v>0</v>
      </c>
      <c r="W3431" s="16"/>
      <c r="X3431" s="16"/>
      <c r="Y3431" s="16"/>
      <c r="Z3431" s="17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</row>
    <row r="3432" spans="1:36" s="352" customFormat="1" ht="15.6" hidden="1">
      <c r="A3432" s="351"/>
      <c r="B3432" s="1964" t="e">
        <f>LEFT(#REF!,5)</f>
        <v>#REF!</v>
      </c>
      <c r="C3432" s="1966" t="e">
        <f>VLOOKUP(LEFT(#REF!,5),'11 - FINANCEIRA'!_xlnm.Print_Area,2,FALSE)</f>
        <v>#REF!</v>
      </c>
      <c r="D3432" s="1920" t="s">
        <v>1514</v>
      </c>
      <c r="E3432" s="1921"/>
      <c r="F3432" s="1922"/>
      <c r="G3432" s="1923" t="s">
        <v>1515</v>
      </c>
      <c r="H3432" s="1924"/>
      <c r="I3432" s="1925"/>
      <c r="J3432" s="1915"/>
      <c r="K3432" s="1915"/>
      <c r="L3432" s="1915"/>
      <c r="M3432" s="1915"/>
      <c r="N3432" s="1915"/>
      <c r="O3432" s="1915"/>
      <c r="P3432" s="353" t="s">
        <v>1516</v>
      </c>
      <c r="Q3432" s="1915"/>
      <c r="R3432" s="1917"/>
      <c r="S3432" s="1915"/>
      <c r="T3432" s="1915"/>
      <c r="U3432" s="1919"/>
      <c r="V3432" s="1418">
        <f t="shared" si="346"/>
        <v>0</v>
      </c>
      <c r="W3432" s="16"/>
      <c r="X3432" s="16"/>
      <c r="Y3432" s="16"/>
      <c r="Z3432" s="17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</row>
    <row r="3433" spans="1:36" s="361" customFormat="1" ht="15" hidden="1" customHeight="1">
      <c r="A3433" s="354"/>
      <c r="B3433" s="355"/>
      <c r="C3433" s="28" t="s">
        <v>1278</v>
      </c>
      <c r="D3433" s="18"/>
      <c r="E3433" s="19"/>
      <c r="F3433" s="20"/>
      <c r="G3433" s="18"/>
      <c r="H3433" s="19"/>
      <c r="I3433" s="20"/>
      <c r="J3433" s="21"/>
      <c r="K3433" s="22"/>
      <c r="L3433" s="23"/>
      <c r="M3433" s="24"/>
      <c r="N3433" s="728"/>
      <c r="O3433" s="25"/>
      <c r="P3433" s="23"/>
      <c r="Q3433" s="729"/>
      <c r="R3433" s="1109">
        <v>3</v>
      </c>
      <c r="S3433" s="730" t="s">
        <v>816</v>
      </c>
      <c r="T3433" s="446" t="s">
        <v>324</v>
      </c>
      <c r="U3433" s="44"/>
      <c r="V3433" s="1418">
        <f t="shared" si="346"/>
        <v>0</v>
      </c>
      <c r="W3433" s="357"/>
      <c r="X3433" s="357"/>
      <c r="Y3433" s="357"/>
      <c r="Z3433" s="358"/>
      <c r="AA3433" s="359"/>
      <c r="AB3433" s="360"/>
    </row>
    <row r="3434" spans="1:36" s="361" customFormat="1" ht="15" hidden="1" customHeight="1">
      <c r="A3434" s="354"/>
      <c r="B3434" s="355"/>
      <c r="C3434" s="32"/>
      <c r="D3434" s="33"/>
      <c r="E3434" s="34"/>
      <c r="F3434" s="35"/>
      <c r="G3434" s="33"/>
      <c r="H3434" s="34"/>
      <c r="I3434" s="35"/>
      <c r="J3434" s="43"/>
      <c r="K3434" s="42"/>
      <c r="L3434" s="39"/>
      <c r="M3434" s="41"/>
      <c r="N3434" s="356"/>
      <c r="O3434" s="40"/>
      <c r="P3434" s="39"/>
      <c r="Q3434" s="45"/>
      <c r="R3434" s="362"/>
      <c r="S3434" s="363"/>
      <c r="T3434" s="46"/>
      <c r="U3434" s="44"/>
      <c r="V3434" s="1418">
        <f t="shared" si="346"/>
        <v>0</v>
      </c>
      <c r="W3434" s="357"/>
      <c r="X3434" s="357"/>
      <c r="Y3434" s="357"/>
      <c r="Z3434" s="358"/>
      <c r="AA3434" s="359"/>
      <c r="AB3434" s="360"/>
    </row>
    <row r="3435" spans="1:36" s="369" customFormat="1" ht="15" hidden="1">
      <c r="A3435" s="364"/>
      <c r="B3435" s="355"/>
      <c r="C3435" s="32"/>
      <c r="D3435" s="33"/>
      <c r="E3435" s="34"/>
      <c r="F3435" s="35"/>
      <c r="G3435" s="33"/>
      <c r="H3435" s="34"/>
      <c r="I3435" s="35"/>
      <c r="J3435" s="43"/>
      <c r="K3435" s="42"/>
      <c r="L3435" s="39"/>
      <c r="M3435" s="41"/>
      <c r="N3435" s="40"/>
      <c r="O3435" s="40"/>
      <c r="P3435" s="39"/>
      <c r="Q3435" s="38"/>
      <c r="R3435" s="365"/>
      <c r="S3435" s="366"/>
      <c r="T3435" s="46"/>
      <c r="U3435" s="44"/>
      <c r="V3435" s="1418">
        <f t="shared" si="346"/>
        <v>0</v>
      </c>
      <c r="W3435" s="367"/>
      <c r="X3435" s="367"/>
      <c r="Y3435" s="367"/>
      <c r="Z3435" s="368"/>
    </row>
    <row r="3436" spans="1:36" s="77" customFormat="1" ht="15" hidden="1">
      <c r="A3436" s="370"/>
      <c r="B3436" s="29"/>
      <c r="C3436" s="30"/>
      <c r="D3436" s="18"/>
      <c r="E3436" s="19"/>
      <c r="F3436" s="20"/>
      <c r="G3436" s="18"/>
      <c r="H3436" s="19"/>
      <c r="I3436" s="20"/>
      <c r="J3436" s="21"/>
      <c r="K3436" s="22"/>
      <c r="L3436" s="23"/>
      <c r="M3436" s="24"/>
      <c r="N3436" s="25"/>
      <c r="O3436" s="25"/>
      <c r="P3436" s="23"/>
      <c r="Q3436" s="26"/>
      <c r="R3436" s="371"/>
      <c r="S3436" s="27"/>
      <c r="T3436" s="372"/>
      <c r="U3436" s="31"/>
      <c r="V3436" s="1418">
        <f t="shared" si="346"/>
        <v>0</v>
      </c>
      <c r="AB3436" s="15"/>
    </row>
    <row r="3437" spans="1:36" s="77" customFormat="1" ht="15.6" hidden="1">
      <c r="A3437" s="370"/>
      <c r="B3437" s="499"/>
      <c r="C3437" s="37"/>
      <c r="D3437" s="1929" t="s">
        <v>1520</v>
      </c>
      <c r="E3437" s="1930"/>
      <c r="F3437" s="1930"/>
      <c r="G3437" s="1930"/>
      <c r="H3437" s="1930"/>
      <c r="I3437" s="1931"/>
      <c r="J3437" s="1932">
        <f>VLOOKUP(A3439,'11 - FINANCEIRA'!_xlnm.Print_Area,6,FALSE)</f>
        <v>3</v>
      </c>
      <c r="K3437" s="1933"/>
      <c r="L3437" s="1343" t="str">
        <f>VLOOKUP(A3439,'11 - FINANCEIRA'!_xlnm.Print_Area,4,FALSE)</f>
        <v>und</v>
      </c>
      <c r="M3437" s="1934" t="s">
        <v>1521</v>
      </c>
      <c r="N3437" s="1935"/>
      <c r="O3437" s="1935"/>
      <c r="P3437" s="1935"/>
      <c r="Q3437" s="1936"/>
      <c r="R3437" s="726">
        <f>SUM(R3433:R3436)</f>
        <v>3</v>
      </c>
      <c r="S3437" s="1344" t="str">
        <f>L3437</f>
        <v>und</v>
      </c>
      <c r="T3437" s="373"/>
      <c r="U3437" s="486"/>
      <c r="V3437" s="1418">
        <f t="shared" si="346"/>
        <v>0</v>
      </c>
      <c r="AB3437" s="15"/>
    </row>
    <row r="3438" spans="1:36" s="77" customFormat="1" ht="15.6" hidden="1">
      <c r="A3438" s="370"/>
      <c r="B3438" s="499"/>
      <c r="C3438" s="725"/>
      <c r="D3438" s="1937" t="s">
        <v>1522</v>
      </c>
      <c r="E3438" s="1938"/>
      <c r="F3438" s="1938"/>
      <c r="G3438" s="1938"/>
      <c r="H3438" s="1938"/>
      <c r="I3438" s="1939"/>
      <c r="J3438" s="1943">
        <f>R3437/J3437</f>
        <v>1</v>
      </c>
      <c r="K3438" s="1944"/>
      <c r="L3438" s="1947"/>
      <c r="M3438" s="1934" t="s">
        <v>1523</v>
      </c>
      <c r="N3438" s="1935"/>
      <c r="O3438" s="1935"/>
      <c r="P3438" s="1935"/>
      <c r="Q3438" s="1936"/>
      <c r="R3438" s="726">
        <f>VLOOKUP(A3439,'11 - FINANCEIRA'!_xlnm.Print_Area,8,FALSE)</f>
        <v>3</v>
      </c>
      <c r="S3438" s="727" t="str">
        <f>L3437</f>
        <v>und</v>
      </c>
      <c r="T3438" s="373"/>
      <c r="U3438" s="486"/>
      <c r="V3438" s="1418">
        <f t="shared" si="346"/>
        <v>0</v>
      </c>
      <c r="AB3438" s="15"/>
    </row>
    <row r="3439" spans="1:36" s="77" customFormat="1" ht="15.6" hidden="1">
      <c r="A3439" s="364" t="s">
        <v>657</v>
      </c>
      <c r="B3439" s="499"/>
      <c r="C3439" s="37"/>
      <c r="D3439" s="2013"/>
      <c r="E3439" s="2014"/>
      <c r="F3439" s="2014"/>
      <c r="G3439" s="2014"/>
      <c r="H3439" s="2014"/>
      <c r="I3439" s="2015"/>
      <c r="J3439" s="2016"/>
      <c r="K3439" s="2017"/>
      <c r="L3439" s="1962"/>
      <c r="M3439" s="2007" t="s">
        <v>1524</v>
      </c>
      <c r="N3439" s="2008"/>
      <c r="O3439" s="2008"/>
      <c r="P3439" s="2008"/>
      <c r="Q3439" s="2009"/>
      <c r="R3439" s="1345">
        <f>R3437-R3438</f>
        <v>0</v>
      </c>
      <c r="S3439" s="1346" t="str">
        <f>L3437</f>
        <v>und</v>
      </c>
      <c r="T3439" s="373"/>
      <c r="U3439" s="486"/>
      <c r="V3439" s="1418">
        <f>R3439</f>
        <v>0</v>
      </c>
      <c r="AB3439" s="15"/>
    </row>
    <row r="3440" spans="1:36" s="77" customFormat="1" ht="15.6" hidden="1">
      <c r="A3440" s="370"/>
      <c r="B3440" s="1347"/>
      <c r="C3440" s="1348"/>
      <c r="D3440" s="1349"/>
      <c r="E3440" s="1350"/>
      <c r="F3440" s="1349"/>
      <c r="G3440" s="1349"/>
      <c r="H3440" s="1349"/>
      <c r="I3440" s="1349"/>
      <c r="J3440" s="1351"/>
      <c r="K3440" s="1352"/>
      <c r="L3440" s="1353"/>
      <c r="M3440" s="1354"/>
      <c r="N3440" s="1354"/>
      <c r="O3440" s="1354"/>
      <c r="P3440" s="1354"/>
      <c r="Q3440" s="1354"/>
      <c r="R3440" s="1355"/>
      <c r="S3440" s="1356"/>
      <c r="T3440" s="1357"/>
      <c r="U3440" s="1358"/>
      <c r="V3440" s="1420">
        <f>SUM(V3431:V3439)</f>
        <v>0</v>
      </c>
      <c r="AB3440" s="15"/>
    </row>
    <row r="3441" spans="1:36" s="352" customFormat="1" ht="15.6" hidden="1">
      <c r="A3441" s="351"/>
      <c r="B3441" s="1963" t="str">
        <f>VLOOKUP(A3449,'11 - FINANCEIRA'!_xlnm.Print_Area,1,FALSE)</f>
        <v>2.5.3.3</v>
      </c>
      <c r="C3441" s="1965" t="str">
        <f>VLOOKUP(A3449,'11 - FINANCEIRA'!_xlnm.Print_Area,3,FALSE)</f>
        <v>Cabo de cobre nu 50 mm² meio-duro</v>
      </c>
      <c r="D3441" s="1967" t="s">
        <v>1503</v>
      </c>
      <c r="E3441" s="1968"/>
      <c r="F3441" s="1968"/>
      <c r="G3441" s="1968"/>
      <c r="H3441" s="1968"/>
      <c r="I3441" s="1969"/>
      <c r="J3441" s="1914" t="s">
        <v>1504</v>
      </c>
      <c r="K3441" s="1914" t="s">
        <v>1505</v>
      </c>
      <c r="L3441" s="1914" t="s">
        <v>1506</v>
      </c>
      <c r="M3441" s="1914" t="s">
        <v>1507</v>
      </c>
      <c r="N3441" s="1914" t="s">
        <v>1508</v>
      </c>
      <c r="O3441" s="1914" t="s">
        <v>1509</v>
      </c>
      <c r="P3441" s="1341" t="s">
        <v>1510</v>
      </c>
      <c r="Q3441" s="1914" t="s">
        <v>1493</v>
      </c>
      <c r="R3441" s="1916" t="s">
        <v>804</v>
      </c>
      <c r="S3441" s="1914" t="s">
        <v>1511</v>
      </c>
      <c r="T3441" s="1914" t="s">
        <v>1512</v>
      </c>
      <c r="U3441" s="1918" t="s">
        <v>1513</v>
      </c>
      <c r="V3441" s="1418">
        <f t="shared" ref="V3441:V3448" si="347">V3442</f>
        <v>0</v>
      </c>
      <c r="W3441" s="16"/>
      <c r="X3441" s="16"/>
      <c r="Y3441" s="16"/>
      <c r="Z3441" s="17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</row>
    <row r="3442" spans="1:36" s="352" customFormat="1" ht="15.6" hidden="1">
      <c r="A3442" s="351"/>
      <c r="B3442" s="1964" t="e">
        <f>LEFT(#REF!,5)</f>
        <v>#REF!</v>
      </c>
      <c r="C3442" s="1966" t="e">
        <f>VLOOKUP(LEFT(#REF!,5),'11 - FINANCEIRA'!_xlnm.Print_Area,2,FALSE)</f>
        <v>#REF!</v>
      </c>
      <c r="D3442" s="1920" t="s">
        <v>1514</v>
      </c>
      <c r="E3442" s="1921"/>
      <c r="F3442" s="1922"/>
      <c r="G3442" s="1923" t="s">
        <v>1515</v>
      </c>
      <c r="H3442" s="1924"/>
      <c r="I3442" s="1925"/>
      <c r="J3442" s="1915"/>
      <c r="K3442" s="1915"/>
      <c r="L3442" s="1915"/>
      <c r="M3442" s="1915"/>
      <c r="N3442" s="1915"/>
      <c r="O3442" s="1915"/>
      <c r="P3442" s="353" t="s">
        <v>1516</v>
      </c>
      <c r="Q3442" s="1915"/>
      <c r="R3442" s="1917"/>
      <c r="S3442" s="1915"/>
      <c r="T3442" s="1915"/>
      <c r="U3442" s="1919"/>
      <c r="V3442" s="1418">
        <f t="shared" si="347"/>
        <v>0</v>
      </c>
      <c r="W3442" s="16"/>
      <c r="X3442" s="16"/>
      <c r="Y3442" s="16"/>
      <c r="Z3442" s="17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</row>
    <row r="3443" spans="1:36" s="361" customFormat="1" ht="15" hidden="1" customHeight="1">
      <c r="A3443" s="354"/>
      <c r="B3443" s="355"/>
      <c r="C3443" s="28" t="s">
        <v>1280</v>
      </c>
      <c r="D3443" s="18"/>
      <c r="E3443" s="19"/>
      <c r="F3443" s="20"/>
      <c r="G3443" s="18"/>
      <c r="H3443" s="19"/>
      <c r="I3443" s="20"/>
      <c r="J3443" s="21"/>
      <c r="K3443" s="22"/>
      <c r="L3443" s="23"/>
      <c r="M3443" s="24"/>
      <c r="N3443" s="728"/>
      <c r="O3443" s="25"/>
      <c r="P3443" s="23"/>
      <c r="Q3443" s="729"/>
      <c r="R3443" s="1109">
        <v>15</v>
      </c>
      <c r="S3443" s="730" t="s">
        <v>809</v>
      </c>
      <c r="T3443" s="446" t="s">
        <v>324</v>
      </c>
      <c r="U3443" s="44"/>
      <c r="V3443" s="1418">
        <f t="shared" si="347"/>
        <v>0</v>
      </c>
      <c r="W3443" s="357"/>
      <c r="X3443" s="357"/>
      <c r="Y3443" s="357"/>
      <c r="Z3443" s="358"/>
      <c r="AA3443" s="359"/>
      <c r="AB3443" s="360"/>
    </row>
    <row r="3444" spans="1:36" s="361" customFormat="1" ht="15" hidden="1" customHeight="1">
      <c r="A3444" s="354"/>
      <c r="B3444" s="355"/>
      <c r="C3444" s="32"/>
      <c r="D3444" s="33"/>
      <c r="E3444" s="34"/>
      <c r="F3444" s="35"/>
      <c r="G3444" s="33"/>
      <c r="H3444" s="34"/>
      <c r="I3444" s="35"/>
      <c r="J3444" s="43"/>
      <c r="K3444" s="42"/>
      <c r="L3444" s="39"/>
      <c r="M3444" s="41"/>
      <c r="N3444" s="356"/>
      <c r="O3444" s="40"/>
      <c r="P3444" s="39"/>
      <c r="Q3444" s="45"/>
      <c r="R3444" s="362"/>
      <c r="S3444" s="363"/>
      <c r="T3444" s="46"/>
      <c r="U3444" s="44"/>
      <c r="V3444" s="1418">
        <f t="shared" si="347"/>
        <v>0</v>
      </c>
      <c r="W3444" s="357"/>
      <c r="X3444" s="357"/>
      <c r="Y3444" s="357"/>
      <c r="Z3444" s="358"/>
      <c r="AA3444" s="359"/>
      <c r="AB3444" s="360"/>
    </row>
    <row r="3445" spans="1:36" s="369" customFormat="1" ht="15" hidden="1">
      <c r="A3445" s="364"/>
      <c r="B3445" s="355"/>
      <c r="C3445" s="32"/>
      <c r="D3445" s="33"/>
      <c r="E3445" s="34"/>
      <c r="F3445" s="35"/>
      <c r="G3445" s="33"/>
      <c r="H3445" s="34"/>
      <c r="I3445" s="35"/>
      <c r="J3445" s="43"/>
      <c r="K3445" s="42"/>
      <c r="L3445" s="39"/>
      <c r="M3445" s="41"/>
      <c r="N3445" s="40"/>
      <c r="O3445" s="40"/>
      <c r="P3445" s="39"/>
      <c r="Q3445" s="38"/>
      <c r="R3445" s="365"/>
      <c r="S3445" s="366"/>
      <c r="T3445" s="46"/>
      <c r="U3445" s="44"/>
      <c r="V3445" s="1418">
        <f t="shared" si="347"/>
        <v>0</v>
      </c>
      <c r="W3445" s="367"/>
      <c r="X3445" s="367"/>
      <c r="Y3445" s="367"/>
      <c r="Z3445" s="368"/>
    </row>
    <row r="3446" spans="1:36" s="77" customFormat="1" ht="15" hidden="1">
      <c r="A3446" s="370"/>
      <c r="B3446" s="29"/>
      <c r="C3446" s="30"/>
      <c r="D3446" s="18"/>
      <c r="E3446" s="19"/>
      <c r="F3446" s="20"/>
      <c r="G3446" s="18"/>
      <c r="H3446" s="19"/>
      <c r="I3446" s="20"/>
      <c r="J3446" s="21"/>
      <c r="K3446" s="22"/>
      <c r="L3446" s="23"/>
      <c r="M3446" s="24"/>
      <c r="N3446" s="25"/>
      <c r="O3446" s="25"/>
      <c r="P3446" s="23"/>
      <c r="Q3446" s="26"/>
      <c r="R3446" s="371"/>
      <c r="S3446" s="27"/>
      <c r="T3446" s="372"/>
      <c r="U3446" s="31"/>
      <c r="V3446" s="1418">
        <f t="shared" si="347"/>
        <v>0</v>
      </c>
      <c r="AB3446" s="15"/>
    </row>
    <row r="3447" spans="1:36" s="77" customFormat="1" ht="15.6" hidden="1">
      <c r="A3447" s="370"/>
      <c r="B3447" s="499"/>
      <c r="C3447" s="37"/>
      <c r="D3447" s="1929" t="s">
        <v>1520</v>
      </c>
      <c r="E3447" s="1930"/>
      <c r="F3447" s="1930"/>
      <c r="G3447" s="1930"/>
      <c r="H3447" s="1930"/>
      <c r="I3447" s="1931"/>
      <c r="J3447" s="1932">
        <f>VLOOKUP(A3449,'11 - FINANCEIRA'!_xlnm.Print_Area,6,FALSE)</f>
        <v>15</v>
      </c>
      <c r="K3447" s="1933"/>
      <c r="L3447" s="1343" t="str">
        <f>VLOOKUP(A3449,'11 - FINANCEIRA'!_xlnm.Print_Area,4,FALSE)</f>
        <v>m</v>
      </c>
      <c r="M3447" s="1934" t="s">
        <v>1521</v>
      </c>
      <c r="N3447" s="1935"/>
      <c r="O3447" s="1935"/>
      <c r="P3447" s="1935"/>
      <c r="Q3447" s="1936"/>
      <c r="R3447" s="726">
        <f>SUM(R3443:R3446)</f>
        <v>15</v>
      </c>
      <c r="S3447" s="1344" t="str">
        <f>L3447</f>
        <v>m</v>
      </c>
      <c r="T3447" s="373"/>
      <c r="U3447" s="486"/>
      <c r="V3447" s="1418">
        <f t="shared" si="347"/>
        <v>0</v>
      </c>
      <c r="AB3447" s="15"/>
    </row>
    <row r="3448" spans="1:36" s="77" customFormat="1" ht="15.6" hidden="1">
      <c r="A3448" s="370"/>
      <c r="B3448" s="499"/>
      <c r="C3448" s="725"/>
      <c r="D3448" s="1937" t="s">
        <v>1522</v>
      </c>
      <c r="E3448" s="1938"/>
      <c r="F3448" s="1938"/>
      <c r="G3448" s="1938"/>
      <c r="H3448" s="1938"/>
      <c r="I3448" s="1939"/>
      <c r="J3448" s="1943">
        <f>R3447/J3447</f>
        <v>1</v>
      </c>
      <c r="K3448" s="1944"/>
      <c r="L3448" s="1947"/>
      <c r="M3448" s="1934" t="s">
        <v>1523</v>
      </c>
      <c r="N3448" s="1935"/>
      <c r="O3448" s="1935"/>
      <c r="P3448" s="1935"/>
      <c r="Q3448" s="1936"/>
      <c r="R3448" s="726">
        <f>VLOOKUP(A3449,'11 - FINANCEIRA'!_xlnm.Print_Area,8,FALSE)</f>
        <v>15</v>
      </c>
      <c r="S3448" s="727" t="str">
        <f>L3447</f>
        <v>m</v>
      </c>
      <c r="T3448" s="373"/>
      <c r="U3448" s="486"/>
      <c r="V3448" s="1418">
        <f t="shared" si="347"/>
        <v>0</v>
      </c>
      <c r="AB3448" s="15"/>
    </row>
    <row r="3449" spans="1:36" s="77" customFormat="1" ht="15.6" hidden="1">
      <c r="A3449" s="364" t="s">
        <v>658</v>
      </c>
      <c r="B3449" s="499"/>
      <c r="C3449" s="37"/>
      <c r="D3449" s="2013"/>
      <c r="E3449" s="2014"/>
      <c r="F3449" s="2014"/>
      <c r="G3449" s="2014"/>
      <c r="H3449" s="2014"/>
      <c r="I3449" s="2015"/>
      <c r="J3449" s="2016"/>
      <c r="K3449" s="2017"/>
      <c r="L3449" s="1962"/>
      <c r="M3449" s="2007" t="s">
        <v>1524</v>
      </c>
      <c r="N3449" s="2008"/>
      <c r="O3449" s="2008"/>
      <c r="P3449" s="2008"/>
      <c r="Q3449" s="2009"/>
      <c r="R3449" s="1345">
        <f>R3447-R3448</f>
        <v>0</v>
      </c>
      <c r="S3449" s="1346" t="str">
        <f>L3447</f>
        <v>m</v>
      </c>
      <c r="T3449" s="373"/>
      <c r="U3449" s="486"/>
      <c r="V3449" s="1418">
        <f>R3449</f>
        <v>0</v>
      </c>
      <c r="AB3449" s="15"/>
    </row>
    <row r="3450" spans="1:36" s="77" customFormat="1" ht="15.6" hidden="1">
      <c r="A3450" s="370"/>
      <c r="B3450" s="1347"/>
      <c r="C3450" s="1348"/>
      <c r="D3450" s="1349"/>
      <c r="E3450" s="1350"/>
      <c r="F3450" s="1349"/>
      <c r="G3450" s="1349"/>
      <c r="H3450" s="1349"/>
      <c r="I3450" s="1349"/>
      <c r="J3450" s="1351"/>
      <c r="K3450" s="1352"/>
      <c r="L3450" s="1353"/>
      <c r="M3450" s="1354"/>
      <c r="N3450" s="1354"/>
      <c r="O3450" s="1354"/>
      <c r="P3450" s="1354"/>
      <c r="Q3450" s="1354"/>
      <c r="R3450" s="1355"/>
      <c r="S3450" s="1356"/>
      <c r="T3450" s="1357"/>
      <c r="U3450" s="1358"/>
      <c r="V3450" s="1420">
        <f>SUM(V3441:V3449)</f>
        <v>0</v>
      </c>
      <c r="AB3450" s="15"/>
    </row>
    <row r="3451" spans="1:36" s="352" customFormat="1" ht="15.6" hidden="1">
      <c r="A3451" s="351"/>
      <c r="B3451" s="1963" t="str">
        <f>VLOOKUP(A3459,'11 - FINANCEIRA'!_xlnm.Print_Area,1,FALSE)</f>
        <v>2.5.3.4</v>
      </c>
      <c r="C3451" s="1965" t="str">
        <f>VLOOKUP(A3459,'11 - FINANCEIRA'!_xlnm.Print_Area,3,FALSE)</f>
        <v>Mufla terminal primaria unipolar uso interno para cabo 35/70mm² isolacao 8,7/15kv em epr - borracha de silicone</v>
      </c>
      <c r="D3451" s="1967" t="s">
        <v>1503</v>
      </c>
      <c r="E3451" s="1968"/>
      <c r="F3451" s="1968"/>
      <c r="G3451" s="1968"/>
      <c r="H3451" s="1968"/>
      <c r="I3451" s="1969"/>
      <c r="J3451" s="1914" t="s">
        <v>1504</v>
      </c>
      <c r="K3451" s="1914" t="s">
        <v>1505</v>
      </c>
      <c r="L3451" s="1914" t="s">
        <v>1506</v>
      </c>
      <c r="M3451" s="1914" t="s">
        <v>1507</v>
      </c>
      <c r="N3451" s="1914" t="s">
        <v>1508</v>
      </c>
      <c r="O3451" s="1914" t="s">
        <v>1509</v>
      </c>
      <c r="P3451" s="1341" t="s">
        <v>1510</v>
      </c>
      <c r="Q3451" s="1914" t="s">
        <v>1493</v>
      </c>
      <c r="R3451" s="1916" t="s">
        <v>804</v>
      </c>
      <c r="S3451" s="1914" t="s">
        <v>1511</v>
      </c>
      <c r="T3451" s="1914" t="s">
        <v>1512</v>
      </c>
      <c r="U3451" s="1918" t="s">
        <v>1513</v>
      </c>
      <c r="V3451" s="1418">
        <f t="shared" ref="V3451:V3458" si="348">V3452</f>
        <v>0</v>
      </c>
      <c r="W3451" s="16"/>
      <c r="X3451" s="16"/>
      <c r="Y3451" s="16"/>
      <c r="Z3451" s="17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</row>
    <row r="3452" spans="1:36" s="352" customFormat="1" ht="15.6" hidden="1">
      <c r="A3452" s="351"/>
      <c r="B3452" s="1964" t="e">
        <f>LEFT(#REF!,5)</f>
        <v>#REF!</v>
      </c>
      <c r="C3452" s="1966" t="e">
        <f>VLOOKUP(LEFT(#REF!,5),'11 - FINANCEIRA'!_xlnm.Print_Area,2,FALSE)</f>
        <v>#REF!</v>
      </c>
      <c r="D3452" s="1920" t="s">
        <v>1514</v>
      </c>
      <c r="E3452" s="1921"/>
      <c r="F3452" s="1922"/>
      <c r="G3452" s="1923" t="s">
        <v>1515</v>
      </c>
      <c r="H3452" s="1924"/>
      <c r="I3452" s="1925"/>
      <c r="J3452" s="1915"/>
      <c r="K3452" s="1915"/>
      <c r="L3452" s="1915"/>
      <c r="M3452" s="1915"/>
      <c r="N3452" s="1915"/>
      <c r="O3452" s="1915"/>
      <c r="P3452" s="353" t="s">
        <v>1516</v>
      </c>
      <c r="Q3452" s="1915"/>
      <c r="R3452" s="1917"/>
      <c r="S3452" s="1915"/>
      <c r="T3452" s="1915"/>
      <c r="U3452" s="1919"/>
      <c r="V3452" s="1418">
        <f t="shared" si="348"/>
        <v>0</v>
      </c>
      <c r="W3452" s="16"/>
      <c r="X3452" s="16"/>
      <c r="Y3452" s="16"/>
      <c r="Z3452" s="17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</row>
    <row r="3453" spans="1:36" s="361" customFormat="1" ht="15" hidden="1" customHeight="1">
      <c r="A3453" s="354"/>
      <c r="B3453" s="355"/>
      <c r="C3453" s="28" t="s">
        <v>1282</v>
      </c>
      <c r="D3453" s="18"/>
      <c r="E3453" s="19"/>
      <c r="F3453" s="20"/>
      <c r="G3453" s="18"/>
      <c r="H3453" s="19"/>
      <c r="I3453" s="20"/>
      <c r="J3453" s="21"/>
      <c r="K3453" s="22"/>
      <c r="L3453" s="23"/>
      <c r="M3453" s="24"/>
      <c r="N3453" s="728"/>
      <c r="O3453" s="25"/>
      <c r="P3453" s="23"/>
      <c r="Q3453" s="729"/>
      <c r="R3453" s="1109">
        <v>8</v>
      </c>
      <c r="S3453" s="730" t="s">
        <v>816</v>
      </c>
      <c r="T3453" s="446" t="s">
        <v>324</v>
      </c>
      <c r="U3453" s="44"/>
      <c r="V3453" s="1418">
        <f t="shared" si="348"/>
        <v>0</v>
      </c>
      <c r="W3453" s="357"/>
      <c r="X3453" s="357"/>
      <c r="Y3453" s="357"/>
      <c r="Z3453" s="358"/>
      <c r="AA3453" s="359"/>
      <c r="AB3453" s="360"/>
    </row>
    <row r="3454" spans="1:36" s="361" customFormat="1" ht="15" hidden="1" customHeight="1">
      <c r="A3454" s="354"/>
      <c r="B3454" s="355"/>
      <c r="C3454" s="32"/>
      <c r="D3454" s="33"/>
      <c r="E3454" s="34"/>
      <c r="F3454" s="35"/>
      <c r="G3454" s="33"/>
      <c r="H3454" s="34"/>
      <c r="I3454" s="35"/>
      <c r="J3454" s="43"/>
      <c r="K3454" s="42"/>
      <c r="L3454" s="39"/>
      <c r="M3454" s="41"/>
      <c r="N3454" s="356"/>
      <c r="O3454" s="40"/>
      <c r="P3454" s="39"/>
      <c r="Q3454" s="45"/>
      <c r="R3454" s="362"/>
      <c r="S3454" s="363"/>
      <c r="T3454" s="46"/>
      <c r="U3454" s="44"/>
      <c r="V3454" s="1418">
        <f t="shared" si="348"/>
        <v>0</v>
      </c>
      <c r="W3454" s="357"/>
      <c r="X3454" s="357"/>
      <c r="Y3454" s="357"/>
      <c r="Z3454" s="358"/>
      <c r="AA3454" s="359"/>
      <c r="AB3454" s="360"/>
    </row>
    <row r="3455" spans="1:36" s="369" customFormat="1" ht="15" hidden="1">
      <c r="A3455" s="364"/>
      <c r="B3455" s="355"/>
      <c r="C3455" s="32"/>
      <c r="D3455" s="33"/>
      <c r="E3455" s="34"/>
      <c r="F3455" s="35"/>
      <c r="G3455" s="33"/>
      <c r="H3455" s="34"/>
      <c r="I3455" s="35"/>
      <c r="J3455" s="43"/>
      <c r="K3455" s="42"/>
      <c r="L3455" s="39"/>
      <c r="M3455" s="41"/>
      <c r="N3455" s="40"/>
      <c r="O3455" s="40"/>
      <c r="P3455" s="39"/>
      <c r="Q3455" s="38"/>
      <c r="R3455" s="365"/>
      <c r="S3455" s="366"/>
      <c r="T3455" s="46"/>
      <c r="U3455" s="44"/>
      <c r="V3455" s="1418">
        <f t="shared" si="348"/>
        <v>0</v>
      </c>
      <c r="W3455" s="367"/>
      <c r="X3455" s="367"/>
      <c r="Y3455" s="367"/>
      <c r="Z3455" s="368"/>
    </row>
    <row r="3456" spans="1:36" s="77" customFormat="1" ht="15" hidden="1">
      <c r="A3456" s="370"/>
      <c r="B3456" s="29"/>
      <c r="C3456" s="30"/>
      <c r="D3456" s="18"/>
      <c r="E3456" s="19"/>
      <c r="F3456" s="20"/>
      <c r="G3456" s="18"/>
      <c r="H3456" s="19"/>
      <c r="I3456" s="20"/>
      <c r="J3456" s="21"/>
      <c r="K3456" s="22"/>
      <c r="L3456" s="23"/>
      <c r="M3456" s="24"/>
      <c r="N3456" s="25"/>
      <c r="O3456" s="25"/>
      <c r="P3456" s="23"/>
      <c r="Q3456" s="26"/>
      <c r="R3456" s="371"/>
      <c r="S3456" s="27"/>
      <c r="T3456" s="372"/>
      <c r="U3456" s="31"/>
      <c r="V3456" s="1418">
        <f t="shared" si="348"/>
        <v>0</v>
      </c>
      <c r="AB3456" s="15"/>
    </row>
    <row r="3457" spans="1:36" s="77" customFormat="1" ht="15.6" hidden="1">
      <c r="A3457" s="370"/>
      <c r="B3457" s="499"/>
      <c r="C3457" s="37"/>
      <c r="D3457" s="1929" t="s">
        <v>1520</v>
      </c>
      <c r="E3457" s="1930"/>
      <c r="F3457" s="1930"/>
      <c r="G3457" s="1930"/>
      <c r="H3457" s="1930"/>
      <c r="I3457" s="1931"/>
      <c r="J3457" s="1932">
        <f>VLOOKUP(A3459,'11 - FINANCEIRA'!_xlnm.Print_Area,6,FALSE)</f>
        <v>8</v>
      </c>
      <c r="K3457" s="1933"/>
      <c r="L3457" s="1343" t="str">
        <f>VLOOKUP(A3459,'11 - FINANCEIRA'!_xlnm.Print_Area,4,FALSE)</f>
        <v>und</v>
      </c>
      <c r="M3457" s="1934" t="s">
        <v>1521</v>
      </c>
      <c r="N3457" s="1935"/>
      <c r="O3457" s="1935"/>
      <c r="P3457" s="1935"/>
      <c r="Q3457" s="1936"/>
      <c r="R3457" s="726">
        <f>SUM(R3453:R3456)</f>
        <v>8</v>
      </c>
      <c r="S3457" s="1344" t="str">
        <f>L3457</f>
        <v>und</v>
      </c>
      <c r="T3457" s="373"/>
      <c r="U3457" s="486"/>
      <c r="V3457" s="1418">
        <f t="shared" si="348"/>
        <v>0</v>
      </c>
      <c r="AB3457" s="15"/>
    </row>
    <row r="3458" spans="1:36" s="77" customFormat="1" ht="15.6" hidden="1">
      <c r="A3458" s="370"/>
      <c r="B3458" s="499"/>
      <c r="C3458" s="725"/>
      <c r="D3458" s="1937" t="s">
        <v>1522</v>
      </c>
      <c r="E3458" s="1938"/>
      <c r="F3458" s="1938"/>
      <c r="G3458" s="1938"/>
      <c r="H3458" s="1938"/>
      <c r="I3458" s="1939"/>
      <c r="J3458" s="1943">
        <f>R3457/J3457</f>
        <v>1</v>
      </c>
      <c r="K3458" s="1944"/>
      <c r="L3458" s="1947"/>
      <c r="M3458" s="1934" t="s">
        <v>1523</v>
      </c>
      <c r="N3458" s="1935"/>
      <c r="O3458" s="1935"/>
      <c r="P3458" s="1935"/>
      <c r="Q3458" s="1936"/>
      <c r="R3458" s="726">
        <f>VLOOKUP(A3459,'11 - FINANCEIRA'!_xlnm.Print_Area,8,FALSE)</f>
        <v>8</v>
      </c>
      <c r="S3458" s="727" t="str">
        <f>L3457</f>
        <v>und</v>
      </c>
      <c r="T3458" s="373"/>
      <c r="U3458" s="486"/>
      <c r="V3458" s="1418">
        <f t="shared" si="348"/>
        <v>0</v>
      </c>
      <c r="AB3458" s="15"/>
    </row>
    <row r="3459" spans="1:36" s="77" customFormat="1" ht="15.6" hidden="1">
      <c r="A3459" s="364" t="s">
        <v>659</v>
      </c>
      <c r="B3459" s="499"/>
      <c r="C3459" s="37"/>
      <c r="D3459" s="2013"/>
      <c r="E3459" s="2014"/>
      <c r="F3459" s="2014"/>
      <c r="G3459" s="2014"/>
      <c r="H3459" s="2014"/>
      <c r="I3459" s="2015"/>
      <c r="J3459" s="2016"/>
      <c r="K3459" s="2017"/>
      <c r="L3459" s="1962"/>
      <c r="M3459" s="2007" t="s">
        <v>1524</v>
      </c>
      <c r="N3459" s="2008"/>
      <c r="O3459" s="2008"/>
      <c r="P3459" s="2008"/>
      <c r="Q3459" s="2009"/>
      <c r="R3459" s="1345">
        <f>R3457-R3458</f>
        <v>0</v>
      </c>
      <c r="S3459" s="1346" t="str">
        <f>L3457</f>
        <v>und</v>
      </c>
      <c r="T3459" s="373"/>
      <c r="U3459" s="486"/>
      <c r="V3459" s="1418">
        <f>R3459</f>
        <v>0</v>
      </c>
      <c r="AB3459" s="15"/>
    </row>
    <row r="3460" spans="1:36" s="77" customFormat="1" ht="15.6" hidden="1">
      <c r="A3460" s="370"/>
      <c r="B3460" s="1347"/>
      <c r="C3460" s="1348"/>
      <c r="D3460" s="1349"/>
      <c r="E3460" s="1350"/>
      <c r="F3460" s="1349"/>
      <c r="G3460" s="1349"/>
      <c r="H3460" s="1349"/>
      <c r="I3460" s="1349"/>
      <c r="J3460" s="1351"/>
      <c r="K3460" s="1352"/>
      <c r="L3460" s="1353"/>
      <c r="M3460" s="1354"/>
      <c r="N3460" s="1354"/>
      <c r="O3460" s="1354"/>
      <c r="P3460" s="1354"/>
      <c r="Q3460" s="1354"/>
      <c r="R3460" s="1355"/>
      <c r="S3460" s="1356"/>
      <c r="T3460" s="1357"/>
      <c r="U3460" s="1358"/>
      <c r="V3460" s="1420">
        <f>SUM(V3451:V3459)</f>
        <v>0</v>
      </c>
      <c r="AB3460" s="15"/>
    </row>
    <row r="3461" spans="1:36" s="352" customFormat="1" ht="15.6" hidden="1">
      <c r="A3461" s="351"/>
      <c r="B3461" s="1963" t="str">
        <f>VLOOKUP(A3469,'11 - FINANCEIRA'!_xlnm.Print_Area,1,FALSE)</f>
        <v>2.5.3.5</v>
      </c>
      <c r="C3461" s="1965" t="str">
        <f>VLOOKUP(A3469,'11 - FINANCEIRA'!_xlnm.Print_Area,3,FALSE)</f>
        <v>Cruzeta de madeira p/ poste 90 x 135 x 2400mm</v>
      </c>
      <c r="D3461" s="1967" t="s">
        <v>1503</v>
      </c>
      <c r="E3461" s="1968"/>
      <c r="F3461" s="1968"/>
      <c r="G3461" s="1968"/>
      <c r="H3461" s="1968"/>
      <c r="I3461" s="1969"/>
      <c r="J3461" s="1914" t="s">
        <v>1504</v>
      </c>
      <c r="K3461" s="1914" t="s">
        <v>1505</v>
      </c>
      <c r="L3461" s="1914" t="s">
        <v>1506</v>
      </c>
      <c r="M3461" s="1914" t="s">
        <v>1507</v>
      </c>
      <c r="N3461" s="1914" t="s">
        <v>1508</v>
      </c>
      <c r="O3461" s="1914" t="s">
        <v>1509</v>
      </c>
      <c r="P3461" s="1341" t="s">
        <v>1510</v>
      </c>
      <c r="Q3461" s="1914" t="s">
        <v>1493</v>
      </c>
      <c r="R3461" s="1916" t="s">
        <v>804</v>
      </c>
      <c r="S3461" s="1914" t="s">
        <v>1511</v>
      </c>
      <c r="T3461" s="1914" t="s">
        <v>1512</v>
      </c>
      <c r="U3461" s="1918" t="s">
        <v>1513</v>
      </c>
      <c r="V3461" s="1418">
        <f t="shared" ref="V3461:V3468" si="349">V3462</f>
        <v>0</v>
      </c>
      <c r="W3461" s="16"/>
      <c r="X3461" s="16"/>
      <c r="Y3461" s="16"/>
      <c r="Z3461" s="17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</row>
    <row r="3462" spans="1:36" s="352" customFormat="1" ht="15.6" hidden="1">
      <c r="A3462" s="351"/>
      <c r="B3462" s="1964" t="e">
        <f>LEFT(#REF!,5)</f>
        <v>#REF!</v>
      </c>
      <c r="C3462" s="1966" t="e">
        <f>VLOOKUP(LEFT(#REF!,5),'11 - FINANCEIRA'!_xlnm.Print_Area,2,FALSE)</f>
        <v>#REF!</v>
      </c>
      <c r="D3462" s="1920" t="s">
        <v>1514</v>
      </c>
      <c r="E3462" s="1921"/>
      <c r="F3462" s="1922"/>
      <c r="G3462" s="1923" t="s">
        <v>1515</v>
      </c>
      <c r="H3462" s="1924"/>
      <c r="I3462" s="1925"/>
      <c r="J3462" s="1915"/>
      <c r="K3462" s="1915"/>
      <c r="L3462" s="1915"/>
      <c r="M3462" s="1915"/>
      <c r="N3462" s="1915"/>
      <c r="O3462" s="1915"/>
      <c r="P3462" s="353" t="s">
        <v>1516</v>
      </c>
      <c r="Q3462" s="1915"/>
      <c r="R3462" s="1917"/>
      <c r="S3462" s="1915"/>
      <c r="T3462" s="1915"/>
      <c r="U3462" s="1919"/>
      <c r="V3462" s="1418">
        <f t="shared" si="349"/>
        <v>0</v>
      </c>
      <c r="W3462" s="16"/>
      <c r="X3462" s="16"/>
      <c r="Y3462" s="16"/>
      <c r="Z3462" s="17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</row>
    <row r="3463" spans="1:36" s="361" customFormat="1" ht="15" hidden="1" customHeight="1">
      <c r="A3463" s="354"/>
      <c r="B3463" s="355"/>
      <c r="C3463" s="28" t="s">
        <v>1284</v>
      </c>
      <c r="D3463" s="18"/>
      <c r="E3463" s="19"/>
      <c r="F3463" s="20"/>
      <c r="G3463" s="18"/>
      <c r="H3463" s="19"/>
      <c r="I3463" s="20"/>
      <c r="J3463" s="21"/>
      <c r="K3463" s="22"/>
      <c r="L3463" s="23"/>
      <c r="M3463" s="24"/>
      <c r="N3463" s="728"/>
      <c r="O3463" s="25"/>
      <c r="P3463" s="23"/>
      <c r="Q3463" s="729"/>
      <c r="R3463" s="1109">
        <v>2</v>
      </c>
      <c r="S3463" s="730" t="s">
        <v>816</v>
      </c>
      <c r="T3463" s="446" t="s">
        <v>324</v>
      </c>
      <c r="U3463" s="44"/>
      <c r="V3463" s="1418">
        <f t="shared" si="349"/>
        <v>0</v>
      </c>
      <c r="W3463" s="357"/>
      <c r="X3463" s="357"/>
      <c r="Y3463" s="357"/>
      <c r="Z3463" s="358"/>
      <c r="AA3463" s="359"/>
      <c r="AB3463" s="360"/>
    </row>
    <row r="3464" spans="1:36" s="361" customFormat="1" ht="15" hidden="1" customHeight="1">
      <c r="A3464" s="354"/>
      <c r="B3464" s="355"/>
      <c r="C3464" s="32"/>
      <c r="D3464" s="33"/>
      <c r="E3464" s="34"/>
      <c r="F3464" s="35"/>
      <c r="G3464" s="33"/>
      <c r="H3464" s="34"/>
      <c r="I3464" s="35"/>
      <c r="J3464" s="43"/>
      <c r="K3464" s="42"/>
      <c r="L3464" s="39"/>
      <c r="M3464" s="41"/>
      <c r="N3464" s="356"/>
      <c r="O3464" s="40"/>
      <c r="P3464" s="39"/>
      <c r="Q3464" s="45"/>
      <c r="R3464" s="362"/>
      <c r="S3464" s="363"/>
      <c r="T3464" s="46"/>
      <c r="U3464" s="44"/>
      <c r="V3464" s="1418">
        <f t="shared" si="349"/>
        <v>0</v>
      </c>
      <c r="W3464" s="357"/>
      <c r="X3464" s="357"/>
      <c r="Y3464" s="357"/>
      <c r="Z3464" s="358"/>
      <c r="AA3464" s="359"/>
      <c r="AB3464" s="360"/>
    </row>
    <row r="3465" spans="1:36" s="369" customFormat="1" ht="15" hidden="1">
      <c r="A3465" s="364"/>
      <c r="B3465" s="355"/>
      <c r="C3465" s="32"/>
      <c r="D3465" s="33"/>
      <c r="E3465" s="34"/>
      <c r="F3465" s="35"/>
      <c r="G3465" s="33"/>
      <c r="H3465" s="34"/>
      <c r="I3465" s="35"/>
      <c r="J3465" s="43"/>
      <c r="K3465" s="42"/>
      <c r="L3465" s="39"/>
      <c r="M3465" s="41"/>
      <c r="N3465" s="40"/>
      <c r="O3465" s="40"/>
      <c r="P3465" s="39"/>
      <c r="Q3465" s="38"/>
      <c r="R3465" s="365"/>
      <c r="S3465" s="366"/>
      <c r="T3465" s="46"/>
      <c r="U3465" s="44"/>
      <c r="V3465" s="1418">
        <f t="shared" si="349"/>
        <v>0</v>
      </c>
      <c r="W3465" s="367"/>
      <c r="X3465" s="367"/>
      <c r="Y3465" s="367"/>
      <c r="Z3465" s="368"/>
    </row>
    <row r="3466" spans="1:36" s="77" customFormat="1" ht="15" hidden="1">
      <c r="A3466" s="370"/>
      <c r="B3466" s="29"/>
      <c r="C3466" s="30"/>
      <c r="D3466" s="18"/>
      <c r="E3466" s="19"/>
      <c r="F3466" s="20"/>
      <c r="G3466" s="18"/>
      <c r="H3466" s="19"/>
      <c r="I3466" s="20"/>
      <c r="J3466" s="21"/>
      <c r="K3466" s="22"/>
      <c r="L3466" s="23"/>
      <c r="M3466" s="24"/>
      <c r="N3466" s="25"/>
      <c r="O3466" s="25"/>
      <c r="P3466" s="23"/>
      <c r="Q3466" s="26"/>
      <c r="R3466" s="371"/>
      <c r="S3466" s="27"/>
      <c r="T3466" s="372"/>
      <c r="U3466" s="31"/>
      <c r="V3466" s="1418">
        <f t="shared" si="349"/>
        <v>0</v>
      </c>
      <c r="AB3466" s="15"/>
    </row>
    <row r="3467" spans="1:36" s="77" customFormat="1" ht="15.6" hidden="1">
      <c r="A3467" s="370"/>
      <c r="B3467" s="499"/>
      <c r="C3467" s="37"/>
      <c r="D3467" s="1929" t="s">
        <v>1520</v>
      </c>
      <c r="E3467" s="1930"/>
      <c r="F3467" s="1930"/>
      <c r="G3467" s="1930"/>
      <c r="H3467" s="1930"/>
      <c r="I3467" s="1931"/>
      <c r="J3467" s="1932">
        <f>VLOOKUP(A3469,'11 - FINANCEIRA'!_xlnm.Print_Area,6,FALSE)</f>
        <v>2</v>
      </c>
      <c r="K3467" s="1933"/>
      <c r="L3467" s="1343" t="str">
        <f>VLOOKUP(A3469,'11 - FINANCEIRA'!_xlnm.Print_Area,4,FALSE)</f>
        <v>und</v>
      </c>
      <c r="M3467" s="1934" t="s">
        <v>1521</v>
      </c>
      <c r="N3467" s="1935"/>
      <c r="O3467" s="1935"/>
      <c r="P3467" s="1935"/>
      <c r="Q3467" s="1936"/>
      <c r="R3467" s="726">
        <f>SUM(R3463:R3466)</f>
        <v>2</v>
      </c>
      <c r="S3467" s="1344" t="str">
        <f>L3467</f>
        <v>und</v>
      </c>
      <c r="T3467" s="373"/>
      <c r="U3467" s="486"/>
      <c r="V3467" s="1418">
        <f t="shared" si="349"/>
        <v>0</v>
      </c>
      <c r="AB3467" s="15"/>
    </row>
    <row r="3468" spans="1:36" s="77" customFormat="1" ht="15.6" hidden="1">
      <c r="A3468" s="370"/>
      <c r="B3468" s="499"/>
      <c r="C3468" s="725"/>
      <c r="D3468" s="1937" t="s">
        <v>1522</v>
      </c>
      <c r="E3468" s="1938"/>
      <c r="F3468" s="1938"/>
      <c r="G3468" s="1938"/>
      <c r="H3468" s="1938"/>
      <c r="I3468" s="1939"/>
      <c r="J3468" s="1943">
        <f>R3467/J3467</f>
        <v>1</v>
      </c>
      <c r="K3468" s="1944"/>
      <c r="L3468" s="1947"/>
      <c r="M3468" s="1934" t="s">
        <v>1523</v>
      </c>
      <c r="N3468" s="1935"/>
      <c r="O3468" s="1935"/>
      <c r="P3468" s="1935"/>
      <c r="Q3468" s="1936"/>
      <c r="R3468" s="726">
        <f>VLOOKUP(A3469,'11 - FINANCEIRA'!_xlnm.Print_Area,8,FALSE)</f>
        <v>2</v>
      </c>
      <c r="S3468" s="727" t="str">
        <f>L3467</f>
        <v>und</v>
      </c>
      <c r="T3468" s="373"/>
      <c r="U3468" s="486"/>
      <c r="V3468" s="1418">
        <f t="shared" si="349"/>
        <v>0</v>
      </c>
      <c r="AB3468" s="15"/>
    </row>
    <row r="3469" spans="1:36" s="77" customFormat="1" ht="15.6" hidden="1">
      <c r="A3469" s="364" t="s">
        <v>660</v>
      </c>
      <c r="B3469" s="499"/>
      <c r="C3469" s="37"/>
      <c r="D3469" s="2013"/>
      <c r="E3469" s="2014"/>
      <c r="F3469" s="2014"/>
      <c r="G3469" s="2014"/>
      <c r="H3469" s="2014"/>
      <c r="I3469" s="2015"/>
      <c r="J3469" s="2016"/>
      <c r="K3469" s="2017"/>
      <c r="L3469" s="1962"/>
      <c r="M3469" s="2007" t="s">
        <v>1524</v>
      </c>
      <c r="N3469" s="2008"/>
      <c r="O3469" s="2008"/>
      <c r="P3469" s="2008"/>
      <c r="Q3469" s="2009"/>
      <c r="R3469" s="1345">
        <f>R3467-R3468</f>
        <v>0</v>
      </c>
      <c r="S3469" s="1346" t="str">
        <f>L3467</f>
        <v>und</v>
      </c>
      <c r="T3469" s="373"/>
      <c r="U3469" s="486"/>
      <c r="V3469" s="1418">
        <f>R3469</f>
        <v>0</v>
      </c>
      <c r="AB3469" s="15"/>
    </row>
    <row r="3470" spans="1:36" s="77" customFormat="1" ht="15.6" hidden="1">
      <c r="A3470" s="370"/>
      <c r="B3470" s="1347"/>
      <c r="C3470" s="1348"/>
      <c r="D3470" s="1349"/>
      <c r="E3470" s="1350"/>
      <c r="F3470" s="1349"/>
      <c r="G3470" s="1349"/>
      <c r="H3470" s="1349"/>
      <c r="I3470" s="1349"/>
      <c r="J3470" s="1351"/>
      <c r="K3470" s="1352"/>
      <c r="L3470" s="1353"/>
      <c r="M3470" s="1354"/>
      <c r="N3470" s="1354"/>
      <c r="O3470" s="1354"/>
      <c r="P3470" s="1354"/>
      <c r="Q3470" s="1354"/>
      <c r="R3470" s="1355"/>
      <c r="S3470" s="1356"/>
      <c r="T3470" s="1357"/>
      <c r="U3470" s="1358"/>
      <c r="V3470" s="1420">
        <f>SUM(V3461:V3469)</f>
        <v>0</v>
      </c>
      <c r="AB3470" s="15"/>
    </row>
    <row r="3471" spans="1:36" s="352" customFormat="1" ht="15.6" hidden="1">
      <c r="A3471" s="351"/>
      <c r="B3471" s="1963" t="str">
        <f>VLOOKUP(A3479,'11 - FINANCEIRA'!_xlnm.Print_Area,1,FALSE)</f>
        <v>2.5.3.6</v>
      </c>
      <c r="C3471" s="1965" t="str">
        <f>VLOOKUP(A3479,'11 - FINANCEIRA'!_xlnm.Print_Area,3,FALSE)</f>
        <v>Cabo de cobre termoplástico, com isolamento para 15kv, seção de 25,0mm²</v>
      </c>
      <c r="D3471" s="1967" t="s">
        <v>1503</v>
      </c>
      <c r="E3471" s="1968"/>
      <c r="F3471" s="1968"/>
      <c r="G3471" s="1968"/>
      <c r="H3471" s="1968"/>
      <c r="I3471" s="1969"/>
      <c r="J3471" s="1914" t="s">
        <v>1504</v>
      </c>
      <c r="K3471" s="1914" t="s">
        <v>1505</v>
      </c>
      <c r="L3471" s="1914" t="s">
        <v>1506</v>
      </c>
      <c r="M3471" s="1914" t="s">
        <v>1507</v>
      </c>
      <c r="N3471" s="1914" t="s">
        <v>1508</v>
      </c>
      <c r="O3471" s="1914" t="s">
        <v>1509</v>
      </c>
      <c r="P3471" s="1341" t="s">
        <v>1510</v>
      </c>
      <c r="Q3471" s="1914" t="s">
        <v>1493</v>
      </c>
      <c r="R3471" s="1916" t="s">
        <v>804</v>
      </c>
      <c r="S3471" s="1914" t="s">
        <v>1511</v>
      </c>
      <c r="T3471" s="1914" t="s">
        <v>1512</v>
      </c>
      <c r="U3471" s="1918" t="s">
        <v>1513</v>
      </c>
      <c r="V3471" s="1418">
        <f t="shared" ref="V3471:V3478" si="350">V3472</f>
        <v>0</v>
      </c>
      <c r="W3471" s="16"/>
      <c r="X3471" s="16"/>
      <c r="Y3471" s="16"/>
      <c r="Z3471" s="17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</row>
    <row r="3472" spans="1:36" s="352" customFormat="1" ht="15.6" hidden="1">
      <c r="A3472" s="351"/>
      <c r="B3472" s="1964" t="e">
        <f>LEFT(#REF!,5)</f>
        <v>#REF!</v>
      </c>
      <c r="C3472" s="1966" t="e">
        <f>VLOOKUP(LEFT(#REF!,5),'11 - FINANCEIRA'!_xlnm.Print_Area,2,FALSE)</f>
        <v>#REF!</v>
      </c>
      <c r="D3472" s="1920" t="s">
        <v>1514</v>
      </c>
      <c r="E3472" s="1921"/>
      <c r="F3472" s="1922"/>
      <c r="G3472" s="1923" t="s">
        <v>1515</v>
      </c>
      <c r="H3472" s="1924"/>
      <c r="I3472" s="1925"/>
      <c r="J3472" s="1915"/>
      <c r="K3472" s="1915"/>
      <c r="L3472" s="1915"/>
      <c r="M3472" s="1915"/>
      <c r="N3472" s="1915"/>
      <c r="O3472" s="1915"/>
      <c r="P3472" s="353" t="s">
        <v>1516</v>
      </c>
      <c r="Q3472" s="1915"/>
      <c r="R3472" s="1917"/>
      <c r="S3472" s="1915"/>
      <c r="T3472" s="1915"/>
      <c r="U3472" s="1919"/>
      <c r="V3472" s="1418">
        <f t="shared" si="350"/>
        <v>0</v>
      </c>
      <c r="W3472" s="16"/>
      <c r="X3472" s="16"/>
      <c r="Y3472" s="16"/>
      <c r="Z3472" s="17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</row>
    <row r="3473" spans="1:36" s="361" customFormat="1" ht="15" hidden="1" customHeight="1">
      <c r="A3473" s="354"/>
      <c r="B3473" s="355"/>
      <c r="C3473" s="28" t="s">
        <v>1286</v>
      </c>
      <c r="D3473" s="18"/>
      <c r="E3473" s="19"/>
      <c r="F3473" s="20"/>
      <c r="G3473" s="18"/>
      <c r="H3473" s="19"/>
      <c r="I3473" s="20"/>
      <c r="J3473" s="21"/>
      <c r="K3473" s="22"/>
      <c r="L3473" s="23"/>
      <c r="M3473" s="24"/>
      <c r="N3473" s="728"/>
      <c r="O3473" s="25"/>
      <c r="P3473" s="23"/>
      <c r="Q3473" s="729"/>
      <c r="R3473" s="1109">
        <v>54</v>
      </c>
      <c r="S3473" s="730" t="s">
        <v>809</v>
      </c>
      <c r="T3473" s="446" t="s">
        <v>324</v>
      </c>
      <c r="U3473" s="44"/>
      <c r="V3473" s="1418">
        <f t="shared" si="350"/>
        <v>0</v>
      </c>
      <c r="W3473" s="357"/>
      <c r="X3473" s="357"/>
      <c r="Y3473" s="357"/>
      <c r="Z3473" s="358"/>
      <c r="AA3473" s="359"/>
      <c r="AB3473" s="360"/>
    </row>
    <row r="3474" spans="1:36" s="361" customFormat="1" ht="15" hidden="1" customHeight="1">
      <c r="A3474" s="354"/>
      <c r="B3474" s="355"/>
      <c r="C3474" s="32"/>
      <c r="D3474" s="33"/>
      <c r="E3474" s="34"/>
      <c r="F3474" s="35"/>
      <c r="G3474" s="33"/>
      <c r="H3474" s="34"/>
      <c r="I3474" s="35"/>
      <c r="J3474" s="43"/>
      <c r="K3474" s="42"/>
      <c r="L3474" s="39"/>
      <c r="M3474" s="41"/>
      <c r="N3474" s="356"/>
      <c r="O3474" s="40"/>
      <c r="P3474" s="39"/>
      <c r="Q3474" s="45"/>
      <c r="R3474" s="362"/>
      <c r="S3474" s="363"/>
      <c r="T3474" s="46"/>
      <c r="U3474" s="44"/>
      <c r="V3474" s="1418">
        <f t="shared" si="350"/>
        <v>0</v>
      </c>
      <c r="W3474" s="357"/>
      <c r="X3474" s="357"/>
      <c r="Y3474" s="357"/>
      <c r="Z3474" s="358"/>
      <c r="AA3474" s="359"/>
      <c r="AB3474" s="360"/>
    </row>
    <row r="3475" spans="1:36" s="369" customFormat="1" ht="15" hidden="1">
      <c r="A3475" s="364"/>
      <c r="B3475" s="355"/>
      <c r="C3475" s="32"/>
      <c r="D3475" s="33"/>
      <c r="E3475" s="34"/>
      <c r="F3475" s="35"/>
      <c r="G3475" s="33"/>
      <c r="H3475" s="34"/>
      <c r="I3475" s="35"/>
      <c r="J3475" s="43"/>
      <c r="K3475" s="42"/>
      <c r="L3475" s="39"/>
      <c r="M3475" s="41"/>
      <c r="N3475" s="40"/>
      <c r="O3475" s="40"/>
      <c r="P3475" s="39"/>
      <c r="Q3475" s="38"/>
      <c r="R3475" s="365"/>
      <c r="S3475" s="366"/>
      <c r="T3475" s="46"/>
      <c r="U3475" s="44"/>
      <c r="V3475" s="1418">
        <f t="shared" si="350"/>
        <v>0</v>
      </c>
      <c r="W3475" s="367"/>
      <c r="X3475" s="367"/>
      <c r="Y3475" s="367"/>
      <c r="Z3475" s="368"/>
    </row>
    <row r="3476" spans="1:36" s="77" customFormat="1" ht="15" hidden="1">
      <c r="A3476" s="370"/>
      <c r="B3476" s="29"/>
      <c r="C3476" s="30"/>
      <c r="D3476" s="18"/>
      <c r="E3476" s="19"/>
      <c r="F3476" s="20"/>
      <c r="G3476" s="18"/>
      <c r="H3476" s="19"/>
      <c r="I3476" s="20"/>
      <c r="J3476" s="21"/>
      <c r="K3476" s="22"/>
      <c r="L3476" s="23"/>
      <c r="M3476" s="24"/>
      <c r="N3476" s="25"/>
      <c r="O3476" s="25"/>
      <c r="P3476" s="23"/>
      <c r="Q3476" s="26"/>
      <c r="R3476" s="371"/>
      <c r="S3476" s="27"/>
      <c r="T3476" s="372"/>
      <c r="U3476" s="31"/>
      <c r="V3476" s="1418">
        <f t="shared" si="350"/>
        <v>0</v>
      </c>
      <c r="AB3476" s="15"/>
    </row>
    <row r="3477" spans="1:36" s="77" customFormat="1" ht="15.6" hidden="1">
      <c r="A3477" s="370"/>
      <c r="B3477" s="499"/>
      <c r="C3477" s="37"/>
      <c r="D3477" s="1929" t="s">
        <v>1520</v>
      </c>
      <c r="E3477" s="1930"/>
      <c r="F3477" s="1930"/>
      <c r="G3477" s="1930"/>
      <c r="H3477" s="1930"/>
      <c r="I3477" s="1931"/>
      <c r="J3477" s="1932">
        <f>VLOOKUP(A3479,'11 - FINANCEIRA'!_xlnm.Print_Area,6,FALSE)</f>
        <v>54</v>
      </c>
      <c r="K3477" s="1933"/>
      <c r="L3477" s="1343" t="str">
        <f>VLOOKUP(A3479,'11 - FINANCEIRA'!_xlnm.Print_Area,4,FALSE)</f>
        <v>m</v>
      </c>
      <c r="M3477" s="1934" t="s">
        <v>1521</v>
      </c>
      <c r="N3477" s="1935"/>
      <c r="O3477" s="1935"/>
      <c r="P3477" s="1935"/>
      <c r="Q3477" s="1936"/>
      <c r="R3477" s="726">
        <f>SUM(R3473:R3476)</f>
        <v>54</v>
      </c>
      <c r="S3477" s="1344" t="str">
        <f>L3477</f>
        <v>m</v>
      </c>
      <c r="T3477" s="373"/>
      <c r="U3477" s="486"/>
      <c r="V3477" s="1418">
        <f t="shared" si="350"/>
        <v>0</v>
      </c>
      <c r="AB3477" s="15"/>
    </row>
    <row r="3478" spans="1:36" s="77" customFormat="1" ht="15.6" hidden="1">
      <c r="A3478" s="370"/>
      <c r="B3478" s="499"/>
      <c r="C3478" s="725"/>
      <c r="D3478" s="1937" t="s">
        <v>1522</v>
      </c>
      <c r="E3478" s="1938"/>
      <c r="F3478" s="1938"/>
      <c r="G3478" s="1938"/>
      <c r="H3478" s="1938"/>
      <c r="I3478" s="1939"/>
      <c r="J3478" s="1943">
        <f>R3477/J3477</f>
        <v>1</v>
      </c>
      <c r="K3478" s="1944"/>
      <c r="L3478" s="1947"/>
      <c r="M3478" s="1934" t="s">
        <v>1523</v>
      </c>
      <c r="N3478" s="1935"/>
      <c r="O3478" s="1935"/>
      <c r="P3478" s="1935"/>
      <c r="Q3478" s="1936"/>
      <c r="R3478" s="726">
        <f>VLOOKUP(A3479,'11 - FINANCEIRA'!_xlnm.Print_Area,8,FALSE)</f>
        <v>54</v>
      </c>
      <c r="S3478" s="727" t="str">
        <f>L3477</f>
        <v>m</v>
      </c>
      <c r="T3478" s="373"/>
      <c r="U3478" s="486"/>
      <c r="V3478" s="1418">
        <f t="shared" si="350"/>
        <v>0</v>
      </c>
      <c r="AB3478" s="15"/>
    </row>
    <row r="3479" spans="1:36" s="77" customFormat="1" ht="15.6" hidden="1">
      <c r="A3479" s="364" t="s">
        <v>661</v>
      </c>
      <c r="B3479" s="499"/>
      <c r="C3479" s="37"/>
      <c r="D3479" s="2013"/>
      <c r="E3479" s="2014"/>
      <c r="F3479" s="2014"/>
      <c r="G3479" s="2014"/>
      <c r="H3479" s="2014"/>
      <c r="I3479" s="2015"/>
      <c r="J3479" s="2016"/>
      <c r="K3479" s="2017"/>
      <c r="L3479" s="1962"/>
      <c r="M3479" s="2007" t="s">
        <v>1524</v>
      </c>
      <c r="N3479" s="2008"/>
      <c r="O3479" s="2008"/>
      <c r="P3479" s="2008"/>
      <c r="Q3479" s="2009"/>
      <c r="R3479" s="1345">
        <f>R3477-R3478</f>
        <v>0</v>
      </c>
      <c r="S3479" s="1346" t="str">
        <f>L3477</f>
        <v>m</v>
      </c>
      <c r="T3479" s="373"/>
      <c r="U3479" s="486"/>
      <c r="V3479" s="1418">
        <f>R3479</f>
        <v>0</v>
      </c>
      <c r="AB3479" s="15"/>
    </row>
    <row r="3480" spans="1:36" s="77" customFormat="1" ht="15.6" hidden="1">
      <c r="A3480" s="370"/>
      <c r="B3480" s="1347"/>
      <c r="C3480" s="1348"/>
      <c r="D3480" s="1349"/>
      <c r="E3480" s="1350"/>
      <c r="F3480" s="1349"/>
      <c r="G3480" s="1349"/>
      <c r="H3480" s="1349"/>
      <c r="I3480" s="1349"/>
      <c r="J3480" s="1351"/>
      <c r="K3480" s="1352"/>
      <c r="L3480" s="1353"/>
      <c r="M3480" s="1354"/>
      <c r="N3480" s="1354"/>
      <c r="O3480" s="1354"/>
      <c r="P3480" s="1354"/>
      <c r="Q3480" s="1354"/>
      <c r="R3480" s="1355"/>
      <c r="S3480" s="1356"/>
      <c r="T3480" s="1357"/>
      <c r="U3480" s="1358"/>
      <c r="V3480" s="1420">
        <f>SUM(V3471:V3479)</f>
        <v>0</v>
      </c>
      <c r="AB3480" s="15"/>
    </row>
    <row r="3481" spans="1:36" s="352" customFormat="1" ht="15.6" hidden="1">
      <c r="A3481" s="351"/>
      <c r="B3481" s="1963" t="str">
        <f>VLOOKUP(A3489,'11 - FINANCEIRA'!_xlnm.Print_Area,1,FALSE)</f>
        <v>2.5.3.7</v>
      </c>
      <c r="C3481" s="1965" t="str">
        <f>VLOOKUP(A3489,'11 - FINANCEIRA'!_xlnm.Print_Area,3,FALSE)</f>
        <v>Arame nº 12 galvanizado</v>
      </c>
      <c r="D3481" s="1967" t="s">
        <v>1503</v>
      </c>
      <c r="E3481" s="1968"/>
      <c r="F3481" s="1968"/>
      <c r="G3481" s="1968"/>
      <c r="H3481" s="1968"/>
      <c r="I3481" s="1969"/>
      <c r="J3481" s="1914" t="s">
        <v>1504</v>
      </c>
      <c r="K3481" s="1914" t="s">
        <v>1505</v>
      </c>
      <c r="L3481" s="1914" t="s">
        <v>1506</v>
      </c>
      <c r="M3481" s="1914" t="s">
        <v>1507</v>
      </c>
      <c r="N3481" s="1914" t="s">
        <v>1508</v>
      </c>
      <c r="O3481" s="1914" t="s">
        <v>1509</v>
      </c>
      <c r="P3481" s="1341" t="s">
        <v>1510</v>
      </c>
      <c r="Q3481" s="1914" t="s">
        <v>1493</v>
      </c>
      <c r="R3481" s="1916" t="s">
        <v>804</v>
      </c>
      <c r="S3481" s="1914" t="s">
        <v>1511</v>
      </c>
      <c r="T3481" s="1914" t="s">
        <v>1512</v>
      </c>
      <c r="U3481" s="1918" t="s">
        <v>1513</v>
      </c>
      <c r="V3481" s="1418">
        <f t="shared" ref="V3481:V3488" si="351">V3482</f>
        <v>0</v>
      </c>
      <c r="W3481" s="16"/>
      <c r="X3481" s="16"/>
      <c r="Y3481" s="16"/>
      <c r="Z3481" s="17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</row>
    <row r="3482" spans="1:36" s="352" customFormat="1" ht="15.6" hidden="1">
      <c r="A3482" s="351"/>
      <c r="B3482" s="1964" t="e">
        <f>LEFT(#REF!,5)</f>
        <v>#REF!</v>
      </c>
      <c r="C3482" s="1966" t="e">
        <f>VLOOKUP(LEFT(#REF!,5),'11 - FINANCEIRA'!_xlnm.Print_Area,2,FALSE)</f>
        <v>#REF!</v>
      </c>
      <c r="D3482" s="1920" t="s">
        <v>1514</v>
      </c>
      <c r="E3482" s="1921"/>
      <c r="F3482" s="1922"/>
      <c r="G3482" s="1923" t="s">
        <v>1515</v>
      </c>
      <c r="H3482" s="1924"/>
      <c r="I3482" s="1925"/>
      <c r="J3482" s="1915"/>
      <c r="K3482" s="1915"/>
      <c r="L3482" s="1915"/>
      <c r="M3482" s="1915"/>
      <c r="N3482" s="1915"/>
      <c r="O3482" s="1915"/>
      <c r="P3482" s="353" t="s">
        <v>1516</v>
      </c>
      <c r="Q3482" s="1915"/>
      <c r="R3482" s="1917"/>
      <c r="S3482" s="1915"/>
      <c r="T3482" s="1915"/>
      <c r="U3482" s="1919"/>
      <c r="V3482" s="1418">
        <f t="shared" si="351"/>
        <v>0</v>
      </c>
      <c r="W3482" s="16"/>
      <c r="X3482" s="16"/>
      <c r="Y3482" s="16"/>
      <c r="Z3482" s="17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</row>
    <row r="3483" spans="1:36" s="361" customFormat="1" ht="15" hidden="1" customHeight="1">
      <c r="A3483" s="354"/>
      <c r="B3483" s="355"/>
      <c r="C3483" s="28" t="s">
        <v>1288</v>
      </c>
      <c r="D3483" s="18"/>
      <c r="E3483" s="19"/>
      <c r="F3483" s="20"/>
      <c r="G3483" s="18"/>
      <c r="H3483" s="19"/>
      <c r="I3483" s="20"/>
      <c r="J3483" s="21"/>
      <c r="K3483" s="22"/>
      <c r="L3483" s="23"/>
      <c r="M3483" s="24"/>
      <c r="N3483" s="728"/>
      <c r="O3483" s="25"/>
      <c r="P3483" s="23"/>
      <c r="Q3483" s="729"/>
      <c r="R3483" s="1109">
        <v>1</v>
      </c>
      <c r="S3483" s="730" t="s">
        <v>1448</v>
      </c>
      <c r="T3483" s="446" t="s">
        <v>324</v>
      </c>
      <c r="U3483" s="44"/>
      <c r="V3483" s="1418">
        <f t="shared" si="351"/>
        <v>0</v>
      </c>
      <c r="W3483" s="357"/>
      <c r="X3483" s="357"/>
      <c r="Y3483" s="357"/>
      <c r="Z3483" s="358"/>
      <c r="AA3483" s="359"/>
      <c r="AB3483" s="360"/>
    </row>
    <row r="3484" spans="1:36" s="361" customFormat="1" ht="15" hidden="1" customHeight="1">
      <c r="A3484" s="354"/>
      <c r="B3484" s="355"/>
      <c r="C3484" s="32"/>
      <c r="D3484" s="33"/>
      <c r="E3484" s="34"/>
      <c r="F3484" s="35"/>
      <c r="G3484" s="33"/>
      <c r="H3484" s="34"/>
      <c r="I3484" s="35"/>
      <c r="J3484" s="43"/>
      <c r="K3484" s="42"/>
      <c r="L3484" s="39"/>
      <c r="M3484" s="41"/>
      <c r="N3484" s="356"/>
      <c r="O3484" s="40"/>
      <c r="P3484" s="39"/>
      <c r="Q3484" s="45"/>
      <c r="R3484" s="362"/>
      <c r="S3484" s="363"/>
      <c r="T3484" s="46"/>
      <c r="U3484" s="44"/>
      <c r="V3484" s="1418">
        <f t="shared" si="351"/>
        <v>0</v>
      </c>
      <c r="W3484" s="357"/>
      <c r="X3484" s="357"/>
      <c r="Y3484" s="357"/>
      <c r="Z3484" s="358"/>
      <c r="AA3484" s="359"/>
      <c r="AB3484" s="360"/>
    </row>
    <row r="3485" spans="1:36" s="369" customFormat="1" ht="15" hidden="1">
      <c r="A3485" s="364"/>
      <c r="B3485" s="355"/>
      <c r="C3485" s="32"/>
      <c r="D3485" s="33"/>
      <c r="E3485" s="34"/>
      <c r="F3485" s="35"/>
      <c r="G3485" s="33"/>
      <c r="H3485" s="34"/>
      <c r="I3485" s="35"/>
      <c r="J3485" s="43"/>
      <c r="K3485" s="42"/>
      <c r="L3485" s="39"/>
      <c r="M3485" s="41"/>
      <c r="N3485" s="40"/>
      <c r="O3485" s="40"/>
      <c r="P3485" s="39"/>
      <c r="Q3485" s="38"/>
      <c r="R3485" s="365"/>
      <c r="S3485" s="366"/>
      <c r="T3485" s="46"/>
      <c r="U3485" s="44"/>
      <c r="V3485" s="1418">
        <f t="shared" si="351"/>
        <v>0</v>
      </c>
      <c r="W3485" s="367"/>
      <c r="X3485" s="367"/>
      <c r="Y3485" s="367"/>
      <c r="Z3485" s="368"/>
    </row>
    <row r="3486" spans="1:36" s="77" customFormat="1" ht="15" hidden="1">
      <c r="A3486" s="370"/>
      <c r="B3486" s="29"/>
      <c r="C3486" s="30"/>
      <c r="D3486" s="18"/>
      <c r="E3486" s="19"/>
      <c r="F3486" s="20"/>
      <c r="G3486" s="18"/>
      <c r="H3486" s="19"/>
      <c r="I3486" s="20"/>
      <c r="J3486" s="21"/>
      <c r="K3486" s="22"/>
      <c r="L3486" s="23"/>
      <c r="M3486" s="24"/>
      <c r="N3486" s="25"/>
      <c r="O3486" s="25"/>
      <c r="P3486" s="23"/>
      <c r="Q3486" s="26"/>
      <c r="R3486" s="371"/>
      <c r="S3486" s="27"/>
      <c r="T3486" s="372"/>
      <c r="U3486" s="31"/>
      <c r="V3486" s="1418">
        <f t="shared" si="351"/>
        <v>0</v>
      </c>
      <c r="AB3486" s="15"/>
    </row>
    <row r="3487" spans="1:36" s="77" customFormat="1" ht="15.6" hidden="1">
      <c r="A3487" s="370"/>
      <c r="B3487" s="499"/>
      <c r="C3487" s="37"/>
      <c r="D3487" s="1929" t="s">
        <v>1520</v>
      </c>
      <c r="E3487" s="1930"/>
      <c r="F3487" s="1930"/>
      <c r="G3487" s="1930"/>
      <c r="H3487" s="1930"/>
      <c r="I3487" s="1931"/>
      <c r="J3487" s="1932">
        <f>VLOOKUP(A3489,'11 - FINANCEIRA'!_xlnm.Print_Area,6,FALSE)</f>
        <v>1</v>
      </c>
      <c r="K3487" s="1933"/>
      <c r="L3487" s="1343" t="str">
        <f>VLOOKUP(A3489,'11 - FINANCEIRA'!_xlnm.Print_Area,4,FALSE)</f>
        <v>Kg</v>
      </c>
      <c r="M3487" s="1934" t="s">
        <v>1521</v>
      </c>
      <c r="N3487" s="1935"/>
      <c r="O3487" s="1935"/>
      <c r="P3487" s="1935"/>
      <c r="Q3487" s="1936"/>
      <c r="R3487" s="726">
        <f>SUM(R3483:R3486)</f>
        <v>1</v>
      </c>
      <c r="S3487" s="1344" t="str">
        <f>L3487</f>
        <v>Kg</v>
      </c>
      <c r="T3487" s="373"/>
      <c r="U3487" s="486"/>
      <c r="V3487" s="1418">
        <f t="shared" si="351"/>
        <v>0</v>
      </c>
      <c r="AB3487" s="15"/>
    </row>
    <row r="3488" spans="1:36" s="77" customFormat="1" ht="15.6" hidden="1">
      <c r="A3488" s="370"/>
      <c r="B3488" s="499"/>
      <c r="C3488" s="725"/>
      <c r="D3488" s="1937" t="s">
        <v>1522</v>
      </c>
      <c r="E3488" s="1938"/>
      <c r="F3488" s="1938"/>
      <c r="G3488" s="1938"/>
      <c r="H3488" s="1938"/>
      <c r="I3488" s="1939"/>
      <c r="J3488" s="1943">
        <f>R3487/J3487</f>
        <v>1</v>
      </c>
      <c r="K3488" s="1944"/>
      <c r="L3488" s="1947"/>
      <c r="M3488" s="1934" t="s">
        <v>1523</v>
      </c>
      <c r="N3488" s="1935"/>
      <c r="O3488" s="1935"/>
      <c r="P3488" s="1935"/>
      <c r="Q3488" s="1936"/>
      <c r="R3488" s="726">
        <f>VLOOKUP(A3489,'11 - FINANCEIRA'!_xlnm.Print_Area,8,FALSE)</f>
        <v>1</v>
      </c>
      <c r="S3488" s="727" t="str">
        <f>L3487</f>
        <v>Kg</v>
      </c>
      <c r="T3488" s="373"/>
      <c r="U3488" s="486"/>
      <c r="V3488" s="1418">
        <f t="shared" si="351"/>
        <v>0</v>
      </c>
      <c r="AB3488" s="15"/>
    </row>
    <row r="3489" spans="1:36" s="77" customFormat="1" ht="15.6" hidden="1">
      <c r="A3489" s="364" t="s">
        <v>662</v>
      </c>
      <c r="B3489" s="499"/>
      <c r="C3489" s="37"/>
      <c r="D3489" s="2013"/>
      <c r="E3489" s="2014"/>
      <c r="F3489" s="2014"/>
      <c r="G3489" s="2014"/>
      <c r="H3489" s="2014"/>
      <c r="I3489" s="2015"/>
      <c r="J3489" s="2016"/>
      <c r="K3489" s="2017"/>
      <c r="L3489" s="1962"/>
      <c r="M3489" s="2007" t="s">
        <v>1524</v>
      </c>
      <c r="N3489" s="2008"/>
      <c r="O3489" s="2008"/>
      <c r="P3489" s="2008"/>
      <c r="Q3489" s="2009"/>
      <c r="R3489" s="1345">
        <f>R3487-R3488</f>
        <v>0</v>
      </c>
      <c r="S3489" s="1346" t="str">
        <f>L3487</f>
        <v>Kg</v>
      </c>
      <c r="T3489" s="373"/>
      <c r="U3489" s="486"/>
      <c r="V3489" s="1418">
        <f>R3489</f>
        <v>0</v>
      </c>
      <c r="AB3489" s="15"/>
    </row>
    <row r="3490" spans="1:36" s="77" customFormat="1" ht="15.6" hidden="1">
      <c r="A3490" s="370"/>
      <c r="B3490" s="1347"/>
      <c r="C3490" s="1348"/>
      <c r="D3490" s="1349"/>
      <c r="E3490" s="1350"/>
      <c r="F3490" s="1349"/>
      <c r="G3490" s="1349"/>
      <c r="H3490" s="1349"/>
      <c r="I3490" s="1349"/>
      <c r="J3490" s="1351"/>
      <c r="K3490" s="1352"/>
      <c r="L3490" s="1353"/>
      <c r="M3490" s="1354"/>
      <c r="N3490" s="1354"/>
      <c r="O3490" s="1354"/>
      <c r="P3490" s="1354"/>
      <c r="Q3490" s="1354"/>
      <c r="R3490" s="1355"/>
      <c r="S3490" s="1356"/>
      <c r="T3490" s="1357"/>
      <c r="U3490" s="1358"/>
      <c r="V3490" s="1420">
        <f>SUM(V3481:V3489)</f>
        <v>0</v>
      </c>
      <c r="AB3490" s="15"/>
    </row>
    <row r="3491" spans="1:36" s="352" customFormat="1" ht="15.6" hidden="1">
      <c r="A3491" s="351"/>
      <c r="B3491" s="1963" t="str">
        <f>VLOOKUP(A3499,'11 - FINANCEIRA'!_xlnm.Print_Area,1,FALSE)</f>
        <v>2.5.3.8</v>
      </c>
      <c r="C3491" s="1965" t="str">
        <f>VLOOKUP(A3499,'11 - FINANCEIRA'!_xlnm.Print_Area,3,FALSE)</f>
        <v>Eletroduto de ferro galvanizado 6"</v>
      </c>
      <c r="D3491" s="1967" t="s">
        <v>1503</v>
      </c>
      <c r="E3491" s="1968"/>
      <c r="F3491" s="1968"/>
      <c r="G3491" s="1968"/>
      <c r="H3491" s="1968"/>
      <c r="I3491" s="1969"/>
      <c r="J3491" s="1914" t="s">
        <v>1504</v>
      </c>
      <c r="K3491" s="1914" t="s">
        <v>1505</v>
      </c>
      <c r="L3491" s="1914" t="s">
        <v>1506</v>
      </c>
      <c r="M3491" s="1914" t="s">
        <v>1507</v>
      </c>
      <c r="N3491" s="1914" t="s">
        <v>1508</v>
      </c>
      <c r="O3491" s="1914" t="s">
        <v>1509</v>
      </c>
      <c r="P3491" s="1341" t="s">
        <v>1510</v>
      </c>
      <c r="Q3491" s="1914" t="s">
        <v>1493</v>
      </c>
      <c r="R3491" s="1916" t="s">
        <v>804</v>
      </c>
      <c r="S3491" s="1914" t="s">
        <v>1511</v>
      </c>
      <c r="T3491" s="1914" t="s">
        <v>1512</v>
      </c>
      <c r="U3491" s="1918" t="s">
        <v>1513</v>
      </c>
      <c r="V3491" s="1418">
        <f t="shared" ref="V3491:V3498" si="352">V3492</f>
        <v>0</v>
      </c>
      <c r="W3491" s="16"/>
      <c r="X3491" s="16"/>
      <c r="Y3491" s="16"/>
      <c r="Z3491" s="17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</row>
    <row r="3492" spans="1:36" s="352" customFormat="1" ht="15.6" hidden="1">
      <c r="A3492" s="351"/>
      <c r="B3492" s="1964" t="e">
        <f>LEFT(#REF!,5)</f>
        <v>#REF!</v>
      </c>
      <c r="C3492" s="1966" t="e">
        <f>VLOOKUP(LEFT(#REF!,5),'11 - FINANCEIRA'!_xlnm.Print_Area,2,FALSE)</f>
        <v>#REF!</v>
      </c>
      <c r="D3492" s="1920" t="s">
        <v>1514</v>
      </c>
      <c r="E3492" s="1921"/>
      <c r="F3492" s="1922"/>
      <c r="G3492" s="1923" t="s">
        <v>1515</v>
      </c>
      <c r="H3492" s="1924"/>
      <c r="I3492" s="1925"/>
      <c r="J3492" s="1915"/>
      <c r="K3492" s="1915"/>
      <c r="L3492" s="1915"/>
      <c r="M3492" s="1915"/>
      <c r="N3492" s="1915"/>
      <c r="O3492" s="1915"/>
      <c r="P3492" s="353" t="s">
        <v>1516</v>
      </c>
      <c r="Q3492" s="1915"/>
      <c r="R3492" s="1917"/>
      <c r="S3492" s="1915"/>
      <c r="T3492" s="1915"/>
      <c r="U3492" s="1919"/>
      <c r="V3492" s="1418">
        <f t="shared" si="352"/>
        <v>0</v>
      </c>
      <c r="W3492" s="16"/>
      <c r="X3492" s="16"/>
      <c r="Y3492" s="16"/>
      <c r="Z3492" s="17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</row>
    <row r="3493" spans="1:36" s="361" customFormat="1" ht="15" hidden="1" customHeight="1">
      <c r="A3493" s="354"/>
      <c r="B3493" s="355"/>
      <c r="C3493" s="28" t="s">
        <v>1290</v>
      </c>
      <c r="D3493" s="18"/>
      <c r="E3493" s="19"/>
      <c r="F3493" s="20"/>
      <c r="G3493" s="18"/>
      <c r="H3493" s="19"/>
      <c r="I3493" s="20"/>
      <c r="J3493" s="21"/>
      <c r="K3493" s="22"/>
      <c r="L3493" s="23"/>
      <c r="M3493" s="24"/>
      <c r="N3493" s="728"/>
      <c r="O3493" s="25"/>
      <c r="P3493" s="23"/>
      <c r="Q3493" s="729"/>
      <c r="R3493" s="1109">
        <v>6</v>
      </c>
      <c r="S3493" s="730" t="s">
        <v>809</v>
      </c>
      <c r="T3493" s="446" t="s">
        <v>324</v>
      </c>
      <c r="U3493" s="44"/>
      <c r="V3493" s="1418">
        <f t="shared" si="352"/>
        <v>0</v>
      </c>
      <c r="W3493" s="357"/>
      <c r="X3493" s="357"/>
      <c r="Y3493" s="357"/>
      <c r="Z3493" s="358"/>
      <c r="AA3493" s="359"/>
      <c r="AB3493" s="360"/>
    </row>
    <row r="3494" spans="1:36" s="361" customFormat="1" ht="15" hidden="1" customHeight="1">
      <c r="A3494" s="354"/>
      <c r="B3494" s="355"/>
      <c r="C3494" s="32"/>
      <c r="D3494" s="33"/>
      <c r="E3494" s="34"/>
      <c r="F3494" s="35"/>
      <c r="G3494" s="33"/>
      <c r="H3494" s="34"/>
      <c r="I3494" s="35"/>
      <c r="J3494" s="43"/>
      <c r="K3494" s="42"/>
      <c r="L3494" s="39"/>
      <c r="M3494" s="41"/>
      <c r="N3494" s="356"/>
      <c r="O3494" s="40"/>
      <c r="P3494" s="39"/>
      <c r="Q3494" s="45"/>
      <c r="R3494" s="362"/>
      <c r="S3494" s="363"/>
      <c r="T3494" s="46"/>
      <c r="U3494" s="44"/>
      <c r="V3494" s="1418">
        <f t="shared" si="352"/>
        <v>0</v>
      </c>
      <c r="W3494" s="357"/>
      <c r="X3494" s="357"/>
      <c r="Y3494" s="357"/>
      <c r="Z3494" s="358"/>
      <c r="AA3494" s="359"/>
      <c r="AB3494" s="360"/>
    </row>
    <row r="3495" spans="1:36" s="369" customFormat="1" ht="15" hidden="1">
      <c r="A3495" s="364"/>
      <c r="B3495" s="355"/>
      <c r="C3495" s="32"/>
      <c r="D3495" s="33"/>
      <c r="E3495" s="34"/>
      <c r="F3495" s="35"/>
      <c r="G3495" s="33"/>
      <c r="H3495" s="34"/>
      <c r="I3495" s="35"/>
      <c r="J3495" s="43"/>
      <c r="K3495" s="42"/>
      <c r="L3495" s="39"/>
      <c r="M3495" s="41"/>
      <c r="N3495" s="40"/>
      <c r="O3495" s="40"/>
      <c r="P3495" s="39"/>
      <c r="Q3495" s="38"/>
      <c r="R3495" s="365"/>
      <c r="S3495" s="366"/>
      <c r="T3495" s="46"/>
      <c r="U3495" s="44"/>
      <c r="V3495" s="1418">
        <f t="shared" si="352"/>
        <v>0</v>
      </c>
      <c r="W3495" s="367"/>
      <c r="X3495" s="367"/>
      <c r="Y3495" s="367"/>
      <c r="Z3495" s="368"/>
    </row>
    <row r="3496" spans="1:36" s="77" customFormat="1" ht="15" hidden="1">
      <c r="A3496" s="370"/>
      <c r="B3496" s="29"/>
      <c r="C3496" s="30"/>
      <c r="D3496" s="18"/>
      <c r="E3496" s="19"/>
      <c r="F3496" s="20"/>
      <c r="G3496" s="18"/>
      <c r="H3496" s="19"/>
      <c r="I3496" s="20"/>
      <c r="J3496" s="21"/>
      <c r="K3496" s="22"/>
      <c r="L3496" s="23"/>
      <c r="M3496" s="24"/>
      <c r="N3496" s="25"/>
      <c r="O3496" s="25"/>
      <c r="P3496" s="23"/>
      <c r="Q3496" s="26"/>
      <c r="R3496" s="371"/>
      <c r="S3496" s="27"/>
      <c r="T3496" s="372"/>
      <c r="U3496" s="31"/>
      <c r="V3496" s="1418">
        <f t="shared" si="352"/>
        <v>0</v>
      </c>
      <c r="AB3496" s="15"/>
    </row>
    <row r="3497" spans="1:36" s="77" customFormat="1" ht="15.6" hidden="1">
      <c r="A3497" s="370"/>
      <c r="B3497" s="499"/>
      <c r="C3497" s="37"/>
      <c r="D3497" s="1929" t="s">
        <v>1520</v>
      </c>
      <c r="E3497" s="1930"/>
      <c r="F3497" s="1930"/>
      <c r="G3497" s="1930"/>
      <c r="H3497" s="1930"/>
      <c r="I3497" s="1931"/>
      <c r="J3497" s="1932">
        <f>VLOOKUP(A3499,'11 - FINANCEIRA'!_xlnm.Print_Area,6,FALSE)</f>
        <v>6</v>
      </c>
      <c r="K3497" s="1933"/>
      <c r="L3497" s="1343" t="str">
        <f>VLOOKUP(A3499,'11 - FINANCEIRA'!_xlnm.Print_Area,4,FALSE)</f>
        <v>m</v>
      </c>
      <c r="M3497" s="1934" t="s">
        <v>1521</v>
      </c>
      <c r="N3497" s="1935"/>
      <c r="O3497" s="1935"/>
      <c r="P3497" s="1935"/>
      <c r="Q3497" s="1936"/>
      <c r="R3497" s="726">
        <f>SUM(R3493:R3496)</f>
        <v>6</v>
      </c>
      <c r="S3497" s="1344" t="str">
        <f>L3497</f>
        <v>m</v>
      </c>
      <c r="T3497" s="373"/>
      <c r="U3497" s="486"/>
      <c r="V3497" s="1418">
        <f t="shared" si="352"/>
        <v>0</v>
      </c>
      <c r="AB3497" s="15"/>
    </row>
    <row r="3498" spans="1:36" s="77" customFormat="1" ht="15.6" hidden="1">
      <c r="A3498" s="370"/>
      <c r="B3498" s="499"/>
      <c r="C3498" s="725"/>
      <c r="D3498" s="1937" t="s">
        <v>1522</v>
      </c>
      <c r="E3498" s="1938"/>
      <c r="F3498" s="1938"/>
      <c r="G3498" s="1938"/>
      <c r="H3498" s="1938"/>
      <c r="I3498" s="1939"/>
      <c r="J3498" s="1943">
        <f>R3497/J3497</f>
        <v>1</v>
      </c>
      <c r="K3498" s="1944"/>
      <c r="L3498" s="1947"/>
      <c r="M3498" s="1934" t="s">
        <v>1523</v>
      </c>
      <c r="N3498" s="1935"/>
      <c r="O3498" s="1935"/>
      <c r="P3498" s="1935"/>
      <c r="Q3498" s="1936"/>
      <c r="R3498" s="726">
        <f>VLOOKUP(A3499,'11 - FINANCEIRA'!_xlnm.Print_Area,8,FALSE)</f>
        <v>6</v>
      </c>
      <c r="S3498" s="727" t="str">
        <f>L3497</f>
        <v>m</v>
      </c>
      <c r="T3498" s="373"/>
      <c r="U3498" s="486"/>
      <c r="V3498" s="1418">
        <f t="shared" si="352"/>
        <v>0</v>
      </c>
      <c r="AB3498" s="15"/>
    </row>
    <row r="3499" spans="1:36" s="77" customFormat="1" ht="15.6" hidden="1">
      <c r="A3499" s="364" t="s">
        <v>663</v>
      </c>
      <c r="B3499" s="499"/>
      <c r="C3499" s="37"/>
      <c r="D3499" s="2013"/>
      <c r="E3499" s="2014"/>
      <c r="F3499" s="2014"/>
      <c r="G3499" s="2014"/>
      <c r="H3499" s="2014"/>
      <c r="I3499" s="2015"/>
      <c r="J3499" s="2016"/>
      <c r="K3499" s="2017"/>
      <c r="L3499" s="1962"/>
      <c r="M3499" s="2007" t="s">
        <v>1524</v>
      </c>
      <c r="N3499" s="2008"/>
      <c r="O3499" s="2008"/>
      <c r="P3499" s="2008"/>
      <c r="Q3499" s="2009"/>
      <c r="R3499" s="1345">
        <f>R3497-R3498</f>
        <v>0</v>
      </c>
      <c r="S3499" s="1346" t="str">
        <f>L3497</f>
        <v>m</v>
      </c>
      <c r="T3499" s="373"/>
      <c r="U3499" s="486"/>
      <c r="V3499" s="1418">
        <f>R3499</f>
        <v>0</v>
      </c>
      <c r="AB3499" s="15"/>
    </row>
    <row r="3500" spans="1:36" s="77" customFormat="1" ht="15.6" hidden="1">
      <c r="A3500" s="370"/>
      <c r="B3500" s="1347"/>
      <c r="C3500" s="1348"/>
      <c r="D3500" s="1349"/>
      <c r="E3500" s="1350"/>
      <c r="F3500" s="1349"/>
      <c r="G3500" s="1349"/>
      <c r="H3500" s="1349"/>
      <c r="I3500" s="1349"/>
      <c r="J3500" s="1351"/>
      <c r="K3500" s="1352"/>
      <c r="L3500" s="1353"/>
      <c r="M3500" s="1354"/>
      <c r="N3500" s="1354"/>
      <c r="O3500" s="1354"/>
      <c r="P3500" s="1354"/>
      <c r="Q3500" s="1354"/>
      <c r="R3500" s="1355"/>
      <c r="S3500" s="1356"/>
      <c r="T3500" s="1357"/>
      <c r="U3500" s="1358"/>
      <c r="V3500" s="1420">
        <f>SUM(V3491:V3499)</f>
        <v>0</v>
      </c>
      <c r="AB3500" s="15"/>
    </row>
    <row r="3501" spans="1:36" s="352" customFormat="1" ht="15.6" hidden="1">
      <c r="A3501" s="351"/>
      <c r="B3501" s="1963" t="str">
        <f>VLOOKUP(A3509,'11 - FINANCEIRA'!_xlnm.Print_Area,1,FALSE)</f>
        <v>2.5.3.9</v>
      </c>
      <c r="C3501" s="1965" t="str">
        <f>VLOOKUP(A3509,'11 - FINANCEIRA'!_xlnm.Print_Area,3,FALSE)</f>
        <v>Luva de ferro galvanizado, com rosca bsp, de 6"</v>
      </c>
      <c r="D3501" s="1967" t="s">
        <v>1503</v>
      </c>
      <c r="E3501" s="1968"/>
      <c r="F3501" s="1968"/>
      <c r="G3501" s="1968"/>
      <c r="H3501" s="1968"/>
      <c r="I3501" s="1969"/>
      <c r="J3501" s="1914" t="s">
        <v>1504</v>
      </c>
      <c r="K3501" s="1914" t="s">
        <v>1505</v>
      </c>
      <c r="L3501" s="1914" t="s">
        <v>1506</v>
      </c>
      <c r="M3501" s="1914" t="s">
        <v>1507</v>
      </c>
      <c r="N3501" s="1914" t="s">
        <v>1508</v>
      </c>
      <c r="O3501" s="1914" t="s">
        <v>1509</v>
      </c>
      <c r="P3501" s="1341" t="s">
        <v>1510</v>
      </c>
      <c r="Q3501" s="1914" t="s">
        <v>1493</v>
      </c>
      <c r="R3501" s="1916" t="s">
        <v>804</v>
      </c>
      <c r="S3501" s="1914" t="s">
        <v>1511</v>
      </c>
      <c r="T3501" s="1914" t="s">
        <v>1512</v>
      </c>
      <c r="U3501" s="1918" t="s">
        <v>1513</v>
      </c>
      <c r="V3501" s="1418">
        <f t="shared" ref="V3501:V3508" si="353">V3502</f>
        <v>0</v>
      </c>
      <c r="W3501" s="16"/>
      <c r="X3501" s="16"/>
      <c r="Y3501" s="16"/>
      <c r="Z3501" s="17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</row>
    <row r="3502" spans="1:36" s="352" customFormat="1" ht="15.6" hidden="1">
      <c r="A3502" s="351"/>
      <c r="B3502" s="1964" t="e">
        <f>LEFT(#REF!,5)</f>
        <v>#REF!</v>
      </c>
      <c r="C3502" s="1966" t="e">
        <f>VLOOKUP(LEFT(#REF!,5),'11 - FINANCEIRA'!_xlnm.Print_Area,2,FALSE)</f>
        <v>#REF!</v>
      </c>
      <c r="D3502" s="1920" t="s">
        <v>1514</v>
      </c>
      <c r="E3502" s="1921"/>
      <c r="F3502" s="1922"/>
      <c r="G3502" s="1923" t="s">
        <v>1515</v>
      </c>
      <c r="H3502" s="1924"/>
      <c r="I3502" s="1925"/>
      <c r="J3502" s="1915"/>
      <c r="K3502" s="1915"/>
      <c r="L3502" s="1915"/>
      <c r="M3502" s="1915"/>
      <c r="N3502" s="1915"/>
      <c r="O3502" s="1915"/>
      <c r="P3502" s="353" t="s">
        <v>1516</v>
      </c>
      <c r="Q3502" s="1915"/>
      <c r="R3502" s="1917"/>
      <c r="S3502" s="1915"/>
      <c r="T3502" s="1915"/>
      <c r="U3502" s="1919"/>
      <c r="V3502" s="1418">
        <f t="shared" si="353"/>
        <v>0</v>
      </c>
      <c r="W3502" s="16"/>
      <c r="X3502" s="16"/>
      <c r="Y3502" s="16"/>
      <c r="Z3502" s="17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</row>
    <row r="3503" spans="1:36" s="361" customFormat="1" ht="15" hidden="1" customHeight="1">
      <c r="A3503" s="354"/>
      <c r="B3503" s="355"/>
      <c r="C3503" s="28" t="s">
        <v>1292</v>
      </c>
      <c r="D3503" s="18"/>
      <c r="E3503" s="19"/>
      <c r="F3503" s="20"/>
      <c r="G3503" s="18"/>
      <c r="H3503" s="19"/>
      <c r="I3503" s="20"/>
      <c r="J3503" s="21"/>
      <c r="K3503" s="22"/>
      <c r="L3503" s="23"/>
      <c r="M3503" s="24"/>
      <c r="N3503" s="728"/>
      <c r="O3503" s="25"/>
      <c r="P3503" s="23"/>
      <c r="Q3503" s="729"/>
      <c r="R3503" s="1109">
        <v>1</v>
      </c>
      <c r="S3503" s="730" t="s">
        <v>816</v>
      </c>
      <c r="T3503" s="446" t="s">
        <v>324</v>
      </c>
      <c r="U3503" s="44"/>
      <c r="V3503" s="1418">
        <f t="shared" si="353"/>
        <v>0</v>
      </c>
      <c r="W3503" s="357"/>
      <c r="X3503" s="357"/>
      <c r="Y3503" s="357"/>
      <c r="Z3503" s="358"/>
      <c r="AA3503" s="359"/>
      <c r="AB3503" s="360"/>
    </row>
    <row r="3504" spans="1:36" s="361" customFormat="1" ht="15" hidden="1" customHeight="1">
      <c r="A3504" s="354"/>
      <c r="B3504" s="355"/>
      <c r="C3504" s="32"/>
      <c r="D3504" s="33"/>
      <c r="E3504" s="34"/>
      <c r="F3504" s="35"/>
      <c r="G3504" s="33"/>
      <c r="H3504" s="34"/>
      <c r="I3504" s="35"/>
      <c r="J3504" s="43"/>
      <c r="K3504" s="42"/>
      <c r="L3504" s="39"/>
      <c r="M3504" s="41"/>
      <c r="N3504" s="356"/>
      <c r="O3504" s="40"/>
      <c r="P3504" s="39"/>
      <c r="Q3504" s="45"/>
      <c r="R3504" s="362"/>
      <c r="S3504" s="363"/>
      <c r="T3504" s="46"/>
      <c r="U3504" s="44"/>
      <c r="V3504" s="1418">
        <f t="shared" si="353"/>
        <v>0</v>
      </c>
      <c r="W3504" s="357"/>
      <c r="X3504" s="357"/>
      <c r="Y3504" s="357"/>
      <c r="Z3504" s="358"/>
      <c r="AA3504" s="359"/>
      <c r="AB3504" s="360"/>
    </row>
    <row r="3505" spans="1:36" s="369" customFormat="1" ht="15" hidden="1">
      <c r="A3505" s="364"/>
      <c r="B3505" s="355"/>
      <c r="C3505" s="32"/>
      <c r="D3505" s="33"/>
      <c r="E3505" s="34"/>
      <c r="F3505" s="35"/>
      <c r="G3505" s="33"/>
      <c r="H3505" s="34"/>
      <c r="I3505" s="35"/>
      <c r="J3505" s="43"/>
      <c r="K3505" s="42"/>
      <c r="L3505" s="39"/>
      <c r="M3505" s="41"/>
      <c r="N3505" s="40"/>
      <c r="O3505" s="40"/>
      <c r="P3505" s="39"/>
      <c r="Q3505" s="38"/>
      <c r="R3505" s="365"/>
      <c r="S3505" s="366"/>
      <c r="T3505" s="46"/>
      <c r="U3505" s="44"/>
      <c r="V3505" s="1418">
        <f t="shared" si="353"/>
        <v>0</v>
      </c>
      <c r="W3505" s="367"/>
      <c r="X3505" s="367"/>
      <c r="Y3505" s="367"/>
      <c r="Z3505" s="368"/>
    </row>
    <row r="3506" spans="1:36" s="77" customFormat="1" ht="15" hidden="1">
      <c r="A3506" s="370"/>
      <c r="B3506" s="29"/>
      <c r="C3506" s="30"/>
      <c r="D3506" s="18"/>
      <c r="E3506" s="19"/>
      <c r="F3506" s="20"/>
      <c r="G3506" s="18"/>
      <c r="H3506" s="19"/>
      <c r="I3506" s="20"/>
      <c r="J3506" s="21"/>
      <c r="K3506" s="22"/>
      <c r="L3506" s="23"/>
      <c r="M3506" s="24"/>
      <c r="N3506" s="25"/>
      <c r="O3506" s="25"/>
      <c r="P3506" s="23"/>
      <c r="Q3506" s="26"/>
      <c r="R3506" s="371"/>
      <c r="S3506" s="27"/>
      <c r="T3506" s="372"/>
      <c r="U3506" s="31"/>
      <c r="V3506" s="1418">
        <f t="shared" si="353"/>
        <v>0</v>
      </c>
      <c r="AB3506" s="15"/>
    </row>
    <row r="3507" spans="1:36" s="77" customFormat="1" ht="15.6" hidden="1">
      <c r="A3507" s="370"/>
      <c r="B3507" s="499"/>
      <c r="C3507" s="37"/>
      <c r="D3507" s="1929" t="s">
        <v>1520</v>
      </c>
      <c r="E3507" s="1930"/>
      <c r="F3507" s="1930"/>
      <c r="G3507" s="1930"/>
      <c r="H3507" s="1930"/>
      <c r="I3507" s="1931"/>
      <c r="J3507" s="1932">
        <f>VLOOKUP(A3509,'11 - FINANCEIRA'!_xlnm.Print_Area,6,FALSE)</f>
        <v>1</v>
      </c>
      <c r="K3507" s="1933"/>
      <c r="L3507" s="1343" t="str">
        <f>VLOOKUP(A3509,'11 - FINANCEIRA'!_xlnm.Print_Area,4,FALSE)</f>
        <v>und</v>
      </c>
      <c r="M3507" s="1934" t="s">
        <v>1521</v>
      </c>
      <c r="N3507" s="1935"/>
      <c r="O3507" s="1935"/>
      <c r="P3507" s="1935"/>
      <c r="Q3507" s="1936"/>
      <c r="R3507" s="726">
        <f>SUM(R3503:R3506)</f>
        <v>1</v>
      </c>
      <c r="S3507" s="1344" t="str">
        <f>L3507</f>
        <v>und</v>
      </c>
      <c r="T3507" s="373"/>
      <c r="U3507" s="486"/>
      <c r="V3507" s="1418">
        <f t="shared" si="353"/>
        <v>0</v>
      </c>
      <c r="AB3507" s="15"/>
    </row>
    <row r="3508" spans="1:36" s="77" customFormat="1" ht="15.6" hidden="1">
      <c r="A3508" s="370"/>
      <c r="B3508" s="499"/>
      <c r="C3508" s="725"/>
      <c r="D3508" s="1937" t="s">
        <v>1522</v>
      </c>
      <c r="E3508" s="1938"/>
      <c r="F3508" s="1938"/>
      <c r="G3508" s="1938"/>
      <c r="H3508" s="1938"/>
      <c r="I3508" s="1939"/>
      <c r="J3508" s="1943">
        <f>R3507/J3507</f>
        <v>1</v>
      </c>
      <c r="K3508" s="1944"/>
      <c r="L3508" s="1947"/>
      <c r="M3508" s="1934" t="s">
        <v>1523</v>
      </c>
      <c r="N3508" s="1935"/>
      <c r="O3508" s="1935"/>
      <c r="P3508" s="1935"/>
      <c r="Q3508" s="1936"/>
      <c r="R3508" s="726">
        <f>VLOOKUP(A3509,'11 - FINANCEIRA'!_xlnm.Print_Area,8,FALSE)</f>
        <v>1</v>
      </c>
      <c r="S3508" s="727" t="str">
        <f>L3507</f>
        <v>und</v>
      </c>
      <c r="T3508" s="373"/>
      <c r="U3508" s="486"/>
      <c r="V3508" s="1418">
        <f t="shared" si="353"/>
        <v>0</v>
      </c>
      <c r="AB3508" s="15"/>
    </row>
    <row r="3509" spans="1:36" s="77" customFormat="1" ht="15.6" hidden="1">
      <c r="A3509" s="364" t="s">
        <v>664</v>
      </c>
      <c r="B3509" s="499"/>
      <c r="C3509" s="37"/>
      <c r="D3509" s="2013"/>
      <c r="E3509" s="2014"/>
      <c r="F3509" s="2014"/>
      <c r="G3509" s="2014"/>
      <c r="H3509" s="2014"/>
      <c r="I3509" s="2015"/>
      <c r="J3509" s="2016"/>
      <c r="K3509" s="2017"/>
      <c r="L3509" s="1962"/>
      <c r="M3509" s="2007" t="s">
        <v>1524</v>
      </c>
      <c r="N3509" s="2008"/>
      <c r="O3509" s="2008"/>
      <c r="P3509" s="2008"/>
      <c r="Q3509" s="2009"/>
      <c r="R3509" s="1345">
        <f>R3507-R3508</f>
        <v>0</v>
      </c>
      <c r="S3509" s="1346" t="str">
        <f>L3507</f>
        <v>und</v>
      </c>
      <c r="T3509" s="373"/>
      <c r="U3509" s="486"/>
      <c r="V3509" s="1418">
        <f>R3509</f>
        <v>0</v>
      </c>
      <c r="AB3509" s="15"/>
    </row>
    <row r="3510" spans="1:36" s="77" customFormat="1" ht="15.6" hidden="1">
      <c r="A3510" s="370"/>
      <c r="B3510" s="1347"/>
      <c r="C3510" s="1348"/>
      <c r="D3510" s="1349"/>
      <c r="E3510" s="1350"/>
      <c r="F3510" s="1349"/>
      <c r="G3510" s="1349"/>
      <c r="H3510" s="1349"/>
      <c r="I3510" s="1349"/>
      <c r="J3510" s="1351"/>
      <c r="K3510" s="1352"/>
      <c r="L3510" s="1353"/>
      <c r="M3510" s="1354"/>
      <c r="N3510" s="1354"/>
      <c r="O3510" s="1354"/>
      <c r="P3510" s="1354"/>
      <c r="Q3510" s="1354"/>
      <c r="R3510" s="1355"/>
      <c r="S3510" s="1356"/>
      <c r="T3510" s="1357"/>
      <c r="U3510" s="1358"/>
      <c r="V3510" s="1420">
        <f>SUM(V3501:V3509)</f>
        <v>0</v>
      </c>
      <c r="AB3510" s="15"/>
    </row>
    <row r="3511" spans="1:36" s="352" customFormat="1" ht="15.6" hidden="1">
      <c r="A3511" s="351"/>
      <c r="B3511" s="1963" t="str">
        <f>VLOOKUP(A3519,'11 - FINANCEIRA'!_xlnm.Print_Area,1,FALSE)</f>
        <v>2.5.3.10</v>
      </c>
      <c r="C3511" s="1965" t="str">
        <f>VLOOKUP(A3519,'11 - FINANCEIRA'!_xlnm.Print_Area,3,FALSE)</f>
        <v>Haste de terra tipo copperweld - 5/8" x 2.40m</v>
      </c>
      <c r="D3511" s="1967" t="s">
        <v>1503</v>
      </c>
      <c r="E3511" s="1968"/>
      <c r="F3511" s="1968"/>
      <c r="G3511" s="1968"/>
      <c r="H3511" s="1968"/>
      <c r="I3511" s="1969"/>
      <c r="J3511" s="1914" t="s">
        <v>1504</v>
      </c>
      <c r="K3511" s="1914" t="s">
        <v>1505</v>
      </c>
      <c r="L3511" s="1914" t="s">
        <v>1506</v>
      </c>
      <c r="M3511" s="1914" t="s">
        <v>1507</v>
      </c>
      <c r="N3511" s="1914" t="s">
        <v>1508</v>
      </c>
      <c r="O3511" s="1914" t="s">
        <v>1509</v>
      </c>
      <c r="P3511" s="1341" t="s">
        <v>1510</v>
      </c>
      <c r="Q3511" s="1914" t="s">
        <v>1493</v>
      </c>
      <c r="R3511" s="1916" t="s">
        <v>804</v>
      </c>
      <c r="S3511" s="1914" t="s">
        <v>1511</v>
      </c>
      <c r="T3511" s="1914" t="s">
        <v>1512</v>
      </c>
      <c r="U3511" s="1918" t="s">
        <v>1513</v>
      </c>
      <c r="V3511" s="1418">
        <f t="shared" ref="V3511:V3518" si="354">V3512</f>
        <v>0</v>
      </c>
      <c r="W3511" s="16"/>
      <c r="X3511" s="16"/>
      <c r="Y3511" s="16"/>
      <c r="Z3511" s="17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</row>
    <row r="3512" spans="1:36" s="352" customFormat="1" ht="15.6" hidden="1">
      <c r="A3512" s="351"/>
      <c r="B3512" s="1964" t="e">
        <f>LEFT(#REF!,5)</f>
        <v>#REF!</v>
      </c>
      <c r="C3512" s="1966" t="e">
        <f>VLOOKUP(LEFT(#REF!,5),'11 - FINANCEIRA'!_xlnm.Print_Area,2,FALSE)</f>
        <v>#REF!</v>
      </c>
      <c r="D3512" s="1920" t="s">
        <v>1514</v>
      </c>
      <c r="E3512" s="1921"/>
      <c r="F3512" s="1922"/>
      <c r="G3512" s="1923" t="s">
        <v>1515</v>
      </c>
      <c r="H3512" s="1924"/>
      <c r="I3512" s="1925"/>
      <c r="J3512" s="1915"/>
      <c r="K3512" s="1915"/>
      <c r="L3512" s="1915"/>
      <c r="M3512" s="1915"/>
      <c r="N3512" s="1915"/>
      <c r="O3512" s="1915"/>
      <c r="P3512" s="353" t="s">
        <v>1516</v>
      </c>
      <c r="Q3512" s="1915"/>
      <c r="R3512" s="1917"/>
      <c r="S3512" s="1915"/>
      <c r="T3512" s="1915"/>
      <c r="U3512" s="1919"/>
      <c r="V3512" s="1418">
        <f t="shared" si="354"/>
        <v>0</v>
      </c>
      <c r="W3512" s="16"/>
      <c r="X3512" s="16"/>
      <c r="Y3512" s="16"/>
      <c r="Z3512" s="17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</row>
    <row r="3513" spans="1:36" s="361" customFormat="1" ht="15" hidden="1" customHeight="1">
      <c r="A3513" s="354"/>
      <c r="B3513" s="355"/>
      <c r="C3513" s="28" t="s">
        <v>1271</v>
      </c>
      <c r="D3513" s="18"/>
      <c r="E3513" s="19"/>
      <c r="F3513" s="20"/>
      <c r="G3513" s="18"/>
      <c r="H3513" s="19"/>
      <c r="I3513" s="20"/>
      <c r="J3513" s="21"/>
      <c r="K3513" s="22"/>
      <c r="L3513" s="23"/>
      <c r="M3513" s="24"/>
      <c r="N3513" s="728"/>
      <c r="O3513" s="25"/>
      <c r="P3513" s="23"/>
      <c r="Q3513" s="729"/>
      <c r="R3513" s="1109">
        <v>2</v>
      </c>
      <c r="S3513" s="730" t="s">
        <v>816</v>
      </c>
      <c r="T3513" s="446" t="s">
        <v>324</v>
      </c>
      <c r="U3513" s="44"/>
      <c r="V3513" s="1418">
        <f t="shared" si="354"/>
        <v>0</v>
      </c>
      <c r="W3513" s="357"/>
      <c r="X3513" s="357"/>
      <c r="Y3513" s="357"/>
      <c r="Z3513" s="358"/>
      <c r="AA3513" s="359"/>
      <c r="AB3513" s="360"/>
    </row>
    <row r="3514" spans="1:36" s="361" customFormat="1" ht="15" hidden="1" customHeight="1">
      <c r="A3514" s="354"/>
      <c r="B3514" s="355"/>
      <c r="C3514" s="32"/>
      <c r="D3514" s="33"/>
      <c r="E3514" s="34"/>
      <c r="F3514" s="35"/>
      <c r="G3514" s="33"/>
      <c r="H3514" s="34"/>
      <c r="I3514" s="35"/>
      <c r="J3514" s="43"/>
      <c r="K3514" s="42"/>
      <c r="L3514" s="39"/>
      <c r="M3514" s="41"/>
      <c r="N3514" s="356"/>
      <c r="O3514" s="40"/>
      <c r="P3514" s="39"/>
      <c r="Q3514" s="45"/>
      <c r="R3514" s="362"/>
      <c r="S3514" s="363"/>
      <c r="T3514" s="46"/>
      <c r="U3514" s="44"/>
      <c r="V3514" s="1418">
        <f t="shared" si="354"/>
        <v>0</v>
      </c>
      <c r="W3514" s="357"/>
      <c r="X3514" s="357"/>
      <c r="Y3514" s="357"/>
      <c r="Z3514" s="358"/>
      <c r="AA3514" s="359"/>
      <c r="AB3514" s="360"/>
    </row>
    <row r="3515" spans="1:36" s="369" customFormat="1" ht="15" hidden="1">
      <c r="A3515" s="364"/>
      <c r="B3515" s="355"/>
      <c r="C3515" s="32"/>
      <c r="D3515" s="33"/>
      <c r="E3515" s="34"/>
      <c r="F3515" s="35"/>
      <c r="G3515" s="33"/>
      <c r="H3515" s="34"/>
      <c r="I3515" s="35"/>
      <c r="J3515" s="43"/>
      <c r="K3515" s="42"/>
      <c r="L3515" s="39"/>
      <c r="M3515" s="41"/>
      <c r="N3515" s="40"/>
      <c r="O3515" s="40"/>
      <c r="P3515" s="39"/>
      <c r="Q3515" s="38"/>
      <c r="R3515" s="365"/>
      <c r="S3515" s="366"/>
      <c r="T3515" s="46"/>
      <c r="U3515" s="44"/>
      <c r="V3515" s="1418">
        <f t="shared" si="354"/>
        <v>0</v>
      </c>
      <c r="W3515" s="367"/>
      <c r="X3515" s="367"/>
      <c r="Y3515" s="367"/>
      <c r="Z3515" s="368"/>
    </row>
    <row r="3516" spans="1:36" s="77" customFormat="1" ht="15" hidden="1">
      <c r="A3516" s="370"/>
      <c r="B3516" s="29"/>
      <c r="C3516" s="30"/>
      <c r="D3516" s="18"/>
      <c r="E3516" s="19"/>
      <c r="F3516" s="20"/>
      <c r="G3516" s="18"/>
      <c r="H3516" s="19"/>
      <c r="I3516" s="20"/>
      <c r="J3516" s="21"/>
      <c r="K3516" s="22"/>
      <c r="L3516" s="23"/>
      <c r="M3516" s="24"/>
      <c r="N3516" s="25"/>
      <c r="O3516" s="25"/>
      <c r="P3516" s="23"/>
      <c r="Q3516" s="26"/>
      <c r="R3516" s="371"/>
      <c r="S3516" s="27"/>
      <c r="T3516" s="372"/>
      <c r="U3516" s="31"/>
      <c r="V3516" s="1418">
        <f t="shared" si="354"/>
        <v>0</v>
      </c>
      <c r="AB3516" s="15"/>
    </row>
    <row r="3517" spans="1:36" s="77" customFormat="1" ht="15.6" hidden="1">
      <c r="A3517" s="370"/>
      <c r="B3517" s="499"/>
      <c r="C3517" s="37"/>
      <c r="D3517" s="1929" t="s">
        <v>1520</v>
      </c>
      <c r="E3517" s="1930"/>
      <c r="F3517" s="1930"/>
      <c r="G3517" s="1930"/>
      <c r="H3517" s="1930"/>
      <c r="I3517" s="1931"/>
      <c r="J3517" s="1932">
        <f>VLOOKUP(A3519,'11 - FINANCEIRA'!_xlnm.Print_Area,6,FALSE)</f>
        <v>2</v>
      </c>
      <c r="K3517" s="1933"/>
      <c r="L3517" s="1343" t="str">
        <f>VLOOKUP(A3519,'11 - FINANCEIRA'!_xlnm.Print_Area,4,FALSE)</f>
        <v>und</v>
      </c>
      <c r="M3517" s="1934" t="s">
        <v>1521</v>
      </c>
      <c r="N3517" s="1935"/>
      <c r="O3517" s="1935"/>
      <c r="P3517" s="1935"/>
      <c r="Q3517" s="1936"/>
      <c r="R3517" s="726">
        <f>SUM(R3513:R3516)</f>
        <v>2</v>
      </c>
      <c r="S3517" s="1344" t="str">
        <f>L3517</f>
        <v>und</v>
      </c>
      <c r="T3517" s="373"/>
      <c r="U3517" s="486"/>
      <c r="V3517" s="1418">
        <f t="shared" si="354"/>
        <v>0</v>
      </c>
      <c r="AB3517" s="15"/>
    </row>
    <row r="3518" spans="1:36" s="77" customFormat="1" ht="15.6" hidden="1">
      <c r="A3518" s="370"/>
      <c r="B3518" s="499"/>
      <c r="C3518" s="725"/>
      <c r="D3518" s="1937" t="s">
        <v>1522</v>
      </c>
      <c r="E3518" s="1938"/>
      <c r="F3518" s="1938"/>
      <c r="G3518" s="1938"/>
      <c r="H3518" s="1938"/>
      <c r="I3518" s="1939"/>
      <c r="J3518" s="1943">
        <f>R3517/J3517</f>
        <v>1</v>
      </c>
      <c r="K3518" s="1944"/>
      <c r="L3518" s="1947"/>
      <c r="M3518" s="1934" t="s">
        <v>1523</v>
      </c>
      <c r="N3518" s="1935"/>
      <c r="O3518" s="1935"/>
      <c r="P3518" s="1935"/>
      <c r="Q3518" s="1936"/>
      <c r="R3518" s="726">
        <f>VLOOKUP(A3519,'11 - FINANCEIRA'!_xlnm.Print_Area,8,FALSE)</f>
        <v>2</v>
      </c>
      <c r="S3518" s="727" t="str">
        <f>L3517</f>
        <v>und</v>
      </c>
      <c r="T3518" s="373"/>
      <c r="U3518" s="486"/>
      <c r="V3518" s="1418">
        <f t="shared" si="354"/>
        <v>0</v>
      </c>
      <c r="AB3518" s="15"/>
    </row>
    <row r="3519" spans="1:36" s="77" customFormat="1" ht="15.6" hidden="1">
      <c r="A3519" s="364" t="s">
        <v>665</v>
      </c>
      <c r="B3519" s="499"/>
      <c r="C3519" s="37"/>
      <c r="D3519" s="2013"/>
      <c r="E3519" s="2014"/>
      <c r="F3519" s="2014"/>
      <c r="G3519" s="2014"/>
      <c r="H3519" s="2014"/>
      <c r="I3519" s="2015"/>
      <c r="J3519" s="2016"/>
      <c r="K3519" s="2017"/>
      <c r="L3519" s="1962"/>
      <c r="M3519" s="2007" t="s">
        <v>1524</v>
      </c>
      <c r="N3519" s="2008"/>
      <c r="O3519" s="2008"/>
      <c r="P3519" s="2008"/>
      <c r="Q3519" s="2009"/>
      <c r="R3519" s="1345">
        <f>R3517-R3518</f>
        <v>0</v>
      </c>
      <c r="S3519" s="1346" t="str">
        <f>L3517</f>
        <v>und</v>
      </c>
      <c r="T3519" s="373"/>
      <c r="U3519" s="486"/>
      <c r="V3519" s="1418">
        <f>R3519</f>
        <v>0</v>
      </c>
      <c r="AB3519" s="15"/>
    </row>
    <row r="3520" spans="1:36" s="77" customFormat="1" ht="15.6" hidden="1">
      <c r="A3520" s="370"/>
      <c r="B3520" s="1347"/>
      <c r="C3520" s="1348"/>
      <c r="D3520" s="1349"/>
      <c r="E3520" s="1350"/>
      <c r="F3520" s="1349"/>
      <c r="G3520" s="1349"/>
      <c r="H3520" s="1349"/>
      <c r="I3520" s="1349"/>
      <c r="J3520" s="1351"/>
      <c r="K3520" s="1352"/>
      <c r="L3520" s="1353"/>
      <c r="M3520" s="1354"/>
      <c r="N3520" s="1354"/>
      <c r="O3520" s="1354"/>
      <c r="P3520" s="1354"/>
      <c r="Q3520" s="1354"/>
      <c r="R3520" s="1355"/>
      <c r="S3520" s="1356"/>
      <c r="T3520" s="1357"/>
      <c r="U3520" s="1358"/>
      <c r="V3520" s="1420">
        <f>SUM(V3511:V3519)</f>
        <v>0</v>
      </c>
      <c r="AB3520" s="15"/>
    </row>
    <row r="3521" spans="1:36" s="352" customFormat="1" ht="15.6" hidden="1">
      <c r="A3521" s="351"/>
      <c r="B3521" s="1963" t="str">
        <f>VLOOKUP(A3529,'11 - FINANCEIRA'!_xlnm.Print_Area,1,FALSE)</f>
        <v>2.5.3.11</v>
      </c>
      <c r="C3521" s="1965" t="str">
        <f>VLOOKUP(A3529,'11 - FINANCEIRA'!_xlnm.Print_Area,3,FALSE)</f>
        <v>Kit completo para solda exotérmica (molde hcl 5/8" ref: tel905611 / cartucho n° 115 ref: tel 909115 / alicate z 201 ref: tel 998201), marca de referência termotécnica ou equivalente inclusive conexões</v>
      </c>
      <c r="D3521" s="1967" t="s">
        <v>1503</v>
      </c>
      <c r="E3521" s="1968"/>
      <c r="F3521" s="1968"/>
      <c r="G3521" s="1968"/>
      <c r="H3521" s="1968"/>
      <c r="I3521" s="1969"/>
      <c r="J3521" s="1914" t="s">
        <v>1504</v>
      </c>
      <c r="K3521" s="1914" t="s">
        <v>1505</v>
      </c>
      <c r="L3521" s="1914" t="s">
        <v>1506</v>
      </c>
      <c r="M3521" s="1914" t="s">
        <v>1507</v>
      </c>
      <c r="N3521" s="1914" t="s">
        <v>1508</v>
      </c>
      <c r="O3521" s="1914" t="s">
        <v>1509</v>
      </c>
      <c r="P3521" s="1341" t="s">
        <v>1510</v>
      </c>
      <c r="Q3521" s="1914" t="s">
        <v>1493</v>
      </c>
      <c r="R3521" s="1916" t="s">
        <v>804</v>
      </c>
      <c r="S3521" s="1914" t="s">
        <v>1511</v>
      </c>
      <c r="T3521" s="1914" t="s">
        <v>1512</v>
      </c>
      <c r="U3521" s="1918" t="s">
        <v>1513</v>
      </c>
      <c r="V3521" s="1418">
        <f t="shared" ref="V3521:V3528" si="355">V3522</f>
        <v>0</v>
      </c>
      <c r="W3521" s="16"/>
      <c r="X3521" s="16"/>
      <c r="Y3521" s="16"/>
      <c r="Z3521" s="17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</row>
    <row r="3522" spans="1:36" s="352" customFormat="1" ht="15.6" hidden="1">
      <c r="A3522" s="351"/>
      <c r="B3522" s="1964" t="e">
        <f>LEFT(#REF!,5)</f>
        <v>#REF!</v>
      </c>
      <c r="C3522" s="1966" t="e">
        <f>VLOOKUP(LEFT(#REF!,5),'11 - FINANCEIRA'!_xlnm.Print_Area,2,FALSE)</f>
        <v>#REF!</v>
      </c>
      <c r="D3522" s="1920" t="s">
        <v>1514</v>
      </c>
      <c r="E3522" s="1921"/>
      <c r="F3522" s="1922"/>
      <c r="G3522" s="1923" t="s">
        <v>1515</v>
      </c>
      <c r="H3522" s="1924"/>
      <c r="I3522" s="1925"/>
      <c r="J3522" s="1915"/>
      <c r="K3522" s="1915"/>
      <c r="L3522" s="1915"/>
      <c r="M3522" s="1915"/>
      <c r="N3522" s="1915"/>
      <c r="O3522" s="1915"/>
      <c r="P3522" s="353" t="s">
        <v>1516</v>
      </c>
      <c r="Q3522" s="1915"/>
      <c r="R3522" s="1917"/>
      <c r="S3522" s="1915"/>
      <c r="T3522" s="1915"/>
      <c r="U3522" s="1919"/>
      <c r="V3522" s="1418">
        <f t="shared" si="355"/>
        <v>0</v>
      </c>
      <c r="W3522" s="16"/>
      <c r="X3522" s="16"/>
      <c r="Y3522" s="16"/>
      <c r="Z3522" s="17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</row>
    <row r="3523" spans="1:36" s="361" customFormat="1" ht="15" hidden="1" customHeight="1">
      <c r="A3523" s="354"/>
      <c r="B3523" s="355"/>
      <c r="C3523" s="28" t="s">
        <v>1273</v>
      </c>
      <c r="D3523" s="18"/>
      <c r="E3523" s="19"/>
      <c r="F3523" s="20"/>
      <c r="G3523" s="18"/>
      <c r="H3523" s="19"/>
      <c r="I3523" s="20"/>
      <c r="J3523" s="21"/>
      <c r="K3523" s="22"/>
      <c r="L3523" s="23"/>
      <c r="M3523" s="24"/>
      <c r="N3523" s="728"/>
      <c r="O3523" s="25"/>
      <c r="P3523" s="23"/>
      <c r="Q3523" s="729"/>
      <c r="R3523" s="1109">
        <v>2</v>
      </c>
      <c r="S3523" s="730" t="s">
        <v>816</v>
      </c>
      <c r="T3523" s="446" t="s">
        <v>324</v>
      </c>
      <c r="U3523" s="44"/>
      <c r="V3523" s="1418">
        <f t="shared" si="355"/>
        <v>0</v>
      </c>
      <c r="W3523" s="357"/>
      <c r="X3523" s="357"/>
      <c r="Y3523" s="357"/>
      <c r="Z3523" s="358"/>
      <c r="AA3523" s="359"/>
      <c r="AB3523" s="360"/>
    </row>
    <row r="3524" spans="1:36" s="361" customFormat="1" ht="15" hidden="1" customHeight="1">
      <c r="A3524" s="354"/>
      <c r="B3524" s="355"/>
      <c r="C3524" s="32"/>
      <c r="D3524" s="33"/>
      <c r="E3524" s="34"/>
      <c r="F3524" s="35"/>
      <c r="G3524" s="33"/>
      <c r="H3524" s="34"/>
      <c r="I3524" s="35"/>
      <c r="J3524" s="43"/>
      <c r="K3524" s="42"/>
      <c r="L3524" s="39"/>
      <c r="M3524" s="41"/>
      <c r="N3524" s="356"/>
      <c r="O3524" s="40"/>
      <c r="P3524" s="39"/>
      <c r="Q3524" s="45"/>
      <c r="R3524" s="362"/>
      <c r="S3524" s="363"/>
      <c r="T3524" s="46"/>
      <c r="U3524" s="44"/>
      <c r="V3524" s="1418">
        <f t="shared" si="355"/>
        <v>0</v>
      </c>
      <c r="W3524" s="357"/>
      <c r="X3524" s="357"/>
      <c r="Y3524" s="357"/>
      <c r="Z3524" s="358"/>
      <c r="AA3524" s="359"/>
      <c r="AB3524" s="360"/>
    </row>
    <row r="3525" spans="1:36" s="369" customFormat="1" ht="15" hidden="1">
      <c r="A3525" s="364"/>
      <c r="B3525" s="355"/>
      <c r="C3525" s="32"/>
      <c r="D3525" s="33"/>
      <c r="E3525" s="34"/>
      <c r="F3525" s="35"/>
      <c r="G3525" s="33"/>
      <c r="H3525" s="34"/>
      <c r="I3525" s="35"/>
      <c r="J3525" s="43"/>
      <c r="K3525" s="42"/>
      <c r="L3525" s="39"/>
      <c r="M3525" s="41"/>
      <c r="N3525" s="40"/>
      <c r="O3525" s="40"/>
      <c r="P3525" s="39"/>
      <c r="Q3525" s="38"/>
      <c r="R3525" s="365"/>
      <c r="S3525" s="366"/>
      <c r="T3525" s="46"/>
      <c r="U3525" s="44"/>
      <c r="V3525" s="1418">
        <f t="shared" si="355"/>
        <v>0</v>
      </c>
      <c r="W3525" s="367"/>
      <c r="X3525" s="367"/>
      <c r="Y3525" s="367"/>
      <c r="Z3525" s="368"/>
    </row>
    <row r="3526" spans="1:36" s="77" customFormat="1" ht="15" hidden="1">
      <c r="A3526" s="370"/>
      <c r="B3526" s="29"/>
      <c r="C3526" s="30"/>
      <c r="D3526" s="18"/>
      <c r="E3526" s="19"/>
      <c r="F3526" s="20"/>
      <c r="G3526" s="18"/>
      <c r="H3526" s="19"/>
      <c r="I3526" s="20"/>
      <c r="J3526" s="21"/>
      <c r="K3526" s="22"/>
      <c r="L3526" s="23"/>
      <c r="M3526" s="24"/>
      <c r="N3526" s="25"/>
      <c r="O3526" s="25"/>
      <c r="P3526" s="23"/>
      <c r="Q3526" s="26"/>
      <c r="R3526" s="371"/>
      <c r="S3526" s="27"/>
      <c r="T3526" s="372"/>
      <c r="U3526" s="31"/>
      <c r="V3526" s="1418">
        <f t="shared" si="355"/>
        <v>0</v>
      </c>
      <c r="AB3526" s="15"/>
    </row>
    <row r="3527" spans="1:36" s="77" customFormat="1" ht="15.6" hidden="1">
      <c r="A3527" s="370"/>
      <c r="B3527" s="499"/>
      <c r="C3527" s="37"/>
      <c r="D3527" s="1929" t="s">
        <v>1520</v>
      </c>
      <c r="E3527" s="1930"/>
      <c r="F3527" s="1930"/>
      <c r="G3527" s="1930"/>
      <c r="H3527" s="1930"/>
      <c r="I3527" s="1931"/>
      <c r="J3527" s="1932">
        <f>VLOOKUP(A3529,'11 - FINANCEIRA'!_xlnm.Print_Area,6,FALSE)</f>
        <v>2</v>
      </c>
      <c r="K3527" s="1933"/>
      <c r="L3527" s="1343" t="str">
        <f>VLOOKUP(A3529,'11 - FINANCEIRA'!_xlnm.Print_Area,4,FALSE)</f>
        <v>und</v>
      </c>
      <c r="M3527" s="1934" t="s">
        <v>1521</v>
      </c>
      <c r="N3527" s="1935"/>
      <c r="O3527" s="1935"/>
      <c r="P3527" s="1935"/>
      <c r="Q3527" s="1936"/>
      <c r="R3527" s="726">
        <f>SUM(R3523:R3526)</f>
        <v>2</v>
      </c>
      <c r="S3527" s="1344" t="str">
        <f>L3527</f>
        <v>und</v>
      </c>
      <c r="T3527" s="373"/>
      <c r="U3527" s="486"/>
      <c r="V3527" s="1418">
        <f t="shared" si="355"/>
        <v>0</v>
      </c>
      <c r="AB3527" s="15"/>
    </row>
    <row r="3528" spans="1:36" s="77" customFormat="1" ht="15.6" hidden="1">
      <c r="A3528" s="370"/>
      <c r="B3528" s="499"/>
      <c r="C3528" s="725"/>
      <c r="D3528" s="1937" t="s">
        <v>1522</v>
      </c>
      <c r="E3528" s="1938"/>
      <c r="F3528" s="1938"/>
      <c r="G3528" s="1938"/>
      <c r="H3528" s="1938"/>
      <c r="I3528" s="1939"/>
      <c r="J3528" s="1943">
        <f>R3527/J3527</f>
        <v>1</v>
      </c>
      <c r="K3528" s="1944"/>
      <c r="L3528" s="1947"/>
      <c r="M3528" s="1934" t="s">
        <v>1523</v>
      </c>
      <c r="N3528" s="1935"/>
      <c r="O3528" s="1935"/>
      <c r="P3528" s="1935"/>
      <c r="Q3528" s="1936"/>
      <c r="R3528" s="726">
        <f>VLOOKUP(A3529,'11 - FINANCEIRA'!_xlnm.Print_Area,8,FALSE)</f>
        <v>2</v>
      </c>
      <c r="S3528" s="727" t="str">
        <f>L3527</f>
        <v>und</v>
      </c>
      <c r="T3528" s="373"/>
      <c r="U3528" s="486"/>
      <c r="V3528" s="1418">
        <f t="shared" si="355"/>
        <v>0</v>
      </c>
      <c r="AB3528" s="15"/>
    </row>
    <row r="3529" spans="1:36" s="77" customFormat="1" ht="15.6" hidden="1">
      <c r="A3529" s="364" t="s">
        <v>666</v>
      </c>
      <c r="B3529" s="499"/>
      <c r="C3529" s="37"/>
      <c r="D3529" s="2013"/>
      <c r="E3529" s="2014"/>
      <c r="F3529" s="2014"/>
      <c r="G3529" s="2014"/>
      <c r="H3529" s="2014"/>
      <c r="I3529" s="2015"/>
      <c r="J3529" s="2016"/>
      <c r="K3529" s="2017"/>
      <c r="L3529" s="1962"/>
      <c r="M3529" s="2007" t="s">
        <v>1524</v>
      </c>
      <c r="N3529" s="2008"/>
      <c r="O3529" s="2008"/>
      <c r="P3529" s="2008"/>
      <c r="Q3529" s="2009"/>
      <c r="R3529" s="1345">
        <f>R3527-R3528</f>
        <v>0</v>
      </c>
      <c r="S3529" s="1346" t="str">
        <f>L3527</f>
        <v>und</v>
      </c>
      <c r="T3529" s="373"/>
      <c r="U3529" s="486"/>
      <c r="V3529" s="1418">
        <f>R3529</f>
        <v>0</v>
      </c>
      <c r="AB3529" s="15"/>
    </row>
    <row r="3530" spans="1:36" s="77" customFormat="1" ht="15.6" hidden="1">
      <c r="A3530" s="370"/>
      <c r="B3530" s="1347"/>
      <c r="C3530" s="1348"/>
      <c r="D3530" s="1349"/>
      <c r="E3530" s="1350"/>
      <c r="F3530" s="1349"/>
      <c r="G3530" s="1349"/>
      <c r="H3530" s="1349"/>
      <c r="I3530" s="1349"/>
      <c r="J3530" s="1351"/>
      <c r="K3530" s="1352"/>
      <c r="L3530" s="1353"/>
      <c r="M3530" s="1354"/>
      <c r="N3530" s="1354"/>
      <c r="O3530" s="1354"/>
      <c r="P3530" s="1354"/>
      <c r="Q3530" s="1354"/>
      <c r="R3530" s="1355"/>
      <c r="S3530" s="1356"/>
      <c r="T3530" s="1357"/>
      <c r="U3530" s="1358"/>
      <c r="V3530" s="1420">
        <f>SUM(V3521:V3529)</f>
        <v>0</v>
      </c>
      <c r="AB3530" s="15"/>
    </row>
    <row r="3531" spans="1:36" s="352" customFormat="1" ht="15.6" hidden="1">
      <c r="A3531" s="351"/>
      <c r="B3531" s="1963" t="str">
        <f>VLOOKUP(A3539,'11 - FINANCEIRA'!_xlnm.Print_Area,1,FALSE)</f>
        <v>2.5.3.12</v>
      </c>
      <c r="C3531" s="1965" t="str">
        <f>VLOOKUP(A3539,'11 - FINANCEIRA'!_xlnm.Print_Area,3,FALSE)</f>
        <v>Cabo de cobre nú 35mm², ref. tel 5735, marca de referência termotécnica ou equivalente</v>
      </c>
      <c r="D3531" s="1967" t="s">
        <v>1503</v>
      </c>
      <c r="E3531" s="1968"/>
      <c r="F3531" s="1968"/>
      <c r="G3531" s="1968"/>
      <c r="H3531" s="1968"/>
      <c r="I3531" s="1969"/>
      <c r="J3531" s="1914" t="s">
        <v>1504</v>
      </c>
      <c r="K3531" s="1914" t="s">
        <v>1505</v>
      </c>
      <c r="L3531" s="1914" t="s">
        <v>1506</v>
      </c>
      <c r="M3531" s="1914" t="s">
        <v>1507</v>
      </c>
      <c r="N3531" s="1914" t="s">
        <v>1508</v>
      </c>
      <c r="O3531" s="1914" t="s">
        <v>1509</v>
      </c>
      <c r="P3531" s="1341" t="s">
        <v>1510</v>
      </c>
      <c r="Q3531" s="1914" t="s">
        <v>1493</v>
      </c>
      <c r="R3531" s="1916" t="s">
        <v>804</v>
      </c>
      <c r="S3531" s="1914" t="s">
        <v>1511</v>
      </c>
      <c r="T3531" s="1914" t="s">
        <v>1512</v>
      </c>
      <c r="U3531" s="1918" t="s">
        <v>1513</v>
      </c>
      <c r="V3531" s="1418">
        <f t="shared" ref="V3531:V3538" si="356">V3532</f>
        <v>0</v>
      </c>
      <c r="W3531" s="16"/>
      <c r="X3531" s="16"/>
      <c r="Y3531" s="16"/>
      <c r="Z3531" s="17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</row>
    <row r="3532" spans="1:36" s="352" customFormat="1" ht="15.6" hidden="1">
      <c r="A3532" s="351"/>
      <c r="B3532" s="1964" t="e">
        <f>LEFT(#REF!,5)</f>
        <v>#REF!</v>
      </c>
      <c r="C3532" s="1966" t="e">
        <f>VLOOKUP(LEFT(#REF!,5),'11 - FINANCEIRA'!_xlnm.Print_Area,2,FALSE)</f>
        <v>#REF!</v>
      </c>
      <c r="D3532" s="1920" t="s">
        <v>1514</v>
      </c>
      <c r="E3532" s="1921"/>
      <c r="F3532" s="1922"/>
      <c r="G3532" s="1923" t="s">
        <v>1515</v>
      </c>
      <c r="H3532" s="1924"/>
      <c r="I3532" s="1925"/>
      <c r="J3532" s="1915"/>
      <c r="K3532" s="1915"/>
      <c r="L3532" s="1915"/>
      <c r="M3532" s="1915"/>
      <c r="N3532" s="1915"/>
      <c r="O3532" s="1915"/>
      <c r="P3532" s="353" t="s">
        <v>1516</v>
      </c>
      <c r="Q3532" s="1915"/>
      <c r="R3532" s="1917"/>
      <c r="S3532" s="1915"/>
      <c r="T3532" s="1915"/>
      <c r="U3532" s="1919"/>
      <c r="V3532" s="1418">
        <f t="shared" si="356"/>
        <v>0</v>
      </c>
      <c r="W3532" s="16"/>
      <c r="X3532" s="16"/>
      <c r="Y3532" s="16"/>
      <c r="Z3532" s="17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</row>
    <row r="3533" spans="1:36" s="361" customFormat="1" ht="15" hidden="1" customHeight="1">
      <c r="A3533" s="354"/>
      <c r="B3533" s="355"/>
      <c r="C3533" s="28" t="s">
        <v>1294</v>
      </c>
      <c r="D3533" s="18"/>
      <c r="E3533" s="19"/>
      <c r="F3533" s="20"/>
      <c r="G3533" s="18"/>
      <c r="H3533" s="19"/>
      <c r="I3533" s="20"/>
      <c r="J3533" s="21"/>
      <c r="K3533" s="22"/>
      <c r="L3533" s="23"/>
      <c r="M3533" s="24"/>
      <c r="N3533" s="728"/>
      <c r="O3533" s="25"/>
      <c r="P3533" s="23"/>
      <c r="Q3533" s="729"/>
      <c r="R3533" s="1109">
        <v>5</v>
      </c>
      <c r="S3533" s="730" t="s">
        <v>809</v>
      </c>
      <c r="T3533" s="446" t="s">
        <v>324</v>
      </c>
      <c r="U3533" s="44"/>
      <c r="V3533" s="1418">
        <f t="shared" si="356"/>
        <v>0</v>
      </c>
      <c r="W3533" s="357"/>
      <c r="X3533" s="357"/>
      <c r="Y3533" s="357"/>
      <c r="Z3533" s="358"/>
      <c r="AA3533" s="359"/>
      <c r="AB3533" s="360"/>
    </row>
    <row r="3534" spans="1:36" s="361" customFormat="1" ht="15" hidden="1" customHeight="1">
      <c r="A3534" s="354"/>
      <c r="B3534" s="355"/>
      <c r="C3534" s="32"/>
      <c r="D3534" s="33"/>
      <c r="E3534" s="34"/>
      <c r="F3534" s="35"/>
      <c r="G3534" s="33"/>
      <c r="H3534" s="34"/>
      <c r="I3534" s="35"/>
      <c r="J3534" s="43"/>
      <c r="K3534" s="42"/>
      <c r="L3534" s="39"/>
      <c r="M3534" s="41"/>
      <c r="N3534" s="356"/>
      <c r="O3534" s="40"/>
      <c r="P3534" s="39"/>
      <c r="Q3534" s="45"/>
      <c r="R3534" s="362"/>
      <c r="S3534" s="363"/>
      <c r="T3534" s="46"/>
      <c r="U3534" s="44"/>
      <c r="V3534" s="1418">
        <f t="shared" si="356"/>
        <v>0</v>
      </c>
      <c r="W3534" s="357"/>
      <c r="X3534" s="357"/>
      <c r="Y3534" s="357"/>
      <c r="Z3534" s="358"/>
      <c r="AA3534" s="359"/>
      <c r="AB3534" s="360"/>
    </row>
    <row r="3535" spans="1:36" s="369" customFormat="1" ht="15" hidden="1">
      <c r="A3535" s="364"/>
      <c r="B3535" s="355"/>
      <c r="C3535" s="32"/>
      <c r="D3535" s="33"/>
      <c r="E3535" s="34"/>
      <c r="F3535" s="35"/>
      <c r="G3535" s="33"/>
      <c r="H3535" s="34"/>
      <c r="I3535" s="35"/>
      <c r="J3535" s="43"/>
      <c r="K3535" s="42"/>
      <c r="L3535" s="39"/>
      <c r="M3535" s="41"/>
      <c r="N3535" s="40"/>
      <c r="O3535" s="40"/>
      <c r="P3535" s="39"/>
      <c r="Q3535" s="38"/>
      <c r="R3535" s="365"/>
      <c r="S3535" s="366"/>
      <c r="T3535" s="46"/>
      <c r="U3535" s="44"/>
      <c r="V3535" s="1418">
        <f t="shared" si="356"/>
        <v>0</v>
      </c>
      <c r="W3535" s="367"/>
      <c r="X3535" s="367"/>
      <c r="Y3535" s="367"/>
      <c r="Z3535" s="368"/>
    </row>
    <row r="3536" spans="1:36" s="77" customFormat="1" ht="15" hidden="1">
      <c r="A3536" s="370"/>
      <c r="B3536" s="29"/>
      <c r="C3536" s="30"/>
      <c r="D3536" s="18"/>
      <c r="E3536" s="19"/>
      <c r="F3536" s="20"/>
      <c r="G3536" s="18"/>
      <c r="H3536" s="19"/>
      <c r="I3536" s="20"/>
      <c r="J3536" s="21"/>
      <c r="K3536" s="22"/>
      <c r="L3536" s="23"/>
      <c r="M3536" s="24"/>
      <c r="N3536" s="25"/>
      <c r="O3536" s="25"/>
      <c r="P3536" s="23"/>
      <c r="Q3536" s="26"/>
      <c r="R3536" s="371"/>
      <c r="S3536" s="27"/>
      <c r="T3536" s="372"/>
      <c r="U3536" s="31"/>
      <c r="V3536" s="1418">
        <f t="shared" si="356"/>
        <v>0</v>
      </c>
      <c r="AB3536" s="15"/>
    </row>
    <row r="3537" spans="1:36" s="77" customFormat="1" ht="15.6" hidden="1">
      <c r="A3537" s="370"/>
      <c r="B3537" s="499"/>
      <c r="C3537" s="37"/>
      <c r="D3537" s="1929" t="s">
        <v>1520</v>
      </c>
      <c r="E3537" s="1930"/>
      <c r="F3537" s="1930"/>
      <c r="G3537" s="1930"/>
      <c r="H3537" s="1930"/>
      <c r="I3537" s="1931"/>
      <c r="J3537" s="1932">
        <f>VLOOKUP(A3539,'11 - FINANCEIRA'!_xlnm.Print_Area,6,FALSE)</f>
        <v>5</v>
      </c>
      <c r="K3537" s="1933"/>
      <c r="L3537" s="1343" t="str">
        <f>VLOOKUP(A3539,'11 - FINANCEIRA'!_xlnm.Print_Area,4,FALSE)</f>
        <v>m</v>
      </c>
      <c r="M3537" s="1934" t="s">
        <v>1521</v>
      </c>
      <c r="N3537" s="1935"/>
      <c r="O3537" s="1935"/>
      <c r="P3537" s="1935"/>
      <c r="Q3537" s="1936"/>
      <c r="R3537" s="726">
        <f>SUM(R3533:R3536)</f>
        <v>5</v>
      </c>
      <c r="S3537" s="1344" t="str">
        <f>L3537</f>
        <v>m</v>
      </c>
      <c r="T3537" s="373"/>
      <c r="U3537" s="486"/>
      <c r="V3537" s="1418">
        <f t="shared" si="356"/>
        <v>0</v>
      </c>
      <c r="AB3537" s="15"/>
    </row>
    <row r="3538" spans="1:36" s="77" customFormat="1" ht="15.6" hidden="1">
      <c r="A3538" s="370"/>
      <c r="B3538" s="499"/>
      <c r="C3538" s="725"/>
      <c r="D3538" s="1937" t="s">
        <v>1522</v>
      </c>
      <c r="E3538" s="1938"/>
      <c r="F3538" s="1938"/>
      <c r="G3538" s="1938"/>
      <c r="H3538" s="1938"/>
      <c r="I3538" s="1939"/>
      <c r="J3538" s="1943">
        <f>R3537/J3537</f>
        <v>1</v>
      </c>
      <c r="K3538" s="1944"/>
      <c r="L3538" s="1947"/>
      <c r="M3538" s="1934" t="s">
        <v>1523</v>
      </c>
      <c r="N3538" s="1935"/>
      <c r="O3538" s="1935"/>
      <c r="P3538" s="1935"/>
      <c r="Q3538" s="1936"/>
      <c r="R3538" s="726">
        <f>VLOOKUP(A3539,'11 - FINANCEIRA'!_xlnm.Print_Area,8,FALSE)</f>
        <v>5</v>
      </c>
      <c r="S3538" s="727" t="str">
        <f>L3537</f>
        <v>m</v>
      </c>
      <c r="T3538" s="373"/>
      <c r="U3538" s="486"/>
      <c r="V3538" s="1418">
        <f t="shared" si="356"/>
        <v>0</v>
      </c>
      <c r="AB3538" s="15"/>
    </row>
    <row r="3539" spans="1:36" s="77" customFormat="1" ht="15.6" hidden="1">
      <c r="A3539" s="364" t="s">
        <v>667</v>
      </c>
      <c r="B3539" s="499"/>
      <c r="C3539" s="37"/>
      <c r="D3539" s="2013"/>
      <c r="E3539" s="2014"/>
      <c r="F3539" s="2014"/>
      <c r="G3539" s="2014"/>
      <c r="H3539" s="2014"/>
      <c r="I3539" s="2015"/>
      <c r="J3539" s="2016"/>
      <c r="K3539" s="2017"/>
      <c r="L3539" s="1962"/>
      <c r="M3539" s="2007" t="s">
        <v>1524</v>
      </c>
      <c r="N3539" s="2008"/>
      <c r="O3539" s="2008"/>
      <c r="P3539" s="2008"/>
      <c r="Q3539" s="2009"/>
      <c r="R3539" s="1345">
        <f>R3537-R3538</f>
        <v>0</v>
      </c>
      <c r="S3539" s="1346" t="str">
        <f>L3537</f>
        <v>m</v>
      </c>
      <c r="T3539" s="373"/>
      <c r="U3539" s="486"/>
      <c r="V3539" s="1418">
        <f>R3539</f>
        <v>0</v>
      </c>
      <c r="AB3539" s="15"/>
    </row>
    <row r="3540" spans="1:36" s="77" customFormat="1" ht="15.6" hidden="1">
      <c r="A3540" s="370"/>
      <c r="B3540" s="1347"/>
      <c r="C3540" s="1348"/>
      <c r="D3540" s="1349"/>
      <c r="E3540" s="1350"/>
      <c r="F3540" s="1349"/>
      <c r="G3540" s="1349"/>
      <c r="H3540" s="1349"/>
      <c r="I3540" s="1349"/>
      <c r="J3540" s="1351"/>
      <c r="K3540" s="1352"/>
      <c r="L3540" s="1353"/>
      <c r="M3540" s="1354"/>
      <c r="N3540" s="1354"/>
      <c r="O3540" s="1354"/>
      <c r="P3540" s="1354"/>
      <c r="Q3540" s="1354"/>
      <c r="R3540" s="1355"/>
      <c r="S3540" s="1356"/>
      <c r="T3540" s="1357"/>
      <c r="U3540" s="1358"/>
      <c r="V3540" s="1420">
        <f>SUM(V3531:V3539)</f>
        <v>0</v>
      </c>
      <c r="AB3540" s="15"/>
    </row>
    <row r="3541" spans="1:36" s="352" customFormat="1" ht="15.6" hidden="1">
      <c r="A3541" s="351"/>
      <c r="B3541" s="1963" t="str">
        <f>VLOOKUP(A3549,'11 - FINANCEIRA'!_xlnm.Print_Area,1,FALSE)</f>
        <v>2.5.3.13</v>
      </c>
      <c r="C3541" s="1965" t="str">
        <f>VLOOKUP(A3549,'11 - FINANCEIRA'!_xlnm.Print_Area,3,FALSE)</f>
        <v>Para-raios polimerico 12kv - 10ka com suporte</v>
      </c>
      <c r="D3541" s="1967" t="s">
        <v>1503</v>
      </c>
      <c r="E3541" s="1968"/>
      <c r="F3541" s="1968"/>
      <c r="G3541" s="1968"/>
      <c r="H3541" s="1968"/>
      <c r="I3541" s="1969"/>
      <c r="J3541" s="1914" t="s">
        <v>1504</v>
      </c>
      <c r="K3541" s="1914" t="s">
        <v>1505</v>
      </c>
      <c r="L3541" s="1914" t="s">
        <v>1506</v>
      </c>
      <c r="M3541" s="1914" t="s">
        <v>1507</v>
      </c>
      <c r="N3541" s="1914" t="s">
        <v>1508</v>
      </c>
      <c r="O3541" s="1914" t="s">
        <v>1509</v>
      </c>
      <c r="P3541" s="1341" t="s">
        <v>1510</v>
      </c>
      <c r="Q3541" s="1914" t="s">
        <v>1493</v>
      </c>
      <c r="R3541" s="1916" t="s">
        <v>804</v>
      </c>
      <c r="S3541" s="1914" t="s">
        <v>1511</v>
      </c>
      <c r="T3541" s="1914" t="s">
        <v>1512</v>
      </c>
      <c r="U3541" s="1918" t="s">
        <v>1513</v>
      </c>
      <c r="V3541" s="1418">
        <f t="shared" ref="V3541:V3548" si="357">V3542</f>
        <v>0</v>
      </c>
      <c r="W3541" s="16"/>
      <c r="X3541" s="16"/>
      <c r="Y3541" s="16"/>
      <c r="Z3541" s="17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</row>
    <row r="3542" spans="1:36" s="352" customFormat="1" ht="15.6" hidden="1">
      <c r="A3542" s="351"/>
      <c r="B3542" s="1964" t="e">
        <f>LEFT(#REF!,5)</f>
        <v>#REF!</v>
      </c>
      <c r="C3542" s="1966" t="e">
        <f>VLOOKUP(LEFT(#REF!,5),'11 - FINANCEIRA'!_xlnm.Print_Area,2,FALSE)</f>
        <v>#REF!</v>
      </c>
      <c r="D3542" s="1920" t="s">
        <v>1514</v>
      </c>
      <c r="E3542" s="1921"/>
      <c r="F3542" s="1922"/>
      <c r="G3542" s="1923" t="s">
        <v>1515</v>
      </c>
      <c r="H3542" s="1924"/>
      <c r="I3542" s="1925"/>
      <c r="J3542" s="1915"/>
      <c r="K3542" s="1915"/>
      <c r="L3542" s="1915"/>
      <c r="M3542" s="1915"/>
      <c r="N3542" s="1915"/>
      <c r="O3542" s="1915"/>
      <c r="P3542" s="353" t="s">
        <v>1516</v>
      </c>
      <c r="Q3542" s="1915"/>
      <c r="R3542" s="1917"/>
      <c r="S3542" s="1915"/>
      <c r="T3542" s="1915"/>
      <c r="U3542" s="1919"/>
      <c r="V3542" s="1418">
        <f t="shared" si="357"/>
        <v>0</v>
      </c>
      <c r="W3542" s="16"/>
      <c r="X3542" s="16"/>
      <c r="Y3542" s="16"/>
      <c r="Z3542" s="17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</row>
    <row r="3543" spans="1:36" s="361" customFormat="1" ht="15" hidden="1" customHeight="1">
      <c r="A3543" s="354"/>
      <c r="B3543" s="355"/>
      <c r="C3543" s="28" t="s">
        <v>1296</v>
      </c>
      <c r="D3543" s="18"/>
      <c r="E3543" s="19"/>
      <c r="F3543" s="20"/>
      <c r="G3543" s="18"/>
      <c r="H3543" s="19"/>
      <c r="I3543" s="20"/>
      <c r="J3543" s="21"/>
      <c r="K3543" s="22"/>
      <c r="L3543" s="23"/>
      <c r="M3543" s="24"/>
      <c r="N3543" s="728"/>
      <c r="O3543" s="25"/>
      <c r="P3543" s="23"/>
      <c r="Q3543" s="729"/>
      <c r="R3543" s="1109">
        <v>3</v>
      </c>
      <c r="S3543" s="730" t="s">
        <v>816</v>
      </c>
      <c r="T3543" s="446" t="s">
        <v>324</v>
      </c>
      <c r="U3543" s="44"/>
      <c r="V3543" s="1418">
        <f t="shared" si="357"/>
        <v>0</v>
      </c>
      <c r="W3543" s="357"/>
      <c r="X3543" s="357"/>
      <c r="Y3543" s="357"/>
      <c r="Z3543" s="358"/>
      <c r="AA3543" s="359"/>
      <c r="AB3543" s="360"/>
    </row>
    <row r="3544" spans="1:36" s="361" customFormat="1" ht="15" hidden="1" customHeight="1">
      <c r="A3544" s="354"/>
      <c r="B3544" s="355"/>
      <c r="C3544" s="32"/>
      <c r="D3544" s="33"/>
      <c r="E3544" s="34"/>
      <c r="F3544" s="35"/>
      <c r="G3544" s="33"/>
      <c r="H3544" s="34"/>
      <c r="I3544" s="35"/>
      <c r="J3544" s="43"/>
      <c r="K3544" s="42"/>
      <c r="L3544" s="39"/>
      <c r="M3544" s="41"/>
      <c r="N3544" s="356"/>
      <c r="O3544" s="40"/>
      <c r="P3544" s="39"/>
      <c r="Q3544" s="45"/>
      <c r="R3544" s="362"/>
      <c r="S3544" s="363"/>
      <c r="T3544" s="46"/>
      <c r="U3544" s="44"/>
      <c r="V3544" s="1418">
        <f t="shared" si="357"/>
        <v>0</v>
      </c>
      <c r="W3544" s="357"/>
      <c r="X3544" s="357"/>
      <c r="Y3544" s="357"/>
      <c r="Z3544" s="358"/>
      <c r="AA3544" s="359"/>
      <c r="AB3544" s="360"/>
    </row>
    <row r="3545" spans="1:36" s="369" customFormat="1" ht="15" hidden="1">
      <c r="A3545" s="364"/>
      <c r="B3545" s="355"/>
      <c r="C3545" s="32"/>
      <c r="D3545" s="33"/>
      <c r="E3545" s="34"/>
      <c r="F3545" s="35"/>
      <c r="G3545" s="33"/>
      <c r="H3545" s="34"/>
      <c r="I3545" s="35"/>
      <c r="J3545" s="43"/>
      <c r="K3545" s="42"/>
      <c r="L3545" s="39"/>
      <c r="M3545" s="41"/>
      <c r="N3545" s="40"/>
      <c r="O3545" s="40"/>
      <c r="P3545" s="39"/>
      <c r="Q3545" s="38"/>
      <c r="R3545" s="365"/>
      <c r="S3545" s="366"/>
      <c r="T3545" s="46"/>
      <c r="U3545" s="44"/>
      <c r="V3545" s="1418">
        <f t="shared" si="357"/>
        <v>0</v>
      </c>
      <c r="W3545" s="367"/>
      <c r="X3545" s="367"/>
      <c r="Y3545" s="367"/>
      <c r="Z3545" s="368"/>
    </row>
    <row r="3546" spans="1:36" s="77" customFormat="1" ht="15" hidden="1">
      <c r="A3546" s="370"/>
      <c r="B3546" s="29"/>
      <c r="C3546" s="30"/>
      <c r="D3546" s="18"/>
      <c r="E3546" s="19"/>
      <c r="F3546" s="20"/>
      <c r="G3546" s="18"/>
      <c r="H3546" s="19"/>
      <c r="I3546" s="20"/>
      <c r="J3546" s="21"/>
      <c r="K3546" s="22"/>
      <c r="L3546" s="23"/>
      <c r="M3546" s="24"/>
      <c r="N3546" s="25"/>
      <c r="O3546" s="25"/>
      <c r="P3546" s="23"/>
      <c r="Q3546" s="26"/>
      <c r="R3546" s="371"/>
      <c r="S3546" s="27"/>
      <c r="T3546" s="372"/>
      <c r="U3546" s="31"/>
      <c r="V3546" s="1418">
        <f t="shared" si="357"/>
        <v>0</v>
      </c>
      <c r="AB3546" s="15"/>
    </row>
    <row r="3547" spans="1:36" s="77" customFormat="1" ht="15.6" hidden="1">
      <c r="A3547" s="370"/>
      <c r="B3547" s="499"/>
      <c r="C3547" s="37"/>
      <c r="D3547" s="1929" t="s">
        <v>1520</v>
      </c>
      <c r="E3547" s="1930"/>
      <c r="F3547" s="1930"/>
      <c r="G3547" s="1930"/>
      <c r="H3547" s="1930"/>
      <c r="I3547" s="1931"/>
      <c r="J3547" s="1932">
        <f>VLOOKUP(A3549,'11 - FINANCEIRA'!_xlnm.Print_Area,6,FALSE)</f>
        <v>3</v>
      </c>
      <c r="K3547" s="1933"/>
      <c r="L3547" s="1343" t="str">
        <f>VLOOKUP(A3549,'11 - FINANCEIRA'!_xlnm.Print_Area,4,FALSE)</f>
        <v>UN</v>
      </c>
      <c r="M3547" s="1934" t="s">
        <v>1521</v>
      </c>
      <c r="N3547" s="1935"/>
      <c r="O3547" s="1935"/>
      <c r="P3547" s="1935"/>
      <c r="Q3547" s="1936"/>
      <c r="R3547" s="726">
        <f>SUM(R3543:R3546)</f>
        <v>3</v>
      </c>
      <c r="S3547" s="1344" t="str">
        <f>L3547</f>
        <v>UN</v>
      </c>
      <c r="T3547" s="373"/>
      <c r="U3547" s="486"/>
      <c r="V3547" s="1418">
        <f t="shared" si="357"/>
        <v>0</v>
      </c>
      <c r="AB3547" s="15"/>
    </row>
    <row r="3548" spans="1:36" s="77" customFormat="1" ht="15.6" hidden="1">
      <c r="A3548" s="370"/>
      <c r="B3548" s="499"/>
      <c r="C3548" s="725"/>
      <c r="D3548" s="1937" t="s">
        <v>1522</v>
      </c>
      <c r="E3548" s="1938"/>
      <c r="F3548" s="1938"/>
      <c r="G3548" s="1938"/>
      <c r="H3548" s="1938"/>
      <c r="I3548" s="1939"/>
      <c r="J3548" s="1943">
        <f>R3547/J3547</f>
        <v>1</v>
      </c>
      <c r="K3548" s="1944"/>
      <c r="L3548" s="1947"/>
      <c r="M3548" s="1934" t="s">
        <v>1523</v>
      </c>
      <c r="N3548" s="1935"/>
      <c r="O3548" s="1935"/>
      <c r="P3548" s="1935"/>
      <c r="Q3548" s="1936"/>
      <c r="R3548" s="726">
        <f>VLOOKUP(A3549,'11 - FINANCEIRA'!_xlnm.Print_Area,8,FALSE)</f>
        <v>3</v>
      </c>
      <c r="S3548" s="727" t="str">
        <f>L3547</f>
        <v>UN</v>
      </c>
      <c r="T3548" s="373"/>
      <c r="U3548" s="486"/>
      <c r="V3548" s="1418">
        <f t="shared" si="357"/>
        <v>0</v>
      </c>
      <c r="AB3548" s="15"/>
    </row>
    <row r="3549" spans="1:36" s="77" customFormat="1" ht="15.6" hidden="1">
      <c r="A3549" s="364" t="s">
        <v>668</v>
      </c>
      <c r="B3549" s="499"/>
      <c r="C3549" s="37"/>
      <c r="D3549" s="2013"/>
      <c r="E3549" s="2014"/>
      <c r="F3549" s="2014"/>
      <c r="G3549" s="2014"/>
      <c r="H3549" s="2014"/>
      <c r="I3549" s="2015"/>
      <c r="J3549" s="2016"/>
      <c r="K3549" s="2017"/>
      <c r="L3549" s="1962"/>
      <c r="M3549" s="2007" t="s">
        <v>1524</v>
      </c>
      <c r="N3549" s="2008"/>
      <c r="O3549" s="2008"/>
      <c r="P3549" s="2008"/>
      <c r="Q3549" s="2009"/>
      <c r="R3549" s="1345">
        <f>R3547-R3548</f>
        <v>0</v>
      </c>
      <c r="S3549" s="1346" t="str">
        <f>L3547</f>
        <v>UN</v>
      </c>
      <c r="T3549" s="373"/>
      <c r="U3549" s="486"/>
      <c r="V3549" s="1418">
        <f>R3549</f>
        <v>0</v>
      </c>
      <c r="AB3549" s="15"/>
    </row>
    <row r="3550" spans="1:36" s="77" customFormat="1" ht="15.6" hidden="1">
      <c r="A3550" s="370"/>
      <c r="B3550" s="1347"/>
      <c r="C3550" s="1348"/>
      <c r="D3550" s="1349"/>
      <c r="E3550" s="1350"/>
      <c r="F3550" s="1349"/>
      <c r="G3550" s="1349"/>
      <c r="H3550" s="1349"/>
      <c r="I3550" s="1349"/>
      <c r="J3550" s="1351"/>
      <c r="K3550" s="1352"/>
      <c r="L3550" s="1353"/>
      <c r="M3550" s="1354"/>
      <c r="N3550" s="1354"/>
      <c r="O3550" s="1354"/>
      <c r="P3550" s="1354"/>
      <c r="Q3550" s="1354"/>
      <c r="R3550" s="1355"/>
      <c r="S3550" s="1356"/>
      <c r="T3550" s="1357"/>
      <c r="U3550" s="1358"/>
      <c r="V3550" s="1420">
        <f>SUM(V3541:V3549)</f>
        <v>0</v>
      </c>
      <c r="AB3550" s="15"/>
    </row>
    <row r="3551" spans="1:36" s="352" customFormat="1" ht="15.6" hidden="1">
      <c r="A3551" s="351"/>
      <c r="B3551" s="1963" t="str">
        <f>VLOOKUP(A3559,'11 - FINANCEIRA'!_xlnm.Print_Area,1,FALSE)</f>
        <v>2.5.3.14</v>
      </c>
      <c r="C3551" s="1965" t="str">
        <f>VLOOKUP(A3559,'11 - FINANCEIRA'!_xlnm.Print_Area,3,FALSE)</f>
        <v>Placa em alumínio espessura = 1,5mm</v>
      </c>
      <c r="D3551" s="1967" t="s">
        <v>1503</v>
      </c>
      <c r="E3551" s="1968"/>
      <c r="F3551" s="1968"/>
      <c r="G3551" s="1968"/>
      <c r="H3551" s="1968"/>
      <c r="I3551" s="1969"/>
      <c r="J3551" s="1914" t="s">
        <v>1504</v>
      </c>
      <c r="K3551" s="1914" t="s">
        <v>1505</v>
      </c>
      <c r="L3551" s="1914" t="s">
        <v>1506</v>
      </c>
      <c r="M3551" s="1914" t="s">
        <v>1507</v>
      </c>
      <c r="N3551" s="1914" t="s">
        <v>1508</v>
      </c>
      <c r="O3551" s="1914" t="s">
        <v>1509</v>
      </c>
      <c r="P3551" s="1341" t="s">
        <v>1510</v>
      </c>
      <c r="Q3551" s="1914" t="s">
        <v>1493</v>
      </c>
      <c r="R3551" s="1916" t="s">
        <v>804</v>
      </c>
      <c r="S3551" s="1914" t="s">
        <v>1511</v>
      </c>
      <c r="T3551" s="1914" t="s">
        <v>1512</v>
      </c>
      <c r="U3551" s="1918" t="s">
        <v>1513</v>
      </c>
      <c r="V3551" s="1418">
        <f t="shared" ref="V3551:V3558" si="358">V3552</f>
        <v>0</v>
      </c>
      <c r="W3551" s="16"/>
      <c r="X3551" s="16"/>
      <c r="Y3551" s="16"/>
      <c r="Z3551" s="17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</row>
    <row r="3552" spans="1:36" s="352" customFormat="1" ht="15.6" hidden="1">
      <c r="A3552" s="351"/>
      <c r="B3552" s="1964" t="e">
        <f>LEFT(#REF!,5)</f>
        <v>#REF!</v>
      </c>
      <c r="C3552" s="1966" t="e">
        <f>VLOOKUP(LEFT(#REF!,5),'11 - FINANCEIRA'!_xlnm.Print_Area,2,FALSE)</f>
        <v>#REF!</v>
      </c>
      <c r="D3552" s="1920" t="s">
        <v>1514</v>
      </c>
      <c r="E3552" s="1921"/>
      <c r="F3552" s="1922"/>
      <c r="G3552" s="1923" t="s">
        <v>1515</v>
      </c>
      <c r="H3552" s="1924"/>
      <c r="I3552" s="1925"/>
      <c r="J3552" s="1915"/>
      <c r="K3552" s="1915"/>
      <c r="L3552" s="1915"/>
      <c r="M3552" s="1915"/>
      <c r="N3552" s="1915"/>
      <c r="O3552" s="1915"/>
      <c r="P3552" s="353" t="s">
        <v>1516</v>
      </c>
      <c r="Q3552" s="1915"/>
      <c r="R3552" s="1917"/>
      <c r="S3552" s="1915"/>
      <c r="T3552" s="1915"/>
      <c r="U3552" s="1919"/>
      <c r="V3552" s="1418">
        <f t="shared" si="358"/>
        <v>0</v>
      </c>
      <c r="W3552" s="16"/>
      <c r="X3552" s="16"/>
      <c r="Y3552" s="16"/>
      <c r="Z3552" s="17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</row>
    <row r="3553" spans="1:36" s="361" customFormat="1" ht="15" hidden="1" customHeight="1">
      <c r="A3553" s="354"/>
      <c r="B3553" s="355"/>
      <c r="C3553" s="28" t="s">
        <v>1299</v>
      </c>
      <c r="D3553" s="18"/>
      <c r="E3553" s="19"/>
      <c r="F3553" s="20"/>
      <c r="G3553" s="18"/>
      <c r="H3553" s="19"/>
      <c r="I3553" s="20"/>
      <c r="J3553" s="21"/>
      <c r="K3553" s="22"/>
      <c r="L3553" s="23"/>
      <c r="M3553" s="24"/>
      <c r="N3553" s="728"/>
      <c r="O3553" s="25"/>
      <c r="P3553" s="23"/>
      <c r="Q3553" s="729"/>
      <c r="R3553" s="1109">
        <v>0.01</v>
      </c>
      <c r="S3553" s="730" t="s">
        <v>821</v>
      </c>
      <c r="T3553" s="446" t="s">
        <v>324</v>
      </c>
      <c r="U3553" s="44"/>
      <c r="V3553" s="1418">
        <f t="shared" si="358"/>
        <v>0</v>
      </c>
      <c r="W3553" s="357"/>
      <c r="X3553" s="357"/>
      <c r="Y3553" s="357"/>
      <c r="Z3553" s="358"/>
      <c r="AA3553" s="359"/>
      <c r="AB3553" s="360"/>
    </row>
    <row r="3554" spans="1:36" s="361" customFormat="1" ht="15" hidden="1" customHeight="1">
      <c r="A3554" s="354"/>
      <c r="B3554" s="355"/>
      <c r="C3554" s="32"/>
      <c r="D3554" s="33"/>
      <c r="E3554" s="34"/>
      <c r="F3554" s="35"/>
      <c r="G3554" s="33"/>
      <c r="H3554" s="34"/>
      <c r="I3554" s="35"/>
      <c r="J3554" s="43"/>
      <c r="K3554" s="42"/>
      <c r="L3554" s="39"/>
      <c r="M3554" s="41"/>
      <c r="N3554" s="356"/>
      <c r="O3554" s="40"/>
      <c r="P3554" s="39"/>
      <c r="Q3554" s="45"/>
      <c r="R3554" s="362"/>
      <c r="S3554" s="363"/>
      <c r="T3554" s="46"/>
      <c r="U3554" s="44"/>
      <c r="V3554" s="1418">
        <f t="shared" si="358"/>
        <v>0</v>
      </c>
      <c r="W3554" s="357"/>
      <c r="X3554" s="357"/>
      <c r="Y3554" s="357"/>
      <c r="Z3554" s="358"/>
      <c r="AA3554" s="359"/>
      <c r="AB3554" s="360"/>
    </row>
    <row r="3555" spans="1:36" s="369" customFormat="1" ht="15" hidden="1">
      <c r="A3555" s="364"/>
      <c r="B3555" s="355"/>
      <c r="C3555" s="32"/>
      <c r="D3555" s="33"/>
      <c r="E3555" s="34"/>
      <c r="F3555" s="35"/>
      <c r="G3555" s="33"/>
      <c r="H3555" s="34"/>
      <c r="I3555" s="35"/>
      <c r="J3555" s="43"/>
      <c r="K3555" s="42"/>
      <c r="L3555" s="39"/>
      <c r="M3555" s="41"/>
      <c r="N3555" s="40"/>
      <c r="O3555" s="40"/>
      <c r="P3555" s="39"/>
      <c r="Q3555" s="38"/>
      <c r="R3555" s="365"/>
      <c r="S3555" s="366"/>
      <c r="T3555" s="46"/>
      <c r="U3555" s="44"/>
      <c r="V3555" s="1418">
        <f t="shared" si="358"/>
        <v>0</v>
      </c>
      <c r="W3555" s="367"/>
      <c r="X3555" s="367"/>
      <c r="Y3555" s="367"/>
      <c r="Z3555" s="368"/>
    </row>
    <row r="3556" spans="1:36" s="77" customFormat="1" ht="15" hidden="1">
      <c r="A3556" s="370"/>
      <c r="B3556" s="29"/>
      <c r="C3556" s="30"/>
      <c r="D3556" s="18"/>
      <c r="E3556" s="19"/>
      <c r="F3556" s="20"/>
      <c r="G3556" s="18"/>
      <c r="H3556" s="19"/>
      <c r="I3556" s="20"/>
      <c r="J3556" s="21"/>
      <c r="K3556" s="22"/>
      <c r="L3556" s="23"/>
      <c r="M3556" s="24"/>
      <c r="N3556" s="25"/>
      <c r="O3556" s="25"/>
      <c r="P3556" s="23"/>
      <c r="Q3556" s="26"/>
      <c r="R3556" s="371"/>
      <c r="S3556" s="27"/>
      <c r="T3556" s="372"/>
      <c r="U3556" s="31"/>
      <c r="V3556" s="1418">
        <f t="shared" si="358"/>
        <v>0</v>
      </c>
      <c r="AB3556" s="15"/>
    </row>
    <row r="3557" spans="1:36" s="77" customFormat="1" ht="15.6" hidden="1">
      <c r="A3557" s="370"/>
      <c r="B3557" s="499"/>
      <c r="C3557" s="37"/>
      <c r="D3557" s="1929" t="s">
        <v>1520</v>
      </c>
      <c r="E3557" s="1930"/>
      <c r="F3557" s="1930"/>
      <c r="G3557" s="1930"/>
      <c r="H3557" s="1930"/>
      <c r="I3557" s="1931"/>
      <c r="J3557" s="1932">
        <f>VLOOKUP(A3559,'11 - FINANCEIRA'!_xlnm.Print_Area,6,FALSE)</f>
        <v>0.01</v>
      </c>
      <c r="K3557" s="1933"/>
      <c r="L3557" s="1343" t="str">
        <f>VLOOKUP(A3559,'11 - FINANCEIRA'!_xlnm.Print_Area,4,FALSE)</f>
        <v>m²</v>
      </c>
      <c r="M3557" s="1934" t="s">
        <v>1521</v>
      </c>
      <c r="N3557" s="1935"/>
      <c r="O3557" s="1935"/>
      <c r="P3557" s="1935"/>
      <c r="Q3557" s="1936"/>
      <c r="R3557" s="726">
        <f>SUM(R3553:R3556)</f>
        <v>0.01</v>
      </c>
      <c r="S3557" s="1344" t="str">
        <f>L3557</f>
        <v>m²</v>
      </c>
      <c r="T3557" s="373"/>
      <c r="U3557" s="486"/>
      <c r="V3557" s="1418">
        <f t="shared" si="358"/>
        <v>0</v>
      </c>
      <c r="AB3557" s="15"/>
    </row>
    <row r="3558" spans="1:36" s="77" customFormat="1" ht="15.6" hidden="1">
      <c r="A3558" s="370"/>
      <c r="B3558" s="499"/>
      <c r="C3558" s="725"/>
      <c r="D3558" s="1937" t="s">
        <v>1522</v>
      </c>
      <c r="E3558" s="1938"/>
      <c r="F3558" s="1938"/>
      <c r="G3558" s="1938"/>
      <c r="H3558" s="1938"/>
      <c r="I3558" s="1939"/>
      <c r="J3558" s="1943">
        <f>R3557/J3557</f>
        <v>1</v>
      </c>
      <c r="K3558" s="1944"/>
      <c r="L3558" s="1947"/>
      <c r="M3558" s="1934" t="s">
        <v>1523</v>
      </c>
      <c r="N3558" s="1935"/>
      <c r="O3558" s="1935"/>
      <c r="P3558" s="1935"/>
      <c r="Q3558" s="1936"/>
      <c r="R3558" s="726">
        <f>VLOOKUP(A3559,'11 - FINANCEIRA'!_xlnm.Print_Area,8,FALSE)</f>
        <v>0.01</v>
      </c>
      <c r="S3558" s="727" t="str">
        <f>L3557</f>
        <v>m²</v>
      </c>
      <c r="T3558" s="373"/>
      <c r="U3558" s="486"/>
      <c r="V3558" s="1418">
        <f t="shared" si="358"/>
        <v>0</v>
      </c>
      <c r="AB3558" s="15"/>
    </row>
    <row r="3559" spans="1:36" s="77" customFormat="1" ht="15.6" hidden="1">
      <c r="A3559" s="364" t="s">
        <v>669</v>
      </c>
      <c r="B3559" s="499"/>
      <c r="C3559" s="37"/>
      <c r="D3559" s="2013"/>
      <c r="E3559" s="2014"/>
      <c r="F3559" s="2014"/>
      <c r="G3559" s="2014"/>
      <c r="H3559" s="2014"/>
      <c r="I3559" s="2015"/>
      <c r="J3559" s="2016"/>
      <c r="K3559" s="2017"/>
      <c r="L3559" s="1962"/>
      <c r="M3559" s="2007" t="s">
        <v>1524</v>
      </c>
      <c r="N3559" s="2008"/>
      <c r="O3559" s="2008"/>
      <c r="P3559" s="2008"/>
      <c r="Q3559" s="2009"/>
      <c r="R3559" s="1345">
        <f>R3557-R3558</f>
        <v>0</v>
      </c>
      <c r="S3559" s="1346" t="str">
        <f>L3557</f>
        <v>m²</v>
      </c>
      <c r="T3559" s="373"/>
      <c r="U3559" s="486"/>
      <c r="V3559" s="1418">
        <f>R3559</f>
        <v>0</v>
      </c>
      <c r="AB3559" s="15"/>
    </row>
    <row r="3560" spans="1:36" s="77" customFormat="1" ht="15.6" hidden="1">
      <c r="A3560" s="370"/>
      <c r="B3560" s="1347"/>
      <c r="C3560" s="1348"/>
      <c r="D3560" s="1349"/>
      <c r="E3560" s="1350"/>
      <c r="F3560" s="1349"/>
      <c r="G3560" s="1349"/>
      <c r="H3560" s="1349"/>
      <c r="I3560" s="1349"/>
      <c r="J3560" s="1351"/>
      <c r="K3560" s="1352"/>
      <c r="L3560" s="1353"/>
      <c r="M3560" s="1354"/>
      <c r="N3560" s="1354"/>
      <c r="O3560" s="1354"/>
      <c r="P3560" s="1354"/>
      <c r="Q3560" s="1354"/>
      <c r="R3560" s="1355"/>
      <c r="S3560" s="1356"/>
      <c r="T3560" s="1357"/>
      <c r="U3560" s="1358"/>
      <c r="V3560" s="1420">
        <f>SUM(V3551:V3559)</f>
        <v>0</v>
      </c>
      <c r="AB3560" s="15"/>
    </row>
    <row r="3561" spans="1:36" s="352" customFormat="1" ht="15.6" hidden="1">
      <c r="A3561" s="351"/>
      <c r="B3561" s="1963" t="str">
        <f>VLOOKUP(A3569,'11 - FINANCEIRA'!_xlnm.Print_Area,1,FALSE)</f>
        <v>2.5.3.15</v>
      </c>
      <c r="C3561" s="1965" t="str">
        <f>VLOOKUP(A3569,'11 - FINANCEIRA'!_xlnm.Print_Area,3,FALSE)</f>
        <v>Poste circular de concreto 11m/600kg</v>
      </c>
      <c r="D3561" s="1967" t="s">
        <v>1503</v>
      </c>
      <c r="E3561" s="1968"/>
      <c r="F3561" s="1968"/>
      <c r="G3561" s="1968"/>
      <c r="H3561" s="1968"/>
      <c r="I3561" s="1969"/>
      <c r="J3561" s="1914" t="s">
        <v>1504</v>
      </c>
      <c r="K3561" s="1914" t="s">
        <v>1505</v>
      </c>
      <c r="L3561" s="1914" t="s">
        <v>1506</v>
      </c>
      <c r="M3561" s="1914" t="s">
        <v>1507</v>
      </c>
      <c r="N3561" s="1914" t="s">
        <v>1508</v>
      </c>
      <c r="O3561" s="1914" t="s">
        <v>1509</v>
      </c>
      <c r="P3561" s="1341" t="s">
        <v>1510</v>
      </c>
      <c r="Q3561" s="1914" t="s">
        <v>1493</v>
      </c>
      <c r="R3561" s="1916" t="s">
        <v>804</v>
      </c>
      <c r="S3561" s="1914" t="s">
        <v>1511</v>
      </c>
      <c r="T3561" s="1914" t="s">
        <v>1512</v>
      </c>
      <c r="U3561" s="1918" t="s">
        <v>1513</v>
      </c>
      <c r="V3561" s="1418">
        <f t="shared" ref="V3561:V3568" si="359">V3562</f>
        <v>0</v>
      </c>
      <c r="W3561" s="16"/>
      <c r="X3561" s="16"/>
      <c r="Y3561" s="16"/>
      <c r="Z3561" s="17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</row>
    <row r="3562" spans="1:36" s="352" customFormat="1" ht="15.6" hidden="1">
      <c r="A3562" s="351"/>
      <c r="B3562" s="1964" t="e">
        <f>LEFT(#REF!,5)</f>
        <v>#REF!</v>
      </c>
      <c r="C3562" s="1966" t="e">
        <f>VLOOKUP(LEFT(#REF!,5),'11 - FINANCEIRA'!_xlnm.Print_Area,2,FALSE)</f>
        <v>#REF!</v>
      </c>
      <c r="D3562" s="1920" t="s">
        <v>1514</v>
      </c>
      <c r="E3562" s="1921"/>
      <c r="F3562" s="1922"/>
      <c r="G3562" s="1923" t="s">
        <v>1515</v>
      </c>
      <c r="H3562" s="1924"/>
      <c r="I3562" s="1925"/>
      <c r="J3562" s="1915"/>
      <c r="K3562" s="1915"/>
      <c r="L3562" s="1915"/>
      <c r="M3562" s="1915"/>
      <c r="N3562" s="1915"/>
      <c r="O3562" s="1915"/>
      <c r="P3562" s="353" t="s">
        <v>1516</v>
      </c>
      <c r="Q3562" s="1915"/>
      <c r="R3562" s="1917"/>
      <c r="S3562" s="1915"/>
      <c r="T3562" s="1915"/>
      <c r="U3562" s="1919"/>
      <c r="V3562" s="1418">
        <f t="shared" si="359"/>
        <v>0</v>
      </c>
      <c r="W3562" s="16"/>
      <c r="X3562" s="16"/>
      <c r="Y3562" s="16"/>
      <c r="Z3562" s="17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</row>
    <row r="3563" spans="1:36" s="361" customFormat="1" ht="15" hidden="1" customHeight="1">
      <c r="A3563" s="354"/>
      <c r="B3563" s="355"/>
      <c r="C3563" s="28" t="s">
        <v>1301</v>
      </c>
      <c r="D3563" s="18"/>
      <c r="E3563" s="19"/>
      <c r="F3563" s="20"/>
      <c r="G3563" s="18"/>
      <c r="H3563" s="19"/>
      <c r="I3563" s="20"/>
      <c r="J3563" s="21"/>
      <c r="K3563" s="22"/>
      <c r="L3563" s="23"/>
      <c r="M3563" s="24"/>
      <c r="N3563" s="728"/>
      <c r="O3563" s="25"/>
      <c r="P3563" s="23"/>
      <c r="Q3563" s="729"/>
      <c r="R3563" s="1109">
        <v>1</v>
      </c>
      <c r="S3563" s="730" t="s">
        <v>816</v>
      </c>
      <c r="T3563" s="446" t="s">
        <v>324</v>
      </c>
      <c r="U3563" s="44"/>
      <c r="V3563" s="1418">
        <f t="shared" si="359"/>
        <v>0</v>
      </c>
      <c r="W3563" s="357"/>
      <c r="X3563" s="357"/>
      <c r="Y3563" s="357"/>
      <c r="Z3563" s="358"/>
      <c r="AA3563" s="359"/>
      <c r="AB3563" s="360"/>
    </row>
    <row r="3564" spans="1:36" s="361" customFormat="1" ht="15" hidden="1" customHeight="1">
      <c r="A3564" s="354"/>
      <c r="B3564" s="355"/>
      <c r="C3564" s="32"/>
      <c r="D3564" s="33"/>
      <c r="E3564" s="34"/>
      <c r="F3564" s="35"/>
      <c r="G3564" s="33"/>
      <c r="H3564" s="34"/>
      <c r="I3564" s="35"/>
      <c r="J3564" s="43"/>
      <c r="K3564" s="42"/>
      <c r="L3564" s="39"/>
      <c r="M3564" s="41"/>
      <c r="N3564" s="356"/>
      <c r="O3564" s="40"/>
      <c r="P3564" s="39"/>
      <c r="Q3564" s="45"/>
      <c r="R3564" s="362"/>
      <c r="S3564" s="363"/>
      <c r="T3564" s="46"/>
      <c r="U3564" s="44"/>
      <c r="V3564" s="1418">
        <f t="shared" si="359"/>
        <v>0</v>
      </c>
      <c r="W3564" s="357"/>
      <c r="X3564" s="357"/>
      <c r="Y3564" s="357"/>
      <c r="Z3564" s="358"/>
      <c r="AA3564" s="359"/>
      <c r="AB3564" s="360"/>
    </row>
    <row r="3565" spans="1:36" s="369" customFormat="1" ht="15" hidden="1">
      <c r="A3565" s="364"/>
      <c r="B3565" s="355"/>
      <c r="C3565" s="32"/>
      <c r="D3565" s="33"/>
      <c r="E3565" s="34"/>
      <c r="F3565" s="35"/>
      <c r="G3565" s="33"/>
      <c r="H3565" s="34"/>
      <c r="I3565" s="35"/>
      <c r="J3565" s="43"/>
      <c r="K3565" s="42"/>
      <c r="L3565" s="39"/>
      <c r="M3565" s="41"/>
      <c r="N3565" s="40"/>
      <c r="O3565" s="40"/>
      <c r="P3565" s="39"/>
      <c r="Q3565" s="38"/>
      <c r="R3565" s="365"/>
      <c r="S3565" s="366"/>
      <c r="T3565" s="46"/>
      <c r="U3565" s="44"/>
      <c r="V3565" s="1418">
        <f t="shared" si="359"/>
        <v>0</v>
      </c>
      <c r="W3565" s="367"/>
      <c r="X3565" s="367"/>
      <c r="Y3565" s="367"/>
      <c r="Z3565" s="368"/>
    </row>
    <row r="3566" spans="1:36" s="77" customFormat="1" ht="15" hidden="1">
      <c r="A3566" s="370"/>
      <c r="B3566" s="29"/>
      <c r="C3566" s="30"/>
      <c r="D3566" s="18"/>
      <c r="E3566" s="19"/>
      <c r="F3566" s="20"/>
      <c r="G3566" s="18"/>
      <c r="H3566" s="19"/>
      <c r="I3566" s="20"/>
      <c r="J3566" s="21"/>
      <c r="K3566" s="22"/>
      <c r="L3566" s="23"/>
      <c r="M3566" s="24"/>
      <c r="N3566" s="25"/>
      <c r="O3566" s="25"/>
      <c r="P3566" s="23"/>
      <c r="Q3566" s="26"/>
      <c r="R3566" s="371"/>
      <c r="S3566" s="27"/>
      <c r="T3566" s="372"/>
      <c r="U3566" s="31"/>
      <c r="V3566" s="1418">
        <f t="shared" si="359"/>
        <v>0</v>
      </c>
      <c r="AB3566" s="15"/>
    </row>
    <row r="3567" spans="1:36" s="77" customFormat="1" ht="15.6" hidden="1">
      <c r="A3567" s="370"/>
      <c r="B3567" s="499"/>
      <c r="C3567" s="37"/>
      <c r="D3567" s="1929" t="s">
        <v>1520</v>
      </c>
      <c r="E3567" s="1930"/>
      <c r="F3567" s="1930"/>
      <c r="G3567" s="1930"/>
      <c r="H3567" s="1930"/>
      <c r="I3567" s="1931"/>
      <c r="J3567" s="1932">
        <f>VLOOKUP(A3569,'11 - FINANCEIRA'!_xlnm.Print_Area,6,FALSE)</f>
        <v>1</v>
      </c>
      <c r="K3567" s="1933"/>
      <c r="L3567" s="1343" t="str">
        <f>VLOOKUP(A3569,'11 - FINANCEIRA'!_xlnm.Print_Area,4,FALSE)</f>
        <v>und</v>
      </c>
      <c r="M3567" s="1934" t="s">
        <v>1521</v>
      </c>
      <c r="N3567" s="1935"/>
      <c r="O3567" s="1935"/>
      <c r="P3567" s="1935"/>
      <c r="Q3567" s="1936"/>
      <c r="R3567" s="726">
        <f>SUM(R3563:R3566)</f>
        <v>1</v>
      </c>
      <c r="S3567" s="1344" t="str">
        <f>L3567</f>
        <v>und</v>
      </c>
      <c r="T3567" s="373"/>
      <c r="U3567" s="486"/>
      <c r="V3567" s="1418">
        <f t="shared" si="359"/>
        <v>0</v>
      </c>
      <c r="AB3567" s="15"/>
    </row>
    <row r="3568" spans="1:36" s="77" customFormat="1" ht="15.6" hidden="1">
      <c r="A3568" s="370"/>
      <c r="B3568" s="499"/>
      <c r="C3568" s="725"/>
      <c r="D3568" s="1937" t="s">
        <v>1522</v>
      </c>
      <c r="E3568" s="1938"/>
      <c r="F3568" s="1938"/>
      <c r="G3568" s="1938"/>
      <c r="H3568" s="1938"/>
      <c r="I3568" s="1939"/>
      <c r="J3568" s="1943">
        <f>R3567/J3567</f>
        <v>1</v>
      </c>
      <c r="K3568" s="1944"/>
      <c r="L3568" s="1947"/>
      <c r="M3568" s="1934" t="s">
        <v>1523</v>
      </c>
      <c r="N3568" s="1935"/>
      <c r="O3568" s="1935"/>
      <c r="P3568" s="1935"/>
      <c r="Q3568" s="1936"/>
      <c r="R3568" s="726">
        <f>VLOOKUP(A3569,'11 - FINANCEIRA'!_xlnm.Print_Area,8,FALSE)</f>
        <v>1</v>
      </c>
      <c r="S3568" s="727" t="str">
        <f>L3567</f>
        <v>und</v>
      </c>
      <c r="T3568" s="373"/>
      <c r="U3568" s="486"/>
      <c r="V3568" s="1418">
        <f t="shared" si="359"/>
        <v>0</v>
      </c>
      <c r="AB3568" s="15"/>
    </row>
    <row r="3569" spans="1:36" s="77" customFormat="1" ht="15.6" hidden="1">
      <c r="A3569" s="364" t="s">
        <v>670</v>
      </c>
      <c r="B3569" s="499"/>
      <c r="C3569" s="37"/>
      <c r="D3569" s="2013"/>
      <c r="E3569" s="2014"/>
      <c r="F3569" s="2014"/>
      <c r="G3569" s="2014"/>
      <c r="H3569" s="2014"/>
      <c r="I3569" s="2015"/>
      <c r="J3569" s="2016"/>
      <c r="K3569" s="2017"/>
      <c r="L3569" s="1962"/>
      <c r="M3569" s="2007" t="s">
        <v>1524</v>
      </c>
      <c r="N3569" s="2008"/>
      <c r="O3569" s="2008"/>
      <c r="P3569" s="2008"/>
      <c r="Q3569" s="2009"/>
      <c r="R3569" s="1345">
        <f>R3567-R3568</f>
        <v>0</v>
      </c>
      <c r="S3569" s="1346" t="str">
        <f>L3567</f>
        <v>und</v>
      </c>
      <c r="T3569" s="373"/>
      <c r="U3569" s="486"/>
      <c r="V3569" s="1418">
        <f>R3569</f>
        <v>0</v>
      </c>
      <c r="AB3569" s="15"/>
    </row>
    <row r="3570" spans="1:36" s="77" customFormat="1" ht="15.6" hidden="1">
      <c r="A3570" s="370"/>
      <c r="B3570" s="1347"/>
      <c r="C3570" s="1348"/>
      <c r="D3570" s="1349"/>
      <c r="E3570" s="1350"/>
      <c r="F3570" s="1349"/>
      <c r="G3570" s="1349"/>
      <c r="H3570" s="1349"/>
      <c r="I3570" s="1349"/>
      <c r="J3570" s="1351"/>
      <c r="K3570" s="1352"/>
      <c r="L3570" s="1353"/>
      <c r="M3570" s="1354"/>
      <c r="N3570" s="1354"/>
      <c r="O3570" s="1354"/>
      <c r="P3570" s="1354"/>
      <c r="Q3570" s="1354"/>
      <c r="R3570" s="1355"/>
      <c r="S3570" s="1356"/>
      <c r="T3570" s="1357"/>
      <c r="U3570" s="1358"/>
      <c r="V3570" s="1420">
        <f>SUM(V3561:V3569)</f>
        <v>0</v>
      </c>
      <c r="AB3570" s="15"/>
    </row>
    <row r="3571" spans="1:36" s="352" customFormat="1" ht="15.6" hidden="1">
      <c r="A3571" s="351"/>
      <c r="B3571" s="1963" t="str">
        <f>VLOOKUP(A3579,'11 - FINANCEIRA'!_xlnm.Print_Area,1,FALSE)</f>
        <v>2.5.3.16</v>
      </c>
      <c r="C3571" s="1965" t="str">
        <f>VLOOKUP(A3579,'11 - FINANCEIRA'!_xlnm.Print_Area,3,FALSE)</f>
        <v>Assentamento de poste de concreto com comprimento nominal de 11 m, carga nominal de 600 dan, engastamento base concretada com 1 m de concreto e 0,7 m de solo (não inclui fornecimento). af_11/2019</v>
      </c>
      <c r="D3571" s="1967" t="s">
        <v>1503</v>
      </c>
      <c r="E3571" s="1968"/>
      <c r="F3571" s="1968"/>
      <c r="G3571" s="1968"/>
      <c r="H3571" s="1968"/>
      <c r="I3571" s="1969"/>
      <c r="J3571" s="1914" t="s">
        <v>1504</v>
      </c>
      <c r="K3571" s="1914" t="s">
        <v>1505</v>
      </c>
      <c r="L3571" s="1914" t="s">
        <v>1506</v>
      </c>
      <c r="M3571" s="1914" t="s">
        <v>1507</v>
      </c>
      <c r="N3571" s="1914" t="s">
        <v>1508</v>
      </c>
      <c r="O3571" s="1914" t="s">
        <v>1509</v>
      </c>
      <c r="P3571" s="1341" t="s">
        <v>1510</v>
      </c>
      <c r="Q3571" s="1914" t="s">
        <v>1493</v>
      </c>
      <c r="R3571" s="1916" t="s">
        <v>804</v>
      </c>
      <c r="S3571" s="1914" t="s">
        <v>1511</v>
      </c>
      <c r="T3571" s="1914" t="s">
        <v>1512</v>
      </c>
      <c r="U3571" s="1918" t="s">
        <v>1513</v>
      </c>
      <c r="V3571" s="1418">
        <f t="shared" ref="V3571:V3578" si="360">V3572</f>
        <v>0</v>
      </c>
      <c r="W3571" s="16"/>
      <c r="X3571" s="16"/>
      <c r="Y3571" s="16"/>
      <c r="Z3571" s="17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</row>
    <row r="3572" spans="1:36" s="352" customFormat="1" ht="15.6" hidden="1">
      <c r="A3572" s="351"/>
      <c r="B3572" s="1964" t="e">
        <f>LEFT(#REF!,5)</f>
        <v>#REF!</v>
      </c>
      <c r="C3572" s="1966" t="e">
        <f>VLOOKUP(LEFT(#REF!,5),'11 - FINANCEIRA'!_xlnm.Print_Area,2,FALSE)</f>
        <v>#REF!</v>
      </c>
      <c r="D3572" s="1920" t="s">
        <v>1514</v>
      </c>
      <c r="E3572" s="1921"/>
      <c r="F3572" s="1922"/>
      <c r="G3572" s="1923" t="s">
        <v>1515</v>
      </c>
      <c r="H3572" s="1924"/>
      <c r="I3572" s="1925"/>
      <c r="J3572" s="1915"/>
      <c r="K3572" s="1915"/>
      <c r="L3572" s="1915"/>
      <c r="M3572" s="1915"/>
      <c r="N3572" s="1915"/>
      <c r="O3572" s="1915"/>
      <c r="P3572" s="353" t="s">
        <v>1516</v>
      </c>
      <c r="Q3572" s="1915"/>
      <c r="R3572" s="1917"/>
      <c r="S3572" s="1915"/>
      <c r="T3572" s="1915"/>
      <c r="U3572" s="1919"/>
      <c r="V3572" s="1418">
        <f t="shared" si="360"/>
        <v>0</v>
      </c>
      <c r="W3572" s="16"/>
      <c r="X3572" s="16"/>
      <c r="Y3572" s="16"/>
      <c r="Z3572" s="17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</row>
    <row r="3573" spans="1:36" s="361" customFormat="1" ht="15" hidden="1" customHeight="1">
      <c r="A3573" s="354"/>
      <c r="B3573" s="355"/>
      <c r="C3573" s="28" t="s">
        <v>1303</v>
      </c>
      <c r="D3573" s="18"/>
      <c r="E3573" s="19"/>
      <c r="F3573" s="20"/>
      <c r="G3573" s="18"/>
      <c r="H3573" s="19"/>
      <c r="I3573" s="20"/>
      <c r="J3573" s="21"/>
      <c r="K3573" s="22"/>
      <c r="L3573" s="23"/>
      <c r="M3573" s="24"/>
      <c r="N3573" s="728"/>
      <c r="O3573" s="25"/>
      <c r="P3573" s="23"/>
      <c r="Q3573" s="729"/>
      <c r="R3573" s="1109">
        <v>1</v>
      </c>
      <c r="S3573" s="730" t="s">
        <v>816</v>
      </c>
      <c r="T3573" s="446" t="s">
        <v>324</v>
      </c>
      <c r="U3573" s="44"/>
      <c r="V3573" s="1418">
        <f t="shared" si="360"/>
        <v>0</v>
      </c>
      <c r="W3573" s="357"/>
      <c r="X3573" s="357"/>
      <c r="Y3573" s="357"/>
      <c r="Z3573" s="358"/>
      <c r="AA3573" s="359"/>
      <c r="AB3573" s="360"/>
    </row>
    <row r="3574" spans="1:36" s="361" customFormat="1" ht="15" hidden="1" customHeight="1">
      <c r="A3574" s="354"/>
      <c r="B3574" s="355"/>
      <c r="C3574" s="32"/>
      <c r="D3574" s="33"/>
      <c r="E3574" s="34"/>
      <c r="F3574" s="35"/>
      <c r="G3574" s="33"/>
      <c r="H3574" s="34"/>
      <c r="I3574" s="35"/>
      <c r="J3574" s="43"/>
      <c r="K3574" s="42"/>
      <c r="L3574" s="39"/>
      <c r="M3574" s="41"/>
      <c r="N3574" s="356"/>
      <c r="O3574" s="40"/>
      <c r="P3574" s="39"/>
      <c r="Q3574" s="45"/>
      <c r="R3574" s="362"/>
      <c r="S3574" s="363"/>
      <c r="T3574" s="46"/>
      <c r="U3574" s="44"/>
      <c r="V3574" s="1418">
        <f t="shared" si="360"/>
        <v>0</v>
      </c>
      <c r="W3574" s="357"/>
      <c r="X3574" s="357"/>
      <c r="Y3574" s="357"/>
      <c r="Z3574" s="358"/>
      <c r="AA3574" s="359"/>
      <c r="AB3574" s="360"/>
    </row>
    <row r="3575" spans="1:36" s="369" customFormat="1" ht="15" hidden="1">
      <c r="A3575" s="364"/>
      <c r="B3575" s="355"/>
      <c r="C3575" s="32"/>
      <c r="D3575" s="33"/>
      <c r="E3575" s="34"/>
      <c r="F3575" s="35"/>
      <c r="G3575" s="33"/>
      <c r="H3575" s="34"/>
      <c r="I3575" s="35"/>
      <c r="J3575" s="43"/>
      <c r="K3575" s="42"/>
      <c r="L3575" s="39"/>
      <c r="M3575" s="41"/>
      <c r="N3575" s="40"/>
      <c r="O3575" s="40"/>
      <c r="P3575" s="39"/>
      <c r="Q3575" s="38"/>
      <c r="R3575" s="365"/>
      <c r="S3575" s="366"/>
      <c r="T3575" s="46"/>
      <c r="U3575" s="44"/>
      <c r="V3575" s="1418">
        <f t="shared" si="360"/>
        <v>0</v>
      </c>
      <c r="W3575" s="367"/>
      <c r="X3575" s="367"/>
      <c r="Y3575" s="367"/>
      <c r="Z3575" s="368"/>
    </row>
    <row r="3576" spans="1:36" s="77" customFormat="1" ht="15" hidden="1">
      <c r="A3576" s="370"/>
      <c r="B3576" s="29"/>
      <c r="C3576" s="30"/>
      <c r="D3576" s="18"/>
      <c r="E3576" s="19"/>
      <c r="F3576" s="20"/>
      <c r="G3576" s="18"/>
      <c r="H3576" s="19"/>
      <c r="I3576" s="20"/>
      <c r="J3576" s="21"/>
      <c r="K3576" s="22"/>
      <c r="L3576" s="23"/>
      <c r="M3576" s="24"/>
      <c r="N3576" s="25"/>
      <c r="O3576" s="25"/>
      <c r="P3576" s="23"/>
      <c r="Q3576" s="26"/>
      <c r="R3576" s="371"/>
      <c r="S3576" s="27"/>
      <c r="T3576" s="372"/>
      <c r="U3576" s="31"/>
      <c r="V3576" s="1418">
        <f t="shared" si="360"/>
        <v>0</v>
      </c>
      <c r="AB3576" s="15"/>
    </row>
    <row r="3577" spans="1:36" s="77" customFormat="1" ht="15.6" hidden="1">
      <c r="A3577" s="370"/>
      <c r="B3577" s="499"/>
      <c r="C3577" s="37"/>
      <c r="D3577" s="1929" t="s">
        <v>1520</v>
      </c>
      <c r="E3577" s="1930"/>
      <c r="F3577" s="1930"/>
      <c r="G3577" s="1930"/>
      <c r="H3577" s="1930"/>
      <c r="I3577" s="1931"/>
      <c r="J3577" s="1932">
        <f>VLOOKUP(A3579,'11 - FINANCEIRA'!_xlnm.Print_Area,6,FALSE)</f>
        <v>1</v>
      </c>
      <c r="K3577" s="1933"/>
      <c r="L3577" s="1343" t="str">
        <f>VLOOKUP(A3579,'11 - FINANCEIRA'!_xlnm.Print_Area,4,FALSE)</f>
        <v>und</v>
      </c>
      <c r="M3577" s="1934" t="s">
        <v>1521</v>
      </c>
      <c r="N3577" s="1935"/>
      <c r="O3577" s="1935"/>
      <c r="P3577" s="1935"/>
      <c r="Q3577" s="1936"/>
      <c r="R3577" s="726">
        <f>SUM(R3573:R3576)</f>
        <v>1</v>
      </c>
      <c r="S3577" s="1344" t="str">
        <f>L3577</f>
        <v>und</v>
      </c>
      <c r="T3577" s="373"/>
      <c r="U3577" s="486"/>
      <c r="V3577" s="1418">
        <f t="shared" si="360"/>
        <v>0</v>
      </c>
      <c r="AB3577" s="15"/>
    </row>
    <row r="3578" spans="1:36" s="77" customFormat="1" ht="15.6" hidden="1">
      <c r="A3578" s="370"/>
      <c r="B3578" s="499"/>
      <c r="C3578" s="725"/>
      <c r="D3578" s="1937" t="s">
        <v>1522</v>
      </c>
      <c r="E3578" s="1938"/>
      <c r="F3578" s="1938"/>
      <c r="G3578" s="1938"/>
      <c r="H3578" s="1938"/>
      <c r="I3578" s="1939"/>
      <c r="J3578" s="1943">
        <f>R3577/J3577</f>
        <v>1</v>
      </c>
      <c r="K3578" s="1944"/>
      <c r="L3578" s="1947"/>
      <c r="M3578" s="1934" t="s">
        <v>1523</v>
      </c>
      <c r="N3578" s="1935"/>
      <c r="O3578" s="1935"/>
      <c r="P3578" s="1935"/>
      <c r="Q3578" s="1936"/>
      <c r="R3578" s="726">
        <f>VLOOKUP(A3579,'11 - FINANCEIRA'!_xlnm.Print_Area,8,FALSE)</f>
        <v>1</v>
      </c>
      <c r="S3578" s="727" t="str">
        <f>L3577</f>
        <v>und</v>
      </c>
      <c r="T3578" s="373"/>
      <c r="U3578" s="486"/>
      <c r="V3578" s="1418">
        <f t="shared" si="360"/>
        <v>0</v>
      </c>
      <c r="AB3578" s="15"/>
    </row>
    <row r="3579" spans="1:36" s="77" customFormat="1" ht="15.6" hidden="1">
      <c r="A3579" s="364" t="s">
        <v>671</v>
      </c>
      <c r="B3579" s="499"/>
      <c r="C3579" s="37"/>
      <c r="D3579" s="2013"/>
      <c r="E3579" s="2014"/>
      <c r="F3579" s="2014"/>
      <c r="G3579" s="2014"/>
      <c r="H3579" s="2014"/>
      <c r="I3579" s="2015"/>
      <c r="J3579" s="2016"/>
      <c r="K3579" s="2017"/>
      <c r="L3579" s="1962"/>
      <c r="M3579" s="2007" t="s">
        <v>1524</v>
      </c>
      <c r="N3579" s="2008"/>
      <c r="O3579" s="2008"/>
      <c r="P3579" s="2008"/>
      <c r="Q3579" s="2009"/>
      <c r="R3579" s="1345">
        <f>R3577-R3578</f>
        <v>0</v>
      </c>
      <c r="S3579" s="1346" t="str">
        <f>L3577</f>
        <v>und</v>
      </c>
      <c r="T3579" s="373"/>
      <c r="U3579" s="486"/>
      <c r="V3579" s="1418">
        <f>R3579</f>
        <v>0</v>
      </c>
      <c r="AB3579" s="15"/>
    </row>
    <row r="3580" spans="1:36" s="77" customFormat="1" ht="15.6" hidden="1">
      <c r="A3580" s="370"/>
      <c r="B3580" s="1347"/>
      <c r="C3580" s="1348"/>
      <c r="D3580" s="1349"/>
      <c r="E3580" s="1350"/>
      <c r="F3580" s="1349"/>
      <c r="G3580" s="1349"/>
      <c r="H3580" s="1349"/>
      <c r="I3580" s="1349"/>
      <c r="J3580" s="1351"/>
      <c r="K3580" s="1352"/>
      <c r="L3580" s="1353"/>
      <c r="M3580" s="1354"/>
      <c r="N3580" s="1354"/>
      <c r="O3580" s="1354"/>
      <c r="P3580" s="1354"/>
      <c r="Q3580" s="1354"/>
      <c r="R3580" s="1355"/>
      <c r="S3580" s="1356"/>
      <c r="T3580" s="1357"/>
      <c r="U3580" s="1358"/>
      <c r="V3580" s="1420">
        <f>SUM(V3571:V3579)</f>
        <v>0</v>
      </c>
      <c r="AB3580" s="15"/>
    </row>
    <row r="3581" spans="1:36" s="632" customFormat="1" ht="15.6" hidden="1">
      <c r="A3581" s="630"/>
      <c r="B3581" s="1333" t="str">
        <f>LEFT(A3590,5)</f>
        <v>2.5.4</v>
      </c>
      <c r="C3581" s="1334" t="str">
        <f>VLOOKUP(LEFT(A3590,5),'11 - FINANCEIRA'!_xlnm.Print_Area,2,FALSE)</f>
        <v>SPDA</v>
      </c>
      <c r="D3581" s="1334"/>
      <c r="E3581" s="1335"/>
      <c r="F3581" s="1334"/>
      <c r="G3581" s="2071"/>
      <c r="H3581" s="2072"/>
      <c r="I3581" s="2072"/>
      <c r="J3581" s="2072"/>
      <c r="K3581" s="2072"/>
      <c r="L3581" s="2072"/>
      <c r="M3581" s="1338"/>
      <c r="N3581" s="1339"/>
      <c r="O3581" s="2072"/>
      <c r="P3581" s="2072"/>
      <c r="Q3581" s="2072"/>
      <c r="R3581" s="2082"/>
      <c r="S3581" s="633"/>
      <c r="V3581" s="631">
        <f>SUM(V3582:V3801)</f>
        <v>0</v>
      </c>
    </row>
    <row r="3582" spans="1:36" s="352" customFormat="1" ht="15.6" hidden="1">
      <c r="A3582" s="351"/>
      <c r="B3582" s="1963" t="str">
        <f>VLOOKUP(A3590,'11 - FINANCEIRA'!_xlnm.Print_Area,1,FALSE)</f>
        <v>2.5.4.1</v>
      </c>
      <c r="C3582" s="1965" t="str">
        <f>VLOOKUP(A3590,'11 - FINANCEIRA'!_xlnm.Print_Area,3,FALSE)</f>
        <v xml:space="preserve">Cabo de cobre nu, bitola 35 mm², tipo cordoalha, 7 fios, ø 2,50 mm; ref: tel-5635, termotécnica ou similar. </v>
      </c>
      <c r="D3582" s="1967" t="s">
        <v>1503</v>
      </c>
      <c r="E3582" s="1968"/>
      <c r="F3582" s="1968"/>
      <c r="G3582" s="1968"/>
      <c r="H3582" s="1968"/>
      <c r="I3582" s="1969"/>
      <c r="J3582" s="1914" t="s">
        <v>1504</v>
      </c>
      <c r="K3582" s="1914" t="s">
        <v>1505</v>
      </c>
      <c r="L3582" s="1914" t="s">
        <v>1506</v>
      </c>
      <c r="M3582" s="1914" t="s">
        <v>1507</v>
      </c>
      <c r="N3582" s="1914" t="s">
        <v>1508</v>
      </c>
      <c r="O3582" s="1914" t="s">
        <v>1509</v>
      </c>
      <c r="P3582" s="1341" t="s">
        <v>1510</v>
      </c>
      <c r="Q3582" s="1914" t="s">
        <v>1493</v>
      </c>
      <c r="R3582" s="1916" t="s">
        <v>804</v>
      </c>
      <c r="S3582" s="1914" t="s">
        <v>1511</v>
      </c>
      <c r="T3582" s="1914" t="s">
        <v>1512</v>
      </c>
      <c r="U3582" s="1918" t="s">
        <v>1513</v>
      </c>
      <c r="V3582" s="1418">
        <f t="shared" ref="V3582:V3589" si="361">V3583</f>
        <v>0</v>
      </c>
      <c r="W3582" s="16"/>
      <c r="X3582" s="16"/>
      <c r="Y3582" s="16"/>
      <c r="Z3582" s="17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</row>
    <row r="3583" spans="1:36" s="352" customFormat="1" ht="15.6" hidden="1">
      <c r="A3583" s="351"/>
      <c r="B3583" s="1964" t="e">
        <f>LEFT(#REF!,5)</f>
        <v>#REF!</v>
      </c>
      <c r="C3583" s="1966" t="e">
        <f>VLOOKUP(LEFT(#REF!,5),'11 - FINANCEIRA'!_xlnm.Print_Area,2,FALSE)</f>
        <v>#REF!</v>
      </c>
      <c r="D3583" s="1920" t="s">
        <v>1514</v>
      </c>
      <c r="E3583" s="1921"/>
      <c r="F3583" s="1922"/>
      <c r="G3583" s="1923" t="s">
        <v>1515</v>
      </c>
      <c r="H3583" s="1924"/>
      <c r="I3583" s="1925"/>
      <c r="J3583" s="1915"/>
      <c r="K3583" s="1915"/>
      <c r="L3583" s="1915"/>
      <c r="M3583" s="1915"/>
      <c r="N3583" s="1915"/>
      <c r="O3583" s="1915"/>
      <c r="P3583" s="353" t="s">
        <v>1516</v>
      </c>
      <c r="Q3583" s="1915"/>
      <c r="R3583" s="1917"/>
      <c r="S3583" s="1915"/>
      <c r="T3583" s="1915"/>
      <c r="U3583" s="1919"/>
      <c r="V3583" s="1418">
        <f t="shared" si="361"/>
        <v>0</v>
      </c>
      <c r="W3583" s="16"/>
      <c r="X3583" s="16"/>
      <c r="Y3583" s="16"/>
      <c r="Z3583" s="17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</row>
    <row r="3584" spans="1:36" s="361" customFormat="1" ht="30" hidden="1">
      <c r="A3584" s="354"/>
      <c r="B3584" s="355"/>
      <c r="C3584" s="28" t="s">
        <v>1305</v>
      </c>
      <c r="D3584" s="18"/>
      <c r="E3584" s="19"/>
      <c r="F3584" s="20"/>
      <c r="G3584" s="18"/>
      <c r="H3584" s="19"/>
      <c r="I3584" s="20"/>
      <c r="J3584" s="21"/>
      <c r="K3584" s="22"/>
      <c r="L3584" s="23"/>
      <c r="M3584" s="24"/>
      <c r="N3584" s="728"/>
      <c r="O3584" s="25"/>
      <c r="P3584" s="23"/>
      <c r="Q3584" s="729"/>
      <c r="R3584" s="1109">
        <v>148</v>
      </c>
      <c r="S3584" s="730" t="s">
        <v>809</v>
      </c>
      <c r="T3584" s="446" t="s">
        <v>325</v>
      </c>
      <c r="U3584" s="44"/>
      <c r="V3584" s="1418">
        <f t="shared" si="361"/>
        <v>0</v>
      </c>
      <c r="W3584" s="357"/>
      <c r="X3584" s="357"/>
      <c r="Y3584" s="357"/>
      <c r="Z3584" s="358"/>
      <c r="AA3584" s="359"/>
      <c r="AB3584" s="360"/>
    </row>
    <row r="3585" spans="1:36" s="361" customFormat="1" ht="15" hidden="1" customHeight="1">
      <c r="A3585" s="354"/>
      <c r="B3585" s="355"/>
      <c r="C3585" s="32"/>
      <c r="D3585" s="33"/>
      <c r="E3585" s="34"/>
      <c r="F3585" s="35"/>
      <c r="G3585" s="33"/>
      <c r="H3585" s="34"/>
      <c r="I3585" s="35"/>
      <c r="J3585" s="43"/>
      <c r="K3585" s="42"/>
      <c r="L3585" s="39"/>
      <c r="M3585" s="41"/>
      <c r="N3585" s="356"/>
      <c r="O3585" s="40"/>
      <c r="P3585" s="39"/>
      <c r="Q3585" s="45"/>
      <c r="R3585" s="362"/>
      <c r="S3585" s="363"/>
      <c r="T3585" s="46"/>
      <c r="U3585" s="44"/>
      <c r="V3585" s="1418">
        <f t="shared" si="361"/>
        <v>0</v>
      </c>
      <c r="W3585" s="357"/>
      <c r="X3585" s="357"/>
      <c r="Y3585" s="357"/>
      <c r="Z3585" s="358"/>
      <c r="AA3585" s="359"/>
      <c r="AB3585" s="360"/>
    </row>
    <row r="3586" spans="1:36" s="369" customFormat="1" ht="15" hidden="1">
      <c r="A3586" s="364"/>
      <c r="B3586" s="355"/>
      <c r="C3586" s="32"/>
      <c r="D3586" s="33"/>
      <c r="E3586" s="34"/>
      <c r="F3586" s="35"/>
      <c r="G3586" s="33"/>
      <c r="H3586" s="34"/>
      <c r="I3586" s="35"/>
      <c r="J3586" s="43"/>
      <c r="K3586" s="42"/>
      <c r="L3586" s="39"/>
      <c r="M3586" s="41"/>
      <c r="N3586" s="40"/>
      <c r="O3586" s="40"/>
      <c r="P3586" s="39"/>
      <c r="Q3586" s="38"/>
      <c r="R3586" s="365"/>
      <c r="S3586" s="366"/>
      <c r="T3586" s="46"/>
      <c r="U3586" s="44"/>
      <c r="V3586" s="1418">
        <f t="shared" si="361"/>
        <v>0</v>
      </c>
      <c r="W3586" s="367"/>
      <c r="X3586" s="367"/>
      <c r="Y3586" s="367"/>
      <c r="Z3586" s="368"/>
    </row>
    <row r="3587" spans="1:36" s="77" customFormat="1" ht="15" hidden="1">
      <c r="A3587" s="370"/>
      <c r="B3587" s="29"/>
      <c r="C3587" s="30"/>
      <c r="D3587" s="18"/>
      <c r="E3587" s="19"/>
      <c r="F3587" s="20"/>
      <c r="G3587" s="18"/>
      <c r="H3587" s="19"/>
      <c r="I3587" s="20"/>
      <c r="J3587" s="21"/>
      <c r="K3587" s="22"/>
      <c r="L3587" s="23"/>
      <c r="M3587" s="24"/>
      <c r="N3587" s="25"/>
      <c r="O3587" s="25"/>
      <c r="P3587" s="23"/>
      <c r="Q3587" s="26"/>
      <c r="R3587" s="371"/>
      <c r="S3587" s="27"/>
      <c r="T3587" s="372"/>
      <c r="U3587" s="31"/>
      <c r="V3587" s="1418">
        <f t="shared" si="361"/>
        <v>0</v>
      </c>
      <c r="AB3587" s="15"/>
    </row>
    <row r="3588" spans="1:36" s="77" customFormat="1" ht="15.6" hidden="1">
      <c r="A3588" s="370"/>
      <c r="B3588" s="499"/>
      <c r="C3588" s="37"/>
      <c r="D3588" s="1929" t="s">
        <v>1520</v>
      </c>
      <c r="E3588" s="1930"/>
      <c r="F3588" s="1930"/>
      <c r="G3588" s="1930"/>
      <c r="H3588" s="1930"/>
      <c r="I3588" s="1931"/>
      <c r="J3588" s="1932">
        <f>VLOOKUP(A3590,'11 - FINANCEIRA'!_xlnm.Print_Area,6,FALSE)</f>
        <v>148</v>
      </c>
      <c r="K3588" s="1933"/>
      <c r="L3588" s="1343" t="str">
        <f>VLOOKUP(A3590,'11 - FINANCEIRA'!_xlnm.Print_Area,4,FALSE)</f>
        <v>m</v>
      </c>
      <c r="M3588" s="1934" t="s">
        <v>1521</v>
      </c>
      <c r="N3588" s="1935"/>
      <c r="O3588" s="1935"/>
      <c r="P3588" s="1935"/>
      <c r="Q3588" s="1936"/>
      <c r="R3588" s="726">
        <f>SUM(R3584:R3587)</f>
        <v>148</v>
      </c>
      <c r="S3588" s="1344" t="str">
        <f>L3588</f>
        <v>m</v>
      </c>
      <c r="T3588" s="373"/>
      <c r="U3588" s="486"/>
      <c r="V3588" s="1418">
        <f t="shared" si="361"/>
        <v>0</v>
      </c>
      <c r="AB3588" s="15"/>
    </row>
    <row r="3589" spans="1:36" s="77" customFormat="1" ht="15.6" hidden="1">
      <c r="A3589" s="370"/>
      <c r="B3589" s="499"/>
      <c r="C3589" s="725"/>
      <c r="D3589" s="1937" t="s">
        <v>1522</v>
      </c>
      <c r="E3589" s="1938"/>
      <c r="F3589" s="1938"/>
      <c r="G3589" s="1938"/>
      <c r="H3589" s="1938"/>
      <c r="I3589" s="1939"/>
      <c r="J3589" s="1943">
        <f>R3588/J3588</f>
        <v>1</v>
      </c>
      <c r="K3589" s="1944"/>
      <c r="L3589" s="1947"/>
      <c r="M3589" s="1934" t="s">
        <v>1523</v>
      </c>
      <c r="N3589" s="1935"/>
      <c r="O3589" s="1935"/>
      <c r="P3589" s="1935"/>
      <c r="Q3589" s="1936"/>
      <c r="R3589" s="726">
        <f>VLOOKUP(A3590,'11 - FINANCEIRA'!_xlnm.Print_Area,8,FALSE)</f>
        <v>148</v>
      </c>
      <c r="S3589" s="727" t="str">
        <f>L3588</f>
        <v>m</v>
      </c>
      <c r="T3589" s="373"/>
      <c r="U3589" s="486"/>
      <c r="V3589" s="1418">
        <f t="shared" si="361"/>
        <v>0</v>
      </c>
      <c r="AB3589" s="15"/>
    </row>
    <row r="3590" spans="1:36" s="77" customFormat="1" ht="15.6" hidden="1">
      <c r="A3590" s="364" t="s">
        <v>673</v>
      </c>
      <c r="B3590" s="499"/>
      <c r="C3590" s="37"/>
      <c r="D3590" s="2013"/>
      <c r="E3590" s="2014"/>
      <c r="F3590" s="2014"/>
      <c r="G3590" s="2014"/>
      <c r="H3590" s="2014"/>
      <c r="I3590" s="2015"/>
      <c r="J3590" s="2016"/>
      <c r="K3590" s="2017"/>
      <c r="L3590" s="1962"/>
      <c r="M3590" s="2007" t="s">
        <v>1524</v>
      </c>
      <c r="N3590" s="2008"/>
      <c r="O3590" s="2008"/>
      <c r="P3590" s="2008"/>
      <c r="Q3590" s="2009"/>
      <c r="R3590" s="1345">
        <f>R3588-R3589</f>
        <v>0</v>
      </c>
      <c r="S3590" s="1346" t="str">
        <f>L3588</f>
        <v>m</v>
      </c>
      <c r="T3590" s="373"/>
      <c r="U3590" s="486"/>
      <c r="V3590" s="1418">
        <f>R3590</f>
        <v>0</v>
      </c>
      <c r="AB3590" s="15"/>
    </row>
    <row r="3591" spans="1:36" s="77" customFormat="1" ht="15.6" hidden="1">
      <c r="A3591" s="370"/>
      <c r="B3591" s="1347"/>
      <c r="C3591" s="1348"/>
      <c r="D3591" s="1349"/>
      <c r="E3591" s="1350"/>
      <c r="F3591" s="1349"/>
      <c r="G3591" s="1349"/>
      <c r="H3591" s="1349"/>
      <c r="I3591" s="1349"/>
      <c r="J3591" s="1351"/>
      <c r="K3591" s="1352"/>
      <c r="L3591" s="1353"/>
      <c r="M3591" s="1354"/>
      <c r="N3591" s="1354"/>
      <c r="O3591" s="1354"/>
      <c r="P3591" s="1354"/>
      <c r="Q3591" s="1354"/>
      <c r="R3591" s="1355"/>
      <c r="S3591" s="1356"/>
      <c r="T3591" s="1357"/>
      <c r="U3591" s="1358"/>
      <c r="V3591" s="1420">
        <f>SUM(V3582:V3590)</f>
        <v>0</v>
      </c>
      <c r="AB3591" s="15"/>
    </row>
    <row r="3592" spans="1:36" s="352" customFormat="1" ht="15.6" hidden="1">
      <c r="A3592" s="351"/>
      <c r="B3592" s="1963" t="str">
        <f>VLOOKUP(A3600,'11 - FINANCEIRA'!_xlnm.Print_Area,1,FALSE)</f>
        <v>2.5.4.2</v>
      </c>
      <c r="C3592" s="1965" t="str">
        <f>VLOOKUP(A3600,'11 - FINANCEIRA'!_xlnm.Print_Area,3,FALSE)</f>
        <v xml:space="preserve">Cabo de cobre nu, bitola 50 mm², tipo cordoalha, 7 fios, ø 3,00 mm; ref: tel-5650, termotécnica ou similar. </v>
      </c>
      <c r="D3592" s="1967" t="s">
        <v>1503</v>
      </c>
      <c r="E3592" s="1968"/>
      <c r="F3592" s="1968"/>
      <c r="G3592" s="1968"/>
      <c r="H3592" s="1968"/>
      <c r="I3592" s="1969"/>
      <c r="J3592" s="1914" t="s">
        <v>1504</v>
      </c>
      <c r="K3592" s="1914" t="s">
        <v>1505</v>
      </c>
      <c r="L3592" s="1914" t="s">
        <v>1506</v>
      </c>
      <c r="M3592" s="1914" t="s">
        <v>1507</v>
      </c>
      <c r="N3592" s="1914" t="s">
        <v>1508</v>
      </c>
      <c r="O3592" s="1914" t="s">
        <v>1509</v>
      </c>
      <c r="P3592" s="1341" t="s">
        <v>1510</v>
      </c>
      <c r="Q3592" s="1914" t="s">
        <v>1493</v>
      </c>
      <c r="R3592" s="1916" t="s">
        <v>804</v>
      </c>
      <c r="S3592" s="1914" t="s">
        <v>1511</v>
      </c>
      <c r="T3592" s="1914" t="s">
        <v>1512</v>
      </c>
      <c r="U3592" s="1918" t="s">
        <v>1513</v>
      </c>
      <c r="V3592" s="1418">
        <f t="shared" ref="V3592:V3599" si="362">V3593</f>
        <v>0</v>
      </c>
      <c r="W3592" s="16"/>
      <c r="X3592" s="16"/>
      <c r="Y3592" s="16"/>
      <c r="Z3592" s="17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</row>
    <row r="3593" spans="1:36" s="352" customFormat="1" ht="15.6" hidden="1">
      <c r="A3593" s="351"/>
      <c r="B3593" s="1964" t="e">
        <f>LEFT(#REF!,5)</f>
        <v>#REF!</v>
      </c>
      <c r="C3593" s="1966" t="e">
        <f>VLOOKUP(LEFT(#REF!,5),'11 - FINANCEIRA'!_xlnm.Print_Area,2,FALSE)</f>
        <v>#REF!</v>
      </c>
      <c r="D3593" s="1920" t="s">
        <v>1514</v>
      </c>
      <c r="E3593" s="1921"/>
      <c r="F3593" s="1922"/>
      <c r="G3593" s="1923" t="s">
        <v>1515</v>
      </c>
      <c r="H3593" s="1924"/>
      <c r="I3593" s="1925"/>
      <c r="J3593" s="1915"/>
      <c r="K3593" s="1915"/>
      <c r="L3593" s="1915"/>
      <c r="M3593" s="1915"/>
      <c r="N3593" s="1915"/>
      <c r="O3593" s="1915"/>
      <c r="P3593" s="353" t="s">
        <v>1516</v>
      </c>
      <c r="Q3593" s="1915"/>
      <c r="R3593" s="1917"/>
      <c r="S3593" s="1915"/>
      <c r="T3593" s="1915"/>
      <c r="U3593" s="1919"/>
      <c r="V3593" s="1418">
        <f t="shared" si="362"/>
        <v>0</v>
      </c>
      <c r="W3593" s="16"/>
      <c r="X3593" s="16"/>
      <c r="Y3593" s="16"/>
      <c r="Z3593" s="17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</row>
    <row r="3594" spans="1:36" s="361" customFormat="1" ht="30" hidden="1">
      <c r="A3594" s="354"/>
      <c r="B3594" s="355"/>
      <c r="C3594" s="28" t="s">
        <v>1307</v>
      </c>
      <c r="D3594" s="18"/>
      <c r="E3594" s="19"/>
      <c r="F3594" s="20"/>
      <c r="G3594" s="18"/>
      <c r="H3594" s="19"/>
      <c r="I3594" s="20"/>
      <c r="J3594" s="21"/>
      <c r="K3594" s="22"/>
      <c r="L3594" s="23"/>
      <c r="M3594" s="24"/>
      <c r="N3594" s="728"/>
      <c r="O3594" s="25"/>
      <c r="P3594" s="23"/>
      <c r="Q3594" s="729"/>
      <c r="R3594" s="1109">
        <v>100</v>
      </c>
      <c r="S3594" s="730" t="s">
        <v>809</v>
      </c>
      <c r="T3594" s="446" t="s">
        <v>322</v>
      </c>
      <c r="U3594" s="44"/>
      <c r="V3594" s="1418">
        <f t="shared" si="362"/>
        <v>0</v>
      </c>
      <c r="W3594" s="357"/>
      <c r="X3594" s="357"/>
      <c r="Y3594" s="357"/>
      <c r="Z3594" s="358"/>
      <c r="AA3594" s="359"/>
      <c r="AB3594" s="360"/>
    </row>
    <row r="3595" spans="1:36" s="361" customFormat="1" ht="30" hidden="1">
      <c r="A3595" s="354"/>
      <c r="B3595" s="355"/>
      <c r="C3595" s="28" t="s">
        <v>1307</v>
      </c>
      <c r="D3595" s="18"/>
      <c r="E3595" s="19"/>
      <c r="F3595" s="20"/>
      <c r="G3595" s="18"/>
      <c r="H3595" s="19"/>
      <c r="I3595" s="20"/>
      <c r="J3595" s="21"/>
      <c r="K3595" s="22"/>
      <c r="L3595" s="23"/>
      <c r="M3595" s="24"/>
      <c r="N3595" s="728"/>
      <c r="O3595" s="25"/>
      <c r="P3595" s="23"/>
      <c r="Q3595" s="729"/>
      <c r="R3595" s="445">
        <v>210</v>
      </c>
      <c r="S3595" s="792" t="s">
        <v>809</v>
      </c>
      <c r="T3595" s="446" t="s">
        <v>324</v>
      </c>
      <c r="U3595" s="44"/>
      <c r="V3595" s="1418">
        <f t="shared" si="362"/>
        <v>0</v>
      </c>
      <c r="W3595" s="357"/>
      <c r="X3595" s="357"/>
      <c r="Y3595" s="357"/>
      <c r="Z3595" s="358"/>
      <c r="AA3595" s="359"/>
      <c r="AB3595" s="360"/>
    </row>
    <row r="3596" spans="1:36" s="369" customFormat="1" ht="30" hidden="1">
      <c r="A3596" s="364"/>
      <c r="B3596" s="355"/>
      <c r="C3596" s="28" t="s">
        <v>1307</v>
      </c>
      <c r="D3596" s="18"/>
      <c r="E3596" s="19"/>
      <c r="F3596" s="20"/>
      <c r="G3596" s="18"/>
      <c r="H3596" s="19"/>
      <c r="I3596" s="20"/>
      <c r="J3596" s="21"/>
      <c r="K3596" s="22"/>
      <c r="L3596" s="23"/>
      <c r="M3596" s="24"/>
      <c r="N3596" s="25"/>
      <c r="O3596" s="25"/>
      <c r="P3596" s="23"/>
      <c r="Q3596" s="26"/>
      <c r="R3596" s="849">
        <v>301</v>
      </c>
      <c r="S3596" s="447" t="s">
        <v>809</v>
      </c>
      <c r="T3596" s="446" t="s">
        <v>325</v>
      </c>
      <c r="U3596" s="44"/>
      <c r="V3596" s="1418">
        <f t="shared" si="362"/>
        <v>0</v>
      </c>
      <c r="W3596" s="367"/>
      <c r="X3596" s="367"/>
      <c r="Y3596" s="367"/>
      <c r="Z3596" s="368"/>
    </row>
    <row r="3597" spans="1:36" s="77" customFormat="1" ht="15" hidden="1">
      <c r="A3597" s="370"/>
      <c r="B3597" s="29"/>
      <c r="C3597" s="30"/>
      <c r="D3597" s="18"/>
      <c r="E3597" s="19"/>
      <c r="F3597" s="20"/>
      <c r="G3597" s="18"/>
      <c r="H3597" s="19"/>
      <c r="I3597" s="20"/>
      <c r="J3597" s="21"/>
      <c r="K3597" s="22"/>
      <c r="L3597" s="23"/>
      <c r="M3597" s="24"/>
      <c r="N3597" s="25"/>
      <c r="O3597" s="25"/>
      <c r="P3597" s="23"/>
      <c r="Q3597" s="26"/>
      <c r="R3597" s="371"/>
      <c r="S3597" s="27"/>
      <c r="T3597" s="372"/>
      <c r="U3597" s="31"/>
      <c r="V3597" s="1418">
        <f t="shared" si="362"/>
        <v>0</v>
      </c>
      <c r="AB3597" s="15"/>
    </row>
    <row r="3598" spans="1:36" s="77" customFormat="1" ht="15.6" hidden="1">
      <c r="A3598" s="370"/>
      <c r="B3598" s="499"/>
      <c r="C3598" s="37"/>
      <c r="D3598" s="1929" t="s">
        <v>1520</v>
      </c>
      <c r="E3598" s="1930"/>
      <c r="F3598" s="1930"/>
      <c r="G3598" s="1930"/>
      <c r="H3598" s="1930"/>
      <c r="I3598" s="1931"/>
      <c r="J3598" s="1932">
        <f>VLOOKUP(A3600,'11 - FINANCEIRA'!_xlnm.Print_Area,6,FALSE)</f>
        <v>611</v>
      </c>
      <c r="K3598" s="1933"/>
      <c r="L3598" s="1343" t="str">
        <f>VLOOKUP(A3600,'11 - FINANCEIRA'!_xlnm.Print_Area,4,FALSE)</f>
        <v>m</v>
      </c>
      <c r="M3598" s="1934" t="s">
        <v>1521</v>
      </c>
      <c r="N3598" s="1935"/>
      <c r="O3598" s="1935"/>
      <c r="P3598" s="1935"/>
      <c r="Q3598" s="1936"/>
      <c r="R3598" s="726">
        <f>SUM(R3594:R3597)</f>
        <v>611</v>
      </c>
      <c r="S3598" s="1344" t="str">
        <f>L3598</f>
        <v>m</v>
      </c>
      <c r="T3598" s="373"/>
      <c r="U3598" s="486"/>
      <c r="V3598" s="1418">
        <f t="shared" si="362"/>
        <v>0</v>
      </c>
      <c r="AB3598" s="15"/>
    </row>
    <row r="3599" spans="1:36" s="77" customFormat="1" ht="15.6" hidden="1">
      <c r="A3599" s="370"/>
      <c r="B3599" s="499"/>
      <c r="C3599" s="725"/>
      <c r="D3599" s="1937" t="s">
        <v>1522</v>
      </c>
      <c r="E3599" s="1938"/>
      <c r="F3599" s="1938"/>
      <c r="G3599" s="1938"/>
      <c r="H3599" s="1938"/>
      <c r="I3599" s="1939"/>
      <c r="J3599" s="1943">
        <f>R3598/J3598</f>
        <v>1</v>
      </c>
      <c r="K3599" s="1944"/>
      <c r="L3599" s="1947"/>
      <c r="M3599" s="1934" t="s">
        <v>1523</v>
      </c>
      <c r="N3599" s="1935"/>
      <c r="O3599" s="1935"/>
      <c r="P3599" s="1935"/>
      <c r="Q3599" s="1936"/>
      <c r="R3599" s="726">
        <f>VLOOKUP(A3600,'11 - FINANCEIRA'!_xlnm.Print_Area,8,FALSE)</f>
        <v>611</v>
      </c>
      <c r="S3599" s="727" t="str">
        <f>L3598</f>
        <v>m</v>
      </c>
      <c r="T3599" s="373"/>
      <c r="U3599" s="486"/>
      <c r="V3599" s="1418">
        <f t="shared" si="362"/>
        <v>0</v>
      </c>
      <c r="AB3599" s="15"/>
    </row>
    <row r="3600" spans="1:36" s="77" customFormat="1" ht="15.6" hidden="1">
      <c r="A3600" s="364" t="s">
        <v>674</v>
      </c>
      <c r="B3600" s="499"/>
      <c r="C3600" s="37"/>
      <c r="D3600" s="2013"/>
      <c r="E3600" s="2014"/>
      <c r="F3600" s="2014"/>
      <c r="G3600" s="2014"/>
      <c r="H3600" s="2014"/>
      <c r="I3600" s="2015"/>
      <c r="J3600" s="2016"/>
      <c r="K3600" s="2017"/>
      <c r="L3600" s="1962"/>
      <c r="M3600" s="2007" t="s">
        <v>1524</v>
      </c>
      <c r="N3600" s="2008"/>
      <c r="O3600" s="2008"/>
      <c r="P3600" s="2008"/>
      <c r="Q3600" s="2009"/>
      <c r="R3600" s="1345">
        <f>R3598-R3599</f>
        <v>0</v>
      </c>
      <c r="S3600" s="1346" t="str">
        <f>L3598</f>
        <v>m</v>
      </c>
      <c r="T3600" s="373"/>
      <c r="U3600" s="486"/>
      <c r="V3600" s="1418">
        <f>R3600</f>
        <v>0</v>
      </c>
      <c r="AB3600" s="15"/>
    </row>
    <row r="3601" spans="1:36" s="77" customFormat="1" ht="15.6" hidden="1">
      <c r="A3601" s="370"/>
      <c r="B3601" s="1347"/>
      <c r="C3601" s="1348"/>
      <c r="D3601" s="1349"/>
      <c r="E3601" s="1350"/>
      <c r="F3601" s="1349"/>
      <c r="G3601" s="1349"/>
      <c r="H3601" s="1349"/>
      <c r="I3601" s="1349"/>
      <c r="J3601" s="1351"/>
      <c r="K3601" s="1352"/>
      <c r="L3601" s="1353"/>
      <c r="M3601" s="1354"/>
      <c r="N3601" s="1354"/>
      <c r="O3601" s="1354"/>
      <c r="P3601" s="1354"/>
      <c r="Q3601" s="1354"/>
      <c r="R3601" s="1355"/>
      <c r="S3601" s="1356"/>
      <c r="T3601" s="1357"/>
      <c r="U3601" s="1358"/>
      <c r="V3601" s="1420">
        <f>SUM(V3592:V3600)</f>
        <v>0</v>
      </c>
      <c r="AB3601" s="15"/>
    </row>
    <row r="3602" spans="1:36" s="352" customFormat="1" ht="15.6" hidden="1">
      <c r="A3602" s="351"/>
      <c r="B3602" s="1963" t="str">
        <f>VLOOKUP(A3610,'11 - FINANCEIRA'!_xlnm.Print_Area,1,FALSE)</f>
        <v>2.5.4.3</v>
      </c>
      <c r="C3602" s="1965" t="str">
        <f>VLOOKUP(A3610,'11 - FINANCEIRA'!_xlnm.Print_Area,3,FALSE)</f>
        <v xml:space="preserve">Terminal aéreo 1 furo 5/16x250mm ref: tel-044, termotécnica ou similar. </v>
      </c>
      <c r="D3602" s="1967" t="s">
        <v>1503</v>
      </c>
      <c r="E3602" s="1968"/>
      <c r="F3602" s="1968"/>
      <c r="G3602" s="1968"/>
      <c r="H3602" s="1968"/>
      <c r="I3602" s="1969"/>
      <c r="J3602" s="1914" t="s">
        <v>1504</v>
      </c>
      <c r="K3602" s="1914" t="s">
        <v>1505</v>
      </c>
      <c r="L3602" s="1914" t="s">
        <v>1506</v>
      </c>
      <c r="M3602" s="1914" t="s">
        <v>1507</v>
      </c>
      <c r="N3602" s="1914" t="s">
        <v>1508</v>
      </c>
      <c r="O3602" s="1914" t="s">
        <v>1509</v>
      </c>
      <c r="P3602" s="1341" t="s">
        <v>1510</v>
      </c>
      <c r="Q3602" s="1914" t="s">
        <v>1493</v>
      </c>
      <c r="R3602" s="1916" t="s">
        <v>804</v>
      </c>
      <c r="S3602" s="1914" t="s">
        <v>1511</v>
      </c>
      <c r="T3602" s="1914" t="s">
        <v>1512</v>
      </c>
      <c r="U3602" s="1918" t="s">
        <v>1513</v>
      </c>
      <c r="V3602" s="1418">
        <f t="shared" ref="V3602:V3609" si="363">V3603</f>
        <v>0</v>
      </c>
      <c r="W3602" s="16"/>
      <c r="X3602" s="16"/>
      <c r="Y3602" s="16"/>
      <c r="Z3602" s="17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</row>
    <row r="3603" spans="1:36" s="352" customFormat="1" ht="15.6" hidden="1">
      <c r="A3603" s="351"/>
      <c r="B3603" s="1964" t="e">
        <f>LEFT(#REF!,5)</f>
        <v>#REF!</v>
      </c>
      <c r="C3603" s="1966" t="e">
        <f>VLOOKUP(LEFT(#REF!,5),'11 - FINANCEIRA'!_xlnm.Print_Area,2,FALSE)</f>
        <v>#REF!</v>
      </c>
      <c r="D3603" s="1920" t="s">
        <v>1514</v>
      </c>
      <c r="E3603" s="1921"/>
      <c r="F3603" s="1922"/>
      <c r="G3603" s="1923" t="s">
        <v>1515</v>
      </c>
      <c r="H3603" s="1924"/>
      <c r="I3603" s="1925"/>
      <c r="J3603" s="1915"/>
      <c r="K3603" s="1915"/>
      <c r="L3603" s="1915"/>
      <c r="M3603" s="1915"/>
      <c r="N3603" s="1915"/>
      <c r="O3603" s="1915"/>
      <c r="P3603" s="353" t="s">
        <v>1516</v>
      </c>
      <c r="Q3603" s="1915"/>
      <c r="R3603" s="1917"/>
      <c r="S3603" s="1915"/>
      <c r="T3603" s="1915"/>
      <c r="U3603" s="1919"/>
      <c r="V3603" s="1418">
        <f t="shared" si="363"/>
        <v>0</v>
      </c>
      <c r="W3603" s="16"/>
      <c r="X3603" s="16"/>
      <c r="Y3603" s="16"/>
      <c r="Z3603" s="17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</row>
    <row r="3604" spans="1:36" s="361" customFormat="1" ht="15" hidden="1" customHeight="1">
      <c r="A3604" s="354"/>
      <c r="B3604" s="355"/>
      <c r="C3604" s="32" t="s">
        <v>163</v>
      </c>
      <c r="D3604" s="33"/>
      <c r="E3604" s="34"/>
      <c r="F3604" s="35"/>
      <c r="G3604" s="33"/>
      <c r="H3604" s="34"/>
      <c r="I3604" s="35"/>
      <c r="J3604" s="43"/>
      <c r="K3604" s="42"/>
      <c r="L3604" s="39"/>
      <c r="M3604" s="41"/>
      <c r="N3604" s="356"/>
      <c r="O3604" s="40"/>
      <c r="P3604" s="39"/>
      <c r="Q3604" s="45"/>
      <c r="R3604" s="1359">
        <v>7</v>
      </c>
      <c r="S3604" s="1265" t="s">
        <v>816</v>
      </c>
      <c r="T3604" s="46" t="s">
        <v>331</v>
      </c>
      <c r="U3604" s="44"/>
      <c r="V3604" s="1418">
        <f t="shared" si="363"/>
        <v>0</v>
      </c>
      <c r="W3604" s="357"/>
      <c r="X3604" s="357"/>
      <c r="Y3604" s="357"/>
      <c r="Z3604" s="358"/>
      <c r="AA3604" s="359"/>
      <c r="AB3604" s="360"/>
    </row>
    <row r="3605" spans="1:36" s="361" customFormat="1" ht="15" hidden="1" customHeight="1">
      <c r="A3605" s="354"/>
      <c r="B3605" s="355"/>
      <c r="C3605" s="32"/>
      <c r="D3605" s="33"/>
      <c r="E3605" s="34"/>
      <c r="F3605" s="35"/>
      <c r="G3605" s="33"/>
      <c r="H3605" s="34"/>
      <c r="I3605" s="35"/>
      <c r="J3605" s="43"/>
      <c r="K3605" s="42"/>
      <c r="L3605" s="39"/>
      <c r="M3605" s="41"/>
      <c r="N3605" s="356"/>
      <c r="O3605" s="40"/>
      <c r="P3605" s="39"/>
      <c r="Q3605" s="45"/>
      <c r="R3605" s="362"/>
      <c r="S3605" s="363"/>
      <c r="T3605" s="46"/>
      <c r="U3605" s="44"/>
      <c r="V3605" s="1418">
        <f t="shared" si="363"/>
        <v>0</v>
      </c>
      <c r="W3605" s="357"/>
      <c r="X3605" s="357"/>
      <c r="Y3605" s="357"/>
      <c r="Z3605" s="358"/>
      <c r="AA3605" s="359"/>
      <c r="AB3605" s="360"/>
    </row>
    <row r="3606" spans="1:36" s="369" customFormat="1" ht="15" hidden="1">
      <c r="A3606" s="364"/>
      <c r="B3606" s="355"/>
      <c r="C3606" s="32"/>
      <c r="D3606" s="33"/>
      <c r="E3606" s="34"/>
      <c r="F3606" s="35"/>
      <c r="G3606" s="33"/>
      <c r="H3606" s="34"/>
      <c r="I3606" s="35"/>
      <c r="J3606" s="43"/>
      <c r="K3606" s="42"/>
      <c r="L3606" s="39"/>
      <c r="M3606" s="41"/>
      <c r="N3606" s="40"/>
      <c r="O3606" s="40"/>
      <c r="P3606" s="39"/>
      <c r="Q3606" s="38"/>
      <c r="R3606" s="365"/>
      <c r="S3606" s="366"/>
      <c r="T3606" s="46"/>
      <c r="U3606" s="44"/>
      <c r="V3606" s="1418">
        <f t="shared" si="363"/>
        <v>0</v>
      </c>
      <c r="W3606" s="367"/>
      <c r="X3606" s="367"/>
      <c r="Y3606" s="367"/>
      <c r="Z3606" s="368"/>
    </row>
    <row r="3607" spans="1:36" s="77" customFormat="1" ht="15" hidden="1">
      <c r="A3607" s="370"/>
      <c r="B3607" s="29"/>
      <c r="C3607" s="30"/>
      <c r="D3607" s="18"/>
      <c r="E3607" s="19"/>
      <c r="F3607" s="20"/>
      <c r="G3607" s="18"/>
      <c r="H3607" s="19"/>
      <c r="I3607" s="20"/>
      <c r="J3607" s="21"/>
      <c r="K3607" s="22"/>
      <c r="L3607" s="23"/>
      <c r="M3607" s="24"/>
      <c r="N3607" s="25"/>
      <c r="O3607" s="25"/>
      <c r="P3607" s="23"/>
      <c r="Q3607" s="26"/>
      <c r="R3607" s="371"/>
      <c r="S3607" s="27"/>
      <c r="T3607" s="372"/>
      <c r="U3607" s="31"/>
      <c r="V3607" s="1418">
        <f t="shared" si="363"/>
        <v>0</v>
      </c>
      <c r="AB3607" s="15"/>
    </row>
    <row r="3608" spans="1:36" s="77" customFormat="1" ht="15.6" hidden="1">
      <c r="A3608" s="370"/>
      <c r="B3608" s="499"/>
      <c r="C3608" s="37"/>
      <c r="D3608" s="1929" t="s">
        <v>1520</v>
      </c>
      <c r="E3608" s="1930"/>
      <c r="F3608" s="1930"/>
      <c r="G3608" s="1930"/>
      <c r="H3608" s="1930"/>
      <c r="I3608" s="1931"/>
      <c r="J3608" s="1932">
        <f>VLOOKUP(A3610,'11 - FINANCEIRA'!_xlnm.Print_Area,6,FALSE)</f>
        <v>7</v>
      </c>
      <c r="K3608" s="1933"/>
      <c r="L3608" s="1343" t="str">
        <f>VLOOKUP(A3610,'11 - FINANCEIRA'!_xlnm.Print_Area,4,FALSE)</f>
        <v>und</v>
      </c>
      <c r="M3608" s="1934" t="s">
        <v>1521</v>
      </c>
      <c r="N3608" s="1935"/>
      <c r="O3608" s="1935"/>
      <c r="P3608" s="1935"/>
      <c r="Q3608" s="1936"/>
      <c r="R3608" s="726">
        <f>SUM(R3604:R3607)</f>
        <v>7</v>
      </c>
      <c r="S3608" s="1344" t="str">
        <f>L3608</f>
        <v>und</v>
      </c>
      <c r="T3608" s="373"/>
      <c r="U3608" s="486"/>
      <c r="V3608" s="1418">
        <f t="shared" si="363"/>
        <v>0</v>
      </c>
      <c r="AB3608" s="15"/>
    </row>
    <row r="3609" spans="1:36" s="77" customFormat="1" ht="15.6" hidden="1">
      <c r="A3609" s="370"/>
      <c r="B3609" s="499"/>
      <c r="C3609" s="725"/>
      <c r="D3609" s="1937" t="s">
        <v>1522</v>
      </c>
      <c r="E3609" s="1938"/>
      <c r="F3609" s="1938"/>
      <c r="G3609" s="1938"/>
      <c r="H3609" s="1938"/>
      <c r="I3609" s="1939"/>
      <c r="J3609" s="1943">
        <f>R3608/J3608</f>
        <v>1</v>
      </c>
      <c r="K3609" s="1944"/>
      <c r="L3609" s="1947"/>
      <c r="M3609" s="1934" t="s">
        <v>1523</v>
      </c>
      <c r="N3609" s="1935"/>
      <c r="O3609" s="1935"/>
      <c r="P3609" s="1935"/>
      <c r="Q3609" s="1936"/>
      <c r="R3609" s="726">
        <f>VLOOKUP(A3610,'11 - FINANCEIRA'!_xlnm.Print_Area,8,FALSE)</f>
        <v>7</v>
      </c>
      <c r="S3609" s="727" t="str">
        <f>L3608</f>
        <v>und</v>
      </c>
      <c r="T3609" s="373"/>
      <c r="U3609" s="486"/>
      <c r="V3609" s="1418">
        <f t="shared" si="363"/>
        <v>0</v>
      </c>
      <c r="AB3609" s="15"/>
    </row>
    <row r="3610" spans="1:36" s="77" customFormat="1" ht="15.6" hidden="1">
      <c r="A3610" s="364" t="s">
        <v>675</v>
      </c>
      <c r="B3610" s="499"/>
      <c r="C3610" s="37"/>
      <c r="D3610" s="2013"/>
      <c r="E3610" s="2014"/>
      <c r="F3610" s="2014"/>
      <c r="G3610" s="2014"/>
      <c r="H3610" s="2014"/>
      <c r="I3610" s="2015"/>
      <c r="J3610" s="2016"/>
      <c r="K3610" s="2017"/>
      <c r="L3610" s="1962"/>
      <c r="M3610" s="2007" t="s">
        <v>1524</v>
      </c>
      <c r="N3610" s="2008"/>
      <c r="O3610" s="2008"/>
      <c r="P3610" s="2008"/>
      <c r="Q3610" s="2009"/>
      <c r="R3610" s="1345">
        <f>R3608-R3609</f>
        <v>0</v>
      </c>
      <c r="S3610" s="1346" t="str">
        <f>L3608</f>
        <v>und</v>
      </c>
      <c r="T3610" s="373"/>
      <c r="U3610" s="486"/>
      <c r="V3610" s="1418">
        <f>R3610</f>
        <v>0</v>
      </c>
      <c r="AB3610" s="15"/>
    </row>
    <row r="3611" spans="1:36" s="77" customFormat="1" ht="15.6" hidden="1">
      <c r="A3611" s="370"/>
      <c r="B3611" s="1347"/>
      <c r="C3611" s="1348"/>
      <c r="D3611" s="1349"/>
      <c r="E3611" s="1350"/>
      <c r="F3611" s="1349"/>
      <c r="G3611" s="1349"/>
      <c r="H3611" s="1349"/>
      <c r="I3611" s="1349"/>
      <c r="J3611" s="1351"/>
      <c r="K3611" s="1352"/>
      <c r="L3611" s="1353"/>
      <c r="M3611" s="1354"/>
      <c r="N3611" s="1354"/>
      <c r="O3611" s="1354"/>
      <c r="P3611" s="1354"/>
      <c r="Q3611" s="1354"/>
      <c r="R3611" s="1355"/>
      <c r="S3611" s="1356"/>
      <c r="T3611" s="1357"/>
      <c r="U3611" s="1358"/>
      <c r="V3611" s="1420">
        <f>SUM(V3602:V3610)</f>
        <v>0</v>
      </c>
      <c r="AB3611" s="15"/>
    </row>
    <row r="3612" spans="1:36" s="352" customFormat="1" ht="15.6" hidden="1">
      <c r="A3612" s="351"/>
      <c r="B3612" s="1963" t="str">
        <f>VLOOKUP(A3620,'11 - FINANCEIRA'!_xlnm.Print_Area,1,FALSE)</f>
        <v>2.5.4.4</v>
      </c>
      <c r="C3612" s="1965" t="str">
        <f>VLOOKUP(A3620,'11 - FINANCEIRA'!_xlnm.Print_Area,3,FALSE)</f>
        <v>Fixador universal latão estanhado p/ cabos 16 a 70 mm² ref. 5024, incl. parafuso sextavado m6x45mm, arruela lisa 1/4", bucha nº8, vedação dos furos c/ poliuretano ref. 5905, marca de ref. termotécnica ou equivalente</v>
      </c>
      <c r="D3612" s="1967" t="s">
        <v>1503</v>
      </c>
      <c r="E3612" s="1968"/>
      <c r="F3612" s="1968"/>
      <c r="G3612" s="1968"/>
      <c r="H3612" s="1968"/>
      <c r="I3612" s="1969"/>
      <c r="J3612" s="1914" t="s">
        <v>1504</v>
      </c>
      <c r="K3612" s="1914" t="s">
        <v>1505</v>
      </c>
      <c r="L3612" s="1914" t="s">
        <v>1506</v>
      </c>
      <c r="M3612" s="1914" t="s">
        <v>1507</v>
      </c>
      <c r="N3612" s="1914" t="s">
        <v>1508</v>
      </c>
      <c r="O3612" s="1914" t="s">
        <v>1509</v>
      </c>
      <c r="P3612" s="1341" t="s">
        <v>1510</v>
      </c>
      <c r="Q3612" s="1914" t="s">
        <v>1493</v>
      </c>
      <c r="R3612" s="1916" t="s">
        <v>804</v>
      </c>
      <c r="S3612" s="1914" t="s">
        <v>1511</v>
      </c>
      <c r="T3612" s="1914" t="s">
        <v>1512</v>
      </c>
      <c r="U3612" s="1918" t="s">
        <v>1513</v>
      </c>
      <c r="V3612" s="1418">
        <f t="shared" ref="V3612:V3619" si="364">V3613</f>
        <v>0</v>
      </c>
      <c r="W3612" s="16"/>
      <c r="X3612" s="16"/>
      <c r="Y3612" s="16"/>
      <c r="Z3612" s="17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</row>
    <row r="3613" spans="1:36" s="352" customFormat="1" ht="15.6" hidden="1">
      <c r="A3613" s="351"/>
      <c r="B3613" s="1964" t="e">
        <f>LEFT(#REF!,5)</f>
        <v>#REF!</v>
      </c>
      <c r="C3613" s="1966" t="e">
        <f>VLOOKUP(LEFT(#REF!,5),'11 - FINANCEIRA'!_xlnm.Print_Area,2,FALSE)</f>
        <v>#REF!</v>
      </c>
      <c r="D3613" s="1920" t="s">
        <v>1514</v>
      </c>
      <c r="E3613" s="1921"/>
      <c r="F3613" s="1922"/>
      <c r="G3613" s="1923" t="s">
        <v>1515</v>
      </c>
      <c r="H3613" s="1924"/>
      <c r="I3613" s="1925"/>
      <c r="J3613" s="1915"/>
      <c r="K3613" s="1915"/>
      <c r="L3613" s="1915"/>
      <c r="M3613" s="1915"/>
      <c r="N3613" s="1915"/>
      <c r="O3613" s="1915"/>
      <c r="P3613" s="353" t="s">
        <v>1516</v>
      </c>
      <c r="Q3613" s="1915"/>
      <c r="R3613" s="1917"/>
      <c r="S3613" s="1915"/>
      <c r="T3613" s="1915"/>
      <c r="U3613" s="1919"/>
      <c r="V3613" s="1418">
        <f t="shared" si="364"/>
        <v>0</v>
      </c>
      <c r="W3613" s="16"/>
      <c r="X3613" s="16"/>
      <c r="Y3613" s="16"/>
      <c r="Z3613" s="17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</row>
    <row r="3614" spans="1:36" s="361" customFormat="1" ht="45" hidden="1">
      <c r="A3614" s="354"/>
      <c r="B3614" s="355"/>
      <c r="C3614" s="28" t="s">
        <v>1310</v>
      </c>
      <c r="D3614" s="18"/>
      <c r="E3614" s="19"/>
      <c r="F3614" s="20"/>
      <c r="G3614" s="18"/>
      <c r="H3614" s="19"/>
      <c r="I3614" s="20"/>
      <c r="J3614" s="21"/>
      <c r="K3614" s="22"/>
      <c r="L3614" s="23"/>
      <c r="M3614" s="24"/>
      <c r="N3614" s="728"/>
      <c r="O3614" s="25"/>
      <c r="P3614" s="23"/>
      <c r="Q3614" s="729"/>
      <c r="R3614" s="1109">
        <v>9</v>
      </c>
      <c r="S3614" s="730" t="s">
        <v>816</v>
      </c>
      <c r="T3614" s="446" t="s">
        <v>327</v>
      </c>
      <c r="U3614" s="44"/>
      <c r="V3614" s="1418">
        <f t="shared" si="364"/>
        <v>0</v>
      </c>
      <c r="W3614" s="357"/>
      <c r="X3614" s="357"/>
      <c r="Y3614" s="357"/>
      <c r="Z3614" s="358"/>
      <c r="AA3614" s="359"/>
      <c r="AB3614" s="360"/>
    </row>
    <row r="3615" spans="1:36" s="361" customFormat="1" ht="15" hidden="1" customHeight="1">
      <c r="A3615" s="354"/>
      <c r="B3615" s="355"/>
      <c r="C3615" s="32"/>
      <c r="D3615" s="33"/>
      <c r="E3615" s="34"/>
      <c r="F3615" s="35"/>
      <c r="G3615" s="33"/>
      <c r="H3615" s="34"/>
      <c r="I3615" s="35"/>
      <c r="J3615" s="43"/>
      <c r="K3615" s="42"/>
      <c r="L3615" s="39"/>
      <c r="M3615" s="41"/>
      <c r="N3615" s="356"/>
      <c r="O3615" s="40"/>
      <c r="P3615" s="39"/>
      <c r="Q3615" s="45"/>
      <c r="R3615" s="362"/>
      <c r="S3615" s="363"/>
      <c r="T3615" s="46"/>
      <c r="U3615" s="44"/>
      <c r="V3615" s="1418">
        <f t="shared" si="364"/>
        <v>0</v>
      </c>
      <c r="W3615" s="357"/>
      <c r="X3615" s="357"/>
      <c r="Y3615" s="357"/>
      <c r="Z3615" s="358"/>
      <c r="AA3615" s="359"/>
      <c r="AB3615" s="360"/>
    </row>
    <row r="3616" spans="1:36" s="369" customFormat="1" ht="15" hidden="1">
      <c r="A3616" s="364"/>
      <c r="B3616" s="355"/>
      <c r="C3616" s="32"/>
      <c r="D3616" s="33"/>
      <c r="E3616" s="34"/>
      <c r="F3616" s="35"/>
      <c r="G3616" s="33"/>
      <c r="H3616" s="34"/>
      <c r="I3616" s="35"/>
      <c r="J3616" s="43"/>
      <c r="K3616" s="42"/>
      <c r="L3616" s="39"/>
      <c r="M3616" s="41"/>
      <c r="N3616" s="40"/>
      <c r="O3616" s="40"/>
      <c r="P3616" s="39"/>
      <c r="Q3616" s="38"/>
      <c r="R3616" s="365"/>
      <c r="S3616" s="366"/>
      <c r="T3616" s="46"/>
      <c r="U3616" s="44"/>
      <c r="V3616" s="1418">
        <f t="shared" si="364"/>
        <v>0</v>
      </c>
      <c r="W3616" s="367"/>
      <c r="X3616" s="367"/>
      <c r="Y3616" s="367"/>
      <c r="Z3616" s="368"/>
    </row>
    <row r="3617" spans="1:36" s="77" customFormat="1" ht="15" hidden="1">
      <c r="A3617" s="370"/>
      <c r="B3617" s="29"/>
      <c r="C3617" s="30"/>
      <c r="D3617" s="18"/>
      <c r="E3617" s="19"/>
      <c r="F3617" s="20"/>
      <c r="G3617" s="18"/>
      <c r="H3617" s="19"/>
      <c r="I3617" s="20"/>
      <c r="J3617" s="21"/>
      <c r="K3617" s="22"/>
      <c r="L3617" s="23"/>
      <c r="M3617" s="24"/>
      <c r="N3617" s="25"/>
      <c r="O3617" s="25"/>
      <c r="P3617" s="23"/>
      <c r="Q3617" s="26"/>
      <c r="R3617" s="371"/>
      <c r="S3617" s="27"/>
      <c r="T3617" s="372"/>
      <c r="U3617" s="31"/>
      <c r="V3617" s="1418">
        <f t="shared" si="364"/>
        <v>0</v>
      </c>
      <c r="AB3617" s="15"/>
    </row>
    <row r="3618" spans="1:36" s="77" customFormat="1" ht="15.6" hidden="1">
      <c r="A3618" s="370"/>
      <c r="B3618" s="499"/>
      <c r="C3618" s="37"/>
      <c r="D3618" s="1929" t="s">
        <v>1520</v>
      </c>
      <c r="E3618" s="1930"/>
      <c r="F3618" s="1930"/>
      <c r="G3618" s="1930"/>
      <c r="H3618" s="1930"/>
      <c r="I3618" s="1931"/>
      <c r="J3618" s="1932">
        <f>VLOOKUP(A3620,'11 - FINANCEIRA'!_xlnm.Print_Area,6,FALSE)</f>
        <v>9</v>
      </c>
      <c r="K3618" s="1933"/>
      <c r="L3618" s="1343" t="str">
        <f>VLOOKUP(A3620,'11 - FINANCEIRA'!_xlnm.Print_Area,4,FALSE)</f>
        <v>und</v>
      </c>
      <c r="M3618" s="1934" t="s">
        <v>1521</v>
      </c>
      <c r="N3618" s="1935"/>
      <c r="O3618" s="1935"/>
      <c r="P3618" s="1935"/>
      <c r="Q3618" s="1936"/>
      <c r="R3618" s="726">
        <f>SUM(R3614:R3617)</f>
        <v>9</v>
      </c>
      <c r="S3618" s="1344" t="str">
        <f>L3618</f>
        <v>und</v>
      </c>
      <c r="T3618" s="373"/>
      <c r="U3618" s="486"/>
      <c r="V3618" s="1418">
        <f t="shared" si="364"/>
        <v>0</v>
      </c>
      <c r="AB3618" s="15"/>
    </row>
    <row r="3619" spans="1:36" s="77" customFormat="1" ht="15.6" hidden="1">
      <c r="A3619" s="370"/>
      <c r="B3619" s="499"/>
      <c r="C3619" s="725"/>
      <c r="D3619" s="1937" t="s">
        <v>1522</v>
      </c>
      <c r="E3619" s="1938"/>
      <c r="F3619" s="1938"/>
      <c r="G3619" s="1938"/>
      <c r="H3619" s="1938"/>
      <c r="I3619" s="1939"/>
      <c r="J3619" s="1943">
        <f>R3618/J3618</f>
        <v>1</v>
      </c>
      <c r="K3619" s="1944"/>
      <c r="L3619" s="1947"/>
      <c r="M3619" s="1934" t="s">
        <v>1523</v>
      </c>
      <c r="N3619" s="1935"/>
      <c r="O3619" s="1935"/>
      <c r="P3619" s="1935"/>
      <c r="Q3619" s="1936"/>
      <c r="R3619" s="726">
        <f>VLOOKUP(A3620,'11 - FINANCEIRA'!_xlnm.Print_Area,8,FALSE)</f>
        <v>9</v>
      </c>
      <c r="S3619" s="727" t="str">
        <f>L3618</f>
        <v>und</v>
      </c>
      <c r="T3619" s="373"/>
      <c r="U3619" s="486"/>
      <c r="V3619" s="1418">
        <f t="shared" si="364"/>
        <v>0</v>
      </c>
      <c r="AB3619" s="15"/>
    </row>
    <row r="3620" spans="1:36" s="77" customFormat="1" ht="15.6" hidden="1">
      <c r="A3620" s="364" t="s">
        <v>676</v>
      </c>
      <c r="B3620" s="499"/>
      <c r="C3620" s="37"/>
      <c r="D3620" s="2013"/>
      <c r="E3620" s="2014"/>
      <c r="F3620" s="2014"/>
      <c r="G3620" s="2014"/>
      <c r="H3620" s="2014"/>
      <c r="I3620" s="2015"/>
      <c r="J3620" s="2016"/>
      <c r="K3620" s="2017"/>
      <c r="L3620" s="1962"/>
      <c r="M3620" s="2007" t="s">
        <v>1524</v>
      </c>
      <c r="N3620" s="2008"/>
      <c r="O3620" s="2008"/>
      <c r="P3620" s="2008"/>
      <c r="Q3620" s="2009"/>
      <c r="R3620" s="1345">
        <f>R3618-R3619</f>
        <v>0</v>
      </c>
      <c r="S3620" s="1346" t="str">
        <f>L3618</f>
        <v>und</v>
      </c>
      <c r="T3620" s="373"/>
      <c r="U3620" s="486"/>
      <c r="V3620" s="1418">
        <f>R3620</f>
        <v>0</v>
      </c>
      <c r="AB3620" s="15"/>
    </row>
    <row r="3621" spans="1:36" s="77" customFormat="1" ht="15.6" hidden="1">
      <c r="A3621" s="370"/>
      <c r="B3621" s="1347"/>
      <c r="C3621" s="1348"/>
      <c r="D3621" s="1349"/>
      <c r="E3621" s="1350"/>
      <c r="F3621" s="1349"/>
      <c r="G3621" s="1349"/>
      <c r="H3621" s="1349"/>
      <c r="I3621" s="1349"/>
      <c r="J3621" s="1351"/>
      <c r="K3621" s="1352"/>
      <c r="L3621" s="1353"/>
      <c r="M3621" s="1354"/>
      <c r="N3621" s="1354"/>
      <c r="O3621" s="1354"/>
      <c r="P3621" s="1354"/>
      <c r="Q3621" s="1354"/>
      <c r="R3621" s="1355"/>
      <c r="S3621" s="1356"/>
      <c r="T3621" s="1357"/>
      <c r="U3621" s="1358"/>
      <c r="V3621" s="1420">
        <f>SUM(V3612:V3620)</f>
        <v>0</v>
      </c>
      <c r="AB3621" s="15"/>
    </row>
    <row r="3622" spans="1:36" s="352" customFormat="1" ht="15.6" hidden="1">
      <c r="A3622" s="351"/>
      <c r="B3622" s="1963" t="str">
        <f>VLOOKUP(A3630,'11 - FINANCEIRA'!_xlnm.Print_Area,1,FALSE)</f>
        <v>2.5.4.5</v>
      </c>
      <c r="C3622" s="1965" t="str">
        <f>VLOOKUP(A3630,'11 - FINANCEIRA'!_xlnm.Print_Area,3,FALSE)</f>
        <v xml:space="preserve">Presilha de cobre para cabos de 35 mm² ref: tel-085, termotécnica ou similar. </v>
      </c>
      <c r="D3622" s="1967" t="s">
        <v>1503</v>
      </c>
      <c r="E3622" s="1968"/>
      <c r="F3622" s="1968"/>
      <c r="G3622" s="1968"/>
      <c r="H3622" s="1968"/>
      <c r="I3622" s="1969"/>
      <c r="J3622" s="1914" t="s">
        <v>1504</v>
      </c>
      <c r="K3622" s="1914" t="s">
        <v>1505</v>
      </c>
      <c r="L3622" s="1914" t="s">
        <v>1506</v>
      </c>
      <c r="M3622" s="1914" t="s">
        <v>1507</v>
      </c>
      <c r="N3622" s="1914" t="s">
        <v>1508</v>
      </c>
      <c r="O3622" s="1914" t="s">
        <v>1509</v>
      </c>
      <c r="P3622" s="1341" t="s">
        <v>1510</v>
      </c>
      <c r="Q3622" s="1914" t="s">
        <v>1493</v>
      </c>
      <c r="R3622" s="1916" t="s">
        <v>804</v>
      </c>
      <c r="S3622" s="1914" t="s">
        <v>1511</v>
      </c>
      <c r="T3622" s="1914" t="s">
        <v>1512</v>
      </c>
      <c r="U3622" s="1918" t="s">
        <v>1513</v>
      </c>
      <c r="V3622" s="1418">
        <f t="shared" ref="V3622:V3629" si="365">V3623</f>
        <v>0</v>
      </c>
      <c r="W3622" s="16"/>
      <c r="X3622" s="16"/>
      <c r="Y3622" s="16"/>
      <c r="Z3622" s="17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</row>
    <row r="3623" spans="1:36" s="352" customFormat="1" ht="15.6" hidden="1">
      <c r="A3623" s="351"/>
      <c r="B3623" s="1964" t="e">
        <f>LEFT(#REF!,5)</f>
        <v>#REF!</v>
      </c>
      <c r="C3623" s="1966" t="e">
        <f>VLOOKUP(LEFT(#REF!,5),'11 - FINANCEIRA'!_xlnm.Print_Area,2,FALSE)</f>
        <v>#REF!</v>
      </c>
      <c r="D3623" s="1920" t="s">
        <v>1514</v>
      </c>
      <c r="E3623" s="1921"/>
      <c r="F3623" s="1922"/>
      <c r="G3623" s="1923" t="s">
        <v>1515</v>
      </c>
      <c r="H3623" s="1924"/>
      <c r="I3623" s="1925"/>
      <c r="J3623" s="1915"/>
      <c r="K3623" s="1915"/>
      <c r="L3623" s="1915"/>
      <c r="M3623" s="1915"/>
      <c r="N3623" s="1915"/>
      <c r="O3623" s="1915"/>
      <c r="P3623" s="353" t="s">
        <v>1516</v>
      </c>
      <c r="Q3623" s="1915"/>
      <c r="R3623" s="1917"/>
      <c r="S3623" s="1915"/>
      <c r="T3623" s="1915"/>
      <c r="U3623" s="1919"/>
      <c r="V3623" s="1418">
        <f t="shared" si="365"/>
        <v>0</v>
      </c>
      <c r="W3623" s="16"/>
      <c r="X3623" s="16"/>
      <c r="Y3623" s="16"/>
      <c r="Z3623" s="17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</row>
    <row r="3624" spans="1:36" s="361" customFormat="1" ht="15" hidden="1" customHeight="1">
      <c r="A3624" s="354"/>
      <c r="B3624" s="355"/>
      <c r="C3624" s="28" t="s">
        <v>1311</v>
      </c>
      <c r="D3624" s="18"/>
      <c r="E3624" s="19"/>
      <c r="F3624" s="20"/>
      <c r="G3624" s="18"/>
      <c r="H3624" s="19"/>
      <c r="I3624" s="20"/>
      <c r="J3624" s="21"/>
      <c r="K3624" s="22"/>
      <c r="L3624" s="23"/>
      <c r="M3624" s="24"/>
      <c r="N3624" s="728"/>
      <c r="O3624" s="25"/>
      <c r="P3624" s="23"/>
      <c r="Q3624" s="729"/>
      <c r="R3624" s="1109">
        <v>87</v>
      </c>
      <c r="S3624" s="730" t="s">
        <v>816</v>
      </c>
      <c r="T3624" s="446" t="s">
        <v>325</v>
      </c>
      <c r="U3624" s="44"/>
      <c r="V3624" s="1418">
        <f t="shared" si="365"/>
        <v>0</v>
      </c>
      <c r="W3624" s="357"/>
      <c r="X3624" s="357"/>
      <c r="Y3624" s="357"/>
      <c r="Z3624" s="358"/>
      <c r="AA3624" s="359"/>
      <c r="AB3624" s="360"/>
    </row>
    <row r="3625" spans="1:36" s="361" customFormat="1" ht="15" hidden="1" customHeight="1">
      <c r="A3625" s="354"/>
      <c r="B3625" s="355"/>
      <c r="C3625" s="32"/>
      <c r="D3625" s="33"/>
      <c r="E3625" s="34"/>
      <c r="F3625" s="35"/>
      <c r="G3625" s="33"/>
      <c r="H3625" s="34"/>
      <c r="I3625" s="35"/>
      <c r="J3625" s="43"/>
      <c r="K3625" s="42"/>
      <c r="L3625" s="39"/>
      <c r="M3625" s="41"/>
      <c r="N3625" s="356"/>
      <c r="O3625" s="40"/>
      <c r="P3625" s="39"/>
      <c r="Q3625" s="45"/>
      <c r="R3625" s="362"/>
      <c r="S3625" s="363"/>
      <c r="T3625" s="46"/>
      <c r="U3625" s="44"/>
      <c r="V3625" s="1418">
        <f t="shared" si="365"/>
        <v>0</v>
      </c>
      <c r="W3625" s="357"/>
      <c r="X3625" s="357"/>
      <c r="Y3625" s="357"/>
      <c r="Z3625" s="358"/>
      <c r="AA3625" s="359"/>
      <c r="AB3625" s="360"/>
    </row>
    <row r="3626" spans="1:36" s="369" customFormat="1" ht="15" hidden="1">
      <c r="A3626" s="364"/>
      <c r="B3626" s="355"/>
      <c r="C3626" s="32"/>
      <c r="D3626" s="33"/>
      <c r="E3626" s="34"/>
      <c r="F3626" s="35"/>
      <c r="G3626" s="33"/>
      <c r="H3626" s="34"/>
      <c r="I3626" s="35"/>
      <c r="J3626" s="43"/>
      <c r="K3626" s="42"/>
      <c r="L3626" s="39"/>
      <c r="M3626" s="41"/>
      <c r="N3626" s="40"/>
      <c r="O3626" s="40"/>
      <c r="P3626" s="39"/>
      <c r="Q3626" s="38"/>
      <c r="R3626" s="365"/>
      <c r="S3626" s="366"/>
      <c r="T3626" s="46"/>
      <c r="U3626" s="44"/>
      <c r="V3626" s="1418">
        <f t="shared" si="365"/>
        <v>0</v>
      </c>
      <c r="W3626" s="367"/>
      <c r="X3626" s="367"/>
      <c r="Y3626" s="367"/>
      <c r="Z3626" s="368"/>
    </row>
    <row r="3627" spans="1:36" s="77" customFormat="1" ht="15" hidden="1">
      <c r="A3627" s="370"/>
      <c r="B3627" s="29"/>
      <c r="C3627" s="30"/>
      <c r="D3627" s="18"/>
      <c r="E3627" s="19"/>
      <c r="F3627" s="20"/>
      <c r="G3627" s="18"/>
      <c r="H3627" s="19"/>
      <c r="I3627" s="20"/>
      <c r="J3627" s="21"/>
      <c r="K3627" s="22"/>
      <c r="L3627" s="23"/>
      <c r="M3627" s="24"/>
      <c r="N3627" s="25"/>
      <c r="O3627" s="25"/>
      <c r="P3627" s="23"/>
      <c r="Q3627" s="26"/>
      <c r="R3627" s="371"/>
      <c r="S3627" s="27"/>
      <c r="T3627" s="372"/>
      <c r="U3627" s="31"/>
      <c r="V3627" s="1418">
        <f t="shared" si="365"/>
        <v>0</v>
      </c>
      <c r="AB3627" s="15"/>
    </row>
    <row r="3628" spans="1:36" s="77" customFormat="1" ht="15.6" hidden="1">
      <c r="A3628" s="370"/>
      <c r="B3628" s="499"/>
      <c r="C3628" s="37"/>
      <c r="D3628" s="1929" t="s">
        <v>1520</v>
      </c>
      <c r="E3628" s="1930"/>
      <c r="F3628" s="1930"/>
      <c r="G3628" s="1930"/>
      <c r="H3628" s="1930"/>
      <c r="I3628" s="1931"/>
      <c r="J3628" s="1932">
        <f>VLOOKUP(A3630,'11 - FINANCEIRA'!_xlnm.Print_Area,6,FALSE)</f>
        <v>87</v>
      </c>
      <c r="K3628" s="1933"/>
      <c r="L3628" s="1343" t="str">
        <f>VLOOKUP(A3630,'11 - FINANCEIRA'!_xlnm.Print_Area,4,FALSE)</f>
        <v>und</v>
      </c>
      <c r="M3628" s="1934" t="s">
        <v>1521</v>
      </c>
      <c r="N3628" s="1935"/>
      <c r="O3628" s="1935"/>
      <c r="P3628" s="1935"/>
      <c r="Q3628" s="1936"/>
      <c r="R3628" s="726">
        <f>SUM(R3624:R3627)</f>
        <v>87</v>
      </c>
      <c r="S3628" s="1344" t="str">
        <f>L3628</f>
        <v>und</v>
      </c>
      <c r="T3628" s="373"/>
      <c r="U3628" s="486"/>
      <c r="V3628" s="1418">
        <f t="shared" si="365"/>
        <v>0</v>
      </c>
      <c r="AB3628" s="15"/>
    </row>
    <row r="3629" spans="1:36" s="77" customFormat="1" ht="15.6" hidden="1">
      <c r="A3629" s="370"/>
      <c r="B3629" s="499"/>
      <c r="C3629" s="725"/>
      <c r="D3629" s="1937" t="s">
        <v>1522</v>
      </c>
      <c r="E3629" s="1938"/>
      <c r="F3629" s="1938"/>
      <c r="G3629" s="1938"/>
      <c r="H3629" s="1938"/>
      <c r="I3629" s="1939"/>
      <c r="J3629" s="1943">
        <f>R3628/J3628</f>
        <v>1</v>
      </c>
      <c r="K3629" s="1944"/>
      <c r="L3629" s="1947"/>
      <c r="M3629" s="1934" t="s">
        <v>1523</v>
      </c>
      <c r="N3629" s="1935"/>
      <c r="O3629" s="1935"/>
      <c r="P3629" s="1935"/>
      <c r="Q3629" s="1936"/>
      <c r="R3629" s="726">
        <f>VLOOKUP(A3630,'11 - FINANCEIRA'!_xlnm.Print_Area,8,FALSE)</f>
        <v>87</v>
      </c>
      <c r="S3629" s="727" t="str">
        <f>L3628</f>
        <v>und</v>
      </c>
      <c r="T3629" s="373"/>
      <c r="U3629" s="486"/>
      <c r="V3629" s="1418">
        <f t="shared" si="365"/>
        <v>0</v>
      </c>
      <c r="AB3629" s="15"/>
    </row>
    <row r="3630" spans="1:36" s="77" customFormat="1" ht="15.6" hidden="1">
      <c r="A3630" s="364" t="s">
        <v>677</v>
      </c>
      <c r="B3630" s="499"/>
      <c r="C3630" s="37"/>
      <c r="D3630" s="2013"/>
      <c r="E3630" s="2014"/>
      <c r="F3630" s="2014"/>
      <c r="G3630" s="2014"/>
      <c r="H3630" s="2014"/>
      <c r="I3630" s="2015"/>
      <c r="J3630" s="2016"/>
      <c r="K3630" s="2017"/>
      <c r="L3630" s="1962"/>
      <c r="M3630" s="2007" t="s">
        <v>1524</v>
      </c>
      <c r="N3630" s="2008"/>
      <c r="O3630" s="2008"/>
      <c r="P3630" s="2008"/>
      <c r="Q3630" s="2009"/>
      <c r="R3630" s="1345">
        <f>R3628-R3629</f>
        <v>0</v>
      </c>
      <c r="S3630" s="1346" t="str">
        <f>L3628</f>
        <v>und</v>
      </c>
      <c r="T3630" s="373"/>
      <c r="U3630" s="486"/>
      <c r="V3630" s="1418">
        <f>R3630</f>
        <v>0</v>
      </c>
      <c r="AB3630" s="15"/>
    </row>
    <row r="3631" spans="1:36" s="77" customFormat="1" ht="15.6" hidden="1">
      <c r="A3631" s="370"/>
      <c r="B3631" s="1347"/>
      <c r="C3631" s="1348"/>
      <c r="D3631" s="1349"/>
      <c r="E3631" s="1350"/>
      <c r="F3631" s="1349"/>
      <c r="G3631" s="1349"/>
      <c r="H3631" s="1349"/>
      <c r="I3631" s="1349"/>
      <c r="J3631" s="1351"/>
      <c r="K3631" s="1352"/>
      <c r="L3631" s="1353"/>
      <c r="M3631" s="1354"/>
      <c r="N3631" s="1354"/>
      <c r="O3631" s="1354"/>
      <c r="P3631" s="1354"/>
      <c r="Q3631" s="1354"/>
      <c r="R3631" s="1355"/>
      <c r="S3631" s="1356"/>
      <c r="T3631" s="1357"/>
      <c r="U3631" s="1358"/>
      <c r="V3631" s="1420">
        <f>SUM(V3622:V3630)</f>
        <v>0</v>
      </c>
      <c r="AB3631" s="15"/>
    </row>
    <row r="3632" spans="1:36" s="352" customFormat="1" ht="15.6" hidden="1">
      <c r="A3632" s="351"/>
      <c r="B3632" s="1963" t="str">
        <f>VLOOKUP(A3640,'11 - FINANCEIRA'!_xlnm.Print_Area,1,FALSE)</f>
        <v>2.5.4.6</v>
      </c>
      <c r="C3632" s="1965" t="str">
        <f>VLOOKUP(A3640,'11 - FINANCEIRA'!_xlnm.Print_Area,3,FALSE)</f>
        <v>Terminal estanhado de 1 compressão 1 furo, 35mm², ref. tel-5135, marca de referência termotécnica ou equivalente</v>
      </c>
      <c r="D3632" s="1967" t="s">
        <v>1503</v>
      </c>
      <c r="E3632" s="1968"/>
      <c r="F3632" s="1968"/>
      <c r="G3632" s="1968"/>
      <c r="H3632" s="1968"/>
      <c r="I3632" s="1969"/>
      <c r="J3632" s="1914" t="s">
        <v>1504</v>
      </c>
      <c r="K3632" s="1914" t="s">
        <v>1505</v>
      </c>
      <c r="L3632" s="1914" t="s">
        <v>1506</v>
      </c>
      <c r="M3632" s="1914" t="s">
        <v>1507</v>
      </c>
      <c r="N3632" s="1914" t="s">
        <v>1508</v>
      </c>
      <c r="O3632" s="1914" t="s">
        <v>1509</v>
      </c>
      <c r="P3632" s="1341" t="s">
        <v>1510</v>
      </c>
      <c r="Q3632" s="1914" t="s">
        <v>1493</v>
      </c>
      <c r="R3632" s="1916" t="s">
        <v>804</v>
      </c>
      <c r="S3632" s="1914" t="s">
        <v>1511</v>
      </c>
      <c r="T3632" s="1914" t="s">
        <v>1512</v>
      </c>
      <c r="U3632" s="1918" t="s">
        <v>1513</v>
      </c>
      <c r="V3632" s="1418">
        <f t="shared" ref="V3632:V3639" si="366">V3633</f>
        <v>0</v>
      </c>
      <c r="W3632" s="16"/>
      <c r="X3632" s="16"/>
      <c r="Y3632" s="16"/>
      <c r="Z3632" s="17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</row>
    <row r="3633" spans="1:36" s="352" customFormat="1" ht="15.6" hidden="1">
      <c r="A3633" s="351"/>
      <c r="B3633" s="1964" t="e">
        <f>LEFT(#REF!,5)</f>
        <v>#REF!</v>
      </c>
      <c r="C3633" s="1966" t="e">
        <f>VLOOKUP(LEFT(#REF!,5),'11 - FINANCEIRA'!_xlnm.Print_Area,2,FALSE)</f>
        <v>#REF!</v>
      </c>
      <c r="D3633" s="1920" t="s">
        <v>1514</v>
      </c>
      <c r="E3633" s="1921"/>
      <c r="F3633" s="1922"/>
      <c r="G3633" s="1923" t="s">
        <v>1515</v>
      </c>
      <c r="H3633" s="1924"/>
      <c r="I3633" s="1925"/>
      <c r="J3633" s="1915"/>
      <c r="K3633" s="1915"/>
      <c r="L3633" s="1915"/>
      <c r="M3633" s="1915"/>
      <c r="N3633" s="1915"/>
      <c r="O3633" s="1915"/>
      <c r="P3633" s="353" t="s">
        <v>1516</v>
      </c>
      <c r="Q3633" s="1915"/>
      <c r="R3633" s="1917"/>
      <c r="S3633" s="1915"/>
      <c r="T3633" s="1915"/>
      <c r="U3633" s="1919"/>
      <c r="V3633" s="1418">
        <f t="shared" si="366"/>
        <v>0</v>
      </c>
      <c r="W3633" s="16"/>
      <c r="X3633" s="16"/>
      <c r="Y3633" s="16"/>
      <c r="Z3633" s="17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</row>
    <row r="3634" spans="1:36" s="361" customFormat="1" ht="30" hidden="1">
      <c r="A3634" s="354"/>
      <c r="B3634" s="355"/>
      <c r="C3634" s="28" t="s">
        <v>1313</v>
      </c>
      <c r="D3634" s="18"/>
      <c r="E3634" s="19"/>
      <c r="F3634" s="20"/>
      <c r="G3634" s="18"/>
      <c r="H3634" s="19"/>
      <c r="I3634" s="20"/>
      <c r="J3634" s="21"/>
      <c r="K3634" s="22"/>
      <c r="L3634" s="23"/>
      <c r="M3634" s="24"/>
      <c r="N3634" s="728"/>
      <c r="O3634" s="25"/>
      <c r="P3634" s="23"/>
      <c r="Q3634" s="729"/>
      <c r="R3634" s="1109">
        <v>45</v>
      </c>
      <c r="S3634" s="730" t="s">
        <v>816</v>
      </c>
      <c r="T3634" s="446" t="s">
        <v>324</v>
      </c>
      <c r="U3634" s="44"/>
      <c r="V3634" s="1418">
        <f t="shared" si="366"/>
        <v>0</v>
      </c>
      <c r="W3634" s="357"/>
      <c r="X3634" s="357"/>
      <c r="Y3634" s="357"/>
      <c r="Z3634" s="358"/>
      <c r="AA3634" s="359"/>
      <c r="AB3634" s="360"/>
    </row>
    <row r="3635" spans="1:36" s="361" customFormat="1" ht="15" hidden="1" customHeight="1">
      <c r="A3635" s="354"/>
      <c r="B3635" s="355"/>
      <c r="C3635" s="32"/>
      <c r="D3635" s="33"/>
      <c r="E3635" s="34"/>
      <c r="F3635" s="35"/>
      <c r="G3635" s="33"/>
      <c r="H3635" s="34"/>
      <c r="I3635" s="35"/>
      <c r="J3635" s="43"/>
      <c r="K3635" s="42"/>
      <c r="L3635" s="39"/>
      <c r="M3635" s="41"/>
      <c r="N3635" s="356"/>
      <c r="O3635" s="40"/>
      <c r="P3635" s="39"/>
      <c r="Q3635" s="45"/>
      <c r="R3635" s="362"/>
      <c r="S3635" s="363"/>
      <c r="T3635" s="46"/>
      <c r="U3635" s="44"/>
      <c r="V3635" s="1418">
        <f t="shared" si="366"/>
        <v>0</v>
      </c>
      <c r="W3635" s="357"/>
      <c r="X3635" s="357"/>
      <c r="Y3635" s="357"/>
      <c r="Z3635" s="358"/>
      <c r="AA3635" s="359"/>
      <c r="AB3635" s="360"/>
    </row>
    <row r="3636" spans="1:36" s="369" customFormat="1" ht="15" hidden="1">
      <c r="A3636" s="364"/>
      <c r="B3636" s="355"/>
      <c r="C3636" s="32"/>
      <c r="D3636" s="33"/>
      <c r="E3636" s="34"/>
      <c r="F3636" s="35"/>
      <c r="G3636" s="33"/>
      <c r="H3636" s="34"/>
      <c r="I3636" s="35"/>
      <c r="J3636" s="43"/>
      <c r="K3636" s="42"/>
      <c r="L3636" s="39"/>
      <c r="M3636" s="41"/>
      <c r="N3636" s="40"/>
      <c r="O3636" s="40"/>
      <c r="P3636" s="39"/>
      <c r="Q3636" s="38"/>
      <c r="R3636" s="365"/>
      <c r="S3636" s="366"/>
      <c r="T3636" s="46"/>
      <c r="U3636" s="44"/>
      <c r="V3636" s="1418">
        <f t="shared" si="366"/>
        <v>0</v>
      </c>
      <c r="W3636" s="367"/>
      <c r="X3636" s="367"/>
      <c r="Y3636" s="367"/>
      <c r="Z3636" s="368"/>
    </row>
    <row r="3637" spans="1:36" s="77" customFormat="1" ht="15" hidden="1">
      <c r="A3637" s="370"/>
      <c r="B3637" s="29"/>
      <c r="C3637" s="30"/>
      <c r="D3637" s="18"/>
      <c r="E3637" s="19"/>
      <c r="F3637" s="20"/>
      <c r="G3637" s="18"/>
      <c r="H3637" s="19"/>
      <c r="I3637" s="20"/>
      <c r="J3637" s="21"/>
      <c r="K3637" s="22"/>
      <c r="L3637" s="23"/>
      <c r="M3637" s="24"/>
      <c r="N3637" s="25"/>
      <c r="O3637" s="25"/>
      <c r="P3637" s="23"/>
      <c r="Q3637" s="26"/>
      <c r="R3637" s="371"/>
      <c r="S3637" s="27"/>
      <c r="T3637" s="372"/>
      <c r="U3637" s="31"/>
      <c r="V3637" s="1418">
        <f t="shared" si="366"/>
        <v>0</v>
      </c>
      <c r="AB3637" s="15"/>
    </row>
    <row r="3638" spans="1:36" s="77" customFormat="1" ht="15.6" hidden="1">
      <c r="A3638" s="370"/>
      <c r="B3638" s="499"/>
      <c r="C3638" s="37"/>
      <c r="D3638" s="1929" t="s">
        <v>1520</v>
      </c>
      <c r="E3638" s="1930"/>
      <c r="F3638" s="1930"/>
      <c r="G3638" s="1930"/>
      <c r="H3638" s="1930"/>
      <c r="I3638" s="1931"/>
      <c r="J3638" s="1932">
        <f>VLOOKUP(A3640,'11 - FINANCEIRA'!_xlnm.Print_Area,6,FALSE)</f>
        <v>45</v>
      </c>
      <c r="K3638" s="1933"/>
      <c r="L3638" s="1343" t="str">
        <f>VLOOKUP(A3640,'11 - FINANCEIRA'!_xlnm.Print_Area,4,FALSE)</f>
        <v>und</v>
      </c>
      <c r="M3638" s="1934" t="s">
        <v>1521</v>
      </c>
      <c r="N3638" s="1935"/>
      <c r="O3638" s="1935"/>
      <c r="P3638" s="1935"/>
      <c r="Q3638" s="1936"/>
      <c r="R3638" s="726">
        <f>SUM(R3634:R3637)</f>
        <v>45</v>
      </c>
      <c r="S3638" s="1344" t="str">
        <f>L3638</f>
        <v>und</v>
      </c>
      <c r="T3638" s="373"/>
      <c r="U3638" s="486"/>
      <c r="V3638" s="1418">
        <f t="shared" si="366"/>
        <v>0</v>
      </c>
      <c r="AB3638" s="15"/>
    </row>
    <row r="3639" spans="1:36" s="77" customFormat="1" ht="15.6" hidden="1">
      <c r="A3639" s="370"/>
      <c r="B3639" s="499"/>
      <c r="C3639" s="725"/>
      <c r="D3639" s="1937" t="s">
        <v>1522</v>
      </c>
      <c r="E3639" s="1938"/>
      <c r="F3639" s="1938"/>
      <c r="G3639" s="1938"/>
      <c r="H3639" s="1938"/>
      <c r="I3639" s="1939"/>
      <c r="J3639" s="1943">
        <f>R3638/J3638</f>
        <v>1</v>
      </c>
      <c r="K3639" s="1944"/>
      <c r="L3639" s="1947"/>
      <c r="M3639" s="1934" t="s">
        <v>1523</v>
      </c>
      <c r="N3639" s="1935"/>
      <c r="O3639" s="1935"/>
      <c r="P3639" s="1935"/>
      <c r="Q3639" s="1936"/>
      <c r="R3639" s="726">
        <f>VLOOKUP(A3640,'11 - FINANCEIRA'!_xlnm.Print_Area,8,FALSE)</f>
        <v>45</v>
      </c>
      <c r="S3639" s="727" t="str">
        <f>L3638</f>
        <v>und</v>
      </c>
      <c r="T3639" s="373"/>
      <c r="U3639" s="486"/>
      <c r="V3639" s="1418">
        <f t="shared" si="366"/>
        <v>0</v>
      </c>
      <c r="AB3639" s="15"/>
    </row>
    <row r="3640" spans="1:36" s="77" customFormat="1" ht="15.6" hidden="1">
      <c r="A3640" s="364" t="s">
        <v>678</v>
      </c>
      <c r="B3640" s="499"/>
      <c r="C3640" s="37"/>
      <c r="D3640" s="2013"/>
      <c r="E3640" s="2014"/>
      <c r="F3640" s="2014"/>
      <c r="G3640" s="2014"/>
      <c r="H3640" s="2014"/>
      <c r="I3640" s="2015"/>
      <c r="J3640" s="2016"/>
      <c r="K3640" s="2017"/>
      <c r="L3640" s="1962"/>
      <c r="M3640" s="2007" t="s">
        <v>1524</v>
      </c>
      <c r="N3640" s="2008"/>
      <c r="O3640" s="2008"/>
      <c r="P3640" s="2008"/>
      <c r="Q3640" s="2009"/>
      <c r="R3640" s="1345">
        <f>R3638-R3639</f>
        <v>0</v>
      </c>
      <c r="S3640" s="1346" t="str">
        <f>L3638</f>
        <v>und</v>
      </c>
      <c r="T3640" s="373"/>
      <c r="U3640" s="486"/>
      <c r="V3640" s="1418">
        <f>R3640</f>
        <v>0</v>
      </c>
      <c r="AB3640" s="15"/>
    </row>
    <row r="3641" spans="1:36" s="77" customFormat="1" ht="15.6" hidden="1">
      <c r="A3641" s="370"/>
      <c r="B3641" s="1347"/>
      <c r="C3641" s="1348"/>
      <c r="D3641" s="1349"/>
      <c r="E3641" s="1350"/>
      <c r="F3641" s="1349"/>
      <c r="G3641" s="1349"/>
      <c r="H3641" s="1349"/>
      <c r="I3641" s="1349"/>
      <c r="J3641" s="1351"/>
      <c r="K3641" s="1352"/>
      <c r="L3641" s="1353"/>
      <c r="M3641" s="1354"/>
      <c r="N3641" s="1354"/>
      <c r="O3641" s="1354"/>
      <c r="P3641" s="1354"/>
      <c r="Q3641" s="1354"/>
      <c r="R3641" s="1355"/>
      <c r="S3641" s="1356"/>
      <c r="T3641" s="1357"/>
      <c r="U3641" s="1358"/>
      <c r="V3641" s="1420">
        <f>SUM(V3632:V3640)</f>
        <v>0</v>
      </c>
      <c r="AB3641" s="15"/>
    </row>
    <row r="3642" spans="1:36" s="352" customFormat="1" ht="15.6" hidden="1">
      <c r="A3642" s="351"/>
      <c r="B3642" s="1963" t="str">
        <f>VLOOKUP(A3650,'11 - FINANCEIRA'!_xlnm.Print_Area,1,FALSE)</f>
        <v>2.5.4.7</v>
      </c>
      <c r="C3642" s="1965" t="str">
        <f>VLOOKUP(A3650,'11 - FINANCEIRA'!_xlnm.Print_Area,3,FALSE)</f>
        <v>Terminal estanhado de 1 compressão 1 furo, 50mm², ref. tel-5150, marca de referência termotécnica ou equivalente</v>
      </c>
      <c r="D3642" s="1967" t="s">
        <v>1503</v>
      </c>
      <c r="E3642" s="1968"/>
      <c r="F3642" s="1968"/>
      <c r="G3642" s="1968"/>
      <c r="H3642" s="1968"/>
      <c r="I3642" s="1969"/>
      <c r="J3642" s="1914" t="s">
        <v>1504</v>
      </c>
      <c r="K3642" s="1914" t="s">
        <v>1505</v>
      </c>
      <c r="L3642" s="1914" t="s">
        <v>1506</v>
      </c>
      <c r="M3642" s="1914" t="s">
        <v>1507</v>
      </c>
      <c r="N3642" s="1914" t="s">
        <v>1508</v>
      </c>
      <c r="O3642" s="1914" t="s">
        <v>1509</v>
      </c>
      <c r="P3642" s="1341" t="s">
        <v>1510</v>
      </c>
      <c r="Q3642" s="1914" t="s">
        <v>1493</v>
      </c>
      <c r="R3642" s="1916" t="s">
        <v>804</v>
      </c>
      <c r="S3642" s="1914" t="s">
        <v>1511</v>
      </c>
      <c r="T3642" s="1914" t="s">
        <v>1512</v>
      </c>
      <c r="U3642" s="1918" t="s">
        <v>1513</v>
      </c>
      <c r="V3642" s="1418">
        <f t="shared" ref="V3642:V3649" si="367">V3643</f>
        <v>0</v>
      </c>
      <c r="W3642" s="16"/>
      <c r="X3642" s="16"/>
      <c r="Y3642" s="16"/>
      <c r="Z3642" s="17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</row>
    <row r="3643" spans="1:36" s="352" customFormat="1" ht="15.6" hidden="1">
      <c r="A3643" s="351"/>
      <c r="B3643" s="1964" t="e">
        <f>LEFT(#REF!,5)</f>
        <v>#REF!</v>
      </c>
      <c r="C3643" s="1966" t="e">
        <f>VLOOKUP(LEFT(#REF!,5),'11 - FINANCEIRA'!_xlnm.Print_Area,2,FALSE)</f>
        <v>#REF!</v>
      </c>
      <c r="D3643" s="1920" t="s">
        <v>1514</v>
      </c>
      <c r="E3643" s="1921"/>
      <c r="F3643" s="1922"/>
      <c r="G3643" s="1923" t="s">
        <v>1515</v>
      </c>
      <c r="H3643" s="1924"/>
      <c r="I3643" s="1925"/>
      <c r="J3643" s="1915"/>
      <c r="K3643" s="1915"/>
      <c r="L3643" s="1915"/>
      <c r="M3643" s="1915"/>
      <c r="N3643" s="1915"/>
      <c r="O3643" s="1915"/>
      <c r="P3643" s="353" t="s">
        <v>1516</v>
      </c>
      <c r="Q3643" s="1915"/>
      <c r="R3643" s="1917"/>
      <c r="S3643" s="1915"/>
      <c r="T3643" s="1915"/>
      <c r="U3643" s="1919"/>
      <c r="V3643" s="1418">
        <f t="shared" si="367"/>
        <v>0</v>
      </c>
      <c r="W3643" s="16"/>
      <c r="X3643" s="16"/>
      <c r="Y3643" s="16"/>
      <c r="Z3643" s="17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</row>
    <row r="3644" spans="1:36" s="361" customFormat="1" ht="30" hidden="1">
      <c r="A3644" s="354"/>
      <c r="B3644" s="355"/>
      <c r="C3644" s="28" t="s">
        <v>1264</v>
      </c>
      <c r="D3644" s="18"/>
      <c r="E3644" s="19"/>
      <c r="F3644" s="20"/>
      <c r="G3644" s="18"/>
      <c r="H3644" s="19"/>
      <c r="I3644" s="20"/>
      <c r="J3644" s="21"/>
      <c r="K3644" s="22"/>
      <c r="L3644" s="23"/>
      <c r="M3644" s="24"/>
      <c r="N3644" s="728"/>
      <c r="O3644" s="25"/>
      <c r="P3644" s="23"/>
      <c r="Q3644" s="729"/>
      <c r="R3644" s="1109">
        <v>30</v>
      </c>
      <c r="S3644" s="730" t="s">
        <v>816</v>
      </c>
      <c r="T3644" s="446" t="s">
        <v>324</v>
      </c>
      <c r="U3644" s="44"/>
      <c r="V3644" s="1418">
        <f t="shared" si="367"/>
        <v>0</v>
      </c>
      <c r="W3644" s="357"/>
      <c r="X3644" s="357"/>
      <c r="Y3644" s="357"/>
      <c r="Z3644" s="358"/>
      <c r="AA3644" s="359"/>
      <c r="AB3644" s="360"/>
    </row>
    <row r="3645" spans="1:36" s="361" customFormat="1" ht="15" hidden="1" customHeight="1">
      <c r="A3645" s="354"/>
      <c r="B3645" s="355"/>
      <c r="C3645" s="32"/>
      <c r="D3645" s="33"/>
      <c r="E3645" s="34"/>
      <c r="F3645" s="35"/>
      <c r="G3645" s="33"/>
      <c r="H3645" s="34"/>
      <c r="I3645" s="35"/>
      <c r="J3645" s="43"/>
      <c r="K3645" s="42"/>
      <c r="L3645" s="39"/>
      <c r="M3645" s="41"/>
      <c r="N3645" s="356"/>
      <c r="O3645" s="40"/>
      <c r="P3645" s="39"/>
      <c r="Q3645" s="45"/>
      <c r="R3645" s="362"/>
      <c r="S3645" s="363"/>
      <c r="T3645" s="46"/>
      <c r="U3645" s="44"/>
      <c r="V3645" s="1418">
        <f t="shared" si="367"/>
        <v>0</v>
      </c>
      <c r="W3645" s="357"/>
      <c r="X3645" s="357"/>
      <c r="Y3645" s="357"/>
      <c r="Z3645" s="358"/>
      <c r="AA3645" s="359"/>
      <c r="AB3645" s="360"/>
    </row>
    <row r="3646" spans="1:36" s="369" customFormat="1" ht="15" hidden="1">
      <c r="A3646" s="364"/>
      <c r="B3646" s="355"/>
      <c r="C3646" s="32"/>
      <c r="D3646" s="33"/>
      <c r="E3646" s="34"/>
      <c r="F3646" s="35"/>
      <c r="G3646" s="33"/>
      <c r="H3646" s="34"/>
      <c r="I3646" s="35"/>
      <c r="J3646" s="43"/>
      <c r="K3646" s="42"/>
      <c r="L3646" s="39"/>
      <c r="M3646" s="41"/>
      <c r="N3646" s="40"/>
      <c r="O3646" s="40"/>
      <c r="P3646" s="39"/>
      <c r="Q3646" s="38"/>
      <c r="R3646" s="365"/>
      <c r="S3646" s="366"/>
      <c r="T3646" s="46"/>
      <c r="U3646" s="44"/>
      <c r="V3646" s="1418">
        <f t="shared" si="367"/>
        <v>0</v>
      </c>
      <c r="W3646" s="367"/>
      <c r="X3646" s="367"/>
      <c r="Y3646" s="367"/>
      <c r="Z3646" s="368"/>
    </row>
    <row r="3647" spans="1:36" s="77" customFormat="1" ht="15" hidden="1">
      <c r="A3647" s="370"/>
      <c r="B3647" s="29"/>
      <c r="C3647" s="30"/>
      <c r="D3647" s="18"/>
      <c r="E3647" s="19"/>
      <c r="F3647" s="20"/>
      <c r="G3647" s="18"/>
      <c r="H3647" s="19"/>
      <c r="I3647" s="20"/>
      <c r="J3647" s="21"/>
      <c r="K3647" s="22"/>
      <c r="L3647" s="23"/>
      <c r="M3647" s="24"/>
      <c r="N3647" s="25"/>
      <c r="O3647" s="25"/>
      <c r="P3647" s="23"/>
      <c r="Q3647" s="26"/>
      <c r="R3647" s="371"/>
      <c r="S3647" s="27"/>
      <c r="T3647" s="372"/>
      <c r="U3647" s="31"/>
      <c r="V3647" s="1418">
        <f t="shared" si="367"/>
        <v>0</v>
      </c>
      <c r="AB3647" s="15"/>
    </row>
    <row r="3648" spans="1:36" s="77" customFormat="1" ht="15.6" hidden="1">
      <c r="A3648" s="370"/>
      <c r="B3648" s="499"/>
      <c r="C3648" s="37"/>
      <c r="D3648" s="1929" t="s">
        <v>1520</v>
      </c>
      <c r="E3648" s="1930"/>
      <c r="F3648" s="1930"/>
      <c r="G3648" s="1930"/>
      <c r="H3648" s="1930"/>
      <c r="I3648" s="1931"/>
      <c r="J3648" s="1932">
        <f>VLOOKUP(A3650,'11 - FINANCEIRA'!_xlnm.Print_Area,6,FALSE)</f>
        <v>30</v>
      </c>
      <c r="K3648" s="1933"/>
      <c r="L3648" s="1343" t="str">
        <f>VLOOKUP(A3650,'11 - FINANCEIRA'!_xlnm.Print_Area,4,FALSE)</f>
        <v>und</v>
      </c>
      <c r="M3648" s="1934" t="s">
        <v>1521</v>
      </c>
      <c r="N3648" s="1935"/>
      <c r="O3648" s="1935"/>
      <c r="P3648" s="1935"/>
      <c r="Q3648" s="1936"/>
      <c r="R3648" s="726">
        <f>SUM(R3644:R3647)</f>
        <v>30</v>
      </c>
      <c r="S3648" s="1344" t="str">
        <f>L3648</f>
        <v>und</v>
      </c>
      <c r="T3648" s="373"/>
      <c r="U3648" s="486"/>
      <c r="V3648" s="1418">
        <f t="shared" si="367"/>
        <v>0</v>
      </c>
      <c r="AB3648" s="15"/>
    </row>
    <row r="3649" spans="1:36" s="77" customFormat="1" ht="15.6" hidden="1">
      <c r="A3649" s="370"/>
      <c r="B3649" s="499"/>
      <c r="C3649" s="725"/>
      <c r="D3649" s="1937" t="s">
        <v>1522</v>
      </c>
      <c r="E3649" s="1938"/>
      <c r="F3649" s="1938"/>
      <c r="G3649" s="1938"/>
      <c r="H3649" s="1938"/>
      <c r="I3649" s="1939"/>
      <c r="J3649" s="1943">
        <f>R3648/J3648</f>
        <v>1</v>
      </c>
      <c r="K3649" s="1944"/>
      <c r="L3649" s="1947"/>
      <c r="M3649" s="1934" t="s">
        <v>1523</v>
      </c>
      <c r="N3649" s="1935"/>
      <c r="O3649" s="1935"/>
      <c r="P3649" s="1935"/>
      <c r="Q3649" s="1936"/>
      <c r="R3649" s="726">
        <f>VLOOKUP(A3650,'11 - FINANCEIRA'!_xlnm.Print_Area,8,FALSE)</f>
        <v>30</v>
      </c>
      <c r="S3649" s="727" t="str">
        <f>L3648</f>
        <v>und</v>
      </c>
      <c r="T3649" s="373"/>
      <c r="U3649" s="486"/>
      <c r="V3649" s="1418">
        <f t="shared" si="367"/>
        <v>0</v>
      </c>
      <c r="AB3649" s="15"/>
    </row>
    <row r="3650" spans="1:36" s="77" customFormat="1" ht="15.6" hidden="1">
      <c r="A3650" s="364" t="s">
        <v>679</v>
      </c>
      <c r="B3650" s="499"/>
      <c r="C3650" s="37"/>
      <c r="D3650" s="2013"/>
      <c r="E3650" s="2014"/>
      <c r="F3650" s="2014"/>
      <c r="G3650" s="2014"/>
      <c r="H3650" s="2014"/>
      <c r="I3650" s="2015"/>
      <c r="J3650" s="2016"/>
      <c r="K3650" s="2017"/>
      <c r="L3650" s="1962"/>
      <c r="M3650" s="2007" t="s">
        <v>1524</v>
      </c>
      <c r="N3650" s="2008"/>
      <c r="O3650" s="2008"/>
      <c r="P3650" s="2008"/>
      <c r="Q3650" s="2009"/>
      <c r="R3650" s="1345">
        <f>R3648-R3649</f>
        <v>0</v>
      </c>
      <c r="S3650" s="1346" t="str">
        <f>L3648</f>
        <v>und</v>
      </c>
      <c r="T3650" s="373"/>
      <c r="U3650" s="486"/>
      <c r="V3650" s="1418">
        <f>R3650</f>
        <v>0</v>
      </c>
      <c r="AB3650" s="15"/>
    </row>
    <row r="3651" spans="1:36" s="77" customFormat="1" ht="15.6" hidden="1">
      <c r="A3651" s="370"/>
      <c r="B3651" s="1347"/>
      <c r="C3651" s="1348"/>
      <c r="D3651" s="1349"/>
      <c r="E3651" s="1350"/>
      <c r="F3651" s="1349"/>
      <c r="G3651" s="1349"/>
      <c r="H3651" s="1349"/>
      <c r="I3651" s="1349"/>
      <c r="J3651" s="1351"/>
      <c r="K3651" s="1352"/>
      <c r="L3651" s="1353"/>
      <c r="M3651" s="1354"/>
      <c r="N3651" s="1354"/>
      <c r="O3651" s="1354"/>
      <c r="P3651" s="1354"/>
      <c r="Q3651" s="1354"/>
      <c r="R3651" s="1355"/>
      <c r="S3651" s="1356"/>
      <c r="T3651" s="1357"/>
      <c r="U3651" s="1358"/>
      <c r="V3651" s="1420">
        <f>SUM(V3642:V3650)</f>
        <v>0</v>
      </c>
      <c r="AB3651" s="15"/>
    </row>
    <row r="3652" spans="1:36" s="352" customFormat="1" ht="15.6" hidden="1">
      <c r="A3652" s="351"/>
      <c r="B3652" s="1963" t="str">
        <f>VLOOKUP(A3660,'11 - FINANCEIRA'!_xlnm.Print_Area,1,FALSE)</f>
        <v>2.5.4.8</v>
      </c>
      <c r="C3652" s="1965" t="str">
        <f>VLOOKUP(A3660,'11 - FINANCEIRA'!_xlnm.Print_Area,3,FALSE)</f>
        <v>Abraçadeira tipo "d" com cunha, diâmetro 1", ref. tel-095, marca de referência termotécnica ou equivalente</v>
      </c>
      <c r="D3652" s="1967" t="s">
        <v>1503</v>
      </c>
      <c r="E3652" s="1968"/>
      <c r="F3652" s="1968"/>
      <c r="G3652" s="1968"/>
      <c r="H3652" s="1968"/>
      <c r="I3652" s="1969"/>
      <c r="J3652" s="1914" t="s">
        <v>1504</v>
      </c>
      <c r="K3652" s="1914" t="s">
        <v>1505</v>
      </c>
      <c r="L3652" s="1914" t="s">
        <v>1506</v>
      </c>
      <c r="M3652" s="1914" t="s">
        <v>1507</v>
      </c>
      <c r="N3652" s="1914" t="s">
        <v>1508</v>
      </c>
      <c r="O3652" s="1914" t="s">
        <v>1509</v>
      </c>
      <c r="P3652" s="1341" t="s">
        <v>1510</v>
      </c>
      <c r="Q3652" s="1914" t="s">
        <v>1493</v>
      </c>
      <c r="R3652" s="1916" t="s">
        <v>804</v>
      </c>
      <c r="S3652" s="1914" t="s">
        <v>1511</v>
      </c>
      <c r="T3652" s="1914" t="s">
        <v>1512</v>
      </c>
      <c r="U3652" s="1918" t="s">
        <v>1513</v>
      </c>
      <c r="V3652" s="1418">
        <f t="shared" ref="V3652:V3659" si="368">V3653</f>
        <v>0</v>
      </c>
      <c r="W3652" s="16"/>
      <c r="X3652" s="16"/>
      <c r="Y3652" s="16"/>
      <c r="Z3652" s="17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</row>
    <row r="3653" spans="1:36" s="352" customFormat="1" ht="15.6" hidden="1">
      <c r="A3653" s="351"/>
      <c r="B3653" s="1964" t="e">
        <f>LEFT(#REF!,5)</f>
        <v>#REF!</v>
      </c>
      <c r="C3653" s="1966" t="e">
        <f>VLOOKUP(LEFT(#REF!,5),'11 - FINANCEIRA'!_xlnm.Print_Area,2,FALSE)</f>
        <v>#REF!</v>
      </c>
      <c r="D3653" s="1920" t="s">
        <v>1514</v>
      </c>
      <c r="E3653" s="1921"/>
      <c r="F3653" s="1922"/>
      <c r="G3653" s="1923" t="s">
        <v>1515</v>
      </c>
      <c r="H3653" s="1924"/>
      <c r="I3653" s="1925"/>
      <c r="J3653" s="1915"/>
      <c r="K3653" s="1915"/>
      <c r="L3653" s="1915"/>
      <c r="M3653" s="1915"/>
      <c r="N3653" s="1915"/>
      <c r="O3653" s="1915"/>
      <c r="P3653" s="353" t="s">
        <v>1516</v>
      </c>
      <c r="Q3653" s="1915"/>
      <c r="R3653" s="1917"/>
      <c r="S3653" s="1915"/>
      <c r="T3653" s="1915"/>
      <c r="U3653" s="1919"/>
      <c r="V3653" s="1418">
        <f t="shared" si="368"/>
        <v>0</v>
      </c>
      <c r="W3653" s="16"/>
      <c r="X3653" s="16"/>
      <c r="Y3653" s="16"/>
      <c r="Z3653" s="17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</row>
    <row r="3654" spans="1:36" s="361" customFormat="1" ht="15" hidden="1" customHeight="1">
      <c r="A3654" s="354"/>
      <c r="B3654" s="355"/>
      <c r="C3654" s="28" t="s">
        <v>1315</v>
      </c>
      <c r="D3654" s="18"/>
      <c r="E3654" s="19"/>
      <c r="F3654" s="20"/>
      <c r="G3654" s="18"/>
      <c r="H3654" s="19"/>
      <c r="I3654" s="20"/>
      <c r="J3654" s="21"/>
      <c r="K3654" s="22"/>
      <c r="L3654" s="23"/>
      <c r="M3654" s="24"/>
      <c r="N3654" s="728"/>
      <c r="O3654" s="25"/>
      <c r="P3654" s="23"/>
      <c r="Q3654" s="729"/>
      <c r="R3654" s="1109">
        <v>24</v>
      </c>
      <c r="S3654" s="730" t="s">
        <v>816</v>
      </c>
      <c r="T3654" s="446" t="s">
        <v>325</v>
      </c>
      <c r="U3654" s="44"/>
      <c r="V3654" s="1418">
        <f t="shared" si="368"/>
        <v>0</v>
      </c>
      <c r="W3654" s="357"/>
      <c r="X3654" s="357"/>
      <c r="Y3654" s="357"/>
      <c r="Z3654" s="358"/>
      <c r="AA3654" s="359"/>
      <c r="AB3654" s="360"/>
    </row>
    <row r="3655" spans="1:36" s="361" customFormat="1" ht="15" hidden="1" customHeight="1">
      <c r="A3655" s="354"/>
      <c r="B3655" s="355"/>
      <c r="C3655" s="32"/>
      <c r="D3655" s="33"/>
      <c r="E3655" s="34"/>
      <c r="F3655" s="35"/>
      <c r="G3655" s="33"/>
      <c r="H3655" s="34"/>
      <c r="I3655" s="35"/>
      <c r="J3655" s="43"/>
      <c r="K3655" s="42"/>
      <c r="L3655" s="39"/>
      <c r="M3655" s="41"/>
      <c r="N3655" s="356"/>
      <c r="O3655" s="40"/>
      <c r="P3655" s="39"/>
      <c r="Q3655" s="45"/>
      <c r="R3655" s="362"/>
      <c r="S3655" s="363"/>
      <c r="T3655" s="46"/>
      <c r="U3655" s="44"/>
      <c r="V3655" s="1418">
        <f t="shared" si="368"/>
        <v>0</v>
      </c>
      <c r="W3655" s="357"/>
      <c r="X3655" s="357"/>
      <c r="Y3655" s="357"/>
      <c r="Z3655" s="358"/>
      <c r="AA3655" s="359"/>
      <c r="AB3655" s="360"/>
    </row>
    <row r="3656" spans="1:36" s="369" customFormat="1" ht="15" hidden="1">
      <c r="A3656" s="364"/>
      <c r="B3656" s="355"/>
      <c r="C3656" s="32"/>
      <c r="D3656" s="33"/>
      <c r="E3656" s="34"/>
      <c r="F3656" s="35"/>
      <c r="G3656" s="33"/>
      <c r="H3656" s="34"/>
      <c r="I3656" s="35"/>
      <c r="J3656" s="43"/>
      <c r="K3656" s="42"/>
      <c r="L3656" s="39"/>
      <c r="M3656" s="41"/>
      <c r="N3656" s="40"/>
      <c r="O3656" s="40"/>
      <c r="P3656" s="39"/>
      <c r="Q3656" s="38"/>
      <c r="R3656" s="365"/>
      <c r="S3656" s="366"/>
      <c r="T3656" s="46"/>
      <c r="U3656" s="44"/>
      <c r="V3656" s="1418">
        <f t="shared" si="368"/>
        <v>0</v>
      </c>
      <c r="W3656" s="367"/>
      <c r="X3656" s="367"/>
      <c r="Y3656" s="367"/>
      <c r="Z3656" s="368"/>
    </row>
    <row r="3657" spans="1:36" s="77" customFormat="1" ht="15" hidden="1">
      <c r="A3657" s="370"/>
      <c r="B3657" s="29"/>
      <c r="C3657" s="30"/>
      <c r="D3657" s="18"/>
      <c r="E3657" s="19"/>
      <c r="F3657" s="20"/>
      <c r="G3657" s="18"/>
      <c r="H3657" s="19"/>
      <c r="I3657" s="20"/>
      <c r="J3657" s="21"/>
      <c r="K3657" s="22"/>
      <c r="L3657" s="23"/>
      <c r="M3657" s="24"/>
      <c r="N3657" s="25"/>
      <c r="O3657" s="25"/>
      <c r="P3657" s="23"/>
      <c r="Q3657" s="26"/>
      <c r="R3657" s="371"/>
      <c r="S3657" s="27"/>
      <c r="T3657" s="372"/>
      <c r="U3657" s="31"/>
      <c r="V3657" s="1418">
        <f t="shared" si="368"/>
        <v>0</v>
      </c>
      <c r="AB3657" s="15"/>
    </row>
    <row r="3658" spans="1:36" s="77" customFormat="1" ht="15.6" hidden="1">
      <c r="A3658" s="370"/>
      <c r="B3658" s="499"/>
      <c r="C3658" s="37"/>
      <c r="D3658" s="1929" t="s">
        <v>1520</v>
      </c>
      <c r="E3658" s="1930"/>
      <c r="F3658" s="1930"/>
      <c r="G3658" s="1930"/>
      <c r="H3658" s="1930"/>
      <c r="I3658" s="1931"/>
      <c r="J3658" s="1932">
        <f>VLOOKUP(A3660,'11 - FINANCEIRA'!_xlnm.Print_Area,6,FALSE)</f>
        <v>24</v>
      </c>
      <c r="K3658" s="1933"/>
      <c r="L3658" s="1343" t="str">
        <f>VLOOKUP(A3660,'11 - FINANCEIRA'!_xlnm.Print_Area,4,FALSE)</f>
        <v>und</v>
      </c>
      <c r="M3658" s="1934" t="s">
        <v>1521</v>
      </c>
      <c r="N3658" s="1935"/>
      <c r="O3658" s="1935"/>
      <c r="P3658" s="1935"/>
      <c r="Q3658" s="1936"/>
      <c r="R3658" s="726">
        <f>SUM(R3654:R3657)</f>
        <v>24</v>
      </c>
      <c r="S3658" s="1344" t="str">
        <f>L3658</f>
        <v>und</v>
      </c>
      <c r="T3658" s="373"/>
      <c r="U3658" s="486"/>
      <c r="V3658" s="1418">
        <f t="shared" si="368"/>
        <v>0</v>
      </c>
      <c r="AB3658" s="15"/>
    </row>
    <row r="3659" spans="1:36" s="77" customFormat="1" ht="15.6" hidden="1">
      <c r="A3659" s="370"/>
      <c r="B3659" s="499"/>
      <c r="C3659" s="725"/>
      <c r="D3659" s="1937" t="s">
        <v>1522</v>
      </c>
      <c r="E3659" s="1938"/>
      <c r="F3659" s="1938"/>
      <c r="G3659" s="1938"/>
      <c r="H3659" s="1938"/>
      <c r="I3659" s="1939"/>
      <c r="J3659" s="1943">
        <f>R3658/J3658</f>
        <v>1</v>
      </c>
      <c r="K3659" s="1944"/>
      <c r="L3659" s="1947"/>
      <c r="M3659" s="1934" t="s">
        <v>1523</v>
      </c>
      <c r="N3659" s="1935"/>
      <c r="O3659" s="1935"/>
      <c r="P3659" s="1935"/>
      <c r="Q3659" s="1936"/>
      <c r="R3659" s="726">
        <f>VLOOKUP(A3660,'11 - FINANCEIRA'!_xlnm.Print_Area,8,FALSE)</f>
        <v>24</v>
      </c>
      <c r="S3659" s="727" t="str">
        <f>L3658</f>
        <v>und</v>
      </c>
      <c r="T3659" s="373"/>
      <c r="U3659" s="486"/>
      <c r="V3659" s="1418">
        <f t="shared" si="368"/>
        <v>0</v>
      </c>
      <c r="AB3659" s="15"/>
    </row>
    <row r="3660" spans="1:36" s="77" customFormat="1" ht="15.6" hidden="1">
      <c r="A3660" s="364" t="s">
        <v>680</v>
      </c>
      <c r="B3660" s="499"/>
      <c r="C3660" s="37"/>
      <c r="D3660" s="2013"/>
      <c r="E3660" s="2014"/>
      <c r="F3660" s="2014"/>
      <c r="G3660" s="2014"/>
      <c r="H3660" s="2014"/>
      <c r="I3660" s="2015"/>
      <c r="J3660" s="2016"/>
      <c r="K3660" s="2017"/>
      <c r="L3660" s="1962"/>
      <c r="M3660" s="2007" t="s">
        <v>1524</v>
      </c>
      <c r="N3660" s="2008"/>
      <c r="O3660" s="2008"/>
      <c r="P3660" s="2008"/>
      <c r="Q3660" s="2009"/>
      <c r="R3660" s="1345">
        <f>R3658-R3659</f>
        <v>0</v>
      </c>
      <c r="S3660" s="1346" t="str">
        <f>L3658</f>
        <v>und</v>
      </c>
      <c r="T3660" s="373"/>
      <c r="U3660" s="486"/>
      <c r="V3660" s="1418">
        <f>R3660</f>
        <v>0</v>
      </c>
      <c r="AB3660" s="15"/>
    </row>
    <row r="3661" spans="1:36" s="77" customFormat="1" ht="15.6" hidden="1">
      <c r="A3661" s="370"/>
      <c r="B3661" s="1347"/>
      <c r="C3661" s="1348"/>
      <c r="D3661" s="1349"/>
      <c r="E3661" s="1350"/>
      <c r="F3661" s="1349"/>
      <c r="G3661" s="1349"/>
      <c r="H3661" s="1349"/>
      <c r="I3661" s="1349"/>
      <c r="J3661" s="1351"/>
      <c r="K3661" s="1352"/>
      <c r="L3661" s="1353"/>
      <c r="M3661" s="1354"/>
      <c r="N3661" s="1354"/>
      <c r="O3661" s="1354"/>
      <c r="P3661" s="1354"/>
      <c r="Q3661" s="1354"/>
      <c r="R3661" s="1355"/>
      <c r="S3661" s="1356"/>
      <c r="T3661" s="1357"/>
      <c r="U3661" s="1358"/>
      <c r="V3661" s="1420">
        <f>SUM(V3652:V3660)</f>
        <v>0</v>
      </c>
      <c r="AB3661" s="15"/>
    </row>
    <row r="3662" spans="1:36" s="352" customFormat="1" ht="15.6" hidden="1">
      <c r="A3662" s="351"/>
      <c r="B3662" s="1963" t="str">
        <f>VLOOKUP(A3670,'11 - FINANCEIRA'!_xlnm.Print_Area,1,FALSE)</f>
        <v>2.5.4.9</v>
      </c>
      <c r="C3662" s="1965" t="str">
        <f>VLOOKUP(A3670,'11 - FINANCEIRA'!_xlnm.Print_Area,3,FALSE)</f>
        <v xml:space="preserve">Conector em bronze reforçado para 2 cabos de cobre de 16-70mm² e haste de aterramento, com grampo u, porcas e arruelas em aço gf. ref: tel-580, termotécnica ou similar. </v>
      </c>
      <c r="D3662" s="1967" t="s">
        <v>1503</v>
      </c>
      <c r="E3662" s="1968"/>
      <c r="F3662" s="1968"/>
      <c r="G3662" s="1968"/>
      <c r="H3662" s="1968"/>
      <c r="I3662" s="1969"/>
      <c r="J3662" s="1914" t="s">
        <v>1504</v>
      </c>
      <c r="K3662" s="1914" t="s">
        <v>1505</v>
      </c>
      <c r="L3662" s="1914" t="s">
        <v>1506</v>
      </c>
      <c r="M3662" s="1914" t="s">
        <v>1507</v>
      </c>
      <c r="N3662" s="1914" t="s">
        <v>1508</v>
      </c>
      <c r="O3662" s="1914" t="s">
        <v>1509</v>
      </c>
      <c r="P3662" s="1341" t="s">
        <v>1510</v>
      </c>
      <c r="Q3662" s="1914" t="s">
        <v>1493</v>
      </c>
      <c r="R3662" s="1916" t="s">
        <v>804</v>
      </c>
      <c r="S3662" s="1914" t="s">
        <v>1511</v>
      </c>
      <c r="T3662" s="1914" t="s">
        <v>1512</v>
      </c>
      <c r="U3662" s="1918" t="s">
        <v>1513</v>
      </c>
      <c r="V3662" s="1418">
        <f t="shared" ref="V3662:V3669" si="369">V3663</f>
        <v>0</v>
      </c>
      <c r="W3662" s="16"/>
      <c r="X3662" s="16"/>
      <c r="Y3662" s="16"/>
      <c r="Z3662" s="17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</row>
    <row r="3663" spans="1:36" s="352" customFormat="1" ht="15.6" hidden="1">
      <c r="A3663" s="351"/>
      <c r="B3663" s="1964" t="e">
        <f>LEFT(#REF!,5)</f>
        <v>#REF!</v>
      </c>
      <c r="C3663" s="1966" t="e">
        <f>VLOOKUP(LEFT(#REF!,5),'11 - FINANCEIRA'!_xlnm.Print_Area,2,FALSE)</f>
        <v>#REF!</v>
      </c>
      <c r="D3663" s="1920" t="s">
        <v>1514</v>
      </c>
      <c r="E3663" s="1921"/>
      <c r="F3663" s="1922"/>
      <c r="G3663" s="1923" t="s">
        <v>1515</v>
      </c>
      <c r="H3663" s="1924"/>
      <c r="I3663" s="1925"/>
      <c r="J3663" s="1915"/>
      <c r="K3663" s="1915"/>
      <c r="L3663" s="1915"/>
      <c r="M3663" s="1915"/>
      <c r="N3663" s="1915"/>
      <c r="O3663" s="1915"/>
      <c r="P3663" s="353" t="s">
        <v>1516</v>
      </c>
      <c r="Q3663" s="1915"/>
      <c r="R3663" s="1917"/>
      <c r="S3663" s="1915"/>
      <c r="T3663" s="1915"/>
      <c r="U3663" s="1919"/>
      <c r="V3663" s="1418">
        <f t="shared" si="369"/>
        <v>0</v>
      </c>
      <c r="W3663" s="16"/>
      <c r="X3663" s="16"/>
      <c r="Y3663" s="16"/>
      <c r="Z3663" s="17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</row>
    <row r="3664" spans="1:36" s="361" customFormat="1" ht="30" hidden="1">
      <c r="A3664" s="354"/>
      <c r="B3664" s="355"/>
      <c r="C3664" s="28" t="s">
        <v>1316</v>
      </c>
      <c r="D3664" s="18"/>
      <c r="E3664" s="19"/>
      <c r="F3664" s="20"/>
      <c r="G3664" s="18"/>
      <c r="H3664" s="19"/>
      <c r="I3664" s="20"/>
      <c r="J3664" s="21"/>
      <c r="K3664" s="22"/>
      <c r="L3664" s="23"/>
      <c r="M3664" s="24"/>
      <c r="N3664" s="728"/>
      <c r="O3664" s="25"/>
      <c r="P3664" s="23"/>
      <c r="Q3664" s="729"/>
      <c r="R3664" s="1109">
        <v>25</v>
      </c>
      <c r="S3664" s="730" t="s">
        <v>816</v>
      </c>
      <c r="T3664" s="446" t="s">
        <v>322</v>
      </c>
      <c r="U3664" s="44"/>
      <c r="V3664" s="1418">
        <f t="shared" si="369"/>
        <v>0</v>
      </c>
      <c r="W3664" s="357"/>
      <c r="X3664" s="357"/>
      <c r="Y3664" s="357"/>
      <c r="Z3664" s="358"/>
      <c r="AA3664" s="359"/>
      <c r="AB3664" s="360"/>
    </row>
    <row r="3665" spans="1:36" s="361" customFormat="1" ht="15" hidden="1" customHeight="1">
      <c r="A3665" s="354"/>
      <c r="B3665" s="355"/>
      <c r="C3665" s="28" t="s">
        <v>1316</v>
      </c>
      <c r="D3665" s="18"/>
      <c r="E3665" s="19"/>
      <c r="F3665" s="20"/>
      <c r="G3665" s="18"/>
      <c r="H3665" s="19"/>
      <c r="I3665" s="20"/>
      <c r="J3665" s="21"/>
      <c r="K3665" s="22"/>
      <c r="L3665" s="23"/>
      <c r="M3665" s="24"/>
      <c r="N3665" s="728"/>
      <c r="O3665" s="25"/>
      <c r="P3665" s="23"/>
      <c r="Q3665" s="729"/>
      <c r="R3665" s="445">
        <v>22</v>
      </c>
      <c r="S3665" s="792" t="s">
        <v>816</v>
      </c>
      <c r="T3665" s="446" t="s">
        <v>324</v>
      </c>
      <c r="U3665" s="44"/>
      <c r="V3665" s="1418">
        <f t="shared" si="369"/>
        <v>0</v>
      </c>
      <c r="W3665" s="357"/>
      <c r="X3665" s="357"/>
      <c r="Y3665" s="357"/>
      <c r="Z3665" s="358"/>
      <c r="AA3665" s="359"/>
      <c r="AB3665" s="360"/>
    </row>
    <row r="3666" spans="1:36" s="369" customFormat="1" ht="15" hidden="1" customHeight="1">
      <c r="A3666" s="364"/>
      <c r="B3666" s="355"/>
      <c r="C3666" s="32"/>
      <c r="D3666" s="33"/>
      <c r="E3666" s="34"/>
      <c r="F3666" s="35"/>
      <c r="G3666" s="33"/>
      <c r="H3666" s="34"/>
      <c r="I3666" s="35"/>
      <c r="J3666" s="43"/>
      <c r="K3666" s="42"/>
      <c r="L3666" s="39"/>
      <c r="M3666" s="41"/>
      <c r="N3666" s="40"/>
      <c r="O3666" s="40"/>
      <c r="P3666" s="39"/>
      <c r="Q3666" s="38"/>
      <c r="R3666" s="365"/>
      <c r="S3666" s="366"/>
      <c r="T3666" s="46"/>
      <c r="U3666" s="44"/>
      <c r="V3666" s="1418">
        <f t="shared" si="369"/>
        <v>0</v>
      </c>
      <c r="W3666" s="367"/>
      <c r="X3666" s="367"/>
      <c r="Y3666" s="367"/>
      <c r="Z3666" s="368"/>
    </row>
    <row r="3667" spans="1:36" s="77" customFormat="1" ht="15" hidden="1" customHeight="1">
      <c r="A3667" s="370"/>
      <c r="B3667" s="29"/>
      <c r="C3667" s="30"/>
      <c r="D3667" s="18"/>
      <c r="E3667" s="19"/>
      <c r="F3667" s="20"/>
      <c r="G3667" s="18"/>
      <c r="H3667" s="19"/>
      <c r="I3667" s="20"/>
      <c r="J3667" s="21"/>
      <c r="K3667" s="22"/>
      <c r="L3667" s="23"/>
      <c r="M3667" s="24"/>
      <c r="N3667" s="25"/>
      <c r="O3667" s="25"/>
      <c r="P3667" s="23"/>
      <c r="Q3667" s="26"/>
      <c r="R3667" s="371"/>
      <c r="S3667" s="27"/>
      <c r="T3667" s="372"/>
      <c r="U3667" s="31"/>
      <c r="V3667" s="1418">
        <f t="shared" si="369"/>
        <v>0</v>
      </c>
      <c r="AB3667" s="15"/>
    </row>
    <row r="3668" spans="1:36" s="77" customFormat="1" ht="15.6" hidden="1">
      <c r="A3668" s="370"/>
      <c r="B3668" s="499"/>
      <c r="C3668" s="37"/>
      <c r="D3668" s="1929" t="s">
        <v>1520</v>
      </c>
      <c r="E3668" s="1930"/>
      <c r="F3668" s="1930"/>
      <c r="G3668" s="1930"/>
      <c r="H3668" s="1930"/>
      <c r="I3668" s="1931"/>
      <c r="J3668" s="1932">
        <f>VLOOKUP(A3670,'11 - FINANCEIRA'!_xlnm.Print_Area,6,FALSE)</f>
        <v>47</v>
      </c>
      <c r="K3668" s="1933"/>
      <c r="L3668" s="1343" t="str">
        <f>VLOOKUP(A3670,'11 - FINANCEIRA'!_xlnm.Print_Area,4,FALSE)</f>
        <v>und</v>
      </c>
      <c r="M3668" s="1934" t="s">
        <v>1521</v>
      </c>
      <c r="N3668" s="1935"/>
      <c r="O3668" s="1935"/>
      <c r="P3668" s="1935"/>
      <c r="Q3668" s="1936"/>
      <c r="R3668" s="726">
        <f>SUM(R3664:R3667)</f>
        <v>47</v>
      </c>
      <c r="S3668" s="1344" t="str">
        <f>L3668</f>
        <v>und</v>
      </c>
      <c r="T3668" s="373"/>
      <c r="U3668" s="486"/>
      <c r="V3668" s="1418">
        <f t="shared" si="369"/>
        <v>0</v>
      </c>
      <c r="AB3668" s="15"/>
    </row>
    <row r="3669" spans="1:36" s="77" customFormat="1" ht="15.6" hidden="1">
      <c r="A3669" s="370"/>
      <c r="B3669" s="499"/>
      <c r="C3669" s="725"/>
      <c r="D3669" s="1937" t="s">
        <v>1522</v>
      </c>
      <c r="E3669" s="1938"/>
      <c r="F3669" s="1938"/>
      <c r="G3669" s="1938"/>
      <c r="H3669" s="1938"/>
      <c r="I3669" s="1939"/>
      <c r="J3669" s="1943">
        <f>R3668/J3668</f>
        <v>1</v>
      </c>
      <c r="K3669" s="1944"/>
      <c r="L3669" s="1947"/>
      <c r="M3669" s="1934" t="s">
        <v>1523</v>
      </c>
      <c r="N3669" s="1935"/>
      <c r="O3669" s="1935"/>
      <c r="P3669" s="1935"/>
      <c r="Q3669" s="1936"/>
      <c r="R3669" s="726">
        <f>VLOOKUP(A3670,'11 - FINANCEIRA'!_xlnm.Print_Area,8,FALSE)</f>
        <v>47</v>
      </c>
      <c r="S3669" s="727" t="str">
        <f>L3668</f>
        <v>und</v>
      </c>
      <c r="T3669" s="373"/>
      <c r="U3669" s="486"/>
      <c r="V3669" s="1418">
        <f t="shared" si="369"/>
        <v>0</v>
      </c>
      <c r="AB3669" s="15"/>
    </row>
    <row r="3670" spans="1:36" s="77" customFormat="1" ht="15.6" hidden="1">
      <c r="A3670" s="364" t="s">
        <v>681</v>
      </c>
      <c r="B3670" s="499"/>
      <c r="C3670" s="37"/>
      <c r="D3670" s="2013"/>
      <c r="E3670" s="2014"/>
      <c r="F3670" s="2014"/>
      <c r="G3670" s="2014"/>
      <c r="H3670" s="2014"/>
      <c r="I3670" s="2015"/>
      <c r="J3670" s="2016"/>
      <c r="K3670" s="2017"/>
      <c r="L3670" s="1962"/>
      <c r="M3670" s="2007" t="s">
        <v>1524</v>
      </c>
      <c r="N3670" s="2008"/>
      <c r="O3670" s="2008"/>
      <c r="P3670" s="2008"/>
      <c r="Q3670" s="2009"/>
      <c r="R3670" s="1345">
        <f>R3668-R3669</f>
        <v>0</v>
      </c>
      <c r="S3670" s="1346" t="str">
        <f>L3668</f>
        <v>und</v>
      </c>
      <c r="T3670" s="373"/>
      <c r="U3670" s="486"/>
      <c r="V3670" s="1418">
        <f>R3670</f>
        <v>0</v>
      </c>
      <c r="AB3670" s="15"/>
    </row>
    <row r="3671" spans="1:36" s="77" customFormat="1" ht="15.6" hidden="1">
      <c r="A3671" s="370"/>
      <c r="B3671" s="1347"/>
      <c r="C3671" s="1348"/>
      <c r="D3671" s="1349"/>
      <c r="E3671" s="1350"/>
      <c r="F3671" s="1349"/>
      <c r="G3671" s="1349"/>
      <c r="H3671" s="1349"/>
      <c r="I3671" s="1349"/>
      <c r="J3671" s="1351"/>
      <c r="K3671" s="1352"/>
      <c r="L3671" s="1353"/>
      <c r="M3671" s="1354"/>
      <c r="N3671" s="1354"/>
      <c r="O3671" s="1354"/>
      <c r="P3671" s="1354"/>
      <c r="Q3671" s="1354"/>
      <c r="R3671" s="1355"/>
      <c r="S3671" s="1356"/>
      <c r="T3671" s="1357"/>
      <c r="U3671" s="1358"/>
      <c r="V3671" s="1420">
        <f>SUM(V3662:V3670)</f>
        <v>0</v>
      </c>
      <c r="AB3671" s="15"/>
    </row>
    <row r="3672" spans="1:36" s="352" customFormat="1" ht="15.6" hidden="1">
      <c r="A3672" s="351"/>
      <c r="B3672" s="1963" t="str">
        <f>VLOOKUP(A3680,'11 - FINANCEIRA'!_xlnm.Print_Area,1,FALSE)</f>
        <v>2.5.4.10</v>
      </c>
      <c r="C3672" s="1965" t="str">
        <f>VLOOKUP(A3680,'11 - FINANCEIRA'!_xlnm.Print_Area,3,FALSE)</f>
        <v>Captor tipo franklin para spda - fornecimento e instalação. af_12/2017</v>
      </c>
      <c r="D3672" s="1967" t="s">
        <v>1503</v>
      </c>
      <c r="E3672" s="1968"/>
      <c r="F3672" s="1968"/>
      <c r="G3672" s="1968"/>
      <c r="H3672" s="1968"/>
      <c r="I3672" s="1969"/>
      <c r="J3672" s="1914" t="s">
        <v>1504</v>
      </c>
      <c r="K3672" s="1914" t="s">
        <v>1505</v>
      </c>
      <c r="L3672" s="1914" t="s">
        <v>1506</v>
      </c>
      <c r="M3672" s="1914" t="s">
        <v>1507</v>
      </c>
      <c r="N3672" s="1914" t="s">
        <v>1508</v>
      </c>
      <c r="O3672" s="1914" t="s">
        <v>1509</v>
      </c>
      <c r="P3672" s="1341" t="s">
        <v>1510</v>
      </c>
      <c r="Q3672" s="1914" t="s">
        <v>1493</v>
      </c>
      <c r="R3672" s="1916" t="s">
        <v>804</v>
      </c>
      <c r="S3672" s="1914" t="s">
        <v>1511</v>
      </c>
      <c r="T3672" s="1914" t="s">
        <v>1512</v>
      </c>
      <c r="U3672" s="1918" t="s">
        <v>1513</v>
      </c>
      <c r="V3672" s="1418">
        <f t="shared" ref="V3672:V3679" si="370">V3673</f>
        <v>0</v>
      </c>
      <c r="W3672" s="16"/>
      <c r="X3672" s="16"/>
      <c r="Y3672" s="16"/>
      <c r="Z3672" s="17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</row>
    <row r="3673" spans="1:36" s="352" customFormat="1" ht="15.6" hidden="1">
      <c r="A3673" s="351"/>
      <c r="B3673" s="1964" t="e">
        <f>LEFT(#REF!,5)</f>
        <v>#REF!</v>
      </c>
      <c r="C3673" s="1966" t="e">
        <f>VLOOKUP(LEFT(#REF!,5),'11 - FINANCEIRA'!_xlnm.Print_Area,2,FALSE)</f>
        <v>#REF!</v>
      </c>
      <c r="D3673" s="1920" t="s">
        <v>1514</v>
      </c>
      <c r="E3673" s="1921"/>
      <c r="F3673" s="1922"/>
      <c r="G3673" s="1923" t="s">
        <v>1515</v>
      </c>
      <c r="H3673" s="1924"/>
      <c r="I3673" s="1925"/>
      <c r="J3673" s="1915"/>
      <c r="K3673" s="1915"/>
      <c r="L3673" s="1915"/>
      <c r="M3673" s="1915"/>
      <c r="N3673" s="1915"/>
      <c r="O3673" s="1915"/>
      <c r="P3673" s="353" t="s">
        <v>1516</v>
      </c>
      <c r="Q3673" s="1915"/>
      <c r="R3673" s="1917"/>
      <c r="S3673" s="1915"/>
      <c r="T3673" s="1915"/>
      <c r="U3673" s="1919"/>
      <c r="V3673" s="1418">
        <f t="shared" si="370"/>
        <v>0</v>
      </c>
      <c r="W3673" s="16"/>
      <c r="X3673" s="16"/>
      <c r="Y3673" s="16"/>
      <c r="Z3673" s="17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</row>
    <row r="3674" spans="1:36" s="361" customFormat="1" ht="15" hidden="1">
      <c r="A3674" s="354"/>
      <c r="B3674" s="355"/>
      <c r="C3674" s="32"/>
      <c r="D3674" s="33"/>
      <c r="E3674" s="34"/>
      <c r="F3674" s="35"/>
      <c r="G3674" s="33"/>
      <c r="H3674" s="34"/>
      <c r="I3674" s="35"/>
      <c r="J3674" s="43"/>
      <c r="K3674" s="42"/>
      <c r="L3674" s="39"/>
      <c r="M3674" s="41"/>
      <c r="N3674" s="356"/>
      <c r="O3674" s="40"/>
      <c r="P3674" s="39"/>
      <c r="Q3674" s="45"/>
      <c r="R3674" s="1359"/>
      <c r="S3674" s="1265"/>
      <c r="T3674" s="46"/>
      <c r="U3674" s="44"/>
      <c r="V3674" s="1418">
        <f t="shared" si="370"/>
        <v>0</v>
      </c>
      <c r="W3674" s="357"/>
      <c r="X3674" s="357"/>
      <c r="Y3674" s="357"/>
      <c r="Z3674" s="358"/>
      <c r="AA3674" s="359"/>
      <c r="AB3674" s="360"/>
    </row>
    <row r="3675" spans="1:36" s="361" customFormat="1" ht="15" hidden="1">
      <c r="A3675" s="354"/>
      <c r="B3675" s="355"/>
      <c r="C3675" s="32"/>
      <c r="D3675" s="33"/>
      <c r="E3675" s="34"/>
      <c r="F3675" s="35"/>
      <c r="G3675" s="33"/>
      <c r="H3675" s="34"/>
      <c r="I3675" s="35"/>
      <c r="J3675" s="43"/>
      <c r="K3675" s="42"/>
      <c r="L3675" s="39"/>
      <c r="M3675" s="41"/>
      <c r="N3675" s="356"/>
      <c r="O3675" s="40"/>
      <c r="P3675" s="39"/>
      <c r="Q3675" s="45"/>
      <c r="R3675" s="362"/>
      <c r="S3675" s="363"/>
      <c r="T3675" s="46"/>
      <c r="U3675" s="44"/>
      <c r="V3675" s="1418">
        <f t="shared" si="370"/>
        <v>0</v>
      </c>
      <c r="W3675" s="357"/>
      <c r="X3675" s="357"/>
      <c r="Y3675" s="357"/>
      <c r="Z3675" s="358"/>
      <c r="AA3675" s="359"/>
      <c r="AB3675" s="360"/>
    </row>
    <row r="3676" spans="1:36" s="369" customFormat="1" ht="15" hidden="1">
      <c r="A3676" s="364"/>
      <c r="B3676" s="355"/>
      <c r="C3676" s="32"/>
      <c r="D3676" s="33"/>
      <c r="E3676" s="34"/>
      <c r="F3676" s="35"/>
      <c r="G3676" s="33"/>
      <c r="H3676" s="34"/>
      <c r="I3676" s="35"/>
      <c r="J3676" s="43"/>
      <c r="K3676" s="42"/>
      <c r="L3676" s="39"/>
      <c r="M3676" s="41"/>
      <c r="N3676" s="40"/>
      <c r="O3676" s="40"/>
      <c r="P3676" s="39"/>
      <c r="Q3676" s="38"/>
      <c r="R3676" s="365"/>
      <c r="S3676" s="366"/>
      <c r="T3676" s="46"/>
      <c r="U3676" s="44"/>
      <c r="V3676" s="1418">
        <f t="shared" si="370"/>
        <v>0</v>
      </c>
      <c r="W3676" s="367"/>
      <c r="X3676" s="367"/>
      <c r="Y3676" s="367"/>
      <c r="Z3676" s="368"/>
    </row>
    <row r="3677" spans="1:36" s="77" customFormat="1" ht="15" hidden="1">
      <c r="A3677" s="370"/>
      <c r="B3677" s="29"/>
      <c r="C3677" s="30"/>
      <c r="D3677" s="18"/>
      <c r="E3677" s="19"/>
      <c r="F3677" s="20"/>
      <c r="G3677" s="18"/>
      <c r="H3677" s="19"/>
      <c r="I3677" s="20"/>
      <c r="J3677" s="21"/>
      <c r="K3677" s="22"/>
      <c r="L3677" s="23"/>
      <c r="M3677" s="24"/>
      <c r="N3677" s="25"/>
      <c r="O3677" s="25"/>
      <c r="P3677" s="23"/>
      <c r="Q3677" s="26"/>
      <c r="R3677" s="371"/>
      <c r="S3677" s="27"/>
      <c r="T3677" s="372"/>
      <c r="U3677" s="31"/>
      <c r="V3677" s="1418">
        <f t="shared" si="370"/>
        <v>0</v>
      </c>
      <c r="AB3677" s="15"/>
    </row>
    <row r="3678" spans="1:36" s="77" customFormat="1" ht="15.6" hidden="1">
      <c r="A3678" s="370"/>
      <c r="B3678" s="499"/>
      <c r="C3678" s="37"/>
      <c r="D3678" s="1929" t="s">
        <v>1520</v>
      </c>
      <c r="E3678" s="1930"/>
      <c r="F3678" s="1930"/>
      <c r="G3678" s="1930"/>
      <c r="H3678" s="1930"/>
      <c r="I3678" s="1931"/>
      <c r="J3678" s="1932">
        <f>VLOOKUP(A3680,'11 - FINANCEIRA'!_xlnm.Print_Area,6,FALSE)</f>
        <v>8</v>
      </c>
      <c r="K3678" s="1933"/>
      <c r="L3678" s="1343" t="str">
        <f>VLOOKUP(A3680,'11 - FINANCEIRA'!_xlnm.Print_Area,4,FALSE)</f>
        <v>UN</v>
      </c>
      <c r="M3678" s="1934" t="s">
        <v>1521</v>
      </c>
      <c r="N3678" s="1935"/>
      <c r="O3678" s="1935"/>
      <c r="P3678" s="1935"/>
      <c r="Q3678" s="1936"/>
      <c r="R3678" s="726">
        <f>SUM(R3674:R3677)</f>
        <v>0</v>
      </c>
      <c r="S3678" s="1344" t="str">
        <f>L3678</f>
        <v>UN</v>
      </c>
      <c r="T3678" s="373"/>
      <c r="U3678" s="486"/>
      <c r="V3678" s="1418">
        <f t="shared" si="370"/>
        <v>0</v>
      </c>
      <c r="AB3678" s="15"/>
    </row>
    <row r="3679" spans="1:36" s="77" customFormat="1" ht="15.6" hidden="1">
      <c r="A3679" s="370"/>
      <c r="B3679" s="499"/>
      <c r="C3679" s="725"/>
      <c r="D3679" s="1937" t="s">
        <v>1522</v>
      </c>
      <c r="E3679" s="1938"/>
      <c r="F3679" s="1938"/>
      <c r="G3679" s="1938"/>
      <c r="H3679" s="1938"/>
      <c r="I3679" s="1939"/>
      <c r="J3679" s="1943">
        <f>R3678/J3678</f>
        <v>0</v>
      </c>
      <c r="K3679" s="1944"/>
      <c r="L3679" s="1947"/>
      <c r="M3679" s="1934" t="s">
        <v>1523</v>
      </c>
      <c r="N3679" s="1935"/>
      <c r="O3679" s="1935"/>
      <c r="P3679" s="1935"/>
      <c r="Q3679" s="1936"/>
      <c r="R3679" s="726">
        <f>VLOOKUP(A3680,'11 - FINANCEIRA'!_xlnm.Print_Area,8,FALSE)</f>
        <v>0</v>
      </c>
      <c r="S3679" s="727" t="str">
        <f>L3678</f>
        <v>UN</v>
      </c>
      <c r="T3679" s="373"/>
      <c r="U3679" s="486"/>
      <c r="V3679" s="1418">
        <f t="shared" si="370"/>
        <v>0</v>
      </c>
      <c r="AB3679" s="15"/>
    </row>
    <row r="3680" spans="1:36" s="77" customFormat="1" ht="15.6" hidden="1">
      <c r="A3680" s="364" t="s">
        <v>682</v>
      </c>
      <c r="B3680" s="499"/>
      <c r="C3680" s="37"/>
      <c r="D3680" s="2013"/>
      <c r="E3680" s="2014"/>
      <c r="F3680" s="2014"/>
      <c r="G3680" s="2014"/>
      <c r="H3680" s="2014"/>
      <c r="I3680" s="2015"/>
      <c r="J3680" s="2016"/>
      <c r="K3680" s="2017"/>
      <c r="L3680" s="1962"/>
      <c r="M3680" s="2007" t="s">
        <v>1524</v>
      </c>
      <c r="N3680" s="2008"/>
      <c r="O3680" s="2008"/>
      <c r="P3680" s="2008"/>
      <c r="Q3680" s="2009"/>
      <c r="R3680" s="1345">
        <f>R3678-R3679</f>
        <v>0</v>
      </c>
      <c r="S3680" s="1346" t="str">
        <f>L3678</f>
        <v>UN</v>
      </c>
      <c r="T3680" s="373"/>
      <c r="U3680" s="486"/>
      <c r="V3680" s="1418">
        <f>R3680</f>
        <v>0</v>
      </c>
      <c r="AB3680" s="15"/>
    </row>
    <row r="3681" spans="1:36" s="77" customFormat="1" ht="15.6" hidden="1">
      <c r="A3681" s="370"/>
      <c r="B3681" s="1347"/>
      <c r="C3681" s="1348"/>
      <c r="D3681" s="1349"/>
      <c r="E3681" s="1350"/>
      <c r="F3681" s="1349"/>
      <c r="G3681" s="1349"/>
      <c r="H3681" s="1349"/>
      <c r="I3681" s="1349"/>
      <c r="J3681" s="1351"/>
      <c r="K3681" s="1352"/>
      <c r="L3681" s="1353"/>
      <c r="M3681" s="1354"/>
      <c r="N3681" s="1354"/>
      <c r="O3681" s="1354"/>
      <c r="P3681" s="1354"/>
      <c r="Q3681" s="1354"/>
      <c r="R3681" s="1355"/>
      <c r="S3681" s="1356"/>
      <c r="T3681" s="1357"/>
      <c r="U3681" s="1358"/>
      <c r="V3681" s="1420">
        <f>SUM(V3672:V3680)</f>
        <v>0</v>
      </c>
      <c r="AB3681" s="15"/>
    </row>
    <row r="3682" spans="1:36" s="352" customFormat="1" ht="15.6" hidden="1">
      <c r="A3682" s="351"/>
      <c r="B3682" s="1963" t="str">
        <f>VLOOKUP(A3690,'11 - FINANCEIRA'!_xlnm.Print_Area,1,FALSE)</f>
        <v>2.5.4.11</v>
      </c>
      <c r="C3682" s="1965" t="str">
        <f>VLOOKUP(A3690,'11 - FINANCEIRA'!_xlnm.Print_Area,3,FALSE)</f>
        <v>Fixador universal latão estanhado p/ cabos 16 a 70 mm² ref. 5024, incl. parafuso sextavado m6x45mm, arruela lisa 1/4", bucha nº8, vedação dos furos c/ poliuretano ref. 5905, marca de ref. termotécnica ou equivalente</v>
      </c>
      <c r="D3682" s="1967" t="s">
        <v>1503</v>
      </c>
      <c r="E3682" s="1968"/>
      <c r="F3682" s="1968"/>
      <c r="G3682" s="1968"/>
      <c r="H3682" s="1968"/>
      <c r="I3682" s="1969"/>
      <c r="J3682" s="1914" t="s">
        <v>1504</v>
      </c>
      <c r="K3682" s="1914" t="s">
        <v>1505</v>
      </c>
      <c r="L3682" s="1914" t="s">
        <v>1506</v>
      </c>
      <c r="M3682" s="1914" t="s">
        <v>1507</v>
      </c>
      <c r="N3682" s="1914" t="s">
        <v>1508</v>
      </c>
      <c r="O3682" s="1914" t="s">
        <v>1509</v>
      </c>
      <c r="P3682" s="1341" t="s">
        <v>1510</v>
      </c>
      <c r="Q3682" s="1914" t="s">
        <v>1493</v>
      </c>
      <c r="R3682" s="1916" t="s">
        <v>804</v>
      </c>
      <c r="S3682" s="1914" t="s">
        <v>1511</v>
      </c>
      <c r="T3682" s="1914" t="s">
        <v>1512</v>
      </c>
      <c r="U3682" s="1918" t="s">
        <v>1513</v>
      </c>
      <c r="V3682" s="1418">
        <f t="shared" ref="V3682:V3689" si="371">V3683</f>
        <v>0</v>
      </c>
      <c r="W3682" s="16"/>
      <c r="X3682" s="16"/>
      <c r="Y3682" s="16"/>
      <c r="Z3682" s="17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</row>
    <row r="3683" spans="1:36" s="352" customFormat="1" ht="15.6" hidden="1">
      <c r="A3683" s="351"/>
      <c r="B3683" s="1964" t="e">
        <f>LEFT(#REF!,5)</f>
        <v>#REF!</v>
      </c>
      <c r="C3683" s="1966" t="e">
        <f>VLOOKUP(LEFT(#REF!,5),'11 - FINANCEIRA'!_xlnm.Print_Area,2,FALSE)</f>
        <v>#REF!</v>
      </c>
      <c r="D3683" s="1920" t="s">
        <v>1514</v>
      </c>
      <c r="E3683" s="1921"/>
      <c r="F3683" s="1922"/>
      <c r="G3683" s="1923" t="s">
        <v>1515</v>
      </c>
      <c r="H3683" s="1924"/>
      <c r="I3683" s="1925"/>
      <c r="J3683" s="1915"/>
      <c r="K3683" s="1915"/>
      <c r="L3683" s="1915"/>
      <c r="M3683" s="1915"/>
      <c r="N3683" s="1915"/>
      <c r="O3683" s="1915"/>
      <c r="P3683" s="353" t="s">
        <v>1516</v>
      </c>
      <c r="Q3683" s="1915"/>
      <c r="R3683" s="1917"/>
      <c r="S3683" s="1915"/>
      <c r="T3683" s="1915"/>
      <c r="U3683" s="1919"/>
      <c r="V3683" s="1418">
        <f t="shared" si="371"/>
        <v>0</v>
      </c>
      <c r="W3683" s="16"/>
      <c r="X3683" s="16"/>
      <c r="Y3683" s="16"/>
      <c r="Z3683" s="17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</row>
    <row r="3684" spans="1:36" s="361" customFormat="1" ht="45" hidden="1">
      <c r="A3684" s="354"/>
      <c r="B3684" s="355"/>
      <c r="C3684" s="28" t="s">
        <v>1310</v>
      </c>
      <c r="D3684" s="18"/>
      <c r="E3684" s="19"/>
      <c r="F3684" s="20"/>
      <c r="G3684" s="18"/>
      <c r="H3684" s="19"/>
      <c r="I3684" s="20"/>
      <c r="J3684" s="21"/>
      <c r="K3684" s="22"/>
      <c r="L3684" s="23"/>
      <c r="M3684" s="24"/>
      <c r="N3684" s="728"/>
      <c r="O3684" s="25"/>
      <c r="P3684" s="23"/>
      <c r="Q3684" s="729"/>
      <c r="R3684" s="1109">
        <v>8</v>
      </c>
      <c r="S3684" s="730" t="s">
        <v>816</v>
      </c>
      <c r="T3684" s="446" t="s">
        <v>327</v>
      </c>
      <c r="U3684" s="44"/>
      <c r="V3684" s="1418">
        <f t="shared" si="371"/>
        <v>0</v>
      </c>
      <c r="W3684" s="357"/>
      <c r="X3684" s="357"/>
      <c r="Y3684" s="357"/>
      <c r="Z3684" s="358"/>
      <c r="AA3684" s="359"/>
      <c r="AB3684" s="360"/>
    </row>
    <row r="3685" spans="1:36" s="361" customFormat="1" ht="15" hidden="1" customHeight="1">
      <c r="A3685" s="354"/>
      <c r="B3685" s="355"/>
      <c r="C3685" s="32"/>
      <c r="D3685" s="33"/>
      <c r="E3685" s="34"/>
      <c r="F3685" s="35"/>
      <c r="G3685" s="33"/>
      <c r="H3685" s="34"/>
      <c r="I3685" s="35"/>
      <c r="J3685" s="43"/>
      <c r="K3685" s="42"/>
      <c r="L3685" s="39"/>
      <c r="M3685" s="41"/>
      <c r="N3685" s="356"/>
      <c r="O3685" s="40"/>
      <c r="P3685" s="39"/>
      <c r="Q3685" s="45"/>
      <c r="R3685" s="362"/>
      <c r="S3685" s="363"/>
      <c r="T3685" s="46"/>
      <c r="U3685" s="44"/>
      <c r="V3685" s="1418">
        <f t="shared" si="371"/>
        <v>0</v>
      </c>
      <c r="W3685" s="357"/>
      <c r="X3685" s="357"/>
      <c r="Y3685" s="357"/>
      <c r="Z3685" s="358"/>
      <c r="AA3685" s="359"/>
      <c r="AB3685" s="360"/>
    </row>
    <row r="3686" spans="1:36" s="369" customFormat="1" ht="15" hidden="1">
      <c r="A3686" s="364"/>
      <c r="B3686" s="355"/>
      <c r="C3686" s="32"/>
      <c r="D3686" s="33"/>
      <c r="E3686" s="34"/>
      <c r="F3686" s="35"/>
      <c r="G3686" s="33"/>
      <c r="H3686" s="34"/>
      <c r="I3686" s="35"/>
      <c r="J3686" s="43"/>
      <c r="K3686" s="42"/>
      <c r="L3686" s="39"/>
      <c r="M3686" s="41"/>
      <c r="N3686" s="40"/>
      <c r="O3686" s="40"/>
      <c r="P3686" s="39"/>
      <c r="Q3686" s="38"/>
      <c r="R3686" s="365"/>
      <c r="S3686" s="366"/>
      <c r="T3686" s="46"/>
      <c r="U3686" s="44"/>
      <c r="V3686" s="1418">
        <f t="shared" si="371"/>
        <v>0</v>
      </c>
      <c r="W3686" s="367"/>
      <c r="X3686" s="367"/>
      <c r="Y3686" s="367"/>
      <c r="Z3686" s="368"/>
    </row>
    <row r="3687" spans="1:36" s="77" customFormat="1" ht="15" hidden="1">
      <c r="A3687" s="370"/>
      <c r="B3687" s="29"/>
      <c r="C3687" s="30"/>
      <c r="D3687" s="18"/>
      <c r="E3687" s="19"/>
      <c r="F3687" s="20"/>
      <c r="G3687" s="18"/>
      <c r="H3687" s="19"/>
      <c r="I3687" s="20"/>
      <c r="J3687" s="21"/>
      <c r="K3687" s="22"/>
      <c r="L3687" s="23"/>
      <c r="M3687" s="24"/>
      <c r="N3687" s="25"/>
      <c r="O3687" s="25"/>
      <c r="P3687" s="23"/>
      <c r="Q3687" s="26"/>
      <c r="R3687" s="371"/>
      <c r="S3687" s="27"/>
      <c r="T3687" s="372"/>
      <c r="U3687" s="31"/>
      <c r="V3687" s="1418">
        <f t="shared" si="371"/>
        <v>0</v>
      </c>
      <c r="AB3687" s="15"/>
    </row>
    <row r="3688" spans="1:36" s="77" customFormat="1" ht="15.6" hidden="1">
      <c r="A3688" s="370"/>
      <c r="B3688" s="499"/>
      <c r="C3688" s="37"/>
      <c r="D3688" s="1929" t="s">
        <v>1520</v>
      </c>
      <c r="E3688" s="1930"/>
      <c r="F3688" s="1930"/>
      <c r="G3688" s="1930"/>
      <c r="H3688" s="1930"/>
      <c r="I3688" s="1931"/>
      <c r="J3688" s="1932">
        <f>VLOOKUP(A3690,'11 - FINANCEIRA'!_xlnm.Print_Area,6,FALSE)</f>
        <v>8</v>
      </c>
      <c r="K3688" s="1933"/>
      <c r="L3688" s="1343" t="str">
        <f>VLOOKUP(A3690,'11 - FINANCEIRA'!_xlnm.Print_Area,4,FALSE)</f>
        <v>und</v>
      </c>
      <c r="M3688" s="1934" t="s">
        <v>1521</v>
      </c>
      <c r="N3688" s="1935"/>
      <c r="O3688" s="1935"/>
      <c r="P3688" s="1935"/>
      <c r="Q3688" s="1936"/>
      <c r="R3688" s="726">
        <f>SUM(R3684:R3687)</f>
        <v>8</v>
      </c>
      <c r="S3688" s="1344" t="str">
        <f>L3688</f>
        <v>und</v>
      </c>
      <c r="T3688" s="373"/>
      <c r="U3688" s="486"/>
      <c r="V3688" s="1418">
        <f t="shared" si="371"/>
        <v>0</v>
      </c>
      <c r="AB3688" s="15"/>
    </row>
    <row r="3689" spans="1:36" s="77" customFormat="1" ht="15.6" hidden="1">
      <c r="A3689" s="370"/>
      <c r="B3689" s="499"/>
      <c r="C3689" s="725"/>
      <c r="D3689" s="1937" t="s">
        <v>1522</v>
      </c>
      <c r="E3689" s="1938"/>
      <c r="F3689" s="1938"/>
      <c r="G3689" s="1938"/>
      <c r="H3689" s="1938"/>
      <c r="I3689" s="1939"/>
      <c r="J3689" s="1943">
        <f>R3688/J3688</f>
        <v>1</v>
      </c>
      <c r="K3689" s="1944"/>
      <c r="L3689" s="1947"/>
      <c r="M3689" s="1934" t="s">
        <v>1523</v>
      </c>
      <c r="N3689" s="1935"/>
      <c r="O3689" s="1935"/>
      <c r="P3689" s="1935"/>
      <c r="Q3689" s="1936"/>
      <c r="R3689" s="726">
        <f>VLOOKUP(A3690,'11 - FINANCEIRA'!_xlnm.Print_Area,8,FALSE)</f>
        <v>8</v>
      </c>
      <c r="S3689" s="727" t="str">
        <f>L3688</f>
        <v>und</v>
      </c>
      <c r="T3689" s="373"/>
      <c r="U3689" s="486"/>
      <c r="V3689" s="1418">
        <f t="shared" si="371"/>
        <v>0</v>
      </c>
      <c r="AB3689" s="15"/>
    </row>
    <row r="3690" spans="1:36" s="77" customFormat="1" ht="15.6" hidden="1">
      <c r="A3690" s="364" t="s">
        <v>683</v>
      </c>
      <c r="B3690" s="499"/>
      <c r="C3690" s="37"/>
      <c r="D3690" s="2013"/>
      <c r="E3690" s="2014"/>
      <c r="F3690" s="2014"/>
      <c r="G3690" s="2014"/>
      <c r="H3690" s="2014"/>
      <c r="I3690" s="2015"/>
      <c r="J3690" s="2016"/>
      <c r="K3690" s="2017"/>
      <c r="L3690" s="1962"/>
      <c r="M3690" s="2007" t="s">
        <v>1524</v>
      </c>
      <c r="N3690" s="2008"/>
      <c r="O3690" s="2008"/>
      <c r="P3690" s="2008"/>
      <c r="Q3690" s="2009"/>
      <c r="R3690" s="1345">
        <f>R3688-R3689</f>
        <v>0</v>
      </c>
      <c r="S3690" s="1346" t="str">
        <f>L3688</f>
        <v>und</v>
      </c>
      <c r="T3690" s="373"/>
      <c r="U3690" s="486"/>
      <c r="V3690" s="1418">
        <f>R3690</f>
        <v>0</v>
      </c>
      <c r="AB3690" s="15"/>
    </row>
    <row r="3691" spans="1:36" s="77" customFormat="1" ht="15.6" hidden="1">
      <c r="A3691" s="370"/>
      <c r="B3691" s="1347"/>
      <c r="C3691" s="1348"/>
      <c r="D3691" s="1349"/>
      <c r="E3691" s="1350"/>
      <c r="F3691" s="1349"/>
      <c r="G3691" s="1349"/>
      <c r="H3691" s="1349"/>
      <c r="I3691" s="1349"/>
      <c r="J3691" s="1351"/>
      <c r="K3691" s="1352"/>
      <c r="L3691" s="1353"/>
      <c r="M3691" s="1354"/>
      <c r="N3691" s="1354"/>
      <c r="O3691" s="1354"/>
      <c r="P3691" s="1354"/>
      <c r="Q3691" s="1354"/>
      <c r="R3691" s="1355"/>
      <c r="S3691" s="1356"/>
      <c r="T3691" s="1357"/>
      <c r="U3691" s="1358"/>
      <c r="V3691" s="1420">
        <f>SUM(V3682:V3690)</f>
        <v>0</v>
      </c>
      <c r="AB3691" s="15"/>
    </row>
    <row r="3692" spans="1:36" s="352" customFormat="1" ht="15.6" hidden="1">
      <c r="A3692" s="351"/>
      <c r="B3692" s="1963" t="str">
        <f>VLOOKUP(A3700,'11 - FINANCEIRA'!_xlnm.Print_Area,1,FALSE)</f>
        <v>2.5.4.12</v>
      </c>
      <c r="C3692" s="1965" t="str">
        <f>VLOOKUP(A3700,'11 - FINANCEIRA'!_xlnm.Print_Area,3,FALSE)</f>
        <v xml:space="preserve">Conector para gradis aramados, ref: tel-736, termotécnica ou similar. </v>
      </c>
      <c r="D3692" s="1967" t="s">
        <v>1503</v>
      </c>
      <c r="E3692" s="1968"/>
      <c r="F3692" s="1968"/>
      <c r="G3692" s="1968"/>
      <c r="H3692" s="1968"/>
      <c r="I3692" s="1969"/>
      <c r="J3692" s="1914" t="s">
        <v>1504</v>
      </c>
      <c r="K3692" s="1914" t="s">
        <v>1505</v>
      </c>
      <c r="L3692" s="1914" t="s">
        <v>1506</v>
      </c>
      <c r="M3692" s="1914" t="s">
        <v>1507</v>
      </c>
      <c r="N3692" s="1914" t="s">
        <v>1508</v>
      </c>
      <c r="O3692" s="1914" t="s">
        <v>1509</v>
      </c>
      <c r="P3692" s="1341" t="s">
        <v>1510</v>
      </c>
      <c r="Q3692" s="1914" t="s">
        <v>1493</v>
      </c>
      <c r="R3692" s="1916" t="s">
        <v>804</v>
      </c>
      <c r="S3692" s="1914" t="s">
        <v>1511</v>
      </c>
      <c r="T3692" s="1914" t="s">
        <v>1512</v>
      </c>
      <c r="U3692" s="1918" t="s">
        <v>1513</v>
      </c>
      <c r="V3692" s="1418">
        <f t="shared" ref="V3692:V3699" si="372">V3693</f>
        <v>0</v>
      </c>
      <c r="W3692" s="16"/>
      <c r="X3692" s="16"/>
      <c r="Y3692" s="16"/>
      <c r="Z3692" s="17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</row>
    <row r="3693" spans="1:36" s="352" customFormat="1" ht="15.6" hidden="1">
      <c r="A3693" s="351"/>
      <c r="B3693" s="1964" t="e">
        <f>LEFT(#REF!,5)</f>
        <v>#REF!</v>
      </c>
      <c r="C3693" s="1966" t="e">
        <f>VLOOKUP(LEFT(#REF!,5),'11 - FINANCEIRA'!_xlnm.Print_Area,2,FALSE)</f>
        <v>#REF!</v>
      </c>
      <c r="D3693" s="1920" t="s">
        <v>1514</v>
      </c>
      <c r="E3693" s="1921"/>
      <c r="F3693" s="1922"/>
      <c r="G3693" s="1923" t="s">
        <v>1515</v>
      </c>
      <c r="H3693" s="1924"/>
      <c r="I3693" s="1925"/>
      <c r="J3693" s="1915"/>
      <c r="K3693" s="1915"/>
      <c r="L3693" s="1915"/>
      <c r="M3693" s="1915"/>
      <c r="N3693" s="1915"/>
      <c r="O3693" s="1915"/>
      <c r="P3693" s="353" t="s">
        <v>1516</v>
      </c>
      <c r="Q3693" s="1915"/>
      <c r="R3693" s="1917"/>
      <c r="S3693" s="1915"/>
      <c r="T3693" s="1915"/>
      <c r="U3693" s="1919"/>
      <c r="V3693" s="1418">
        <f t="shared" si="372"/>
        <v>0</v>
      </c>
      <c r="W3693" s="16"/>
      <c r="X3693" s="16"/>
      <c r="Y3693" s="16"/>
      <c r="Z3693" s="17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</row>
    <row r="3694" spans="1:36" s="361" customFormat="1" ht="15" hidden="1" customHeight="1">
      <c r="A3694" s="354"/>
      <c r="B3694" s="355"/>
      <c r="C3694" s="32" t="s">
        <v>1320</v>
      </c>
      <c r="D3694" s="33"/>
      <c r="E3694" s="34"/>
      <c r="F3694" s="35"/>
      <c r="G3694" s="33"/>
      <c r="H3694" s="34"/>
      <c r="I3694" s="35"/>
      <c r="J3694" s="43"/>
      <c r="K3694" s="42"/>
      <c r="L3694" s="39"/>
      <c r="M3694" s="41"/>
      <c r="N3694" s="356"/>
      <c r="O3694" s="40"/>
      <c r="P3694" s="39"/>
      <c r="Q3694" s="45"/>
      <c r="R3694" s="1359">
        <v>2</v>
      </c>
      <c r="S3694" s="1265" t="s">
        <v>816</v>
      </c>
      <c r="T3694" s="46" t="s">
        <v>331</v>
      </c>
      <c r="U3694" s="44"/>
      <c r="V3694" s="1418">
        <f t="shared" si="372"/>
        <v>0</v>
      </c>
      <c r="W3694" s="357"/>
      <c r="X3694" s="357"/>
      <c r="Y3694" s="357"/>
      <c r="Z3694" s="358"/>
      <c r="AA3694" s="359"/>
      <c r="AB3694" s="360"/>
    </row>
    <row r="3695" spans="1:36" s="361" customFormat="1" ht="15" hidden="1" customHeight="1">
      <c r="A3695" s="354"/>
      <c r="B3695" s="355"/>
      <c r="C3695" s="32"/>
      <c r="D3695" s="33"/>
      <c r="E3695" s="34"/>
      <c r="F3695" s="35"/>
      <c r="G3695" s="33"/>
      <c r="H3695" s="34"/>
      <c r="I3695" s="35"/>
      <c r="J3695" s="43"/>
      <c r="K3695" s="42"/>
      <c r="L3695" s="39"/>
      <c r="M3695" s="41"/>
      <c r="N3695" s="356"/>
      <c r="O3695" s="40"/>
      <c r="P3695" s="39"/>
      <c r="Q3695" s="45"/>
      <c r="R3695" s="362"/>
      <c r="S3695" s="363"/>
      <c r="T3695" s="46"/>
      <c r="U3695" s="44"/>
      <c r="V3695" s="1418">
        <f t="shared" si="372"/>
        <v>0</v>
      </c>
      <c r="W3695" s="357"/>
      <c r="X3695" s="357"/>
      <c r="Y3695" s="357"/>
      <c r="Z3695" s="358"/>
      <c r="AA3695" s="359"/>
      <c r="AB3695" s="360"/>
    </row>
    <row r="3696" spans="1:36" s="369" customFormat="1" ht="15" hidden="1">
      <c r="A3696" s="364"/>
      <c r="B3696" s="355"/>
      <c r="C3696" s="32"/>
      <c r="D3696" s="33"/>
      <c r="E3696" s="34"/>
      <c r="F3696" s="35"/>
      <c r="G3696" s="33"/>
      <c r="H3696" s="34"/>
      <c r="I3696" s="35"/>
      <c r="J3696" s="43"/>
      <c r="K3696" s="42"/>
      <c r="L3696" s="39"/>
      <c r="M3696" s="41"/>
      <c r="N3696" s="40"/>
      <c r="O3696" s="40"/>
      <c r="P3696" s="39"/>
      <c r="Q3696" s="38"/>
      <c r="R3696" s="365"/>
      <c r="S3696" s="366"/>
      <c r="T3696" s="46"/>
      <c r="U3696" s="44"/>
      <c r="V3696" s="1418">
        <f t="shared" si="372"/>
        <v>0</v>
      </c>
      <c r="W3696" s="367"/>
      <c r="X3696" s="367"/>
      <c r="Y3696" s="367"/>
      <c r="Z3696" s="368"/>
    </row>
    <row r="3697" spans="1:36" s="77" customFormat="1" ht="15" hidden="1">
      <c r="A3697" s="370"/>
      <c r="B3697" s="29"/>
      <c r="C3697" s="30"/>
      <c r="D3697" s="18"/>
      <c r="E3697" s="19"/>
      <c r="F3697" s="20"/>
      <c r="G3697" s="18"/>
      <c r="H3697" s="19"/>
      <c r="I3697" s="20"/>
      <c r="J3697" s="21"/>
      <c r="K3697" s="22"/>
      <c r="L3697" s="23"/>
      <c r="M3697" s="24"/>
      <c r="N3697" s="25"/>
      <c r="O3697" s="25"/>
      <c r="P3697" s="23"/>
      <c r="Q3697" s="26"/>
      <c r="R3697" s="371"/>
      <c r="S3697" s="27"/>
      <c r="T3697" s="372"/>
      <c r="U3697" s="31"/>
      <c r="V3697" s="1418">
        <f t="shared" si="372"/>
        <v>0</v>
      </c>
      <c r="AB3697" s="15"/>
    </row>
    <row r="3698" spans="1:36" s="77" customFormat="1" ht="15.6" hidden="1">
      <c r="A3698" s="370"/>
      <c r="B3698" s="499"/>
      <c r="C3698" s="37"/>
      <c r="D3698" s="1929" t="s">
        <v>1520</v>
      </c>
      <c r="E3698" s="1930"/>
      <c r="F3698" s="1930"/>
      <c r="G3698" s="1930"/>
      <c r="H3698" s="1930"/>
      <c r="I3698" s="1931"/>
      <c r="J3698" s="1932">
        <f>VLOOKUP(A3700,'11 - FINANCEIRA'!_xlnm.Print_Area,6,FALSE)</f>
        <v>2</v>
      </c>
      <c r="K3698" s="1933"/>
      <c r="L3698" s="1343" t="str">
        <f>VLOOKUP(A3700,'11 - FINANCEIRA'!_xlnm.Print_Area,4,FALSE)</f>
        <v>und</v>
      </c>
      <c r="M3698" s="1934" t="s">
        <v>1521</v>
      </c>
      <c r="N3698" s="1935"/>
      <c r="O3698" s="1935"/>
      <c r="P3698" s="1935"/>
      <c r="Q3698" s="1936"/>
      <c r="R3698" s="726">
        <f>SUM(R3694:R3697)</f>
        <v>2</v>
      </c>
      <c r="S3698" s="1344" t="str">
        <f>L3698</f>
        <v>und</v>
      </c>
      <c r="T3698" s="373"/>
      <c r="U3698" s="486"/>
      <c r="V3698" s="1418">
        <f t="shared" si="372"/>
        <v>0</v>
      </c>
      <c r="AB3698" s="15"/>
    </row>
    <row r="3699" spans="1:36" s="77" customFormat="1" ht="15.6" hidden="1">
      <c r="A3699" s="370"/>
      <c r="B3699" s="499"/>
      <c r="C3699" s="725"/>
      <c r="D3699" s="1937" t="s">
        <v>1522</v>
      </c>
      <c r="E3699" s="1938"/>
      <c r="F3699" s="1938"/>
      <c r="G3699" s="1938"/>
      <c r="H3699" s="1938"/>
      <c r="I3699" s="1939"/>
      <c r="J3699" s="1943">
        <f>R3698/J3698</f>
        <v>1</v>
      </c>
      <c r="K3699" s="1944"/>
      <c r="L3699" s="1947"/>
      <c r="M3699" s="1934" t="s">
        <v>1523</v>
      </c>
      <c r="N3699" s="1935"/>
      <c r="O3699" s="1935"/>
      <c r="P3699" s="1935"/>
      <c r="Q3699" s="1936"/>
      <c r="R3699" s="726">
        <f>VLOOKUP(A3700,'11 - FINANCEIRA'!_xlnm.Print_Area,8,FALSE)</f>
        <v>2</v>
      </c>
      <c r="S3699" s="727" t="str">
        <f>L3698</f>
        <v>und</v>
      </c>
      <c r="T3699" s="373"/>
      <c r="U3699" s="486"/>
      <c r="V3699" s="1418">
        <f t="shared" si="372"/>
        <v>0</v>
      </c>
      <c r="AB3699" s="15"/>
    </row>
    <row r="3700" spans="1:36" s="77" customFormat="1" ht="15.6" hidden="1">
      <c r="A3700" s="364" t="s">
        <v>684</v>
      </c>
      <c r="B3700" s="499"/>
      <c r="C3700" s="37"/>
      <c r="D3700" s="2013"/>
      <c r="E3700" s="2014"/>
      <c r="F3700" s="2014"/>
      <c r="G3700" s="2014"/>
      <c r="H3700" s="2014"/>
      <c r="I3700" s="2015"/>
      <c r="J3700" s="2016"/>
      <c r="K3700" s="2017"/>
      <c r="L3700" s="1962"/>
      <c r="M3700" s="2007" t="s">
        <v>1524</v>
      </c>
      <c r="N3700" s="2008"/>
      <c r="O3700" s="2008"/>
      <c r="P3700" s="2008"/>
      <c r="Q3700" s="2009"/>
      <c r="R3700" s="1345">
        <f>R3698-R3699</f>
        <v>0</v>
      </c>
      <c r="S3700" s="1346" t="str">
        <f>L3698</f>
        <v>und</v>
      </c>
      <c r="T3700" s="373"/>
      <c r="U3700" s="486"/>
      <c r="V3700" s="1418">
        <f>R3700</f>
        <v>0</v>
      </c>
      <c r="AB3700" s="15"/>
    </row>
    <row r="3701" spans="1:36" s="77" customFormat="1" ht="15.6" hidden="1">
      <c r="A3701" s="370"/>
      <c r="B3701" s="1347"/>
      <c r="C3701" s="1348"/>
      <c r="D3701" s="1349"/>
      <c r="E3701" s="1350"/>
      <c r="F3701" s="1349"/>
      <c r="G3701" s="1349"/>
      <c r="H3701" s="1349"/>
      <c r="I3701" s="1349"/>
      <c r="J3701" s="1351"/>
      <c r="K3701" s="1352"/>
      <c r="L3701" s="1353"/>
      <c r="M3701" s="1354"/>
      <c r="N3701" s="1354"/>
      <c r="O3701" s="1354"/>
      <c r="P3701" s="1354"/>
      <c r="Q3701" s="1354"/>
      <c r="R3701" s="1355"/>
      <c r="S3701" s="1356"/>
      <c r="T3701" s="1357"/>
      <c r="U3701" s="1358"/>
      <c r="V3701" s="1420">
        <f>SUM(V3692:V3700)</f>
        <v>0</v>
      </c>
      <c r="AB3701" s="15"/>
    </row>
    <row r="3702" spans="1:36" s="352" customFormat="1" ht="15.6" hidden="1">
      <c r="A3702" s="351"/>
      <c r="B3702" s="1963" t="str">
        <f>VLOOKUP(A3710,'11 - FINANCEIRA'!_xlnm.Print_Area,1,FALSE)</f>
        <v>2.5.4.13</v>
      </c>
      <c r="C3702" s="1965" t="str">
        <f>VLOOKUP(A3710,'11 - FINANCEIRA'!_xlnm.Print_Area,3,FALSE)</f>
        <v>Conector medicao em bronze c/ 4 parafusos tel-560</v>
      </c>
      <c r="D3702" s="1967" t="s">
        <v>1503</v>
      </c>
      <c r="E3702" s="1968"/>
      <c r="F3702" s="1968"/>
      <c r="G3702" s="1968"/>
      <c r="H3702" s="1968"/>
      <c r="I3702" s="1969"/>
      <c r="J3702" s="1914" t="s">
        <v>1504</v>
      </c>
      <c r="K3702" s="1914" t="s">
        <v>1505</v>
      </c>
      <c r="L3702" s="1914" t="s">
        <v>1506</v>
      </c>
      <c r="M3702" s="1914" t="s">
        <v>1507</v>
      </c>
      <c r="N3702" s="1914" t="s">
        <v>1508</v>
      </c>
      <c r="O3702" s="1914" t="s">
        <v>1509</v>
      </c>
      <c r="P3702" s="1341" t="s">
        <v>1510</v>
      </c>
      <c r="Q3702" s="1914" t="s">
        <v>1493</v>
      </c>
      <c r="R3702" s="1916" t="s">
        <v>804</v>
      </c>
      <c r="S3702" s="1914" t="s">
        <v>1511</v>
      </c>
      <c r="T3702" s="1914" t="s">
        <v>1512</v>
      </c>
      <c r="U3702" s="1918" t="s">
        <v>1513</v>
      </c>
      <c r="V3702" s="1418">
        <f t="shared" ref="V3702:V3709" si="373">V3703</f>
        <v>0</v>
      </c>
      <c r="W3702" s="16"/>
      <c r="X3702" s="16"/>
      <c r="Y3702" s="16"/>
      <c r="Z3702" s="17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</row>
    <row r="3703" spans="1:36" s="352" customFormat="1" ht="15.6" hidden="1">
      <c r="A3703" s="351"/>
      <c r="B3703" s="1964" t="e">
        <f>LEFT(#REF!,5)</f>
        <v>#REF!</v>
      </c>
      <c r="C3703" s="1966" t="e">
        <f>VLOOKUP(LEFT(#REF!,5),'11 - FINANCEIRA'!_xlnm.Print_Area,2,FALSE)</f>
        <v>#REF!</v>
      </c>
      <c r="D3703" s="1920" t="s">
        <v>1514</v>
      </c>
      <c r="E3703" s="1921"/>
      <c r="F3703" s="1922"/>
      <c r="G3703" s="1923" t="s">
        <v>1515</v>
      </c>
      <c r="H3703" s="1924"/>
      <c r="I3703" s="1925"/>
      <c r="J3703" s="1915"/>
      <c r="K3703" s="1915"/>
      <c r="L3703" s="1915"/>
      <c r="M3703" s="1915"/>
      <c r="N3703" s="1915"/>
      <c r="O3703" s="1915"/>
      <c r="P3703" s="353" t="s">
        <v>1516</v>
      </c>
      <c r="Q3703" s="1915"/>
      <c r="R3703" s="1917"/>
      <c r="S3703" s="1915"/>
      <c r="T3703" s="1915"/>
      <c r="U3703" s="1919"/>
      <c r="V3703" s="1418">
        <f t="shared" si="373"/>
        <v>0</v>
      </c>
      <c r="W3703" s="16"/>
      <c r="X3703" s="16"/>
      <c r="Y3703" s="16"/>
      <c r="Z3703" s="17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</row>
    <row r="3704" spans="1:36" s="361" customFormat="1" ht="15" hidden="1" customHeight="1">
      <c r="A3704" s="354"/>
      <c r="B3704" s="355"/>
      <c r="C3704" s="32" t="s">
        <v>1322</v>
      </c>
      <c r="D3704" s="33"/>
      <c r="E3704" s="34"/>
      <c r="F3704" s="35"/>
      <c r="G3704" s="33"/>
      <c r="H3704" s="34"/>
      <c r="I3704" s="35"/>
      <c r="J3704" s="43"/>
      <c r="K3704" s="42"/>
      <c r="L3704" s="39"/>
      <c r="M3704" s="41"/>
      <c r="N3704" s="356"/>
      <c r="O3704" s="40"/>
      <c r="P3704" s="39"/>
      <c r="Q3704" s="45"/>
      <c r="R3704" s="1359">
        <v>4</v>
      </c>
      <c r="S3704" s="1265" t="s">
        <v>816</v>
      </c>
      <c r="T3704" s="46" t="s">
        <v>331</v>
      </c>
      <c r="U3704" s="44"/>
      <c r="V3704" s="1418">
        <f t="shared" si="373"/>
        <v>0</v>
      </c>
      <c r="W3704" s="357"/>
      <c r="X3704" s="357"/>
      <c r="Y3704" s="357"/>
      <c r="Z3704" s="358"/>
      <c r="AA3704" s="359"/>
      <c r="AB3704" s="360"/>
    </row>
    <row r="3705" spans="1:36" s="361" customFormat="1" ht="15" hidden="1" customHeight="1">
      <c r="A3705" s="354"/>
      <c r="B3705" s="355"/>
      <c r="C3705" s="32"/>
      <c r="D3705" s="33"/>
      <c r="E3705" s="34"/>
      <c r="F3705" s="35"/>
      <c r="G3705" s="33"/>
      <c r="H3705" s="34"/>
      <c r="I3705" s="35"/>
      <c r="J3705" s="43"/>
      <c r="K3705" s="42"/>
      <c r="L3705" s="39"/>
      <c r="M3705" s="41"/>
      <c r="N3705" s="356"/>
      <c r="O3705" s="40"/>
      <c r="P3705" s="39"/>
      <c r="Q3705" s="45"/>
      <c r="R3705" s="362"/>
      <c r="S3705" s="363"/>
      <c r="T3705" s="46"/>
      <c r="U3705" s="44"/>
      <c r="V3705" s="1418">
        <f t="shared" si="373"/>
        <v>0</v>
      </c>
      <c r="W3705" s="357"/>
      <c r="X3705" s="357"/>
      <c r="Y3705" s="357"/>
      <c r="Z3705" s="358"/>
      <c r="AA3705" s="359"/>
      <c r="AB3705" s="360"/>
    </row>
    <row r="3706" spans="1:36" s="369" customFormat="1" ht="15" hidden="1">
      <c r="A3706" s="364"/>
      <c r="B3706" s="355"/>
      <c r="C3706" s="32"/>
      <c r="D3706" s="33"/>
      <c r="E3706" s="34"/>
      <c r="F3706" s="35"/>
      <c r="G3706" s="33"/>
      <c r="H3706" s="34"/>
      <c r="I3706" s="35"/>
      <c r="J3706" s="43"/>
      <c r="K3706" s="42"/>
      <c r="L3706" s="39"/>
      <c r="M3706" s="41"/>
      <c r="N3706" s="40"/>
      <c r="O3706" s="40"/>
      <c r="P3706" s="39"/>
      <c r="Q3706" s="38"/>
      <c r="R3706" s="365"/>
      <c r="S3706" s="366"/>
      <c r="T3706" s="46"/>
      <c r="U3706" s="44"/>
      <c r="V3706" s="1418">
        <f t="shared" si="373"/>
        <v>0</v>
      </c>
      <c r="W3706" s="367"/>
      <c r="X3706" s="367"/>
      <c r="Y3706" s="367"/>
      <c r="Z3706" s="368"/>
    </row>
    <row r="3707" spans="1:36" s="77" customFormat="1" ht="15" hidden="1">
      <c r="A3707" s="370"/>
      <c r="B3707" s="29"/>
      <c r="C3707" s="30"/>
      <c r="D3707" s="18"/>
      <c r="E3707" s="19"/>
      <c r="F3707" s="20"/>
      <c r="G3707" s="18"/>
      <c r="H3707" s="19"/>
      <c r="I3707" s="20"/>
      <c r="J3707" s="21"/>
      <c r="K3707" s="22"/>
      <c r="L3707" s="23"/>
      <c r="M3707" s="24"/>
      <c r="N3707" s="25"/>
      <c r="O3707" s="25"/>
      <c r="P3707" s="23"/>
      <c r="Q3707" s="26"/>
      <c r="R3707" s="371"/>
      <c r="S3707" s="27"/>
      <c r="T3707" s="372"/>
      <c r="U3707" s="31"/>
      <c r="V3707" s="1418">
        <f t="shared" si="373"/>
        <v>0</v>
      </c>
      <c r="AB3707" s="15"/>
    </row>
    <row r="3708" spans="1:36" s="77" customFormat="1" ht="15.6" hidden="1">
      <c r="A3708" s="370"/>
      <c r="B3708" s="499"/>
      <c r="C3708" s="37"/>
      <c r="D3708" s="1929" t="s">
        <v>1520</v>
      </c>
      <c r="E3708" s="1930"/>
      <c r="F3708" s="1930"/>
      <c r="G3708" s="1930"/>
      <c r="H3708" s="1930"/>
      <c r="I3708" s="1931"/>
      <c r="J3708" s="1932">
        <f>VLOOKUP(A3710,'11 - FINANCEIRA'!_xlnm.Print_Area,6,FALSE)</f>
        <v>4</v>
      </c>
      <c r="K3708" s="1933"/>
      <c r="L3708" s="1343" t="str">
        <f>VLOOKUP(A3710,'11 - FINANCEIRA'!_xlnm.Print_Area,4,FALSE)</f>
        <v>und</v>
      </c>
      <c r="M3708" s="1934" t="s">
        <v>1521</v>
      </c>
      <c r="N3708" s="1935"/>
      <c r="O3708" s="1935"/>
      <c r="P3708" s="1935"/>
      <c r="Q3708" s="1936"/>
      <c r="R3708" s="726">
        <f>SUM(R3704:R3707)</f>
        <v>4</v>
      </c>
      <c r="S3708" s="1344" t="str">
        <f>L3708</f>
        <v>und</v>
      </c>
      <c r="T3708" s="373"/>
      <c r="U3708" s="486"/>
      <c r="V3708" s="1418">
        <f t="shared" si="373"/>
        <v>0</v>
      </c>
      <c r="AB3708" s="15"/>
    </row>
    <row r="3709" spans="1:36" s="77" customFormat="1" ht="15.6" hidden="1">
      <c r="A3709" s="370"/>
      <c r="B3709" s="499"/>
      <c r="C3709" s="725"/>
      <c r="D3709" s="1937" t="s">
        <v>1522</v>
      </c>
      <c r="E3709" s="1938"/>
      <c r="F3709" s="1938"/>
      <c r="G3709" s="1938"/>
      <c r="H3709" s="1938"/>
      <c r="I3709" s="1939"/>
      <c r="J3709" s="1943">
        <f>R3708/J3708</f>
        <v>1</v>
      </c>
      <c r="K3709" s="1944"/>
      <c r="L3709" s="1947"/>
      <c r="M3709" s="1934" t="s">
        <v>1523</v>
      </c>
      <c r="N3709" s="1935"/>
      <c r="O3709" s="1935"/>
      <c r="P3709" s="1935"/>
      <c r="Q3709" s="1936"/>
      <c r="R3709" s="726">
        <f>VLOOKUP(A3710,'11 - FINANCEIRA'!_xlnm.Print_Area,8,FALSE)</f>
        <v>4</v>
      </c>
      <c r="S3709" s="727" t="str">
        <f>L3708</f>
        <v>und</v>
      </c>
      <c r="T3709" s="373"/>
      <c r="U3709" s="486"/>
      <c r="V3709" s="1418">
        <f t="shared" si="373"/>
        <v>0</v>
      </c>
      <c r="AB3709" s="15"/>
    </row>
    <row r="3710" spans="1:36" s="77" customFormat="1" ht="15.6" hidden="1">
      <c r="A3710" s="364" t="s">
        <v>685</v>
      </c>
      <c r="B3710" s="499"/>
      <c r="C3710" s="37"/>
      <c r="D3710" s="2013"/>
      <c r="E3710" s="2014"/>
      <c r="F3710" s="2014"/>
      <c r="G3710" s="2014"/>
      <c r="H3710" s="2014"/>
      <c r="I3710" s="2015"/>
      <c r="J3710" s="2016"/>
      <c r="K3710" s="2017"/>
      <c r="L3710" s="1962"/>
      <c r="M3710" s="2007" t="s">
        <v>1524</v>
      </c>
      <c r="N3710" s="2008"/>
      <c r="O3710" s="2008"/>
      <c r="P3710" s="2008"/>
      <c r="Q3710" s="2009"/>
      <c r="R3710" s="1345">
        <f>R3708-R3709</f>
        <v>0</v>
      </c>
      <c r="S3710" s="1346" t="str">
        <f>L3708</f>
        <v>und</v>
      </c>
      <c r="T3710" s="373"/>
      <c r="U3710" s="486"/>
      <c r="V3710" s="1418">
        <f>R3710</f>
        <v>0</v>
      </c>
      <c r="AB3710" s="15"/>
    </row>
    <row r="3711" spans="1:36" s="77" customFormat="1" ht="15.6" hidden="1">
      <c r="A3711" s="370"/>
      <c r="B3711" s="1347"/>
      <c r="C3711" s="1348"/>
      <c r="D3711" s="1349"/>
      <c r="E3711" s="1350"/>
      <c r="F3711" s="1349"/>
      <c r="G3711" s="1349"/>
      <c r="H3711" s="1349"/>
      <c r="I3711" s="1349"/>
      <c r="J3711" s="1351"/>
      <c r="K3711" s="1352"/>
      <c r="L3711" s="1353"/>
      <c r="M3711" s="1354"/>
      <c r="N3711" s="1354"/>
      <c r="O3711" s="1354"/>
      <c r="P3711" s="1354"/>
      <c r="Q3711" s="1354"/>
      <c r="R3711" s="1355"/>
      <c r="S3711" s="1356"/>
      <c r="T3711" s="1357"/>
      <c r="U3711" s="1358"/>
      <c r="V3711" s="1420">
        <f>SUM(V3702:V3710)</f>
        <v>0</v>
      </c>
      <c r="AB3711" s="15"/>
    </row>
    <row r="3712" spans="1:36" s="352" customFormat="1" ht="15.6" hidden="1">
      <c r="A3712" s="351"/>
      <c r="B3712" s="1963" t="str">
        <f>VLOOKUP(A3720,'11 - FINANCEIRA'!_xlnm.Print_Area,1,FALSE)</f>
        <v>2.5.4.14</v>
      </c>
      <c r="C3712" s="1965" t="str">
        <f>VLOOKUP(A3720,'11 - FINANCEIRA'!_xlnm.Print_Area,3,FALSE)</f>
        <v>Fixador tipo õmega latao furo 5.5mm p/ cabo 35mm²</v>
      </c>
      <c r="D3712" s="1967" t="s">
        <v>1503</v>
      </c>
      <c r="E3712" s="1968"/>
      <c r="F3712" s="1968"/>
      <c r="G3712" s="1968"/>
      <c r="H3712" s="1968"/>
      <c r="I3712" s="1969"/>
      <c r="J3712" s="1914" t="s">
        <v>1504</v>
      </c>
      <c r="K3712" s="1914" t="s">
        <v>1505</v>
      </c>
      <c r="L3712" s="1914" t="s">
        <v>1506</v>
      </c>
      <c r="M3712" s="1914" t="s">
        <v>1507</v>
      </c>
      <c r="N3712" s="1914" t="s">
        <v>1508</v>
      </c>
      <c r="O3712" s="1914" t="s">
        <v>1509</v>
      </c>
      <c r="P3712" s="1341" t="s">
        <v>1510</v>
      </c>
      <c r="Q3712" s="1914" t="s">
        <v>1493</v>
      </c>
      <c r="R3712" s="1916" t="s">
        <v>804</v>
      </c>
      <c r="S3712" s="1914" t="s">
        <v>1511</v>
      </c>
      <c r="T3712" s="1914" t="s">
        <v>1512</v>
      </c>
      <c r="U3712" s="1918" t="s">
        <v>1513</v>
      </c>
      <c r="V3712" s="1418">
        <f t="shared" ref="V3712:V3719" si="374">V3713</f>
        <v>0</v>
      </c>
      <c r="W3712" s="16"/>
      <c r="X3712" s="16"/>
      <c r="Y3712" s="16"/>
      <c r="Z3712" s="17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</row>
    <row r="3713" spans="1:36" s="352" customFormat="1" ht="15.6" hidden="1">
      <c r="A3713" s="351"/>
      <c r="B3713" s="1964" t="e">
        <f>LEFT(#REF!,5)</f>
        <v>#REF!</v>
      </c>
      <c r="C3713" s="1966" t="e">
        <f>VLOOKUP(LEFT(#REF!,5),'11 - FINANCEIRA'!_xlnm.Print_Area,2,FALSE)</f>
        <v>#REF!</v>
      </c>
      <c r="D3713" s="1920" t="s">
        <v>1514</v>
      </c>
      <c r="E3713" s="1921"/>
      <c r="F3713" s="1922"/>
      <c r="G3713" s="1923" t="s">
        <v>1515</v>
      </c>
      <c r="H3713" s="1924"/>
      <c r="I3713" s="1925"/>
      <c r="J3713" s="1915"/>
      <c r="K3713" s="1915"/>
      <c r="L3713" s="1915"/>
      <c r="M3713" s="1915"/>
      <c r="N3713" s="1915"/>
      <c r="O3713" s="1915"/>
      <c r="P3713" s="353" t="s">
        <v>1516</v>
      </c>
      <c r="Q3713" s="1915"/>
      <c r="R3713" s="1917"/>
      <c r="S3713" s="1915"/>
      <c r="T3713" s="1915"/>
      <c r="U3713" s="1919"/>
      <c r="V3713" s="1418">
        <f t="shared" si="374"/>
        <v>0</v>
      </c>
      <c r="W3713" s="16"/>
      <c r="X3713" s="16"/>
      <c r="Y3713" s="16"/>
      <c r="Z3713" s="17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</row>
    <row r="3714" spans="1:36" s="361" customFormat="1" ht="15" hidden="1" customHeight="1">
      <c r="A3714" s="354"/>
      <c r="B3714" s="355"/>
      <c r="C3714" s="32" t="s">
        <v>1324</v>
      </c>
      <c r="D3714" s="33"/>
      <c r="E3714" s="34"/>
      <c r="F3714" s="35"/>
      <c r="G3714" s="33"/>
      <c r="H3714" s="34"/>
      <c r="I3714" s="35"/>
      <c r="J3714" s="43"/>
      <c r="K3714" s="42"/>
      <c r="L3714" s="39"/>
      <c r="M3714" s="41"/>
      <c r="N3714" s="356"/>
      <c r="O3714" s="40"/>
      <c r="P3714" s="39"/>
      <c r="Q3714" s="45"/>
      <c r="R3714" s="1359">
        <v>6</v>
      </c>
      <c r="S3714" s="1265" t="s">
        <v>816</v>
      </c>
      <c r="T3714" s="46" t="s">
        <v>331</v>
      </c>
      <c r="U3714" s="44"/>
      <c r="V3714" s="1418">
        <f t="shared" si="374"/>
        <v>0</v>
      </c>
      <c r="W3714" s="357"/>
      <c r="X3714" s="357"/>
      <c r="Y3714" s="357"/>
      <c r="Z3714" s="358"/>
      <c r="AA3714" s="359"/>
      <c r="AB3714" s="360"/>
    </row>
    <row r="3715" spans="1:36" s="361" customFormat="1" ht="15" hidden="1" customHeight="1">
      <c r="A3715" s="354"/>
      <c r="B3715" s="355"/>
      <c r="C3715" s="32"/>
      <c r="D3715" s="33"/>
      <c r="E3715" s="34"/>
      <c r="F3715" s="35"/>
      <c r="G3715" s="33"/>
      <c r="H3715" s="34"/>
      <c r="I3715" s="35"/>
      <c r="J3715" s="43"/>
      <c r="K3715" s="42"/>
      <c r="L3715" s="39"/>
      <c r="M3715" s="41"/>
      <c r="N3715" s="356"/>
      <c r="O3715" s="40"/>
      <c r="P3715" s="39"/>
      <c r="Q3715" s="45"/>
      <c r="R3715" s="362"/>
      <c r="S3715" s="363"/>
      <c r="T3715" s="46"/>
      <c r="U3715" s="44"/>
      <c r="V3715" s="1418">
        <f t="shared" si="374"/>
        <v>0</v>
      </c>
      <c r="W3715" s="357"/>
      <c r="X3715" s="357"/>
      <c r="Y3715" s="357"/>
      <c r="Z3715" s="358"/>
      <c r="AA3715" s="359"/>
      <c r="AB3715" s="360"/>
    </row>
    <row r="3716" spans="1:36" s="369" customFormat="1" ht="15" hidden="1">
      <c r="A3716" s="364"/>
      <c r="B3716" s="355"/>
      <c r="C3716" s="32"/>
      <c r="D3716" s="33"/>
      <c r="E3716" s="34"/>
      <c r="F3716" s="35"/>
      <c r="G3716" s="33"/>
      <c r="H3716" s="34"/>
      <c r="I3716" s="35"/>
      <c r="J3716" s="43"/>
      <c r="K3716" s="42"/>
      <c r="L3716" s="39"/>
      <c r="M3716" s="41"/>
      <c r="N3716" s="40"/>
      <c r="O3716" s="40"/>
      <c r="P3716" s="39"/>
      <c r="Q3716" s="38"/>
      <c r="R3716" s="365"/>
      <c r="S3716" s="366"/>
      <c r="T3716" s="46"/>
      <c r="U3716" s="44"/>
      <c r="V3716" s="1418">
        <f t="shared" si="374"/>
        <v>0</v>
      </c>
      <c r="W3716" s="367"/>
      <c r="X3716" s="367"/>
      <c r="Y3716" s="367"/>
      <c r="Z3716" s="368"/>
    </row>
    <row r="3717" spans="1:36" s="77" customFormat="1" ht="15" hidden="1">
      <c r="A3717" s="370"/>
      <c r="B3717" s="29"/>
      <c r="C3717" s="30"/>
      <c r="D3717" s="18"/>
      <c r="E3717" s="19"/>
      <c r="F3717" s="20"/>
      <c r="G3717" s="18"/>
      <c r="H3717" s="19"/>
      <c r="I3717" s="20"/>
      <c r="J3717" s="21"/>
      <c r="K3717" s="22"/>
      <c r="L3717" s="23"/>
      <c r="M3717" s="24"/>
      <c r="N3717" s="25"/>
      <c r="O3717" s="25"/>
      <c r="P3717" s="23"/>
      <c r="Q3717" s="26"/>
      <c r="R3717" s="371"/>
      <c r="S3717" s="27"/>
      <c r="T3717" s="372"/>
      <c r="U3717" s="31"/>
      <c r="V3717" s="1418">
        <f t="shared" si="374"/>
        <v>0</v>
      </c>
      <c r="AB3717" s="15"/>
    </row>
    <row r="3718" spans="1:36" s="77" customFormat="1" ht="15.6" hidden="1">
      <c r="A3718" s="370"/>
      <c r="B3718" s="499"/>
      <c r="C3718" s="37"/>
      <c r="D3718" s="1929" t="s">
        <v>1520</v>
      </c>
      <c r="E3718" s="1930"/>
      <c r="F3718" s="1930"/>
      <c r="G3718" s="1930"/>
      <c r="H3718" s="1930"/>
      <c r="I3718" s="1931"/>
      <c r="J3718" s="1932">
        <f>VLOOKUP(A3720,'11 - FINANCEIRA'!_xlnm.Print_Area,6,FALSE)</f>
        <v>6</v>
      </c>
      <c r="K3718" s="1933"/>
      <c r="L3718" s="1343" t="str">
        <f>VLOOKUP(A3720,'11 - FINANCEIRA'!_xlnm.Print_Area,4,FALSE)</f>
        <v>und</v>
      </c>
      <c r="M3718" s="1934" t="s">
        <v>1521</v>
      </c>
      <c r="N3718" s="1935"/>
      <c r="O3718" s="1935"/>
      <c r="P3718" s="1935"/>
      <c r="Q3718" s="1936"/>
      <c r="R3718" s="726">
        <f>SUM(R3714:R3717)</f>
        <v>6</v>
      </c>
      <c r="S3718" s="1344" t="str">
        <f>L3718</f>
        <v>und</v>
      </c>
      <c r="T3718" s="373"/>
      <c r="U3718" s="486"/>
      <c r="V3718" s="1418">
        <f t="shared" si="374"/>
        <v>0</v>
      </c>
      <c r="AB3718" s="15"/>
    </row>
    <row r="3719" spans="1:36" s="77" customFormat="1" ht="15.6" hidden="1">
      <c r="A3719" s="370"/>
      <c r="B3719" s="499"/>
      <c r="C3719" s="725"/>
      <c r="D3719" s="1937" t="s">
        <v>1522</v>
      </c>
      <c r="E3719" s="1938"/>
      <c r="F3719" s="1938"/>
      <c r="G3719" s="1938"/>
      <c r="H3719" s="1938"/>
      <c r="I3719" s="1939"/>
      <c r="J3719" s="1943">
        <f>R3718/J3718</f>
        <v>1</v>
      </c>
      <c r="K3719" s="1944"/>
      <c r="L3719" s="1947"/>
      <c r="M3719" s="1934" t="s">
        <v>1523</v>
      </c>
      <c r="N3719" s="1935"/>
      <c r="O3719" s="1935"/>
      <c r="P3719" s="1935"/>
      <c r="Q3719" s="1936"/>
      <c r="R3719" s="726">
        <f>VLOOKUP(A3720,'11 - FINANCEIRA'!_xlnm.Print_Area,8,FALSE)</f>
        <v>6</v>
      </c>
      <c r="S3719" s="727" t="str">
        <f>L3718</f>
        <v>und</v>
      </c>
      <c r="T3719" s="373"/>
      <c r="U3719" s="486"/>
      <c r="V3719" s="1418">
        <f t="shared" si="374"/>
        <v>0</v>
      </c>
      <c r="AB3719" s="15"/>
    </row>
    <row r="3720" spans="1:36" s="77" customFormat="1" ht="15.6" hidden="1">
      <c r="A3720" s="364" t="s">
        <v>686</v>
      </c>
      <c r="B3720" s="499"/>
      <c r="C3720" s="37"/>
      <c r="D3720" s="2013"/>
      <c r="E3720" s="2014"/>
      <c r="F3720" s="2014"/>
      <c r="G3720" s="2014"/>
      <c r="H3720" s="2014"/>
      <c r="I3720" s="2015"/>
      <c r="J3720" s="2016"/>
      <c r="K3720" s="2017"/>
      <c r="L3720" s="1962"/>
      <c r="M3720" s="2007" t="s">
        <v>1524</v>
      </c>
      <c r="N3720" s="2008"/>
      <c r="O3720" s="2008"/>
      <c r="P3720" s="2008"/>
      <c r="Q3720" s="2009"/>
      <c r="R3720" s="1345">
        <f>R3718-R3719</f>
        <v>0</v>
      </c>
      <c r="S3720" s="1346" t="str">
        <f>L3718</f>
        <v>und</v>
      </c>
      <c r="T3720" s="373"/>
      <c r="U3720" s="486"/>
      <c r="V3720" s="1418">
        <f>R3720</f>
        <v>0</v>
      </c>
      <c r="AB3720" s="15"/>
    </row>
    <row r="3721" spans="1:36" s="77" customFormat="1" ht="15.6" hidden="1">
      <c r="A3721" s="370"/>
      <c r="B3721" s="1347"/>
      <c r="C3721" s="1348"/>
      <c r="D3721" s="1349"/>
      <c r="E3721" s="1350"/>
      <c r="F3721" s="1349"/>
      <c r="G3721" s="1349"/>
      <c r="H3721" s="1349"/>
      <c r="I3721" s="1349"/>
      <c r="J3721" s="1351"/>
      <c r="K3721" s="1352"/>
      <c r="L3721" s="1353"/>
      <c r="M3721" s="1354"/>
      <c r="N3721" s="1354"/>
      <c r="O3721" s="1354"/>
      <c r="P3721" s="1354"/>
      <c r="Q3721" s="1354"/>
      <c r="R3721" s="1355"/>
      <c r="S3721" s="1356"/>
      <c r="T3721" s="1357"/>
      <c r="U3721" s="1358"/>
      <c r="V3721" s="1420">
        <f>SUM(V3712:V3720)</f>
        <v>0</v>
      </c>
      <c r="AB3721" s="15"/>
    </row>
    <row r="3722" spans="1:36" s="352" customFormat="1" ht="15.6" hidden="1">
      <c r="A3722" s="351"/>
      <c r="B3722" s="1963" t="str">
        <f>VLOOKUP(A3730,'11 - FINANCEIRA'!_xlnm.Print_Area,1,FALSE)</f>
        <v>2.5.4.15</v>
      </c>
      <c r="C3722" s="1965" t="str">
        <f>VLOOKUP(A3730,'11 - FINANCEIRA'!_xlnm.Print_Area,3,FALSE)</f>
        <v>Terminal estanhado de 1 compressão 1 furo, 50mm², ref. tel-5150, marca de referência termotécnica ou equivalente</v>
      </c>
      <c r="D3722" s="1967" t="s">
        <v>1503</v>
      </c>
      <c r="E3722" s="1968"/>
      <c r="F3722" s="1968"/>
      <c r="G3722" s="1968"/>
      <c r="H3722" s="1968"/>
      <c r="I3722" s="1969"/>
      <c r="J3722" s="1914" t="s">
        <v>1504</v>
      </c>
      <c r="K3722" s="1914" t="s">
        <v>1505</v>
      </c>
      <c r="L3722" s="1914" t="s">
        <v>1506</v>
      </c>
      <c r="M3722" s="1914" t="s">
        <v>1507</v>
      </c>
      <c r="N3722" s="1914" t="s">
        <v>1508</v>
      </c>
      <c r="O3722" s="1914" t="s">
        <v>1509</v>
      </c>
      <c r="P3722" s="1341" t="s">
        <v>1510</v>
      </c>
      <c r="Q3722" s="1914" t="s">
        <v>1493</v>
      </c>
      <c r="R3722" s="1916" t="s">
        <v>804</v>
      </c>
      <c r="S3722" s="1914" t="s">
        <v>1511</v>
      </c>
      <c r="T3722" s="1914" t="s">
        <v>1512</v>
      </c>
      <c r="U3722" s="1918" t="s">
        <v>1513</v>
      </c>
      <c r="V3722" s="1418">
        <f t="shared" ref="V3722:V3729" si="375">V3723</f>
        <v>0</v>
      </c>
      <c r="W3722" s="16"/>
      <c r="X3722" s="16"/>
      <c r="Y3722" s="16"/>
      <c r="Z3722" s="17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</row>
    <row r="3723" spans="1:36" s="352" customFormat="1" ht="15.6" hidden="1">
      <c r="A3723" s="351"/>
      <c r="B3723" s="1964" t="e">
        <f>LEFT(#REF!,5)</f>
        <v>#REF!</v>
      </c>
      <c r="C3723" s="1966" t="e">
        <f>VLOOKUP(LEFT(#REF!,5),'11 - FINANCEIRA'!_xlnm.Print_Area,2,FALSE)</f>
        <v>#REF!</v>
      </c>
      <c r="D3723" s="1920" t="s">
        <v>1514</v>
      </c>
      <c r="E3723" s="1921"/>
      <c r="F3723" s="1922"/>
      <c r="G3723" s="1923" t="s">
        <v>1515</v>
      </c>
      <c r="H3723" s="1924"/>
      <c r="I3723" s="1925"/>
      <c r="J3723" s="1915"/>
      <c r="K3723" s="1915"/>
      <c r="L3723" s="1915"/>
      <c r="M3723" s="1915"/>
      <c r="N3723" s="1915"/>
      <c r="O3723" s="1915"/>
      <c r="P3723" s="353" t="s">
        <v>1516</v>
      </c>
      <c r="Q3723" s="1915"/>
      <c r="R3723" s="1917"/>
      <c r="S3723" s="1915"/>
      <c r="T3723" s="1915"/>
      <c r="U3723" s="1919"/>
      <c r="V3723" s="1418">
        <f t="shared" si="375"/>
        <v>0</v>
      </c>
      <c r="W3723" s="16"/>
      <c r="X3723" s="16"/>
      <c r="Y3723" s="16"/>
      <c r="Z3723" s="17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</row>
    <row r="3724" spans="1:36" s="361" customFormat="1" ht="15" hidden="1" customHeight="1">
      <c r="A3724" s="354"/>
      <c r="B3724" s="355"/>
      <c r="C3724" s="28" t="s">
        <v>1264</v>
      </c>
      <c r="D3724" s="18"/>
      <c r="E3724" s="19"/>
      <c r="F3724" s="20"/>
      <c r="G3724" s="18"/>
      <c r="H3724" s="19"/>
      <c r="I3724" s="20"/>
      <c r="J3724" s="21"/>
      <c r="K3724" s="22"/>
      <c r="L3724" s="23"/>
      <c r="M3724" s="24"/>
      <c r="N3724" s="728"/>
      <c r="O3724" s="25"/>
      <c r="P3724" s="23"/>
      <c r="Q3724" s="729"/>
      <c r="R3724" s="1109">
        <v>30</v>
      </c>
      <c r="S3724" s="730" t="s">
        <v>816</v>
      </c>
      <c r="T3724" s="446" t="s">
        <v>325</v>
      </c>
      <c r="U3724" s="44"/>
      <c r="V3724" s="1418">
        <f t="shared" si="375"/>
        <v>0</v>
      </c>
      <c r="W3724" s="357"/>
      <c r="X3724" s="357"/>
      <c r="Y3724" s="357"/>
      <c r="Z3724" s="358"/>
      <c r="AA3724" s="359"/>
      <c r="AB3724" s="360"/>
    </row>
    <row r="3725" spans="1:36" s="361" customFormat="1" ht="15" hidden="1" customHeight="1">
      <c r="A3725" s="354"/>
      <c r="B3725" s="355"/>
      <c r="C3725" s="32"/>
      <c r="D3725" s="33"/>
      <c r="E3725" s="34"/>
      <c r="F3725" s="35"/>
      <c r="G3725" s="33"/>
      <c r="H3725" s="34"/>
      <c r="I3725" s="35"/>
      <c r="J3725" s="43"/>
      <c r="K3725" s="42"/>
      <c r="L3725" s="39"/>
      <c r="M3725" s="41"/>
      <c r="N3725" s="356"/>
      <c r="O3725" s="40"/>
      <c r="P3725" s="39"/>
      <c r="Q3725" s="45"/>
      <c r="R3725" s="362"/>
      <c r="S3725" s="363"/>
      <c r="T3725" s="46"/>
      <c r="U3725" s="44"/>
      <c r="V3725" s="1418">
        <f t="shared" si="375"/>
        <v>0</v>
      </c>
      <c r="W3725" s="357"/>
      <c r="X3725" s="357"/>
      <c r="Y3725" s="357"/>
      <c r="Z3725" s="358"/>
      <c r="AA3725" s="359"/>
      <c r="AB3725" s="360"/>
    </row>
    <row r="3726" spans="1:36" s="369" customFormat="1" ht="15" hidden="1">
      <c r="A3726" s="364"/>
      <c r="B3726" s="355"/>
      <c r="C3726" s="32"/>
      <c r="D3726" s="33"/>
      <c r="E3726" s="34"/>
      <c r="F3726" s="35"/>
      <c r="G3726" s="33"/>
      <c r="H3726" s="34"/>
      <c r="I3726" s="35"/>
      <c r="J3726" s="43"/>
      <c r="K3726" s="42"/>
      <c r="L3726" s="39"/>
      <c r="M3726" s="41"/>
      <c r="N3726" s="40"/>
      <c r="O3726" s="40"/>
      <c r="P3726" s="39"/>
      <c r="Q3726" s="38"/>
      <c r="R3726" s="365"/>
      <c r="S3726" s="366"/>
      <c r="T3726" s="46"/>
      <c r="U3726" s="44"/>
      <c r="V3726" s="1418">
        <f t="shared" si="375"/>
        <v>0</v>
      </c>
      <c r="W3726" s="367"/>
      <c r="X3726" s="367"/>
      <c r="Y3726" s="367"/>
      <c r="Z3726" s="368"/>
    </row>
    <row r="3727" spans="1:36" s="77" customFormat="1" ht="15" hidden="1">
      <c r="A3727" s="370"/>
      <c r="B3727" s="29"/>
      <c r="C3727" s="30"/>
      <c r="D3727" s="18"/>
      <c r="E3727" s="19"/>
      <c r="F3727" s="20"/>
      <c r="G3727" s="18"/>
      <c r="H3727" s="19"/>
      <c r="I3727" s="20"/>
      <c r="J3727" s="21"/>
      <c r="K3727" s="22"/>
      <c r="L3727" s="23"/>
      <c r="M3727" s="24"/>
      <c r="N3727" s="25"/>
      <c r="O3727" s="25"/>
      <c r="P3727" s="23"/>
      <c r="Q3727" s="26"/>
      <c r="R3727" s="371"/>
      <c r="S3727" s="27"/>
      <c r="T3727" s="372"/>
      <c r="U3727" s="31"/>
      <c r="V3727" s="1418">
        <f t="shared" si="375"/>
        <v>0</v>
      </c>
      <c r="AB3727" s="15"/>
    </row>
    <row r="3728" spans="1:36" s="77" customFormat="1" ht="15.6" hidden="1">
      <c r="A3728" s="370"/>
      <c r="B3728" s="499"/>
      <c r="C3728" s="37"/>
      <c r="D3728" s="1929" t="s">
        <v>1520</v>
      </c>
      <c r="E3728" s="1930"/>
      <c r="F3728" s="1930"/>
      <c r="G3728" s="1930"/>
      <c r="H3728" s="1930"/>
      <c r="I3728" s="1931"/>
      <c r="J3728" s="1932">
        <f>VLOOKUP(A3730,'11 - FINANCEIRA'!_xlnm.Print_Area,6,FALSE)</f>
        <v>30</v>
      </c>
      <c r="K3728" s="1933"/>
      <c r="L3728" s="1343" t="str">
        <f>VLOOKUP(A3730,'11 - FINANCEIRA'!_xlnm.Print_Area,4,FALSE)</f>
        <v>und</v>
      </c>
      <c r="M3728" s="1934" t="s">
        <v>1521</v>
      </c>
      <c r="N3728" s="1935"/>
      <c r="O3728" s="1935"/>
      <c r="P3728" s="1935"/>
      <c r="Q3728" s="1936"/>
      <c r="R3728" s="726">
        <f>SUM(R3724:R3727)</f>
        <v>30</v>
      </c>
      <c r="S3728" s="1344" t="str">
        <f>L3728</f>
        <v>und</v>
      </c>
      <c r="T3728" s="373"/>
      <c r="U3728" s="486"/>
      <c r="V3728" s="1418">
        <f t="shared" si="375"/>
        <v>0</v>
      </c>
      <c r="AB3728" s="15"/>
    </row>
    <row r="3729" spans="1:36" s="77" customFormat="1" ht="15.6" hidden="1">
      <c r="A3729" s="370"/>
      <c r="B3729" s="499"/>
      <c r="C3729" s="725"/>
      <c r="D3729" s="1937" t="s">
        <v>1522</v>
      </c>
      <c r="E3729" s="1938"/>
      <c r="F3729" s="1938"/>
      <c r="G3729" s="1938"/>
      <c r="H3729" s="1938"/>
      <c r="I3729" s="1939"/>
      <c r="J3729" s="1943">
        <f>R3728/J3728</f>
        <v>1</v>
      </c>
      <c r="K3729" s="1944"/>
      <c r="L3729" s="1947"/>
      <c r="M3729" s="1934" t="s">
        <v>1523</v>
      </c>
      <c r="N3729" s="1935"/>
      <c r="O3729" s="1935"/>
      <c r="P3729" s="1935"/>
      <c r="Q3729" s="1936"/>
      <c r="R3729" s="726">
        <f>VLOOKUP(A3730,'11 - FINANCEIRA'!_xlnm.Print_Area,8,FALSE)</f>
        <v>30</v>
      </c>
      <c r="S3729" s="727" t="str">
        <f>L3728</f>
        <v>und</v>
      </c>
      <c r="T3729" s="373"/>
      <c r="U3729" s="486"/>
      <c r="V3729" s="1418">
        <f t="shared" si="375"/>
        <v>0</v>
      </c>
      <c r="AB3729" s="15"/>
    </row>
    <row r="3730" spans="1:36" s="77" customFormat="1" ht="15.6" hidden="1">
      <c r="A3730" s="364" t="s">
        <v>687</v>
      </c>
      <c r="B3730" s="499"/>
      <c r="C3730" s="37"/>
      <c r="D3730" s="2013"/>
      <c r="E3730" s="2014"/>
      <c r="F3730" s="2014"/>
      <c r="G3730" s="2014"/>
      <c r="H3730" s="2014"/>
      <c r="I3730" s="2015"/>
      <c r="J3730" s="2016"/>
      <c r="K3730" s="2017"/>
      <c r="L3730" s="1962"/>
      <c r="M3730" s="2007" t="s">
        <v>1524</v>
      </c>
      <c r="N3730" s="2008"/>
      <c r="O3730" s="2008"/>
      <c r="P3730" s="2008"/>
      <c r="Q3730" s="2009"/>
      <c r="R3730" s="1345">
        <f>R3728-R3729</f>
        <v>0</v>
      </c>
      <c r="S3730" s="1346" t="str">
        <f>L3728</f>
        <v>und</v>
      </c>
      <c r="T3730" s="373"/>
      <c r="U3730" s="486"/>
      <c r="V3730" s="1418">
        <f>R3730</f>
        <v>0</v>
      </c>
      <c r="AB3730" s="15"/>
    </row>
    <row r="3731" spans="1:36" s="77" customFormat="1" ht="15.6" hidden="1">
      <c r="A3731" s="370"/>
      <c r="B3731" s="1347"/>
      <c r="C3731" s="1348"/>
      <c r="D3731" s="1349"/>
      <c r="E3731" s="1350"/>
      <c r="F3731" s="1349"/>
      <c r="G3731" s="1349"/>
      <c r="H3731" s="1349"/>
      <c r="I3731" s="1349"/>
      <c r="J3731" s="1351"/>
      <c r="K3731" s="1352"/>
      <c r="L3731" s="1353"/>
      <c r="M3731" s="1354"/>
      <c r="N3731" s="1354"/>
      <c r="O3731" s="1354"/>
      <c r="P3731" s="1354"/>
      <c r="Q3731" s="1354"/>
      <c r="R3731" s="1355"/>
      <c r="S3731" s="1356"/>
      <c r="T3731" s="1357"/>
      <c r="U3731" s="1358"/>
      <c r="V3731" s="1420">
        <f>SUM(V3722:V3730)</f>
        <v>0</v>
      </c>
      <c r="AB3731" s="15"/>
    </row>
    <row r="3732" spans="1:36" s="352" customFormat="1" ht="15.6" hidden="1">
      <c r="A3732" s="351"/>
      <c r="B3732" s="1963" t="str">
        <f>VLOOKUP(A3740,'11 - FINANCEIRA'!_xlnm.Print_Area,1,FALSE)</f>
        <v>2.5.4.16</v>
      </c>
      <c r="C3732" s="1965" t="str">
        <f>VLOOKUP(A3740,'11 - FINANCEIRA'!_xlnm.Print_Area,3,FALSE)</f>
        <v>Caixa de inspeção em pvc, diâmetro 300 mm, ref tel-552, marca de referência termotécnica ou equivalente, inclusive escavação e reaterro</v>
      </c>
      <c r="D3732" s="1967" t="s">
        <v>1503</v>
      </c>
      <c r="E3732" s="1968"/>
      <c r="F3732" s="1968"/>
      <c r="G3732" s="1968"/>
      <c r="H3732" s="1968"/>
      <c r="I3732" s="1969"/>
      <c r="J3732" s="1914" t="s">
        <v>1504</v>
      </c>
      <c r="K3732" s="1914" t="s">
        <v>1505</v>
      </c>
      <c r="L3732" s="1914" t="s">
        <v>1506</v>
      </c>
      <c r="M3732" s="1914" t="s">
        <v>1507</v>
      </c>
      <c r="N3732" s="1914" t="s">
        <v>1508</v>
      </c>
      <c r="O3732" s="1914" t="s">
        <v>1509</v>
      </c>
      <c r="P3732" s="1341" t="s">
        <v>1510</v>
      </c>
      <c r="Q3732" s="1914" t="s">
        <v>1493</v>
      </c>
      <c r="R3732" s="1916" t="s">
        <v>804</v>
      </c>
      <c r="S3732" s="1914" t="s">
        <v>1511</v>
      </c>
      <c r="T3732" s="1914" t="s">
        <v>1512</v>
      </c>
      <c r="U3732" s="1918" t="s">
        <v>1513</v>
      </c>
      <c r="V3732" s="1418">
        <f t="shared" ref="V3732:V3739" si="376">V3733</f>
        <v>0</v>
      </c>
      <c r="W3732" s="16"/>
      <c r="X3732" s="16"/>
      <c r="Y3732" s="16"/>
      <c r="Z3732" s="17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</row>
    <row r="3733" spans="1:36" s="352" customFormat="1" ht="15.6" hidden="1">
      <c r="A3733" s="351"/>
      <c r="B3733" s="1964" t="e">
        <f>LEFT(#REF!,5)</f>
        <v>#REF!</v>
      </c>
      <c r="C3733" s="1966" t="e">
        <f>VLOOKUP(LEFT(#REF!,5),'11 - FINANCEIRA'!_xlnm.Print_Area,2,FALSE)</f>
        <v>#REF!</v>
      </c>
      <c r="D3733" s="1920" t="s">
        <v>1514</v>
      </c>
      <c r="E3733" s="1921"/>
      <c r="F3733" s="1922"/>
      <c r="G3733" s="1923" t="s">
        <v>1515</v>
      </c>
      <c r="H3733" s="1924"/>
      <c r="I3733" s="1925"/>
      <c r="J3733" s="1915"/>
      <c r="K3733" s="1915"/>
      <c r="L3733" s="1915"/>
      <c r="M3733" s="1915"/>
      <c r="N3733" s="1915"/>
      <c r="O3733" s="1915"/>
      <c r="P3733" s="353" t="s">
        <v>1516</v>
      </c>
      <c r="Q3733" s="1915"/>
      <c r="R3733" s="1917"/>
      <c r="S3733" s="1915"/>
      <c r="T3733" s="1915"/>
      <c r="U3733" s="1919"/>
      <c r="V3733" s="1418">
        <f t="shared" si="376"/>
        <v>0</v>
      </c>
      <c r="W3733" s="16"/>
      <c r="X3733" s="16"/>
      <c r="Y3733" s="16"/>
      <c r="Z3733" s="17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</row>
    <row r="3734" spans="1:36" s="361" customFormat="1" ht="30" hidden="1">
      <c r="A3734" s="354"/>
      <c r="B3734" s="355"/>
      <c r="C3734" s="28" t="s">
        <v>1325</v>
      </c>
      <c r="D3734" s="18"/>
      <c r="E3734" s="19"/>
      <c r="F3734" s="20"/>
      <c r="G3734" s="18"/>
      <c r="H3734" s="19"/>
      <c r="I3734" s="20"/>
      <c r="J3734" s="21"/>
      <c r="K3734" s="22"/>
      <c r="L3734" s="23"/>
      <c r="M3734" s="24"/>
      <c r="N3734" s="728"/>
      <c r="O3734" s="25"/>
      <c r="P3734" s="23"/>
      <c r="Q3734" s="729"/>
      <c r="R3734" s="1109">
        <v>32</v>
      </c>
      <c r="S3734" s="730" t="s">
        <v>816</v>
      </c>
      <c r="T3734" s="446" t="s">
        <v>327</v>
      </c>
      <c r="U3734" s="44"/>
      <c r="V3734" s="1418">
        <f t="shared" si="376"/>
        <v>0</v>
      </c>
      <c r="W3734" s="357"/>
      <c r="X3734" s="357"/>
      <c r="Y3734" s="357"/>
      <c r="Z3734" s="358"/>
      <c r="AA3734" s="359"/>
      <c r="AB3734" s="360"/>
    </row>
    <row r="3735" spans="1:36" s="361" customFormat="1" ht="15" hidden="1" customHeight="1">
      <c r="A3735" s="354"/>
      <c r="B3735" s="355"/>
      <c r="C3735" s="32"/>
      <c r="D3735" s="33"/>
      <c r="E3735" s="34"/>
      <c r="F3735" s="35"/>
      <c r="G3735" s="33"/>
      <c r="H3735" s="34"/>
      <c r="I3735" s="35"/>
      <c r="J3735" s="43"/>
      <c r="K3735" s="42"/>
      <c r="L3735" s="39"/>
      <c r="M3735" s="41"/>
      <c r="N3735" s="356"/>
      <c r="O3735" s="40"/>
      <c r="P3735" s="39"/>
      <c r="Q3735" s="45"/>
      <c r="R3735" s="362"/>
      <c r="S3735" s="363"/>
      <c r="T3735" s="46"/>
      <c r="U3735" s="44"/>
      <c r="V3735" s="1418">
        <f t="shared" si="376"/>
        <v>0</v>
      </c>
      <c r="W3735" s="357"/>
      <c r="X3735" s="357"/>
      <c r="Y3735" s="357"/>
      <c r="Z3735" s="358"/>
      <c r="AA3735" s="359"/>
      <c r="AB3735" s="360"/>
    </row>
    <row r="3736" spans="1:36" s="369" customFormat="1" ht="15" hidden="1">
      <c r="A3736" s="364"/>
      <c r="B3736" s="355"/>
      <c r="C3736" s="32"/>
      <c r="D3736" s="33"/>
      <c r="E3736" s="34"/>
      <c r="F3736" s="35"/>
      <c r="G3736" s="33"/>
      <c r="H3736" s="34"/>
      <c r="I3736" s="35"/>
      <c r="J3736" s="43"/>
      <c r="K3736" s="42"/>
      <c r="L3736" s="39"/>
      <c r="M3736" s="41"/>
      <c r="N3736" s="40"/>
      <c r="O3736" s="40"/>
      <c r="P3736" s="39"/>
      <c r="Q3736" s="38"/>
      <c r="R3736" s="365"/>
      <c r="S3736" s="366"/>
      <c r="T3736" s="46"/>
      <c r="U3736" s="44"/>
      <c r="V3736" s="1418">
        <f t="shared" si="376"/>
        <v>0</v>
      </c>
      <c r="W3736" s="367"/>
      <c r="X3736" s="367"/>
      <c r="Y3736" s="367"/>
      <c r="Z3736" s="368"/>
    </row>
    <row r="3737" spans="1:36" s="77" customFormat="1" ht="15" hidden="1">
      <c r="A3737" s="370"/>
      <c r="B3737" s="29"/>
      <c r="C3737" s="30"/>
      <c r="D3737" s="18"/>
      <c r="E3737" s="19"/>
      <c r="F3737" s="20"/>
      <c r="G3737" s="18"/>
      <c r="H3737" s="19"/>
      <c r="I3737" s="20"/>
      <c r="J3737" s="21"/>
      <c r="K3737" s="22"/>
      <c r="L3737" s="23"/>
      <c r="M3737" s="24"/>
      <c r="N3737" s="25"/>
      <c r="O3737" s="25"/>
      <c r="P3737" s="23"/>
      <c r="Q3737" s="26"/>
      <c r="R3737" s="371"/>
      <c r="S3737" s="27"/>
      <c r="T3737" s="372"/>
      <c r="U3737" s="31"/>
      <c r="V3737" s="1418">
        <f t="shared" si="376"/>
        <v>0</v>
      </c>
      <c r="AB3737" s="15"/>
    </row>
    <row r="3738" spans="1:36" s="77" customFormat="1" ht="15.6" hidden="1">
      <c r="A3738" s="370"/>
      <c r="B3738" s="499"/>
      <c r="C3738" s="37"/>
      <c r="D3738" s="1929" t="s">
        <v>1520</v>
      </c>
      <c r="E3738" s="1930"/>
      <c r="F3738" s="1930"/>
      <c r="G3738" s="1930"/>
      <c r="H3738" s="1930"/>
      <c r="I3738" s="1931"/>
      <c r="J3738" s="1932">
        <f>VLOOKUP(A3740,'11 - FINANCEIRA'!_xlnm.Print_Area,6,FALSE)</f>
        <v>32</v>
      </c>
      <c r="K3738" s="1933"/>
      <c r="L3738" s="1343" t="str">
        <f>VLOOKUP(A3740,'11 - FINANCEIRA'!_xlnm.Print_Area,4,FALSE)</f>
        <v>und</v>
      </c>
      <c r="M3738" s="1934" t="s">
        <v>1521</v>
      </c>
      <c r="N3738" s="1935"/>
      <c r="O3738" s="1935"/>
      <c r="P3738" s="1935"/>
      <c r="Q3738" s="1936"/>
      <c r="R3738" s="726">
        <f>SUM(R3734:R3737)</f>
        <v>32</v>
      </c>
      <c r="S3738" s="1344" t="str">
        <f>L3738</f>
        <v>und</v>
      </c>
      <c r="T3738" s="373"/>
      <c r="U3738" s="486"/>
      <c r="V3738" s="1418">
        <f t="shared" si="376"/>
        <v>0</v>
      </c>
      <c r="AB3738" s="15"/>
    </row>
    <row r="3739" spans="1:36" s="77" customFormat="1" ht="15.6" hidden="1">
      <c r="A3739" s="370"/>
      <c r="B3739" s="499"/>
      <c r="C3739" s="725"/>
      <c r="D3739" s="1937" t="s">
        <v>1522</v>
      </c>
      <c r="E3739" s="1938"/>
      <c r="F3739" s="1938"/>
      <c r="G3739" s="1938"/>
      <c r="H3739" s="1938"/>
      <c r="I3739" s="1939"/>
      <c r="J3739" s="1943">
        <f>R3738/J3738</f>
        <v>1</v>
      </c>
      <c r="K3739" s="1944"/>
      <c r="L3739" s="1947"/>
      <c r="M3739" s="1934" t="s">
        <v>1523</v>
      </c>
      <c r="N3739" s="1935"/>
      <c r="O3739" s="1935"/>
      <c r="P3739" s="1935"/>
      <c r="Q3739" s="1936"/>
      <c r="R3739" s="726">
        <f>VLOOKUP(A3740,'11 - FINANCEIRA'!_xlnm.Print_Area,8,FALSE)</f>
        <v>32</v>
      </c>
      <c r="S3739" s="727" t="str">
        <f>L3738</f>
        <v>und</v>
      </c>
      <c r="T3739" s="373"/>
      <c r="U3739" s="486"/>
      <c r="V3739" s="1418">
        <f t="shared" si="376"/>
        <v>0</v>
      </c>
      <c r="AB3739" s="15"/>
    </row>
    <row r="3740" spans="1:36" s="77" customFormat="1" ht="15.6" hidden="1">
      <c r="A3740" s="364" t="s">
        <v>688</v>
      </c>
      <c r="B3740" s="499"/>
      <c r="C3740" s="37"/>
      <c r="D3740" s="2013"/>
      <c r="E3740" s="2014"/>
      <c r="F3740" s="2014"/>
      <c r="G3740" s="2014"/>
      <c r="H3740" s="2014"/>
      <c r="I3740" s="2015"/>
      <c r="J3740" s="2016"/>
      <c r="K3740" s="2017"/>
      <c r="L3740" s="1962"/>
      <c r="M3740" s="2007" t="s">
        <v>1524</v>
      </c>
      <c r="N3740" s="2008"/>
      <c r="O3740" s="2008"/>
      <c r="P3740" s="2008"/>
      <c r="Q3740" s="2009"/>
      <c r="R3740" s="1345">
        <f>R3738-R3739</f>
        <v>0</v>
      </c>
      <c r="S3740" s="1346" t="str">
        <f>L3738</f>
        <v>und</v>
      </c>
      <c r="T3740" s="373"/>
      <c r="U3740" s="486"/>
      <c r="V3740" s="1418">
        <f>R3740</f>
        <v>0</v>
      </c>
      <c r="AB3740" s="15"/>
    </row>
    <row r="3741" spans="1:36" s="77" customFormat="1" ht="15.6" hidden="1">
      <c r="A3741" s="370"/>
      <c r="B3741" s="1347"/>
      <c r="C3741" s="1348"/>
      <c r="D3741" s="1349"/>
      <c r="E3741" s="1350"/>
      <c r="F3741" s="1349"/>
      <c r="G3741" s="1349"/>
      <c r="H3741" s="1349"/>
      <c r="I3741" s="1349"/>
      <c r="J3741" s="1351"/>
      <c r="K3741" s="1352"/>
      <c r="L3741" s="1353"/>
      <c r="M3741" s="1354"/>
      <c r="N3741" s="1354"/>
      <c r="O3741" s="1354"/>
      <c r="P3741" s="1354"/>
      <c r="Q3741" s="1354"/>
      <c r="R3741" s="1355"/>
      <c r="S3741" s="1356"/>
      <c r="T3741" s="1357"/>
      <c r="U3741" s="1358"/>
      <c r="V3741" s="1420">
        <f>SUM(V3732:V3740)</f>
        <v>0</v>
      </c>
      <c r="AB3741" s="15"/>
    </row>
    <row r="3742" spans="1:36" s="352" customFormat="1" ht="15.6" hidden="1">
      <c r="A3742" s="351"/>
      <c r="B3742" s="1963" t="str">
        <f>VLOOKUP(A3750,'11 - FINANCEIRA'!_xlnm.Print_Area,1,FALSE)</f>
        <v>2.5.4.17</v>
      </c>
      <c r="C3742" s="1965" t="str">
        <f>VLOOKUP(A3750,'11 - FINANCEIRA'!_xlnm.Print_Area,3,FALSE)</f>
        <v>Tampa reforçada em ferro fundido com escotilha tel 536, inclusive assentamento, marca de referência termotécnica ou equivalente</v>
      </c>
      <c r="D3742" s="1967" t="s">
        <v>1503</v>
      </c>
      <c r="E3742" s="1968"/>
      <c r="F3742" s="1968"/>
      <c r="G3742" s="1968"/>
      <c r="H3742" s="1968"/>
      <c r="I3742" s="1969"/>
      <c r="J3742" s="1914" t="s">
        <v>1504</v>
      </c>
      <c r="K3742" s="1914" t="s">
        <v>1505</v>
      </c>
      <c r="L3742" s="1914" t="s">
        <v>1506</v>
      </c>
      <c r="M3742" s="1914" t="s">
        <v>1507</v>
      </c>
      <c r="N3742" s="1914" t="s">
        <v>1508</v>
      </c>
      <c r="O3742" s="1914" t="s">
        <v>1509</v>
      </c>
      <c r="P3742" s="1341" t="s">
        <v>1510</v>
      </c>
      <c r="Q3742" s="1914" t="s">
        <v>1493</v>
      </c>
      <c r="R3742" s="1916" t="s">
        <v>804</v>
      </c>
      <c r="S3742" s="1914" t="s">
        <v>1511</v>
      </c>
      <c r="T3742" s="1914" t="s">
        <v>1512</v>
      </c>
      <c r="U3742" s="1918" t="s">
        <v>1513</v>
      </c>
      <c r="V3742" s="1418">
        <f t="shared" ref="V3742:V3749" si="377">V3743</f>
        <v>0</v>
      </c>
      <c r="W3742" s="16"/>
      <c r="X3742" s="16"/>
      <c r="Y3742" s="16"/>
      <c r="Z3742" s="17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</row>
    <row r="3743" spans="1:36" s="352" customFormat="1" ht="15.6" hidden="1">
      <c r="A3743" s="351"/>
      <c r="B3743" s="1964" t="e">
        <f>LEFT(#REF!,5)</f>
        <v>#REF!</v>
      </c>
      <c r="C3743" s="1966" t="e">
        <f>VLOOKUP(LEFT(#REF!,5),'11 - FINANCEIRA'!_xlnm.Print_Area,2,FALSE)</f>
        <v>#REF!</v>
      </c>
      <c r="D3743" s="1920" t="s">
        <v>1514</v>
      </c>
      <c r="E3743" s="1921"/>
      <c r="F3743" s="1922"/>
      <c r="G3743" s="1923" t="s">
        <v>1515</v>
      </c>
      <c r="H3743" s="1924"/>
      <c r="I3743" s="1925"/>
      <c r="J3743" s="1915"/>
      <c r="K3743" s="1915"/>
      <c r="L3743" s="1915"/>
      <c r="M3743" s="1915"/>
      <c r="N3743" s="1915"/>
      <c r="O3743" s="1915"/>
      <c r="P3743" s="353" t="s">
        <v>1516</v>
      </c>
      <c r="Q3743" s="1915"/>
      <c r="R3743" s="1917"/>
      <c r="S3743" s="1915"/>
      <c r="T3743" s="1915"/>
      <c r="U3743" s="1919"/>
      <c r="V3743" s="1418">
        <f t="shared" si="377"/>
        <v>0</v>
      </c>
      <c r="W3743" s="16"/>
      <c r="X3743" s="16"/>
      <c r="Y3743" s="16"/>
      <c r="Z3743" s="17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</row>
    <row r="3744" spans="1:36" s="361" customFormat="1" ht="30" hidden="1">
      <c r="A3744" s="354"/>
      <c r="B3744" s="355"/>
      <c r="C3744" s="32" t="s">
        <v>164</v>
      </c>
      <c r="D3744" s="33"/>
      <c r="E3744" s="34"/>
      <c r="F3744" s="35"/>
      <c r="G3744" s="33"/>
      <c r="H3744" s="34"/>
      <c r="I3744" s="35"/>
      <c r="J3744" s="43"/>
      <c r="K3744" s="42"/>
      <c r="L3744" s="39"/>
      <c r="M3744" s="41"/>
      <c r="N3744" s="356"/>
      <c r="O3744" s="40"/>
      <c r="P3744" s="39"/>
      <c r="Q3744" s="45"/>
      <c r="R3744" s="1359">
        <v>32</v>
      </c>
      <c r="S3744" s="1265" t="s">
        <v>816</v>
      </c>
      <c r="T3744" s="46" t="s">
        <v>331</v>
      </c>
      <c r="U3744" s="44"/>
      <c r="V3744" s="1418">
        <f t="shared" si="377"/>
        <v>0</v>
      </c>
      <c r="W3744" s="357"/>
      <c r="X3744" s="357"/>
      <c r="Y3744" s="357"/>
      <c r="Z3744" s="358"/>
      <c r="AA3744" s="359"/>
      <c r="AB3744" s="360"/>
    </row>
    <row r="3745" spans="1:36" s="361" customFormat="1" ht="15" hidden="1" customHeight="1">
      <c r="A3745" s="354"/>
      <c r="B3745" s="355"/>
      <c r="C3745" s="32"/>
      <c r="D3745" s="33"/>
      <c r="E3745" s="34"/>
      <c r="F3745" s="35"/>
      <c r="G3745" s="33"/>
      <c r="H3745" s="34"/>
      <c r="I3745" s="35"/>
      <c r="J3745" s="43"/>
      <c r="K3745" s="42"/>
      <c r="L3745" s="39"/>
      <c r="M3745" s="41"/>
      <c r="N3745" s="356"/>
      <c r="O3745" s="40"/>
      <c r="P3745" s="39"/>
      <c r="Q3745" s="45"/>
      <c r="R3745" s="362"/>
      <c r="S3745" s="363"/>
      <c r="T3745" s="46"/>
      <c r="U3745" s="44"/>
      <c r="V3745" s="1418">
        <f t="shared" si="377"/>
        <v>0</v>
      </c>
      <c r="W3745" s="357"/>
      <c r="X3745" s="357"/>
      <c r="Y3745" s="357"/>
      <c r="Z3745" s="358"/>
      <c r="AA3745" s="359"/>
      <c r="AB3745" s="360"/>
    </row>
    <row r="3746" spans="1:36" s="369" customFormat="1" ht="15" hidden="1">
      <c r="A3746" s="364"/>
      <c r="B3746" s="355"/>
      <c r="C3746" s="32"/>
      <c r="D3746" s="33"/>
      <c r="E3746" s="34"/>
      <c r="F3746" s="35"/>
      <c r="G3746" s="33"/>
      <c r="H3746" s="34"/>
      <c r="I3746" s="35"/>
      <c r="J3746" s="43"/>
      <c r="K3746" s="42"/>
      <c r="L3746" s="39"/>
      <c r="M3746" s="41"/>
      <c r="N3746" s="40"/>
      <c r="O3746" s="40"/>
      <c r="P3746" s="39"/>
      <c r="Q3746" s="38"/>
      <c r="R3746" s="365"/>
      <c r="S3746" s="366"/>
      <c r="T3746" s="46"/>
      <c r="U3746" s="44"/>
      <c r="V3746" s="1418">
        <f t="shared" si="377"/>
        <v>0</v>
      </c>
      <c r="W3746" s="367"/>
      <c r="X3746" s="367"/>
      <c r="Y3746" s="367"/>
      <c r="Z3746" s="368"/>
    </row>
    <row r="3747" spans="1:36" s="77" customFormat="1" ht="15" hidden="1">
      <c r="A3747" s="370"/>
      <c r="B3747" s="29"/>
      <c r="C3747" s="30"/>
      <c r="D3747" s="18"/>
      <c r="E3747" s="19"/>
      <c r="F3747" s="20"/>
      <c r="G3747" s="18"/>
      <c r="H3747" s="19"/>
      <c r="I3747" s="20"/>
      <c r="J3747" s="21"/>
      <c r="K3747" s="22"/>
      <c r="L3747" s="23"/>
      <c r="M3747" s="24"/>
      <c r="N3747" s="25"/>
      <c r="O3747" s="25"/>
      <c r="P3747" s="23"/>
      <c r="Q3747" s="26"/>
      <c r="R3747" s="371"/>
      <c r="S3747" s="27"/>
      <c r="T3747" s="372"/>
      <c r="U3747" s="31"/>
      <c r="V3747" s="1418">
        <f t="shared" si="377"/>
        <v>0</v>
      </c>
      <c r="AB3747" s="15"/>
    </row>
    <row r="3748" spans="1:36" s="77" customFormat="1" ht="15.6" hidden="1">
      <c r="A3748" s="370"/>
      <c r="B3748" s="499"/>
      <c r="C3748" s="37"/>
      <c r="D3748" s="1929" t="s">
        <v>1520</v>
      </c>
      <c r="E3748" s="1930"/>
      <c r="F3748" s="1930"/>
      <c r="G3748" s="1930"/>
      <c r="H3748" s="1930"/>
      <c r="I3748" s="1931"/>
      <c r="J3748" s="1932">
        <f>VLOOKUP(A3750,'11 - FINANCEIRA'!_xlnm.Print_Area,6,FALSE)</f>
        <v>32</v>
      </c>
      <c r="K3748" s="1933"/>
      <c r="L3748" s="1343" t="str">
        <f>VLOOKUP(A3750,'11 - FINANCEIRA'!_xlnm.Print_Area,4,FALSE)</f>
        <v>und</v>
      </c>
      <c r="M3748" s="1934" t="s">
        <v>1521</v>
      </c>
      <c r="N3748" s="1935"/>
      <c r="O3748" s="1935"/>
      <c r="P3748" s="1935"/>
      <c r="Q3748" s="1936"/>
      <c r="R3748" s="726">
        <f>SUM(R3744:R3747)</f>
        <v>32</v>
      </c>
      <c r="S3748" s="1344" t="str">
        <f>L3748</f>
        <v>und</v>
      </c>
      <c r="T3748" s="373"/>
      <c r="U3748" s="486"/>
      <c r="V3748" s="1418">
        <f t="shared" si="377"/>
        <v>0</v>
      </c>
      <c r="AB3748" s="15"/>
    </row>
    <row r="3749" spans="1:36" s="77" customFormat="1" ht="15.6" hidden="1">
      <c r="A3749" s="370"/>
      <c r="B3749" s="499"/>
      <c r="C3749" s="725"/>
      <c r="D3749" s="1937" t="s">
        <v>1522</v>
      </c>
      <c r="E3749" s="1938"/>
      <c r="F3749" s="1938"/>
      <c r="G3749" s="1938"/>
      <c r="H3749" s="1938"/>
      <c r="I3749" s="1939"/>
      <c r="J3749" s="1943">
        <f>R3748/J3748</f>
        <v>1</v>
      </c>
      <c r="K3749" s="1944"/>
      <c r="L3749" s="1947"/>
      <c r="M3749" s="1934" t="s">
        <v>1523</v>
      </c>
      <c r="N3749" s="1935"/>
      <c r="O3749" s="1935"/>
      <c r="P3749" s="1935"/>
      <c r="Q3749" s="1936"/>
      <c r="R3749" s="726">
        <f>VLOOKUP(A3750,'11 - FINANCEIRA'!_xlnm.Print_Area,8,FALSE)</f>
        <v>32</v>
      </c>
      <c r="S3749" s="727" t="str">
        <f>L3748</f>
        <v>und</v>
      </c>
      <c r="T3749" s="373"/>
      <c r="U3749" s="486"/>
      <c r="V3749" s="1418">
        <f t="shared" si="377"/>
        <v>0</v>
      </c>
      <c r="AB3749" s="15"/>
    </row>
    <row r="3750" spans="1:36" s="77" customFormat="1" ht="15.6" hidden="1">
      <c r="A3750" s="364" t="s">
        <v>689</v>
      </c>
      <c r="B3750" s="499"/>
      <c r="C3750" s="37"/>
      <c r="D3750" s="2013"/>
      <c r="E3750" s="2014"/>
      <c r="F3750" s="2014"/>
      <c r="G3750" s="2014"/>
      <c r="H3750" s="2014"/>
      <c r="I3750" s="2015"/>
      <c r="J3750" s="2016"/>
      <c r="K3750" s="2017"/>
      <c r="L3750" s="1962"/>
      <c r="M3750" s="2007" t="s">
        <v>1524</v>
      </c>
      <c r="N3750" s="2008"/>
      <c r="O3750" s="2008"/>
      <c r="P3750" s="2008"/>
      <c r="Q3750" s="2009"/>
      <c r="R3750" s="1345">
        <f>R3748-R3749</f>
        <v>0</v>
      </c>
      <c r="S3750" s="1346" t="str">
        <f>L3748</f>
        <v>und</v>
      </c>
      <c r="T3750" s="373"/>
      <c r="U3750" s="486"/>
      <c r="V3750" s="1418">
        <f>R3750</f>
        <v>0</v>
      </c>
      <c r="AB3750" s="15"/>
    </row>
    <row r="3751" spans="1:36" s="77" customFormat="1" ht="15.6" hidden="1">
      <c r="A3751" s="370"/>
      <c r="B3751" s="1347"/>
      <c r="C3751" s="1348"/>
      <c r="D3751" s="1349"/>
      <c r="E3751" s="1350"/>
      <c r="F3751" s="1349"/>
      <c r="G3751" s="1349"/>
      <c r="H3751" s="1349"/>
      <c r="I3751" s="1349"/>
      <c r="J3751" s="1351"/>
      <c r="K3751" s="1352"/>
      <c r="L3751" s="1353"/>
      <c r="M3751" s="1354"/>
      <c r="N3751" s="1354"/>
      <c r="O3751" s="1354"/>
      <c r="P3751" s="1354"/>
      <c r="Q3751" s="1354"/>
      <c r="R3751" s="1355"/>
      <c r="S3751" s="1356"/>
      <c r="T3751" s="1357"/>
      <c r="U3751" s="1358"/>
      <c r="V3751" s="1420">
        <f>SUM(V3742:V3750)</f>
        <v>0</v>
      </c>
      <c r="AB3751" s="15"/>
    </row>
    <row r="3752" spans="1:36" s="352" customFormat="1" ht="15.6" hidden="1">
      <c r="A3752" s="351"/>
      <c r="B3752" s="1963" t="str">
        <f>VLOOKUP(A3760,'11 - FINANCEIRA'!_xlnm.Print_Area,1,FALSE)</f>
        <v>2.5.4.18</v>
      </c>
      <c r="C3752" s="1965" t="str">
        <f>VLOOKUP(A3760,'11 - FINANCEIRA'!_xlnm.Print_Area,3,FALSE)</f>
        <v>Caixa de equalização de potenciais para uso interno e externo com cinco (5) terminais para aterramento (bep), em polipropileno, ref. tel-902, marca de referência termotécnica ou equivalente</v>
      </c>
      <c r="D3752" s="1967" t="s">
        <v>1503</v>
      </c>
      <c r="E3752" s="1968"/>
      <c r="F3752" s="1968"/>
      <c r="G3752" s="1968"/>
      <c r="H3752" s="1968"/>
      <c r="I3752" s="1969"/>
      <c r="J3752" s="1914" t="s">
        <v>1504</v>
      </c>
      <c r="K3752" s="1914" t="s">
        <v>1505</v>
      </c>
      <c r="L3752" s="1914" t="s">
        <v>1506</v>
      </c>
      <c r="M3752" s="1914" t="s">
        <v>1507</v>
      </c>
      <c r="N3752" s="1914" t="s">
        <v>1508</v>
      </c>
      <c r="O3752" s="1914" t="s">
        <v>1509</v>
      </c>
      <c r="P3752" s="1341" t="s">
        <v>1510</v>
      </c>
      <c r="Q3752" s="1914" t="s">
        <v>1493</v>
      </c>
      <c r="R3752" s="1916" t="s">
        <v>804</v>
      </c>
      <c r="S3752" s="1914" t="s">
        <v>1511</v>
      </c>
      <c r="T3752" s="1914" t="s">
        <v>1512</v>
      </c>
      <c r="U3752" s="1918" t="s">
        <v>1513</v>
      </c>
      <c r="V3752" s="1418">
        <f t="shared" ref="V3752:V3759" si="378">V3753</f>
        <v>0</v>
      </c>
      <c r="W3752" s="16"/>
      <c r="X3752" s="16"/>
      <c r="Y3752" s="16"/>
      <c r="Z3752" s="17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</row>
    <row r="3753" spans="1:36" s="352" customFormat="1" ht="15.6" hidden="1">
      <c r="A3753" s="351"/>
      <c r="B3753" s="1964" t="e">
        <f>LEFT(#REF!,5)</f>
        <v>#REF!</v>
      </c>
      <c r="C3753" s="1966" t="e">
        <f>VLOOKUP(LEFT(#REF!,5),'11 - FINANCEIRA'!_xlnm.Print_Area,2,FALSE)</f>
        <v>#REF!</v>
      </c>
      <c r="D3753" s="1920" t="s">
        <v>1514</v>
      </c>
      <c r="E3753" s="1921"/>
      <c r="F3753" s="1922"/>
      <c r="G3753" s="1923" t="s">
        <v>1515</v>
      </c>
      <c r="H3753" s="1924"/>
      <c r="I3753" s="1925"/>
      <c r="J3753" s="1915"/>
      <c r="K3753" s="1915"/>
      <c r="L3753" s="1915"/>
      <c r="M3753" s="1915"/>
      <c r="N3753" s="1915"/>
      <c r="O3753" s="1915"/>
      <c r="P3753" s="353" t="s">
        <v>1516</v>
      </c>
      <c r="Q3753" s="1915"/>
      <c r="R3753" s="1917"/>
      <c r="S3753" s="1915"/>
      <c r="T3753" s="1915"/>
      <c r="U3753" s="1919"/>
      <c r="V3753" s="1418">
        <f t="shared" si="378"/>
        <v>0</v>
      </c>
      <c r="W3753" s="16"/>
      <c r="X3753" s="16"/>
      <c r="Y3753" s="16"/>
      <c r="Z3753" s="17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</row>
    <row r="3754" spans="1:36" s="361" customFormat="1" ht="45" hidden="1">
      <c r="A3754" s="354"/>
      <c r="B3754" s="355"/>
      <c r="C3754" s="32" t="s">
        <v>1327</v>
      </c>
      <c r="D3754" s="33"/>
      <c r="E3754" s="34"/>
      <c r="F3754" s="35"/>
      <c r="G3754" s="33"/>
      <c r="H3754" s="34"/>
      <c r="I3754" s="35"/>
      <c r="J3754" s="43"/>
      <c r="K3754" s="42"/>
      <c r="L3754" s="39"/>
      <c r="M3754" s="41"/>
      <c r="N3754" s="356"/>
      <c r="O3754" s="40"/>
      <c r="P3754" s="39"/>
      <c r="Q3754" s="45"/>
      <c r="R3754" s="1359">
        <v>1</v>
      </c>
      <c r="S3754" s="1265" t="s">
        <v>816</v>
      </c>
      <c r="T3754" s="46" t="s">
        <v>331</v>
      </c>
      <c r="U3754" s="44"/>
      <c r="V3754" s="1418">
        <f t="shared" si="378"/>
        <v>0</v>
      </c>
      <c r="W3754" s="357"/>
      <c r="X3754" s="357"/>
      <c r="Y3754" s="357"/>
      <c r="Z3754" s="358"/>
      <c r="AA3754" s="359"/>
      <c r="AB3754" s="360"/>
    </row>
    <row r="3755" spans="1:36" s="361" customFormat="1" ht="15" hidden="1" customHeight="1">
      <c r="A3755" s="354"/>
      <c r="B3755" s="355"/>
      <c r="C3755" s="32"/>
      <c r="D3755" s="33"/>
      <c r="E3755" s="34"/>
      <c r="F3755" s="35"/>
      <c r="G3755" s="33"/>
      <c r="H3755" s="34"/>
      <c r="I3755" s="35"/>
      <c r="J3755" s="43"/>
      <c r="K3755" s="42"/>
      <c r="L3755" s="39"/>
      <c r="M3755" s="41"/>
      <c r="N3755" s="356"/>
      <c r="O3755" s="40"/>
      <c r="P3755" s="39"/>
      <c r="Q3755" s="45"/>
      <c r="R3755" s="362"/>
      <c r="S3755" s="363"/>
      <c r="T3755" s="46"/>
      <c r="U3755" s="44"/>
      <c r="V3755" s="1418">
        <f t="shared" si="378"/>
        <v>0</v>
      </c>
      <c r="W3755" s="357"/>
      <c r="X3755" s="357"/>
      <c r="Y3755" s="357"/>
      <c r="Z3755" s="358"/>
      <c r="AA3755" s="359"/>
      <c r="AB3755" s="360"/>
    </row>
    <row r="3756" spans="1:36" s="369" customFormat="1" ht="15" hidden="1">
      <c r="A3756" s="364"/>
      <c r="B3756" s="355"/>
      <c r="C3756" s="32"/>
      <c r="D3756" s="33"/>
      <c r="E3756" s="34"/>
      <c r="F3756" s="35"/>
      <c r="G3756" s="33"/>
      <c r="H3756" s="34"/>
      <c r="I3756" s="35"/>
      <c r="J3756" s="43"/>
      <c r="K3756" s="42"/>
      <c r="L3756" s="39"/>
      <c r="M3756" s="41"/>
      <c r="N3756" s="40"/>
      <c r="O3756" s="40"/>
      <c r="P3756" s="39"/>
      <c r="Q3756" s="38"/>
      <c r="R3756" s="365"/>
      <c r="S3756" s="366"/>
      <c r="T3756" s="46"/>
      <c r="U3756" s="44"/>
      <c r="V3756" s="1418">
        <f t="shared" si="378"/>
        <v>0</v>
      </c>
      <c r="W3756" s="367"/>
      <c r="X3756" s="367"/>
      <c r="Y3756" s="367"/>
      <c r="Z3756" s="368"/>
    </row>
    <row r="3757" spans="1:36" s="77" customFormat="1" ht="15" hidden="1">
      <c r="A3757" s="370"/>
      <c r="B3757" s="29"/>
      <c r="C3757" s="30"/>
      <c r="D3757" s="18"/>
      <c r="E3757" s="19"/>
      <c r="F3757" s="20"/>
      <c r="G3757" s="18"/>
      <c r="H3757" s="19"/>
      <c r="I3757" s="20"/>
      <c r="J3757" s="21"/>
      <c r="K3757" s="22"/>
      <c r="L3757" s="23"/>
      <c r="M3757" s="24"/>
      <c r="N3757" s="25"/>
      <c r="O3757" s="25"/>
      <c r="P3757" s="23"/>
      <c r="Q3757" s="26"/>
      <c r="R3757" s="371"/>
      <c r="S3757" s="27"/>
      <c r="T3757" s="372"/>
      <c r="U3757" s="31"/>
      <c r="V3757" s="1418">
        <f t="shared" si="378"/>
        <v>0</v>
      </c>
      <c r="AB3757" s="15"/>
    </row>
    <row r="3758" spans="1:36" s="77" customFormat="1" ht="15.6" hidden="1">
      <c r="A3758" s="370"/>
      <c r="B3758" s="499"/>
      <c r="C3758" s="37"/>
      <c r="D3758" s="1929" t="s">
        <v>1520</v>
      </c>
      <c r="E3758" s="1930"/>
      <c r="F3758" s="1930"/>
      <c r="G3758" s="1930"/>
      <c r="H3758" s="1930"/>
      <c r="I3758" s="1931"/>
      <c r="J3758" s="1932">
        <f>VLOOKUP(A3760,'11 - FINANCEIRA'!_xlnm.Print_Area,6,FALSE)</f>
        <v>1</v>
      </c>
      <c r="K3758" s="1933"/>
      <c r="L3758" s="1343" t="str">
        <f>VLOOKUP(A3760,'11 - FINANCEIRA'!_xlnm.Print_Area,4,FALSE)</f>
        <v>und</v>
      </c>
      <c r="M3758" s="1934" t="s">
        <v>1521</v>
      </c>
      <c r="N3758" s="1935"/>
      <c r="O3758" s="1935"/>
      <c r="P3758" s="1935"/>
      <c r="Q3758" s="1936"/>
      <c r="R3758" s="726">
        <f>SUM(R3754:R3757)</f>
        <v>1</v>
      </c>
      <c r="S3758" s="1344" t="str">
        <f>L3758</f>
        <v>und</v>
      </c>
      <c r="T3758" s="373"/>
      <c r="U3758" s="486"/>
      <c r="V3758" s="1418">
        <f t="shared" si="378"/>
        <v>0</v>
      </c>
      <c r="AB3758" s="15"/>
    </row>
    <row r="3759" spans="1:36" s="77" customFormat="1" ht="15.6" hidden="1">
      <c r="A3759" s="370"/>
      <c r="B3759" s="499"/>
      <c r="C3759" s="725"/>
      <c r="D3759" s="1937" t="s">
        <v>1522</v>
      </c>
      <c r="E3759" s="1938"/>
      <c r="F3759" s="1938"/>
      <c r="G3759" s="1938"/>
      <c r="H3759" s="1938"/>
      <c r="I3759" s="1939"/>
      <c r="J3759" s="1943">
        <f>R3758/J3758</f>
        <v>1</v>
      </c>
      <c r="K3759" s="1944"/>
      <c r="L3759" s="1947"/>
      <c r="M3759" s="1934" t="s">
        <v>1523</v>
      </c>
      <c r="N3759" s="1935"/>
      <c r="O3759" s="1935"/>
      <c r="P3759" s="1935"/>
      <c r="Q3759" s="1936"/>
      <c r="R3759" s="726">
        <f>VLOOKUP(A3760,'11 - FINANCEIRA'!_xlnm.Print_Area,8,FALSE)</f>
        <v>1</v>
      </c>
      <c r="S3759" s="727" t="str">
        <f>L3758</f>
        <v>und</v>
      </c>
      <c r="T3759" s="373"/>
      <c r="U3759" s="486"/>
      <c r="V3759" s="1418">
        <f t="shared" si="378"/>
        <v>0</v>
      </c>
      <c r="AB3759" s="15"/>
    </row>
    <row r="3760" spans="1:36" s="77" customFormat="1" ht="15.6" hidden="1">
      <c r="A3760" s="364" t="s">
        <v>690</v>
      </c>
      <c r="B3760" s="499"/>
      <c r="C3760" s="37"/>
      <c r="D3760" s="2013"/>
      <c r="E3760" s="2014"/>
      <c r="F3760" s="2014"/>
      <c r="G3760" s="2014"/>
      <c r="H3760" s="2014"/>
      <c r="I3760" s="2015"/>
      <c r="J3760" s="2016"/>
      <c r="K3760" s="2017"/>
      <c r="L3760" s="1962"/>
      <c r="M3760" s="2007" t="s">
        <v>1524</v>
      </c>
      <c r="N3760" s="2008"/>
      <c r="O3760" s="2008"/>
      <c r="P3760" s="2008"/>
      <c r="Q3760" s="2009"/>
      <c r="R3760" s="1345">
        <f>R3758-R3759</f>
        <v>0</v>
      </c>
      <c r="S3760" s="1346" t="str">
        <f>L3758</f>
        <v>und</v>
      </c>
      <c r="T3760" s="373"/>
      <c r="U3760" s="486"/>
      <c r="V3760" s="1418">
        <f>R3760</f>
        <v>0</v>
      </c>
      <c r="AB3760" s="15"/>
    </row>
    <row r="3761" spans="1:36" s="77" customFormat="1" ht="15.6" hidden="1">
      <c r="A3761" s="370"/>
      <c r="B3761" s="1347"/>
      <c r="C3761" s="1348"/>
      <c r="D3761" s="1349"/>
      <c r="E3761" s="1350"/>
      <c r="F3761" s="1349"/>
      <c r="G3761" s="1349"/>
      <c r="H3761" s="1349"/>
      <c r="I3761" s="1349"/>
      <c r="J3761" s="1351"/>
      <c r="K3761" s="1352"/>
      <c r="L3761" s="1353"/>
      <c r="M3761" s="1354"/>
      <c r="N3761" s="1354"/>
      <c r="O3761" s="1354"/>
      <c r="P3761" s="1354"/>
      <c r="Q3761" s="1354"/>
      <c r="R3761" s="1355"/>
      <c r="S3761" s="1356"/>
      <c r="T3761" s="1357"/>
      <c r="U3761" s="1358"/>
      <c r="V3761" s="1420">
        <f>SUM(V3752:V3760)</f>
        <v>0</v>
      </c>
      <c r="AB3761" s="15"/>
    </row>
    <row r="3762" spans="1:36" s="352" customFormat="1" ht="15.6" hidden="1">
      <c r="A3762" s="351"/>
      <c r="B3762" s="1963" t="str">
        <f>VLOOKUP(A3770,'11 - FINANCEIRA'!_xlnm.Print_Area,1,FALSE)</f>
        <v>2.5.4.19</v>
      </c>
      <c r="C3762" s="1965" t="str">
        <f>VLOOKUP(A3770,'11 - FINANCEIRA'!_xlnm.Print_Area,3,FALSE)</f>
        <v>Caixa de equalização de potenciais para uso interno e externo com nove (9) terminais para aterramento (bep), em aço, com flange inferior e vedação na porta, ref. tel-903, marca de referência termotécnica ou equivalente</v>
      </c>
      <c r="D3762" s="1967" t="s">
        <v>1503</v>
      </c>
      <c r="E3762" s="1968"/>
      <c r="F3762" s="1968"/>
      <c r="G3762" s="1968"/>
      <c r="H3762" s="1968"/>
      <c r="I3762" s="1969"/>
      <c r="J3762" s="1914" t="s">
        <v>1504</v>
      </c>
      <c r="K3762" s="1914" t="s">
        <v>1505</v>
      </c>
      <c r="L3762" s="1914" t="s">
        <v>1506</v>
      </c>
      <c r="M3762" s="1914" t="s">
        <v>1507</v>
      </c>
      <c r="N3762" s="1914" t="s">
        <v>1508</v>
      </c>
      <c r="O3762" s="1914" t="s">
        <v>1509</v>
      </c>
      <c r="P3762" s="1341" t="s">
        <v>1510</v>
      </c>
      <c r="Q3762" s="1914" t="s">
        <v>1493</v>
      </c>
      <c r="R3762" s="1916" t="s">
        <v>804</v>
      </c>
      <c r="S3762" s="1914" t="s">
        <v>1511</v>
      </c>
      <c r="T3762" s="1914" t="s">
        <v>1512</v>
      </c>
      <c r="U3762" s="1918" t="s">
        <v>1513</v>
      </c>
      <c r="V3762" s="1418">
        <f t="shared" ref="V3762:V3769" si="379">V3763</f>
        <v>0</v>
      </c>
      <c r="W3762" s="16"/>
      <c r="X3762" s="16"/>
      <c r="Y3762" s="16"/>
      <c r="Z3762" s="17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</row>
    <row r="3763" spans="1:36" s="352" customFormat="1" ht="15.6" hidden="1">
      <c r="A3763" s="351"/>
      <c r="B3763" s="1964" t="e">
        <f>LEFT(#REF!,5)</f>
        <v>#REF!</v>
      </c>
      <c r="C3763" s="1966" t="e">
        <f>VLOOKUP(LEFT(#REF!,5),'11 - FINANCEIRA'!_xlnm.Print_Area,2,FALSE)</f>
        <v>#REF!</v>
      </c>
      <c r="D3763" s="1920" t="s">
        <v>1514</v>
      </c>
      <c r="E3763" s="1921"/>
      <c r="F3763" s="1922"/>
      <c r="G3763" s="1923" t="s">
        <v>1515</v>
      </c>
      <c r="H3763" s="1924"/>
      <c r="I3763" s="1925"/>
      <c r="J3763" s="1915"/>
      <c r="K3763" s="1915"/>
      <c r="L3763" s="1915"/>
      <c r="M3763" s="1915"/>
      <c r="N3763" s="1915"/>
      <c r="O3763" s="1915"/>
      <c r="P3763" s="353" t="s">
        <v>1516</v>
      </c>
      <c r="Q3763" s="1915"/>
      <c r="R3763" s="1917"/>
      <c r="S3763" s="1915"/>
      <c r="T3763" s="1915"/>
      <c r="U3763" s="1919"/>
      <c r="V3763" s="1418">
        <f t="shared" si="379"/>
        <v>0</v>
      </c>
      <c r="W3763" s="16"/>
      <c r="X3763" s="16"/>
      <c r="Y3763" s="16"/>
      <c r="Z3763" s="17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</row>
    <row r="3764" spans="1:36" s="361" customFormat="1" ht="45" hidden="1">
      <c r="A3764" s="354"/>
      <c r="B3764" s="355"/>
      <c r="C3764" s="32" t="s">
        <v>1329</v>
      </c>
      <c r="D3764" s="33"/>
      <c r="E3764" s="34"/>
      <c r="F3764" s="35"/>
      <c r="G3764" s="33"/>
      <c r="H3764" s="34"/>
      <c r="I3764" s="35"/>
      <c r="J3764" s="43"/>
      <c r="K3764" s="42"/>
      <c r="L3764" s="39"/>
      <c r="M3764" s="41"/>
      <c r="N3764" s="356"/>
      <c r="O3764" s="40"/>
      <c r="P3764" s="39"/>
      <c r="Q3764" s="45"/>
      <c r="R3764" s="1359">
        <v>1</v>
      </c>
      <c r="S3764" s="1265" t="s">
        <v>816</v>
      </c>
      <c r="T3764" s="46" t="s">
        <v>331</v>
      </c>
      <c r="U3764" s="44"/>
      <c r="V3764" s="1418">
        <f t="shared" si="379"/>
        <v>0</v>
      </c>
      <c r="W3764" s="357"/>
      <c r="X3764" s="357"/>
      <c r="Y3764" s="357"/>
      <c r="Z3764" s="358"/>
      <c r="AA3764" s="359"/>
      <c r="AB3764" s="360"/>
    </row>
    <row r="3765" spans="1:36" s="361" customFormat="1" ht="15" hidden="1" customHeight="1">
      <c r="A3765" s="354"/>
      <c r="B3765" s="355"/>
      <c r="C3765" s="32"/>
      <c r="D3765" s="33"/>
      <c r="E3765" s="34"/>
      <c r="F3765" s="35"/>
      <c r="G3765" s="33"/>
      <c r="H3765" s="34"/>
      <c r="I3765" s="35"/>
      <c r="J3765" s="43"/>
      <c r="K3765" s="42"/>
      <c r="L3765" s="39"/>
      <c r="M3765" s="41"/>
      <c r="N3765" s="356"/>
      <c r="O3765" s="40"/>
      <c r="P3765" s="39"/>
      <c r="Q3765" s="45"/>
      <c r="R3765" s="362"/>
      <c r="S3765" s="363"/>
      <c r="T3765" s="46"/>
      <c r="U3765" s="44"/>
      <c r="V3765" s="1418">
        <f t="shared" si="379"/>
        <v>0</v>
      </c>
      <c r="W3765" s="357"/>
      <c r="X3765" s="357"/>
      <c r="Y3765" s="357"/>
      <c r="Z3765" s="358"/>
      <c r="AA3765" s="359"/>
      <c r="AB3765" s="360"/>
    </row>
    <row r="3766" spans="1:36" s="369" customFormat="1" ht="15" hidden="1">
      <c r="A3766" s="364"/>
      <c r="B3766" s="355"/>
      <c r="C3766" s="32"/>
      <c r="D3766" s="33"/>
      <c r="E3766" s="34"/>
      <c r="F3766" s="35"/>
      <c r="G3766" s="33"/>
      <c r="H3766" s="34"/>
      <c r="I3766" s="35"/>
      <c r="J3766" s="43"/>
      <c r="K3766" s="42"/>
      <c r="L3766" s="39"/>
      <c r="M3766" s="41"/>
      <c r="N3766" s="40"/>
      <c r="O3766" s="40"/>
      <c r="P3766" s="39"/>
      <c r="Q3766" s="38"/>
      <c r="R3766" s="365"/>
      <c r="S3766" s="366"/>
      <c r="T3766" s="46"/>
      <c r="U3766" s="44"/>
      <c r="V3766" s="1418">
        <f t="shared" si="379"/>
        <v>0</v>
      </c>
      <c r="W3766" s="367"/>
      <c r="X3766" s="367"/>
      <c r="Y3766" s="367"/>
      <c r="Z3766" s="368"/>
    </row>
    <row r="3767" spans="1:36" s="77" customFormat="1" ht="15" hidden="1">
      <c r="A3767" s="370"/>
      <c r="B3767" s="29"/>
      <c r="C3767" s="30"/>
      <c r="D3767" s="18"/>
      <c r="E3767" s="19"/>
      <c r="F3767" s="20"/>
      <c r="G3767" s="18"/>
      <c r="H3767" s="19"/>
      <c r="I3767" s="20"/>
      <c r="J3767" s="21"/>
      <c r="K3767" s="22"/>
      <c r="L3767" s="23"/>
      <c r="M3767" s="24"/>
      <c r="N3767" s="25"/>
      <c r="O3767" s="25"/>
      <c r="P3767" s="23"/>
      <c r="Q3767" s="26"/>
      <c r="R3767" s="371"/>
      <c r="S3767" s="27"/>
      <c r="T3767" s="372"/>
      <c r="U3767" s="31"/>
      <c r="V3767" s="1418">
        <f t="shared" si="379"/>
        <v>0</v>
      </c>
      <c r="AB3767" s="15"/>
    </row>
    <row r="3768" spans="1:36" s="77" customFormat="1" ht="15.6" hidden="1">
      <c r="A3768" s="370"/>
      <c r="B3768" s="499"/>
      <c r="C3768" s="37"/>
      <c r="D3768" s="1929" t="s">
        <v>1520</v>
      </c>
      <c r="E3768" s="1930"/>
      <c r="F3768" s="1930"/>
      <c r="G3768" s="1930"/>
      <c r="H3768" s="1930"/>
      <c r="I3768" s="1931"/>
      <c r="J3768" s="1932">
        <f>VLOOKUP(A3770,'11 - FINANCEIRA'!_xlnm.Print_Area,6,FALSE)</f>
        <v>1</v>
      </c>
      <c r="K3768" s="1933"/>
      <c r="L3768" s="1343" t="str">
        <f>VLOOKUP(A3770,'11 - FINANCEIRA'!_xlnm.Print_Area,4,FALSE)</f>
        <v>und</v>
      </c>
      <c r="M3768" s="1934" t="s">
        <v>1521</v>
      </c>
      <c r="N3768" s="1935"/>
      <c r="O3768" s="1935"/>
      <c r="P3768" s="1935"/>
      <c r="Q3768" s="1936"/>
      <c r="R3768" s="726">
        <f>SUM(R3764:R3767)</f>
        <v>1</v>
      </c>
      <c r="S3768" s="1344" t="str">
        <f>L3768</f>
        <v>und</v>
      </c>
      <c r="T3768" s="373"/>
      <c r="U3768" s="486"/>
      <c r="V3768" s="1418">
        <f t="shared" si="379"/>
        <v>0</v>
      </c>
      <c r="AB3768" s="15"/>
    </row>
    <row r="3769" spans="1:36" s="77" customFormat="1" ht="15.6" hidden="1">
      <c r="A3769" s="370"/>
      <c r="B3769" s="499"/>
      <c r="C3769" s="725"/>
      <c r="D3769" s="1937" t="s">
        <v>1522</v>
      </c>
      <c r="E3769" s="1938"/>
      <c r="F3769" s="1938"/>
      <c r="G3769" s="1938"/>
      <c r="H3769" s="1938"/>
      <c r="I3769" s="1939"/>
      <c r="J3769" s="1943">
        <f>R3768/J3768</f>
        <v>1</v>
      </c>
      <c r="K3769" s="1944"/>
      <c r="L3769" s="1947"/>
      <c r="M3769" s="1934" t="s">
        <v>1523</v>
      </c>
      <c r="N3769" s="1935"/>
      <c r="O3769" s="1935"/>
      <c r="P3769" s="1935"/>
      <c r="Q3769" s="1936"/>
      <c r="R3769" s="726">
        <f>VLOOKUP(A3770,'11 - FINANCEIRA'!_xlnm.Print_Area,8,FALSE)</f>
        <v>1</v>
      </c>
      <c r="S3769" s="727" t="str">
        <f>L3768</f>
        <v>und</v>
      </c>
      <c r="T3769" s="373"/>
      <c r="U3769" s="486"/>
      <c r="V3769" s="1418">
        <f t="shared" si="379"/>
        <v>0</v>
      </c>
      <c r="AB3769" s="15"/>
    </row>
    <row r="3770" spans="1:36" s="77" customFormat="1" ht="15.6" hidden="1">
      <c r="A3770" s="364" t="s">
        <v>691</v>
      </c>
      <c r="B3770" s="499"/>
      <c r="C3770" s="37"/>
      <c r="D3770" s="2013"/>
      <c r="E3770" s="2014"/>
      <c r="F3770" s="2014"/>
      <c r="G3770" s="2014"/>
      <c r="H3770" s="2014"/>
      <c r="I3770" s="2015"/>
      <c r="J3770" s="2016"/>
      <c r="K3770" s="2017"/>
      <c r="L3770" s="1962"/>
      <c r="M3770" s="2007" t="s">
        <v>1524</v>
      </c>
      <c r="N3770" s="2008"/>
      <c r="O3770" s="2008"/>
      <c r="P3770" s="2008"/>
      <c r="Q3770" s="2009"/>
      <c r="R3770" s="1345">
        <f>R3768-R3769</f>
        <v>0</v>
      </c>
      <c r="S3770" s="1346" t="str">
        <f>L3768</f>
        <v>und</v>
      </c>
      <c r="T3770" s="373"/>
      <c r="U3770" s="486"/>
      <c r="V3770" s="1418">
        <f>R3770</f>
        <v>0</v>
      </c>
      <c r="AB3770" s="15"/>
    </row>
    <row r="3771" spans="1:36" s="77" customFormat="1" ht="15.6" hidden="1">
      <c r="A3771" s="370"/>
      <c r="B3771" s="1347"/>
      <c r="C3771" s="1348"/>
      <c r="D3771" s="1349"/>
      <c r="E3771" s="1350"/>
      <c r="F3771" s="1349"/>
      <c r="G3771" s="1349"/>
      <c r="H3771" s="1349"/>
      <c r="I3771" s="1349"/>
      <c r="J3771" s="1351"/>
      <c r="K3771" s="1352"/>
      <c r="L3771" s="1353"/>
      <c r="M3771" s="1354"/>
      <c r="N3771" s="1354"/>
      <c r="O3771" s="1354"/>
      <c r="P3771" s="1354"/>
      <c r="Q3771" s="1354"/>
      <c r="R3771" s="1355"/>
      <c r="S3771" s="1356"/>
      <c r="T3771" s="1357"/>
      <c r="U3771" s="1358"/>
      <c r="V3771" s="1420">
        <f>SUM(V3762:V3770)</f>
        <v>0</v>
      </c>
      <c r="AB3771" s="15"/>
    </row>
    <row r="3772" spans="1:36" s="352" customFormat="1" ht="15.6" hidden="1">
      <c r="A3772" s="351"/>
      <c r="B3772" s="1963" t="str">
        <f>VLOOKUP(A3780,'11 - FINANCEIRA'!_xlnm.Print_Area,1,FALSE)</f>
        <v>2.5.4.20</v>
      </c>
      <c r="C3772" s="1965" t="str">
        <f>VLOOKUP(A3780,'11 - FINANCEIRA'!_xlnm.Print_Area,3,FALSE)</f>
        <v>Haste de terra tipo copperweld - 5/8" x 2.40m</v>
      </c>
      <c r="D3772" s="1967" t="s">
        <v>1503</v>
      </c>
      <c r="E3772" s="1968"/>
      <c r="F3772" s="1968"/>
      <c r="G3772" s="1968"/>
      <c r="H3772" s="1968"/>
      <c r="I3772" s="1969"/>
      <c r="J3772" s="1914" t="s">
        <v>1504</v>
      </c>
      <c r="K3772" s="1914" t="s">
        <v>1505</v>
      </c>
      <c r="L3772" s="1914" t="s">
        <v>1506</v>
      </c>
      <c r="M3772" s="1914" t="s">
        <v>1507</v>
      </c>
      <c r="N3772" s="1914" t="s">
        <v>1508</v>
      </c>
      <c r="O3772" s="1914" t="s">
        <v>1509</v>
      </c>
      <c r="P3772" s="1341" t="s">
        <v>1510</v>
      </c>
      <c r="Q3772" s="1914" t="s">
        <v>1493</v>
      </c>
      <c r="R3772" s="1916" t="s">
        <v>804</v>
      </c>
      <c r="S3772" s="1914" t="s">
        <v>1511</v>
      </c>
      <c r="T3772" s="1914" t="s">
        <v>1512</v>
      </c>
      <c r="U3772" s="1918" t="s">
        <v>1513</v>
      </c>
      <c r="V3772" s="1418">
        <f t="shared" ref="V3772:V3779" si="380">V3773</f>
        <v>0</v>
      </c>
      <c r="W3772" s="16"/>
      <c r="X3772" s="16"/>
      <c r="Y3772" s="16"/>
      <c r="Z3772" s="17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</row>
    <row r="3773" spans="1:36" s="352" customFormat="1" ht="15.6" hidden="1">
      <c r="A3773" s="351"/>
      <c r="B3773" s="1964" t="e">
        <f>LEFT(#REF!,5)</f>
        <v>#REF!</v>
      </c>
      <c r="C3773" s="1966" t="e">
        <f>VLOOKUP(LEFT(#REF!,5),'11 - FINANCEIRA'!_xlnm.Print_Area,2,FALSE)</f>
        <v>#REF!</v>
      </c>
      <c r="D3773" s="1920" t="s">
        <v>1514</v>
      </c>
      <c r="E3773" s="1921"/>
      <c r="F3773" s="1922"/>
      <c r="G3773" s="1923" t="s">
        <v>1515</v>
      </c>
      <c r="H3773" s="1924"/>
      <c r="I3773" s="1925"/>
      <c r="J3773" s="1915"/>
      <c r="K3773" s="1915"/>
      <c r="L3773" s="1915"/>
      <c r="M3773" s="1915"/>
      <c r="N3773" s="1915"/>
      <c r="O3773" s="1915"/>
      <c r="P3773" s="353" t="s">
        <v>1516</v>
      </c>
      <c r="Q3773" s="1915"/>
      <c r="R3773" s="1917"/>
      <c r="S3773" s="1915"/>
      <c r="T3773" s="1915"/>
      <c r="U3773" s="1919"/>
      <c r="V3773" s="1418">
        <f t="shared" si="380"/>
        <v>0</v>
      </c>
      <c r="W3773" s="16"/>
      <c r="X3773" s="16"/>
      <c r="Y3773" s="16"/>
      <c r="Z3773" s="17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</row>
    <row r="3774" spans="1:36" s="361" customFormat="1" ht="15" hidden="1" customHeight="1">
      <c r="A3774" s="354"/>
      <c r="B3774" s="355"/>
      <c r="C3774" s="28" t="s">
        <v>1271</v>
      </c>
      <c r="D3774" s="18"/>
      <c r="E3774" s="19"/>
      <c r="F3774" s="20"/>
      <c r="G3774" s="18"/>
      <c r="H3774" s="19"/>
      <c r="I3774" s="20"/>
      <c r="J3774" s="21"/>
      <c r="K3774" s="22"/>
      <c r="L3774" s="23"/>
      <c r="M3774" s="24"/>
      <c r="N3774" s="728"/>
      <c r="O3774" s="25"/>
      <c r="P3774" s="23"/>
      <c r="Q3774" s="729"/>
      <c r="R3774" s="1109">
        <v>16</v>
      </c>
      <c r="S3774" s="730" t="s">
        <v>816</v>
      </c>
      <c r="T3774" s="446" t="s">
        <v>322</v>
      </c>
      <c r="U3774" s="44"/>
      <c r="V3774" s="1418">
        <f t="shared" si="380"/>
        <v>0</v>
      </c>
      <c r="W3774" s="357"/>
      <c r="X3774" s="357"/>
      <c r="Y3774" s="357"/>
      <c r="Z3774" s="358"/>
      <c r="AA3774" s="359"/>
      <c r="AB3774" s="360"/>
    </row>
    <row r="3775" spans="1:36" s="361" customFormat="1" ht="15" hidden="1" customHeight="1">
      <c r="A3775" s="354"/>
      <c r="B3775" s="355"/>
      <c r="C3775" s="28" t="s">
        <v>1271</v>
      </c>
      <c r="D3775" s="18"/>
      <c r="E3775" s="19"/>
      <c r="F3775" s="20"/>
      <c r="G3775" s="18"/>
      <c r="H3775" s="19"/>
      <c r="I3775" s="20"/>
      <c r="J3775" s="21"/>
      <c r="K3775" s="22"/>
      <c r="L3775" s="23"/>
      <c r="M3775" s="24"/>
      <c r="N3775" s="728"/>
      <c r="O3775" s="25"/>
      <c r="P3775" s="23"/>
      <c r="Q3775" s="729"/>
      <c r="R3775" s="445">
        <v>16</v>
      </c>
      <c r="S3775" s="792" t="s">
        <v>816</v>
      </c>
      <c r="T3775" s="446" t="s">
        <v>325</v>
      </c>
      <c r="U3775" s="44"/>
      <c r="V3775" s="1418">
        <f t="shared" si="380"/>
        <v>0</v>
      </c>
      <c r="W3775" s="357"/>
      <c r="X3775" s="357"/>
      <c r="Y3775" s="357"/>
      <c r="Z3775" s="358"/>
      <c r="AA3775" s="359"/>
      <c r="AB3775" s="360"/>
    </row>
    <row r="3776" spans="1:36" s="369" customFormat="1" ht="15" hidden="1" customHeight="1">
      <c r="A3776" s="364"/>
      <c r="B3776" s="355"/>
      <c r="C3776" s="32"/>
      <c r="D3776" s="33"/>
      <c r="E3776" s="34"/>
      <c r="F3776" s="35"/>
      <c r="G3776" s="33"/>
      <c r="H3776" s="34"/>
      <c r="I3776" s="35"/>
      <c r="J3776" s="43"/>
      <c r="K3776" s="42"/>
      <c r="L3776" s="39"/>
      <c r="M3776" s="41"/>
      <c r="N3776" s="40"/>
      <c r="O3776" s="40"/>
      <c r="P3776" s="39"/>
      <c r="Q3776" s="38"/>
      <c r="R3776" s="365"/>
      <c r="S3776" s="366"/>
      <c r="T3776" s="46"/>
      <c r="U3776" s="44"/>
      <c r="V3776" s="1418">
        <f t="shared" si="380"/>
        <v>0</v>
      </c>
      <c r="W3776" s="367"/>
      <c r="X3776" s="367"/>
      <c r="Y3776" s="367"/>
      <c r="Z3776" s="368"/>
    </row>
    <row r="3777" spans="1:36" s="77" customFormat="1" ht="15" hidden="1">
      <c r="A3777" s="370"/>
      <c r="B3777" s="29"/>
      <c r="C3777" s="30"/>
      <c r="D3777" s="18"/>
      <c r="E3777" s="19"/>
      <c r="F3777" s="20"/>
      <c r="G3777" s="18"/>
      <c r="H3777" s="19"/>
      <c r="I3777" s="20"/>
      <c r="J3777" s="21"/>
      <c r="K3777" s="22"/>
      <c r="L3777" s="23"/>
      <c r="M3777" s="24"/>
      <c r="N3777" s="25"/>
      <c r="O3777" s="25"/>
      <c r="P3777" s="23"/>
      <c r="Q3777" s="26"/>
      <c r="R3777" s="371"/>
      <c r="S3777" s="27"/>
      <c r="T3777" s="372"/>
      <c r="U3777" s="31"/>
      <c r="V3777" s="1418">
        <f t="shared" si="380"/>
        <v>0</v>
      </c>
      <c r="AB3777" s="15"/>
    </row>
    <row r="3778" spans="1:36" s="77" customFormat="1" ht="15.6" hidden="1">
      <c r="A3778" s="370"/>
      <c r="B3778" s="499"/>
      <c r="C3778" s="37"/>
      <c r="D3778" s="1929" t="s">
        <v>1520</v>
      </c>
      <c r="E3778" s="1930"/>
      <c r="F3778" s="1930"/>
      <c r="G3778" s="1930"/>
      <c r="H3778" s="1930"/>
      <c r="I3778" s="1931"/>
      <c r="J3778" s="1932">
        <f>VLOOKUP(A3780,'11 - FINANCEIRA'!_xlnm.Print_Area,6,FALSE)</f>
        <v>32</v>
      </c>
      <c r="K3778" s="1933"/>
      <c r="L3778" s="1343" t="str">
        <f>VLOOKUP(A3780,'11 - FINANCEIRA'!_xlnm.Print_Area,4,FALSE)</f>
        <v>und</v>
      </c>
      <c r="M3778" s="1934" t="s">
        <v>1521</v>
      </c>
      <c r="N3778" s="1935"/>
      <c r="O3778" s="1935"/>
      <c r="P3778" s="1935"/>
      <c r="Q3778" s="1936"/>
      <c r="R3778" s="726">
        <f>SUM(R3774:R3777)</f>
        <v>32</v>
      </c>
      <c r="S3778" s="1344" t="str">
        <f>L3778</f>
        <v>und</v>
      </c>
      <c r="T3778" s="373"/>
      <c r="U3778" s="486"/>
      <c r="V3778" s="1418">
        <f t="shared" si="380"/>
        <v>0</v>
      </c>
      <c r="AB3778" s="15"/>
    </row>
    <row r="3779" spans="1:36" s="77" customFormat="1" ht="15.6" hidden="1">
      <c r="A3779" s="370"/>
      <c r="B3779" s="499"/>
      <c r="C3779" s="725"/>
      <c r="D3779" s="1937" t="s">
        <v>1522</v>
      </c>
      <c r="E3779" s="1938"/>
      <c r="F3779" s="1938"/>
      <c r="G3779" s="1938"/>
      <c r="H3779" s="1938"/>
      <c r="I3779" s="1939"/>
      <c r="J3779" s="1943">
        <f>R3778/J3778</f>
        <v>1</v>
      </c>
      <c r="K3779" s="1944"/>
      <c r="L3779" s="1947"/>
      <c r="M3779" s="1934" t="s">
        <v>1523</v>
      </c>
      <c r="N3779" s="1935"/>
      <c r="O3779" s="1935"/>
      <c r="P3779" s="1935"/>
      <c r="Q3779" s="1936"/>
      <c r="R3779" s="726">
        <f>VLOOKUP(A3780,'11 - FINANCEIRA'!_xlnm.Print_Area,8,FALSE)</f>
        <v>32</v>
      </c>
      <c r="S3779" s="727" t="str">
        <f>L3778</f>
        <v>und</v>
      </c>
      <c r="T3779" s="373"/>
      <c r="U3779" s="486"/>
      <c r="V3779" s="1418">
        <f t="shared" si="380"/>
        <v>0</v>
      </c>
      <c r="AB3779" s="15"/>
    </row>
    <row r="3780" spans="1:36" s="77" customFormat="1" ht="15.6" hidden="1">
      <c r="A3780" s="364" t="s">
        <v>692</v>
      </c>
      <c r="B3780" s="499"/>
      <c r="C3780" s="37"/>
      <c r="D3780" s="2013"/>
      <c r="E3780" s="2014"/>
      <c r="F3780" s="2014"/>
      <c r="G3780" s="2014"/>
      <c r="H3780" s="2014"/>
      <c r="I3780" s="2015"/>
      <c r="J3780" s="2016"/>
      <c r="K3780" s="2017"/>
      <c r="L3780" s="1962"/>
      <c r="M3780" s="2007" t="s">
        <v>1524</v>
      </c>
      <c r="N3780" s="2008"/>
      <c r="O3780" s="2008"/>
      <c r="P3780" s="2008"/>
      <c r="Q3780" s="2009"/>
      <c r="R3780" s="1345">
        <f>R3778-R3779</f>
        <v>0</v>
      </c>
      <c r="S3780" s="1346" t="str">
        <f>L3778</f>
        <v>und</v>
      </c>
      <c r="T3780" s="373"/>
      <c r="U3780" s="486"/>
      <c r="V3780" s="1418">
        <f>R3780</f>
        <v>0</v>
      </c>
      <c r="AB3780" s="15"/>
    </row>
    <row r="3781" spans="1:36" s="77" customFormat="1" ht="15.6" hidden="1">
      <c r="A3781" s="370"/>
      <c r="B3781" s="1347"/>
      <c r="C3781" s="1348"/>
      <c r="D3781" s="1349"/>
      <c r="E3781" s="1350"/>
      <c r="F3781" s="1349"/>
      <c r="G3781" s="1349"/>
      <c r="H3781" s="1349"/>
      <c r="I3781" s="1349"/>
      <c r="J3781" s="1351"/>
      <c r="K3781" s="1352"/>
      <c r="L3781" s="1353"/>
      <c r="M3781" s="1354"/>
      <c r="N3781" s="1354"/>
      <c r="O3781" s="1354"/>
      <c r="P3781" s="1354"/>
      <c r="Q3781" s="1354"/>
      <c r="R3781" s="1355"/>
      <c r="S3781" s="1356"/>
      <c r="T3781" s="1357"/>
      <c r="U3781" s="1358"/>
      <c r="V3781" s="1420">
        <f>SUM(V3772:V3780)</f>
        <v>0</v>
      </c>
      <c r="AB3781" s="15"/>
    </row>
    <row r="3782" spans="1:36" s="352" customFormat="1" ht="15.6" hidden="1">
      <c r="A3782" s="351"/>
      <c r="B3782" s="1963" t="str">
        <f>VLOOKUP(A3790,'11 - FINANCEIRA'!_xlnm.Print_Area,1,FALSE)</f>
        <v>2.5.4.21</v>
      </c>
      <c r="C3782" s="1965" t="str">
        <f>VLOOKUP(A3790,'11 - FINANCEIRA'!_xlnm.Print_Area,3,FALSE)</f>
        <v>Kit completo para solda exotérmica (molde hcl 5/8" ref: tel905611 / cartucho n° 115 ref: tel 909115 / alicate z 201 ref: tel 998201), marca de referência termotécnica ou equivalente inclusive conexões</v>
      </c>
      <c r="D3782" s="1967" t="s">
        <v>1503</v>
      </c>
      <c r="E3782" s="1968"/>
      <c r="F3782" s="1968"/>
      <c r="G3782" s="1968"/>
      <c r="H3782" s="1968"/>
      <c r="I3782" s="1969"/>
      <c r="J3782" s="1914" t="s">
        <v>1504</v>
      </c>
      <c r="K3782" s="1914" t="s">
        <v>1505</v>
      </c>
      <c r="L3782" s="1914" t="s">
        <v>1506</v>
      </c>
      <c r="M3782" s="1914" t="s">
        <v>1507</v>
      </c>
      <c r="N3782" s="1914" t="s">
        <v>1508</v>
      </c>
      <c r="O3782" s="1914" t="s">
        <v>1509</v>
      </c>
      <c r="P3782" s="1341" t="s">
        <v>1510</v>
      </c>
      <c r="Q3782" s="1914" t="s">
        <v>1493</v>
      </c>
      <c r="R3782" s="1916" t="s">
        <v>804</v>
      </c>
      <c r="S3782" s="1914" t="s">
        <v>1511</v>
      </c>
      <c r="T3782" s="1914" t="s">
        <v>1512</v>
      </c>
      <c r="U3782" s="1918" t="s">
        <v>1513</v>
      </c>
      <c r="V3782" s="1418">
        <f t="shared" ref="V3782:V3789" si="381">V3783</f>
        <v>0</v>
      </c>
      <c r="W3782" s="16"/>
      <c r="X3782" s="16"/>
      <c r="Y3782" s="16"/>
      <c r="Z3782" s="17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</row>
    <row r="3783" spans="1:36" s="352" customFormat="1" ht="15.6" hidden="1">
      <c r="A3783" s="351"/>
      <c r="B3783" s="1964" t="e">
        <f>LEFT(#REF!,5)</f>
        <v>#REF!</v>
      </c>
      <c r="C3783" s="1966" t="e">
        <f>VLOOKUP(LEFT(#REF!,5),'11 - FINANCEIRA'!_xlnm.Print_Area,2,FALSE)</f>
        <v>#REF!</v>
      </c>
      <c r="D3783" s="1920" t="s">
        <v>1514</v>
      </c>
      <c r="E3783" s="1921"/>
      <c r="F3783" s="1922"/>
      <c r="G3783" s="1923" t="s">
        <v>1515</v>
      </c>
      <c r="H3783" s="1924"/>
      <c r="I3783" s="1925"/>
      <c r="J3783" s="1915"/>
      <c r="K3783" s="1915"/>
      <c r="L3783" s="1915"/>
      <c r="M3783" s="1915"/>
      <c r="N3783" s="1915"/>
      <c r="O3783" s="1915"/>
      <c r="P3783" s="353" t="s">
        <v>1516</v>
      </c>
      <c r="Q3783" s="1915"/>
      <c r="R3783" s="1917"/>
      <c r="S3783" s="1915"/>
      <c r="T3783" s="1915"/>
      <c r="U3783" s="1919"/>
      <c r="V3783" s="1418">
        <f t="shared" si="381"/>
        <v>0</v>
      </c>
      <c r="W3783" s="16"/>
      <c r="X3783" s="16"/>
      <c r="Y3783" s="16"/>
      <c r="Z3783" s="17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</row>
    <row r="3784" spans="1:36" s="361" customFormat="1" ht="15" hidden="1" customHeight="1">
      <c r="A3784" s="354"/>
      <c r="B3784" s="355"/>
      <c r="C3784" s="28" t="s">
        <v>1273</v>
      </c>
      <c r="D3784" s="18"/>
      <c r="E3784" s="19"/>
      <c r="F3784" s="20"/>
      <c r="G3784" s="18"/>
      <c r="H3784" s="19"/>
      <c r="I3784" s="20"/>
      <c r="J3784" s="21"/>
      <c r="K3784" s="22"/>
      <c r="L3784" s="23"/>
      <c r="M3784" s="24"/>
      <c r="N3784" s="728"/>
      <c r="O3784" s="25"/>
      <c r="P3784" s="23"/>
      <c r="Q3784" s="729"/>
      <c r="R3784" s="1109">
        <v>32</v>
      </c>
      <c r="S3784" s="730" t="s">
        <v>816</v>
      </c>
      <c r="T3784" s="446" t="s">
        <v>325</v>
      </c>
      <c r="U3784" s="793"/>
      <c r="V3784" s="1418">
        <f t="shared" si="381"/>
        <v>0</v>
      </c>
      <c r="W3784" s="357"/>
      <c r="X3784" s="357"/>
      <c r="Y3784" s="357"/>
      <c r="Z3784" s="358"/>
      <c r="AA3784" s="359"/>
      <c r="AB3784" s="360"/>
    </row>
    <row r="3785" spans="1:36" s="361" customFormat="1" ht="15" hidden="1" customHeight="1">
      <c r="A3785" s="354"/>
      <c r="B3785" s="355"/>
      <c r="C3785" s="32"/>
      <c r="D3785" s="33"/>
      <c r="E3785" s="34"/>
      <c r="F3785" s="35"/>
      <c r="G3785" s="33"/>
      <c r="H3785" s="34"/>
      <c r="I3785" s="35"/>
      <c r="J3785" s="43"/>
      <c r="K3785" s="42"/>
      <c r="L3785" s="39"/>
      <c r="M3785" s="41"/>
      <c r="N3785" s="356"/>
      <c r="O3785" s="40"/>
      <c r="P3785" s="39"/>
      <c r="Q3785" s="45"/>
      <c r="R3785" s="362"/>
      <c r="S3785" s="363"/>
      <c r="T3785" s="46"/>
      <c r="U3785" s="44"/>
      <c r="V3785" s="1418">
        <f t="shared" si="381"/>
        <v>0</v>
      </c>
      <c r="W3785" s="357"/>
      <c r="X3785" s="357"/>
      <c r="Y3785" s="357"/>
      <c r="Z3785" s="358"/>
      <c r="AA3785" s="359"/>
      <c r="AB3785" s="360"/>
    </row>
    <row r="3786" spans="1:36" s="369" customFormat="1" ht="15" hidden="1">
      <c r="A3786" s="364"/>
      <c r="B3786" s="355"/>
      <c r="C3786" s="32"/>
      <c r="D3786" s="33"/>
      <c r="E3786" s="34"/>
      <c r="F3786" s="35"/>
      <c r="G3786" s="33"/>
      <c r="H3786" s="34"/>
      <c r="I3786" s="35"/>
      <c r="J3786" s="43"/>
      <c r="K3786" s="42"/>
      <c r="L3786" s="39"/>
      <c r="M3786" s="41"/>
      <c r="N3786" s="40"/>
      <c r="O3786" s="40"/>
      <c r="P3786" s="39"/>
      <c r="Q3786" s="38"/>
      <c r="R3786" s="365"/>
      <c r="S3786" s="366"/>
      <c r="T3786" s="46"/>
      <c r="U3786" s="44"/>
      <c r="V3786" s="1418">
        <f t="shared" si="381"/>
        <v>0</v>
      </c>
      <c r="W3786" s="367"/>
      <c r="X3786" s="367"/>
      <c r="Y3786" s="367"/>
      <c r="Z3786" s="368"/>
    </row>
    <row r="3787" spans="1:36" s="77" customFormat="1" ht="15" hidden="1">
      <c r="A3787" s="370"/>
      <c r="B3787" s="29"/>
      <c r="C3787" s="30"/>
      <c r="D3787" s="18"/>
      <c r="E3787" s="19"/>
      <c r="F3787" s="20"/>
      <c r="G3787" s="18"/>
      <c r="H3787" s="19"/>
      <c r="I3787" s="20"/>
      <c r="J3787" s="21"/>
      <c r="K3787" s="22"/>
      <c r="L3787" s="23"/>
      <c r="M3787" s="24"/>
      <c r="N3787" s="25"/>
      <c r="O3787" s="25"/>
      <c r="P3787" s="23"/>
      <c r="Q3787" s="26"/>
      <c r="R3787" s="371"/>
      <c r="S3787" s="27"/>
      <c r="T3787" s="372"/>
      <c r="U3787" s="31"/>
      <c r="V3787" s="1418">
        <f t="shared" si="381"/>
        <v>0</v>
      </c>
      <c r="AB3787" s="15"/>
    </row>
    <row r="3788" spans="1:36" s="77" customFormat="1" ht="15.6" hidden="1">
      <c r="A3788" s="370"/>
      <c r="B3788" s="499"/>
      <c r="C3788" s="37"/>
      <c r="D3788" s="1929" t="s">
        <v>1520</v>
      </c>
      <c r="E3788" s="1930"/>
      <c r="F3788" s="1930"/>
      <c r="G3788" s="1930"/>
      <c r="H3788" s="1930"/>
      <c r="I3788" s="1931"/>
      <c r="J3788" s="1932">
        <f>VLOOKUP(A3790,'11 - FINANCEIRA'!_xlnm.Print_Area,6,FALSE)</f>
        <v>32</v>
      </c>
      <c r="K3788" s="1933"/>
      <c r="L3788" s="1343" t="str">
        <f>VLOOKUP(A3790,'11 - FINANCEIRA'!_xlnm.Print_Area,4,FALSE)</f>
        <v>und</v>
      </c>
      <c r="M3788" s="1934" t="s">
        <v>1521</v>
      </c>
      <c r="N3788" s="1935"/>
      <c r="O3788" s="1935"/>
      <c r="P3788" s="1935"/>
      <c r="Q3788" s="1936"/>
      <c r="R3788" s="726">
        <f>SUM(R3784:R3787)</f>
        <v>32</v>
      </c>
      <c r="S3788" s="1344" t="str">
        <f>L3788</f>
        <v>und</v>
      </c>
      <c r="T3788" s="373"/>
      <c r="U3788" s="486"/>
      <c r="V3788" s="1418">
        <f t="shared" si="381"/>
        <v>0</v>
      </c>
      <c r="AB3788" s="15"/>
    </row>
    <row r="3789" spans="1:36" s="77" customFormat="1" ht="15.6" hidden="1">
      <c r="A3789" s="370"/>
      <c r="B3789" s="499"/>
      <c r="C3789" s="725"/>
      <c r="D3789" s="1937" t="s">
        <v>1522</v>
      </c>
      <c r="E3789" s="1938"/>
      <c r="F3789" s="1938"/>
      <c r="G3789" s="1938"/>
      <c r="H3789" s="1938"/>
      <c r="I3789" s="1939"/>
      <c r="J3789" s="1943">
        <f>R3788/J3788</f>
        <v>1</v>
      </c>
      <c r="K3789" s="1944"/>
      <c r="L3789" s="1947"/>
      <c r="M3789" s="1934" t="s">
        <v>1523</v>
      </c>
      <c r="N3789" s="1935"/>
      <c r="O3789" s="1935"/>
      <c r="P3789" s="1935"/>
      <c r="Q3789" s="1936"/>
      <c r="R3789" s="726">
        <f>VLOOKUP(A3790,'11 - FINANCEIRA'!_xlnm.Print_Area,8,FALSE)</f>
        <v>32</v>
      </c>
      <c r="S3789" s="727" t="str">
        <f>L3788</f>
        <v>und</v>
      </c>
      <c r="T3789" s="373"/>
      <c r="U3789" s="486"/>
      <c r="V3789" s="1418">
        <f t="shared" si="381"/>
        <v>0</v>
      </c>
      <c r="AB3789" s="15"/>
    </row>
    <row r="3790" spans="1:36" s="77" customFormat="1" ht="15.6" hidden="1">
      <c r="A3790" s="364" t="s">
        <v>693</v>
      </c>
      <c r="B3790" s="499"/>
      <c r="C3790" s="37"/>
      <c r="D3790" s="2013"/>
      <c r="E3790" s="2014"/>
      <c r="F3790" s="2014"/>
      <c r="G3790" s="2014"/>
      <c r="H3790" s="2014"/>
      <c r="I3790" s="2015"/>
      <c r="J3790" s="2016"/>
      <c r="K3790" s="2017"/>
      <c r="L3790" s="1962"/>
      <c r="M3790" s="2007" t="s">
        <v>1524</v>
      </c>
      <c r="N3790" s="2008"/>
      <c r="O3790" s="2008"/>
      <c r="P3790" s="2008"/>
      <c r="Q3790" s="2009"/>
      <c r="R3790" s="1345">
        <f>R3788-R3789</f>
        <v>0</v>
      </c>
      <c r="S3790" s="1346" t="str">
        <f>L3788</f>
        <v>und</v>
      </c>
      <c r="T3790" s="373"/>
      <c r="U3790" s="486"/>
      <c r="V3790" s="1418">
        <f>R3790</f>
        <v>0</v>
      </c>
      <c r="AB3790" s="15"/>
    </row>
    <row r="3791" spans="1:36" s="77" customFormat="1" ht="15.6" hidden="1">
      <c r="A3791" s="370"/>
      <c r="B3791" s="1347"/>
      <c r="C3791" s="1348"/>
      <c r="D3791" s="1349"/>
      <c r="E3791" s="1350"/>
      <c r="F3791" s="1349"/>
      <c r="G3791" s="1349"/>
      <c r="H3791" s="1349"/>
      <c r="I3791" s="1349"/>
      <c r="J3791" s="1351"/>
      <c r="K3791" s="1352"/>
      <c r="L3791" s="1353"/>
      <c r="M3791" s="1354"/>
      <c r="N3791" s="1354"/>
      <c r="O3791" s="1354"/>
      <c r="P3791" s="1354"/>
      <c r="Q3791" s="1354"/>
      <c r="R3791" s="1355"/>
      <c r="S3791" s="1356"/>
      <c r="T3791" s="1357"/>
      <c r="U3791" s="1358"/>
      <c r="V3791" s="1420">
        <f>SUM(V3782:V3790)</f>
        <v>0</v>
      </c>
      <c r="AB3791" s="15"/>
    </row>
    <row r="3792" spans="1:36" s="352" customFormat="1" ht="15.6" hidden="1">
      <c r="A3792" s="351"/>
      <c r="B3792" s="1963" t="str">
        <f>VLOOKUP(A3800,'11 - FINANCEIRA'!_xlnm.Print_Area,1,FALSE)</f>
        <v>2.5.4.22</v>
      </c>
      <c r="C3792" s="1965" t="str">
        <f>VLOOKUP(A3800,'11 - FINANCEIRA'!_xlnm.Print_Area,3,FALSE)</f>
        <v>Eletroduto de pvc rígido roscável, diâm. 1" (32mm), inclusive conexões</v>
      </c>
      <c r="D3792" s="1967" t="s">
        <v>1503</v>
      </c>
      <c r="E3792" s="1968"/>
      <c r="F3792" s="1968"/>
      <c r="G3792" s="1968"/>
      <c r="H3792" s="1968"/>
      <c r="I3792" s="1969"/>
      <c r="J3792" s="1914" t="s">
        <v>1504</v>
      </c>
      <c r="K3792" s="1914" t="s">
        <v>1505</v>
      </c>
      <c r="L3792" s="1914" t="s">
        <v>1506</v>
      </c>
      <c r="M3792" s="1914" t="s">
        <v>1507</v>
      </c>
      <c r="N3792" s="1914" t="s">
        <v>1508</v>
      </c>
      <c r="O3792" s="1914" t="s">
        <v>1509</v>
      </c>
      <c r="P3792" s="1341" t="s">
        <v>1510</v>
      </c>
      <c r="Q3792" s="1914" t="s">
        <v>1493</v>
      </c>
      <c r="R3792" s="1916" t="s">
        <v>804</v>
      </c>
      <c r="S3792" s="1914" t="s">
        <v>1511</v>
      </c>
      <c r="T3792" s="1914" t="s">
        <v>1512</v>
      </c>
      <c r="U3792" s="1918" t="s">
        <v>1513</v>
      </c>
      <c r="V3792" s="1418">
        <f t="shared" ref="V3792:V3799" si="382">V3793</f>
        <v>0</v>
      </c>
      <c r="W3792" s="16"/>
      <c r="X3792" s="16"/>
      <c r="Y3792" s="16"/>
      <c r="Z3792" s="17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</row>
    <row r="3793" spans="1:36" s="352" customFormat="1" ht="15.6" hidden="1">
      <c r="A3793" s="351"/>
      <c r="B3793" s="1964" t="e">
        <f>LEFT(#REF!,5)</f>
        <v>#REF!</v>
      </c>
      <c r="C3793" s="1966" t="e">
        <f>VLOOKUP(LEFT(#REF!,5),'11 - FINANCEIRA'!_xlnm.Print_Area,2,FALSE)</f>
        <v>#REF!</v>
      </c>
      <c r="D3793" s="1920" t="s">
        <v>1514</v>
      </c>
      <c r="E3793" s="1921"/>
      <c r="F3793" s="1922"/>
      <c r="G3793" s="1923" t="s">
        <v>1515</v>
      </c>
      <c r="H3793" s="1924"/>
      <c r="I3793" s="1925"/>
      <c r="J3793" s="1915"/>
      <c r="K3793" s="1915"/>
      <c r="L3793" s="1915"/>
      <c r="M3793" s="1915"/>
      <c r="N3793" s="1915"/>
      <c r="O3793" s="1915"/>
      <c r="P3793" s="353" t="s">
        <v>1516</v>
      </c>
      <c r="Q3793" s="1915"/>
      <c r="R3793" s="1917"/>
      <c r="S3793" s="1915"/>
      <c r="T3793" s="1915"/>
      <c r="U3793" s="1919"/>
      <c r="V3793" s="1418">
        <f t="shared" si="382"/>
        <v>0</v>
      </c>
      <c r="W3793" s="16"/>
      <c r="X3793" s="16"/>
      <c r="Y3793" s="16"/>
      <c r="Z3793" s="17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</row>
    <row r="3794" spans="1:36" s="361" customFormat="1" ht="15" hidden="1" customHeight="1">
      <c r="A3794" s="354"/>
      <c r="B3794" s="355"/>
      <c r="C3794" s="32" t="s">
        <v>1200</v>
      </c>
      <c r="D3794" s="33"/>
      <c r="E3794" s="34"/>
      <c r="F3794" s="35"/>
      <c r="G3794" s="33"/>
      <c r="H3794" s="34"/>
      <c r="I3794" s="35"/>
      <c r="J3794" s="43"/>
      <c r="K3794" s="42"/>
      <c r="L3794" s="39"/>
      <c r="M3794" s="41"/>
      <c r="N3794" s="356"/>
      <c r="O3794" s="40"/>
      <c r="P3794" s="39"/>
      <c r="Q3794" s="45"/>
      <c r="R3794" s="1359">
        <v>18</v>
      </c>
      <c r="S3794" s="1265" t="s">
        <v>809</v>
      </c>
      <c r="T3794" s="46" t="s">
        <v>331</v>
      </c>
      <c r="U3794" s="44"/>
      <c r="V3794" s="1418">
        <f t="shared" si="382"/>
        <v>0</v>
      </c>
      <c r="W3794" s="357"/>
      <c r="X3794" s="357"/>
      <c r="Y3794" s="357"/>
      <c r="Z3794" s="358"/>
      <c r="AA3794" s="359"/>
      <c r="AB3794" s="360"/>
    </row>
    <row r="3795" spans="1:36" s="361" customFormat="1" ht="15" hidden="1" customHeight="1">
      <c r="A3795" s="354"/>
      <c r="B3795" s="355"/>
      <c r="C3795" s="32"/>
      <c r="D3795" s="33"/>
      <c r="E3795" s="34"/>
      <c r="F3795" s="35"/>
      <c r="G3795" s="33"/>
      <c r="H3795" s="34"/>
      <c r="I3795" s="35"/>
      <c r="J3795" s="43"/>
      <c r="K3795" s="42"/>
      <c r="L3795" s="39"/>
      <c r="M3795" s="41"/>
      <c r="N3795" s="356"/>
      <c r="O3795" s="40"/>
      <c r="P3795" s="39"/>
      <c r="Q3795" s="45"/>
      <c r="R3795" s="362"/>
      <c r="S3795" s="363"/>
      <c r="T3795" s="46"/>
      <c r="U3795" s="44"/>
      <c r="V3795" s="1418">
        <f t="shared" si="382"/>
        <v>0</v>
      </c>
      <c r="W3795" s="357"/>
      <c r="X3795" s="357"/>
      <c r="Y3795" s="357"/>
      <c r="Z3795" s="358"/>
      <c r="AA3795" s="359"/>
      <c r="AB3795" s="360"/>
    </row>
    <row r="3796" spans="1:36" s="369" customFormat="1" ht="15" hidden="1">
      <c r="A3796" s="364"/>
      <c r="B3796" s="355"/>
      <c r="C3796" s="32"/>
      <c r="D3796" s="33"/>
      <c r="E3796" s="34"/>
      <c r="F3796" s="35"/>
      <c r="G3796" s="33"/>
      <c r="H3796" s="34"/>
      <c r="I3796" s="35"/>
      <c r="J3796" s="43"/>
      <c r="K3796" s="42"/>
      <c r="L3796" s="39"/>
      <c r="M3796" s="41"/>
      <c r="N3796" s="40"/>
      <c r="O3796" s="40"/>
      <c r="P3796" s="39"/>
      <c r="Q3796" s="38"/>
      <c r="R3796" s="365"/>
      <c r="S3796" s="366"/>
      <c r="T3796" s="46"/>
      <c r="U3796" s="44"/>
      <c r="V3796" s="1418">
        <f t="shared" si="382"/>
        <v>0</v>
      </c>
      <c r="W3796" s="367"/>
      <c r="X3796" s="367"/>
      <c r="Y3796" s="367"/>
      <c r="Z3796" s="368"/>
    </row>
    <row r="3797" spans="1:36" s="77" customFormat="1" ht="15" hidden="1">
      <c r="A3797" s="370"/>
      <c r="B3797" s="29"/>
      <c r="C3797" s="30"/>
      <c r="D3797" s="18"/>
      <c r="E3797" s="19"/>
      <c r="F3797" s="20"/>
      <c r="G3797" s="18"/>
      <c r="H3797" s="19"/>
      <c r="I3797" s="20"/>
      <c r="J3797" s="21"/>
      <c r="K3797" s="22"/>
      <c r="L3797" s="23"/>
      <c r="M3797" s="24"/>
      <c r="N3797" s="25"/>
      <c r="O3797" s="25"/>
      <c r="P3797" s="23"/>
      <c r="Q3797" s="26"/>
      <c r="R3797" s="371"/>
      <c r="S3797" s="27"/>
      <c r="T3797" s="372"/>
      <c r="U3797" s="31"/>
      <c r="V3797" s="1418">
        <f t="shared" si="382"/>
        <v>0</v>
      </c>
      <c r="AB3797" s="15"/>
    </row>
    <row r="3798" spans="1:36" s="77" customFormat="1" ht="15.6" hidden="1">
      <c r="A3798" s="370"/>
      <c r="B3798" s="499"/>
      <c r="C3798" s="37"/>
      <c r="D3798" s="1929" t="s">
        <v>1520</v>
      </c>
      <c r="E3798" s="1930"/>
      <c r="F3798" s="1930"/>
      <c r="G3798" s="1930"/>
      <c r="H3798" s="1930"/>
      <c r="I3798" s="1931"/>
      <c r="J3798" s="1932">
        <f>VLOOKUP(A3800,'11 - FINANCEIRA'!_xlnm.Print_Area,6,FALSE)</f>
        <v>18</v>
      </c>
      <c r="K3798" s="1933"/>
      <c r="L3798" s="1343" t="str">
        <f>VLOOKUP(A3800,'11 - FINANCEIRA'!_xlnm.Print_Area,4,FALSE)</f>
        <v>m</v>
      </c>
      <c r="M3798" s="1934" t="s">
        <v>1521</v>
      </c>
      <c r="N3798" s="1935"/>
      <c r="O3798" s="1935"/>
      <c r="P3798" s="1935"/>
      <c r="Q3798" s="1936"/>
      <c r="R3798" s="726">
        <f>SUM(R3794:R3797)</f>
        <v>18</v>
      </c>
      <c r="S3798" s="1344" t="str">
        <f>L3798</f>
        <v>m</v>
      </c>
      <c r="T3798" s="373"/>
      <c r="U3798" s="486"/>
      <c r="V3798" s="1418">
        <f t="shared" si="382"/>
        <v>0</v>
      </c>
      <c r="AB3798" s="15"/>
    </row>
    <row r="3799" spans="1:36" s="77" customFormat="1" ht="15.6" hidden="1">
      <c r="A3799" s="370"/>
      <c r="B3799" s="499"/>
      <c r="C3799" s="725"/>
      <c r="D3799" s="1937" t="s">
        <v>1522</v>
      </c>
      <c r="E3799" s="1938"/>
      <c r="F3799" s="1938"/>
      <c r="G3799" s="1938"/>
      <c r="H3799" s="1938"/>
      <c r="I3799" s="1939"/>
      <c r="J3799" s="1943">
        <f>R3798/J3798</f>
        <v>1</v>
      </c>
      <c r="K3799" s="1944"/>
      <c r="L3799" s="1947"/>
      <c r="M3799" s="1934" t="s">
        <v>1523</v>
      </c>
      <c r="N3799" s="1935"/>
      <c r="O3799" s="1935"/>
      <c r="P3799" s="1935"/>
      <c r="Q3799" s="1936"/>
      <c r="R3799" s="726">
        <f>VLOOKUP(A3800,'11 - FINANCEIRA'!_xlnm.Print_Area,8,FALSE)</f>
        <v>18</v>
      </c>
      <c r="S3799" s="727" t="str">
        <f>L3798</f>
        <v>m</v>
      </c>
      <c r="T3799" s="373"/>
      <c r="U3799" s="486"/>
      <c r="V3799" s="1418">
        <f t="shared" si="382"/>
        <v>0</v>
      </c>
      <c r="AB3799" s="15"/>
    </row>
    <row r="3800" spans="1:36" s="77" customFormat="1" ht="15.6" hidden="1">
      <c r="A3800" s="364" t="s">
        <v>694</v>
      </c>
      <c r="B3800" s="499"/>
      <c r="C3800" s="37"/>
      <c r="D3800" s="2013"/>
      <c r="E3800" s="2014"/>
      <c r="F3800" s="2014"/>
      <c r="G3800" s="2014"/>
      <c r="H3800" s="2014"/>
      <c r="I3800" s="2015"/>
      <c r="J3800" s="2016"/>
      <c r="K3800" s="2017"/>
      <c r="L3800" s="1962"/>
      <c r="M3800" s="2007" t="s">
        <v>1524</v>
      </c>
      <c r="N3800" s="2008"/>
      <c r="O3800" s="2008"/>
      <c r="P3800" s="2008"/>
      <c r="Q3800" s="2009"/>
      <c r="R3800" s="1345">
        <f>R3798-R3799</f>
        <v>0</v>
      </c>
      <c r="S3800" s="1346" t="str">
        <f>L3798</f>
        <v>m</v>
      </c>
      <c r="T3800" s="373"/>
      <c r="U3800" s="486"/>
      <c r="V3800" s="1418">
        <f>R3800</f>
        <v>0</v>
      </c>
      <c r="AB3800" s="15"/>
    </row>
    <row r="3801" spans="1:36" s="77" customFormat="1" ht="15.6" hidden="1">
      <c r="A3801" s="370"/>
      <c r="B3801" s="1347"/>
      <c r="C3801" s="1348"/>
      <c r="D3801" s="1349"/>
      <c r="E3801" s="1350"/>
      <c r="F3801" s="1349"/>
      <c r="G3801" s="1349"/>
      <c r="H3801" s="1349"/>
      <c r="I3801" s="1349"/>
      <c r="J3801" s="1351"/>
      <c r="K3801" s="1352"/>
      <c r="L3801" s="1353"/>
      <c r="M3801" s="1354"/>
      <c r="N3801" s="1354"/>
      <c r="O3801" s="1354"/>
      <c r="P3801" s="1354"/>
      <c r="Q3801" s="1354"/>
      <c r="R3801" s="1355"/>
      <c r="S3801" s="1356"/>
      <c r="T3801" s="1357"/>
      <c r="U3801" s="1358"/>
      <c r="V3801" s="1420">
        <f>SUM(V3792:V3800)</f>
        <v>0</v>
      </c>
      <c r="AB3801" s="15"/>
    </row>
    <row r="3802" spans="1:36" s="632" customFormat="1" ht="15.6" hidden="1">
      <c r="A3802" s="630"/>
      <c r="B3802" s="1333" t="str">
        <f>LEFT(A3811,5)</f>
        <v>2.5.5</v>
      </c>
      <c r="C3802" s="1334" t="str">
        <f>VLOOKUP(LEFT(A3811,5),'11 - FINANCEIRA'!_xlnm.Print_Area,2,FALSE)</f>
        <v>CABEAMENTO ESTRUTURADO E CFTV</v>
      </c>
      <c r="D3802" s="1334"/>
      <c r="E3802" s="1335"/>
      <c r="F3802" s="1334"/>
      <c r="G3802" s="2071"/>
      <c r="H3802" s="2072"/>
      <c r="I3802" s="2072"/>
      <c r="J3802" s="2072"/>
      <c r="K3802" s="2072"/>
      <c r="L3802" s="2072"/>
      <c r="M3802" s="1338"/>
      <c r="N3802" s="1339"/>
      <c r="O3802" s="2072"/>
      <c r="P3802" s="2072"/>
      <c r="Q3802" s="2072"/>
      <c r="R3802" s="2082"/>
      <c r="S3802" s="633"/>
      <c r="V3802" s="631">
        <f>SUM(V3803:V4130)</f>
        <v>0</v>
      </c>
    </row>
    <row r="3803" spans="1:36" s="352" customFormat="1" ht="15.6" hidden="1">
      <c r="A3803" s="351"/>
      <c r="B3803" s="1963" t="str">
        <f>VLOOKUP(A3811,'11 - FINANCEIRA'!_xlnm.Print_Area,1,FALSE)</f>
        <v>2.5.5.1</v>
      </c>
      <c r="C3803" s="1965" t="str">
        <f>VLOOKUP(A3811,'11 - FINANCEIRA'!_xlnm.Print_Area,3,FALSE)</f>
        <v>Cabo de par trançado blindado (f/utp), categoria 6, ou superior, com condutores de cobre rígidos 24 awg, uso indoor/outdoor ref: furukawa ou similar (m)</v>
      </c>
      <c r="D3803" s="1967" t="s">
        <v>1503</v>
      </c>
      <c r="E3803" s="1968"/>
      <c r="F3803" s="1968"/>
      <c r="G3803" s="1968"/>
      <c r="H3803" s="1968"/>
      <c r="I3803" s="1969"/>
      <c r="J3803" s="1914" t="s">
        <v>1504</v>
      </c>
      <c r="K3803" s="1914" t="s">
        <v>1505</v>
      </c>
      <c r="L3803" s="1914" t="s">
        <v>1506</v>
      </c>
      <c r="M3803" s="1914" t="s">
        <v>1507</v>
      </c>
      <c r="N3803" s="1914" t="s">
        <v>1508</v>
      </c>
      <c r="O3803" s="1914" t="s">
        <v>1509</v>
      </c>
      <c r="P3803" s="1341" t="s">
        <v>1510</v>
      </c>
      <c r="Q3803" s="1914" t="s">
        <v>1493</v>
      </c>
      <c r="R3803" s="1916" t="s">
        <v>804</v>
      </c>
      <c r="S3803" s="1914" t="s">
        <v>1511</v>
      </c>
      <c r="T3803" s="1914" t="s">
        <v>1512</v>
      </c>
      <c r="U3803" s="1918" t="s">
        <v>1513</v>
      </c>
      <c r="V3803" s="1418">
        <f t="shared" ref="V3803:V3810" si="383">V3804</f>
        <v>0</v>
      </c>
      <c r="W3803" s="16"/>
      <c r="X3803" s="16"/>
      <c r="Y3803" s="16"/>
      <c r="Z3803" s="17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</row>
    <row r="3804" spans="1:36" s="352" customFormat="1" ht="15.6" hidden="1">
      <c r="A3804" s="351"/>
      <c r="B3804" s="1964" t="e">
        <f>LEFT(#REF!,5)</f>
        <v>#REF!</v>
      </c>
      <c r="C3804" s="1966" t="e">
        <f>VLOOKUP(LEFT(#REF!,5),'11 - FINANCEIRA'!_xlnm.Print_Area,2,FALSE)</f>
        <v>#REF!</v>
      </c>
      <c r="D3804" s="1920" t="s">
        <v>1514</v>
      </c>
      <c r="E3804" s="1921"/>
      <c r="F3804" s="1922"/>
      <c r="G3804" s="1923" t="s">
        <v>1515</v>
      </c>
      <c r="H3804" s="1924"/>
      <c r="I3804" s="1925"/>
      <c r="J3804" s="1915"/>
      <c r="K3804" s="1915"/>
      <c r="L3804" s="1915"/>
      <c r="M3804" s="1915"/>
      <c r="N3804" s="1915"/>
      <c r="O3804" s="1915"/>
      <c r="P3804" s="353" t="s">
        <v>1516</v>
      </c>
      <c r="Q3804" s="1915"/>
      <c r="R3804" s="1917"/>
      <c r="S3804" s="1915"/>
      <c r="T3804" s="1915"/>
      <c r="U3804" s="1919"/>
      <c r="V3804" s="1418">
        <f t="shared" si="383"/>
        <v>0</v>
      </c>
      <c r="W3804" s="16"/>
      <c r="X3804" s="16"/>
      <c r="Y3804" s="16"/>
      <c r="Z3804" s="17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</row>
    <row r="3805" spans="1:36" s="361" customFormat="1" ht="30" hidden="1">
      <c r="A3805" s="354"/>
      <c r="B3805" s="355"/>
      <c r="C3805" s="32" t="s">
        <v>1094</v>
      </c>
      <c r="D3805" s="33"/>
      <c r="E3805" s="34"/>
      <c r="F3805" s="35"/>
      <c r="G3805" s="33"/>
      <c r="H3805" s="34"/>
      <c r="I3805" s="35"/>
      <c r="J3805" s="43"/>
      <c r="K3805" s="42"/>
      <c r="L3805" s="39"/>
      <c r="M3805" s="41"/>
      <c r="N3805" s="356"/>
      <c r="O3805" s="40"/>
      <c r="P3805" s="39"/>
      <c r="Q3805" s="45"/>
      <c r="R3805" s="1359">
        <v>1045</v>
      </c>
      <c r="S3805" s="1265" t="s">
        <v>809</v>
      </c>
      <c r="T3805" s="46" t="s">
        <v>328</v>
      </c>
      <c r="U3805" s="44"/>
      <c r="V3805" s="1418">
        <f t="shared" si="383"/>
        <v>0</v>
      </c>
      <c r="W3805" s="357"/>
      <c r="X3805" s="357"/>
      <c r="Y3805" s="357"/>
      <c r="Z3805" s="358"/>
      <c r="AA3805" s="359"/>
      <c r="AB3805" s="360"/>
    </row>
    <row r="3806" spans="1:36" s="361" customFormat="1" ht="15" hidden="1" customHeight="1">
      <c r="A3806" s="354"/>
      <c r="B3806" s="355"/>
      <c r="C3806" s="32"/>
      <c r="D3806" s="33"/>
      <c r="E3806" s="34"/>
      <c r="F3806" s="35"/>
      <c r="G3806" s="33"/>
      <c r="H3806" s="34"/>
      <c r="I3806" s="35"/>
      <c r="J3806" s="43"/>
      <c r="K3806" s="42"/>
      <c r="L3806" s="39"/>
      <c r="M3806" s="41"/>
      <c r="N3806" s="356"/>
      <c r="O3806" s="40"/>
      <c r="P3806" s="39"/>
      <c r="Q3806" s="45"/>
      <c r="R3806" s="362"/>
      <c r="S3806" s="363"/>
      <c r="T3806" s="46"/>
      <c r="U3806" s="44"/>
      <c r="V3806" s="1418">
        <f t="shared" si="383"/>
        <v>0</v>
      </c>
      <c r="W3806" s="357"/>
      <c r="X3806" s="357"/>
      <c r="Y3806" s="357"/>
      <c r="Z3806" s="358"/>
      <c r="AA3806" s="359"/>
      <c r="AB3806" s="360"/>
    </row>
    <row r="3807" spans="1:36" s="369" customFormat="1" ht="15" hidden="1">
      <c r="A3807" s="364"/>
      <c r="B3807" s="355"/>
      <c r="C3807" s="32"/>
      <c r="D3807" s="33"/>
      <c r="E3807" s="34"/>
      <c r="F3807" s="35"/>
      <c r="G3807" s="33"/>
      <c r="H3807" s="34"/>
      <c r="I3807" s="35"/>
      <c r="J3807" s="43"/>
      <c r="K3807" s="42"/>
      <c r="L3807" s="39"/>
      <c r="M3807" s="41"/>
      <c r="N3807" s="40"/>
      <c r="O3807" s="40"/>
      <c r="P3807" s="39"/>
      <c r="Q3807" s="38"/>
      <c r="R3807" s="365"/>
      <c r="S3807" s="366"/>
      <c r="T3807" s="46"/>
      <c r="U3807" s="44"/>
      <c r="V3807" s="1418">
        <f t="shared" si="383"/>
        <v>0</v>
      </c>
      <c r="W3807" s="367"/>
      <c r="X3807" s="367"/>
      <c r="Y3807" s="367"/>
      <c r="Z3807" s="368"/>
    </row>
    <row r="3808" spans="1:36" s="77" customFormat="1" ht="15" hidden="1">
      <c r="A3808" s="370"/>
      <c r="B3808" s="29"/>
      <c r="C3808" s="30"/>
      <c r="D3808" s="18"/>
      <c r="E3808" s="19"/>
      <c r="F3808" s="20"/>
      <c r="G3808" s="18"/>
      <c r="H3808" s="19"/>
      <c r="I3808" s="20"/>
      <c r="J3808" s="21"/>
      <c r="K3808" s="22"/>
      <c r="L3808" s="23"/>
      <c r="M3808" s="24"/>
      <c r="N3808" s="25"/>
      <c r="O3808" s="25"/>
      <c r="P3808" s="23"/>
      <c r="Q3808" s="26"/>
      <c r="R3808" s="371"/>
      <c r="S3808" s="27"/>
      <c r="T3808" s="372"/>
      <c r="U3808" s="31"/>
      <c r="V3808" s="1418">
        <f t="shared" si="383"/>
        <v>0</v>
      </c>
      <c r="AB3808" s="15"/>
    </row>
    <row r="3809" spans="1:36" s="77" customFormat="1" ht="15.6" hidden="1">
      <c r="A3809" s="370"/>
      <c r="B3809" s="499"/>
      <c r="C3809" s="37"/>
      <c r="D3809" s="1929" t="s">
        <v>1520</v>
      </c>
      <c r="E3809" s="1930"/>
      <c r="F3809" s="1930"/>
      <c r="G3809" s="1930"/>
      <c r="H3809" s="1930"/>
      <c r="I3809" s="1931"/>
      <c r="J3809" s="1932">
        <f>VLOOKUP(A3811,'11 - FINANCEIRA'!_xlnm.Print_Area,6,FALSE)</f>
        <v>1045</v>
      </c>
      <c r="K3809" s="1933"/>
      <c r="L3809" s="1343" t="str">
        <f>VLOOKUP(A3811,'11 - FINANCEIRA'!_xlnm.Print_Area,4,FALSE)</f>
        <v>m</v>
      </c>
      <c r="M3809" s="1934" t="s">
        <v>1521</v>
      </c>
      <c r="N3809" s="1935"/>
      <c r="O3809" s="1935"/>
      <c r="P3809" s="1935"/>
      <c r="Q3809" s="1936"/>
      <c r="R3809" s="726">
        <f>SUM(R3805:R3808)</f>
        <v>1045</v>
      </c>
      <c r="S3809" s="1344" t="str">
        <f>L3809</f>
        <v>m</v>
      </c>
      <c r="T3809" s="373"/>
      <c r="U3809" s="486"/>
      <c r="V3809" s="1418">
        <f t="shared" si="383"/>
        <v>0</v>
      </c>
      <c r="AB3809" s="15"/>
    </row>
    <row r="3810" spans="1:36" s="77" customFormat="1" ht="15.6" hidden="1">
      <c r="A3810" s="370"/>
      <c r="B3810" s="499"/>
      <c r="C3810" s="725"/>
      <c r="D3810" s="1937" t="s">
        <v>1522</v>
      </c>
      <c r="E3810" s="1938"/>
      <c r="F3810" s="1938"/>
      <c r="G3810" s="1938"/>
      <c r="H3810" s="1938"/>
      <c r="I3810" s="1939"/>
      <c r="J3810" s="1943">
        <f>R3809/J3809</f>
        <v>1</v>
      </c>
      <c r="K3810" s="1944"/>
      <c r="L3810" s="1947"/>
      <c r="M3810" s="1934" t="s">
        <v>1523</v>
      </c>
      <c r="N3810" s="1935"/>
      <c r="O3810" s="1935"/>
      <c r="P3810" s="1935"/>
      <c r="Q3810" s="1936"/>
      <c r="R3810" s="726">
        <f>VLOOKUP(A3811,'11 - FINANCEIRA'!_xlnm.Print_Area,8,FALSE)</f>
        <v>1045</v>
      </c>
      <c r="S3810" s="727" t="str">
        <f>L3809</f>
        <v>m</v>
      </c>
      <c r="T3810" s="373"/>
      <c r="U3810" s="486"/>
      <c r="V3810" s="1418">
        <f t="shared" si="383"/>
        <v>0</v>
      </c>
      <c r="AB3810" s="15"/>
    </row>
    <row r="3811" spans="1:36" s="77" customFormat="1" ht="15.6" hidden="1">
      <c r="A3811" s="364" t="s">
        <v>696</v>
      </c>
      <c r="B3811" s="499"/>
      <c r="C3811" s="37"/>
      <c r="D3811" s="2013"/>
      <c r="E3811" s="2014"/>
      <c r="F3811" s="2014"/>
      <c r="G3811" s="2014"/>
      <c r="H3811" s="2014"/>
      <c r="I3811" s="2015"/>
      <c r="J3811" s="2016"/>
      <c r="K3811" s="2017"/>
      <c r="L3811" s="1962"/>
      <c r="M3811" s="2007" t="s">
        <v>1524</v>
      </c>
      <c r="N3811" s="2008"/>
      <c r="O3811" s="2008"/>
      <c r="P3811" s="2008"/>
      <c r="Q3811" s="2009"/>
      <c r="R3811" s="1345">
        <f>R3809-R3810</f>
        <v>0</v>
      </c>
      <c r="S3811" s="1346" t="str">
        <f>L3809</f>
        <v>m</v>
      </c>
      <c r="T3811" s="373"/>
      <c r="U3811" s="486"/>
      <c r="V3811" s="1418">
        <f>R3811</f>
        <v>0</v>
      </c>
      <c r="AB3811" s="15"/>
    </row>
    <row r="3812" spans="1:36" s="77" customFormat="1" ht="15.6" hidden="1">
      <c r="A3812" s="370"/>
      <c r="B3812" s="1347"/>
      <c r="C3812" s="1348"/>
      <c r="D3812" s="1349"/>
      <c r="E3812" s="1350"/>
      <c r="F3812" s="1349"/>
      <c r="G3812" s="1349"/>
      <c r="H3812" s="1349"/>
      <c r="I3812" s="1349"/>
      <c r="J3812" s="1351"/>
      <c r="K3812" s="1352"/>
      <c r="L3812" s="1353"/>
      <c r="M3812" s="1354"/>
      <c r="N3812" s="1354"/>
      <c r="O3812" s="1354"/>
      <c r="P3812" s="1354"/>
      <c r="Q3812" s="1354"/>
      <c r="R3812" s="1355"/>
      <c r="S3812" s="1356"/>
      <c r="T3812" s="1357"/>
      <c r="U3812" s="1358"/>
      <c r="V3812" s="1420">
        <f>SUM(V3803:V3811)</f>
        <v>0</v>
      </c>
      <c r="AB3812" s="15"/>
    </row>
    <row r="3813" spans="1:36" s="352" customFormat="1" ht="15.6" hidden="1">
      <c r="A3813" s="351"/>
      <c r="B3813" s="1963" t="str">
        <f>VLOOKUP(A3821,'11 - FINANCEIRA'!_xlnm.Print_Area,1,FALSE)</f>
        <v>2.5.5.2</v>
      </c>
      <c r="C3813" s="1965" t="str">
        <f>VLOOKUP(A3821,'11 - FINANCEIRA'!_xlnm.Print_Area,3,FALSE)</f>
        <v xml:space="preserve">Patch cord f/utp cat.6 - cabo flexível blindado cat.6 montado com conectores rj45 nas duas extremidades. ref: furukawa ou similar </v>
      </c>
      <c r="D3813" s="1967" t="s">
        <v>1503</v>
      </c>
      <c r="E3813" s="1968"/>
      <c r="F3813" s="1968"/>
      <c r="G3813" s="1968"/>
      <c r="H3813" s="1968"/>
      <c r="I3813" s="1969"/>
      <c r="J3813" s="1914" t="s">
        <v>1504</v>
      </c>
      <c r="K3813" s="1914" t="s">
        <v>1505</v>
      </c>
      <c r="L3813" s="1914" t="s">
        <v>1506</v>
      </c>
      <c r="M3813" s="1914" t="s">
        <v>1507</v>
      </c>
      <c r="N3813" s="1914" t="s">
        <v>1508</v>
      </c>
      <c r="O3813" s="1914" t="s">
        <v>1509</v>
      </c>
      <c r="P3813" s="1341" t="s">
        <v>1510</v>
      </c>
      <c r="Q3813" s="1914" t="s">
        <v>1493</v>
      </c>
      <c r="R3813" s="1916" t="s">
        <v>804</v>
      </c>
      <c r="S3813" s="1914" t="s">
        <v>1511</v>
      </c>
      <c r="T3813" s="1914" t="s">
        <v>1512</v>
      </c>
      <c r="U3813" s="1918" t="s">
        <v>1513</v>
      </c>
      <c r="V3813" s="1418">
        <f t="shared" ref="V3813:V3820" si="384">V3814</f>
        <v>0</v>
      </c>
      <c r="W3813" s="16"/>
      <c r="X3813" s="16"/>
      <c r="Y3813" s="16"/>
      <c r="Z3813" s="17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</row>
    <row r="3814" spans="1:36" s="352" customFormat="1" ht="15.6" hidden="1">
      <c r="A3814" s="351"/>
      <c r="B3814" s="1964" t="e">
        <f>LEFT(#REF!,5)</f>
        <v>#REF!</v>
      </c>
      <c r="C3814" s="1966" t="e">
        <f>VLOOKUP(LEFT(#REF!,5),'11 - FINANCEIRA'!_xlnm.Print_Area,2,FALSE)</f>
        <v>#REF!</v>
      </c>
      <c r="D3814" s="1920" t="s">
        <v>1514</v>
      </c>
      <c r="E3814" s="1921"/>
      <c r="F3814" s="1922"/>
      <c r="G3814" s="1923" t="s">
        <v>1515</v>
      </c>
      <c r="H3814" s="1924"/>
      <c r="I3814" s="1925"/>
      <c r="J3814" s="1915"/>
      <c r="K3814" s="1915"/>
      <c r="L3814" s="1915"/>
      <c r="M3814" s="1915"/>
      <c r="N3814" s="1915"/>
      <c r="O3814" s="1915"/>
      <c r="P3814" s="353" t="s">
        <v>1516</v>
      </c>
      <c r="Q3814" s="1915"/>
      <c r="R3814" s="1917"/>
      <c r="S3814" s="1915"/>
      <c r="T3814" s="1915"/>
      <c r="U3814" s="1919"/>
      <c r="V3814" s="1418">
        <f t="shared" si="384"/>
        <v>0</v>
      </c>
      <c r="W3814" s="16"/>
      <c r="X3814" s="16"/>
      <c r="Y3814" s="16"/>
      <c r="Z3814" s="17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</row>
    <row r="3815" spans="1:36" s="361" customFormat="1" ht="30" hidden="1">
      <c r="A3815" s="354"/>
      <c r="B3815" s="355"/>
      <c r="C3815" s="32" t="s">
        <v>1332</v>
      </c>
      <c r="D3815" s="33"/>
      <c r="E3815" s="34"/>
      <c r="F3815" s="35"/>
      <c r="G3815" s="33"/>
      <c r="H3815" s="34"/>
      <c r="I3815" s="35"/>
      <c r="J3815" s="43"/>
      <c r="K3815" s="42"/>
      <c r="L3815" s="39"/>
      <c r="M3815" s="41"/>
      <c r="N3815" s="356"/>
      <c r="O3815" s="40"/>
      <c r="P3815" s="39"/>
      <c r="Q3815" s="45"/>
      <c r="R3815" s="1359">
        <v>32</v>
      </c>
      <c r="S3815" s="1265" t="s">
        <v>1333</v>
      </c>
      <c r="T3815" s="46" t="s">
        <v>328</v>
      </c>
      <c r="U3815" s="44"/>
      <c r="V3815" s="1418">
        <f t="shared" si="384"/>
        <v>0</v>
      </c>
      <c r="W3815" s="357"/>
      <c r="X3815" s="357"/>
      <c r="Y3815" s="357"/>
      <c r="Z3815" s="358"/>
      <c r="AA3815" s="359"/>
      <c r="AB3815" s="360"/>
    </row>
    <row r="3816" spans="1:36" s="361" customFormat="1" ht="15" hidden="1" customHeight="1">
      <c r="A3816" s="354"/>
      <c r="B3816" s="355"/>
      <c r="C3816" s="32"/>
      <c r="D3816" s="33"/>
      <c r="E3816" s="34"/>
      <c r="F3816" s="35"/>
      <c r="G3816" s="33"/>
      <c r="H3816" s="34"/>
      <c r="I3816" s="35"/>
      <c r="J3816" s="43"/>
      <c r="K3816" s="42"/>
      <c r="L3816" s="39"/>
      <c r="M3816" s="41"/>
      <c r="N3816" s="356"/>
      <c r="O3816" s="40"/>
      <c r="P3816" s="39"/>
      <c r="Q3816" s="45"/>
      <c r="R3816" s="362"/>
      <c r="S3816" s="363"/>
      <c r="T3816" s="46"/>
      <c r="U3816" s="44"/>
      <c r="V3816" s="1418">
        <f t="shared" si="384"/>
        <v>0</v>
      </c>
      <c r="W3816" s="357"/>
      <c r="X3816" s="357"/>
      <c r="Y3816" s="357"/>
      <c r="Z3816" s="358"/>
      <c r="AA3816" s="359"/>
      <c r="AB3816" s="360"/>
    </row>
    <row r="3817" spans="1:36" s="369" customFormat="1" ht="15" hidden="1">
      <c r="A3817" s="364"/>
      <c r="B3817" s="355"/>
      <c r="C3817" s="32"/>
      <c r="D3817" s="33"/>
      <c r="E3817" s="34"/>
      <c r="F3817" s="35"/>
      <c r="G3817" s="33"/>
      <c r="H3817" s="34"/>
      <c r="I3817" s="35"/>
      <c r="J3817" s="43"/>
      <c r="K3817" s="42"/>
      <c r="L3817" s="39"/>
      <c r="M3817" s="41"/>
      <c r="N3817" s="40"/>
      <c r="O3817" s="40"/>
      <c r="P3817" s="39"/>
      <c r="Q3817" s="38"/>
      <c r="R3817" s="365"/>
      <c r="S3817" s="366"/>
      <c r="T3817" s="46"/>
      <c r="U3817" s="44"/>
      <c r="V3817" s="1418">
        <f t="shared" si="384"/>
        <v>0</v>
      </c>
      <c r="W3817" s="367"/>
      <c r="X3817" s="367"/>
      <c r="Y3817" s="367"/>
      <c r="Z3817" s="368"/>
    </row>
    <row r="3818" spans="1:36" s="77" customFormat="1" ht="15" hidden="1">
      <c r="A3818" s="370"/>
      <c r="B3818" s="29"/>
      <c r="C3818" s="30"/>
      <c r="D3818" s="18"/>
      <c r="E3818" s="19"/>
      <c r="F3818" s="20"/>
      <c r="G3818" s="18"/>
      <c r="H3818" s="19"/>
      <c r="I3818" s="20"/>
      <c r="J3818" s="21"/>
      <c r="K3818" s="22"/>
      <c r="L3818" s="23"/>
      <c r="M3818" s="24"/>
      <c r="N3818" s="25"/>
      <c r="O3818" s="25"/>
      <c r="P3818" s="23"/>
      <c r="Q3818" s="26"/>
      <c r="R3818" s="371"/>
      <c r="S3818" s="27"/>
      <c r="T3818" s="372"/>
      <c r="U3818" s="31"/>
      <c r="V3818" s="1418">
        <f t="shared" si="384"/>
        <v>0</v>
      </c>
      <c r="AB3818" s="15"/>
    </row>
    <row r="3819" spans="1:36" s="77" customFormat="1" ht="15.6" hidden="1">
      <c r="A3819" s="370"/>
      <c r="B3819" s="499"/>
      <c r="C3819" s="37"/>
      <c r="D3819" s="1929" t="s">
        <v>1520</v>
      </c>
      <c r="E3819" s="1930"/>
      <c r="F3819" s="1930"/>
      <c r="G3819" s="1930"/>
      <c r="H3819" s="1930"/>
      <c r="I3819" s="1931"/>
      <c r="J3819" s="1932">
        <f>VLOOKUP(A3821,'11 - FINANCEIRA'!_xlnm.Print_Area,6,FALSE)</f>
        <v>32</v>
      </c>
      <c r="K3819" s="1933"/>
      <c r="L3819" s="1343" t="str">
        <f>VLOOKUP(A3821,'11 - FINANCEIRA'!_xlnm.Print_Area,4,FALSE)</f>
        <v>pc</v>
      </c>
      <c r="M3819" s="1934" t="s">
        <v>1521</v>
      </c>
      <c r="N3819" s="1935"/>
      <c r="O3819" s="1935"/>
      <c r="P3819" s="1935"/>
      <c r="Q3819" s="1936"/>
      <c r="R3819" s="726">
        <f>SUM(R3815:R3818)</f>
        <v>32</v>
      </c>
      <c r="S3819" s="1344" t="str">
        <f>L3819</f>
        <v>pc</v>
      </c>
      <c r="T3819" s="373"/>
      <c r="U3819" s="486"/>
      <c r="V3819" s="1418">
        <f t="shared" si="384"/>
        <v>0</v>
      </c>
      <c r="AB3819" s="15"/>
    </row>
    <row r="3820" spans="1:36" s="77" customFormat="1" ht="15.6" hidden="1">
      <c r="A3820" s="370"/>
      <c r="B3820" s="499"/>
      <c r="C3820" s="725"/>
      <c r="D3820" s="1937" t="s">
        <v>1522</v>
      </c>
      <c r="E3820" s="1938"/>
      <c r="F3820" s="1938"/>
      <c r="G3820" s="1938"/>
      <c r="H3820" s="1938"/>
      <c r="I3820" s="1939"/>
      <c r="J3820" s="1943">
        <f>R3819/J3819</f>
        <v>1</v>
      </c>
      <c r="K3820" s="1944"/>
      <c r="L3820" s="1947"/>
      <c r="M3820" s="1934" t="s">
        <v>1523</v>
      </c>
      <c r="N3820" s="1935"/>
      <c r="O3820" s="1935"/>
      <c r="P3820" s="1935"/>
      <c r="Q3820" s="1936"/>
      <c r="R3820" s="726">
        <f>VLOOKUP(A3821,'11 - FINANCEIRA'!_xlnm.Print_Area,8,FALSE)</f>
        <v>32</v>
      </c>
      <c r="S3820" s="727" t="str">
        <f>L3819</f>
        <v>pc</v>
      </c>
      <c r="T3820" s="373"/>
      <c r="U3820" s="486"/>
      <c r="V3820" s="1418">
        <f t="shared" si="384"/>
        <v>0</v>
      </c>
      <c r="AB3820" s="15"/>
    </row>
    <row r="3821" spans="1:36" s="77" customFormat="1" ht="15.6" hidden="1">
      <c r="A3821" s="364" t="s">
        <v>697</v>
      </c>
      <c r="B3821" s="499"/>
      <c r="C3821" s="37"/>
      <c r="D3821" s="2013"/>
      <c r="E3821" s="2014"/>
      <c r="F3821" s="2014"/>
      <c r="G3821" s="2014"/>
      <c r="H3821" s="2014"/>
      <c r="I3821" s="2015"/>
      <c r="J3821" s="2016"/>
      <c r="K3821" s="2017"/>
      <c r="L3821" s="1962"/>
      <c r="M3821" s="2007" t="s">
        <v>1524</v>
      </c>
      <c r="N3821" s="2008"/>
      <c r="O3821" s="2008"/>
      <c r="P3821" s="2008"/>
      <c r="Q3821" s="2009"/>
      <c r="R3821" s="1345">
        <f>R3819-R3820</f>
        <v>0</v>
      </c>
      <c r="S3821" s="1346" t="str">
        <f>L3819</f>
        <v>pc</v>
      </c>
      <c r="T3821" s="373"/>
      <c r="U3821" s="486"/>
      <c r="V3821" s="1418">
        <f>R3821</f>
        <v>0</v>
      </c>
      <c r="AB3821" s="15"/>
    </row>
    <row r="3822" spans="1:36" s="77" customFormat="1" ht="15.6" hidden="1">
      <c r="A3822" s="370"/>
      <c r="B3822" s="1347"/>
      <c r="C3822" s="1348"/>
      <c r="D3822" s="1349"/>
      <c r="E3822" s="1350"/>
      <c r="F3822" s="1349"/>
      <c r="G3822" s="1349"/>
      <c r="H3822" s="1349"/>
      <c r="I3822" s="1349"/>
      <c r="J3822" s="1351"/>
      <c r="K3822" s="1352"/>
      <c r="L3822" s="1353"/>
      <c r="M3822" s="1354"/>
      <c r="N3822" s="1354"/>
      <c r="O3822" s="1354"/>
      <c r="P3822" s="1354"/>
      <c r="Q3822" s="1354"/>
      <c r="R3822" s="1355"/>
      <c r="S3822" s="1356"/>
      <c r="T3822" s="1357"/>
      <c r="U3822" s="1358"/>
      <c r="V3822" s="1420">
        <f>SUM(V3813:V3821)</f>
        <v>0</v>
      </c>
      <c r="AB3822" s="15"/>
    </row>
    <row r="3823" spans="1:36" s="352" customFormat="1" ht="15.6" hidden="1">
      <c r="A3823" s="351"/>
      <c r="B3823" s="1963" t="str">
        <f>VLOOKUP(A3831,'11 - FINANCEIRA'!_xlnm.Print_Area,1,FALSE)</f>
        <v>2.5.5.3</v>
      </c>
      <c r="C3823" s="1965" t="str">
        <f>VLOOKUP(A3831,'11 - FINANCEIRA'!_xlnm.Print_Area,3,FALSE)</f>
        <v>Cabo de fibra óptica, 02 pares</v>
      </c>
      <c r="D3823" s="1967" t="s">
        <v>1503</v>
      </c>
      <c r="E3823" s="1968"/>
      <c r="F3823" s="1968"/>
      <c r="G3823" s="1968"/>
      <c r="H3823" s="1968"/>
      <c r="I3823" s="1969"/>
      <c r="J3823" s="1914" t="s">
        <v>1504</v>
      </c>
      <c r="K3823" s="1914" t="s">
        <v>1505</v>
      </c>
      <c r="L3823" s="1914" t="s">
        <v>1506</v>
      </c>
      <c r="M3823" s="1914" t="s">
        <v>1507</v>
      </c>
      <c r="N3823" s="1914" t="s">
        <v>1508</v>
      </c>
      <c r="O3823" s="1914" t="s">
        <v>1509</v>
      </c>
      <c r="P3823" s="1341" t="s">
        <v>1510</v>
      </c>
      <c r="Q3823" s="1914" t="s">
        <v>1493</v>
      </c>
      <c r="R3823" s="1916" t="s">
        <v>804</v>
      </c>
      <c r="S3823" s="1914" t="s">
        <v>1511</v>
      </c>
      <c r="T3823" s="1914" t="s">
        <v>1512</v>
      </c>
      <c r="U3823" s="1918" t="s">
        <v>1513</v>
      </c>
      <c r="V3823" s="1418">
        <f t="shared" ref="V3823:V3830" si="385">V3824</f>
        <v>0</v>
      </c>
      <c r="W3823" s="16"/>
      <c r="X3823" s="16"/>
      <c r="Y3823" s="16"/>
      <c r="Z3823" s="17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</row>
    <row r="3824" spans="1:36" s="352" customFormat="1" ht="15.6" hidden="1">
      <c r="A3824" s="351"/>
      <c r="B3824" s="1964" t="e">
        <f>LEFT(#REF!,5)</f>
        <v>#REF!</v>
      </c>
      <c r="C3824" s="1966" t="e">
        <f>VLOOKUP(LEFT(#REF!,5),'11 - FINANCEIRA'!_xlnm.Print_Area,2,FALSE)</f>
        <v>#REF!</v>
      </c>
      <c r="D3824" s="1920" t="s">
        <v>1514</v>
      </c>
      <c r="E3824" s="1921"/>
      <c r="F3824" s="1922"/>
      <c r="G3824" s="1923" t="s">
        <v>1515</v>
      </c>
      <c r="H3824" s="1924"/>
      <c r="I3824" s="1925"/>
      <c r="J3824" s="1915"/>
      <c r="K3824" s="1915"/>
      <c r="L3824" s="1915"/>
      <c r="M3824" s="1915"/>
      <c r="N3824" s="1915"/>
      <c r="O3824" s="1915"/>
      <c r="P3824" s="353" t="s">
        <v>1516</v>
      </c>
      <c r="Q3824" s="1915"/>
      <c r="R3824" s="1917"/>
      <c r="S3824" s="1915"/>
      <c r="T3824" s="1915"/>
      <c r="U3824" s="1919"/>
      <c r="V3824" s="1418">
        <f t="shared" si="385"/>
        <v>0</v>
      </c>
      <c r="W3824" s="16"/>
      <c r="X3824" s="16"/>
      <c r="Y3824" s="16"/>
      <c r="Z3824" s="17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</row>
    <row r="3825" spans="1:36" s="361" customFormat="1" ht="15" hidden="1" customHeight="1">
      <c r="A3825" s="354"/>
      <c r="B3825" s="355"/>
      <c r="C3825" s="32" t="s">
        <v>1335</v>
      </c>
      <c r="D3825" s="33"/>
      <c r="E3825" s="34"/>
      <c r="F3825" s="35"/>
      <c r="G3825" s="33"/>
      <c r="H3825" s="34"/>
      <c r="I3825" s="35"/>
      <c r="J3825" s="43"/>
      <c r="K3825" s="42"/>
      <c r="L3825" s="39"/>
      <c r="M3825" s="41"/>
      <c r="N3825" s="356"/>
      <c r="O3825" s="40"/>
      <c r="P3825" s="39"/>
      <c r="Q3825" s="45"/>
      <c r="R3825" s="1359">
        <v>120</v>
      </c>
      <c r="S3825" s="1265" t="s">
        <v>809</v>
      </c>
      <c r="T3825" s="46" t="s">
        <v>328</v>
      </c>
      <c r="U3825" s="44"/>
      <c r="V3825" s="1418">
        <f t="shared" si="385"/>
        <v>0</v>
      </c>
      <c r="W3825" s="357"/>
      <c r="X3825" s="357"/>
      <c r="Y3825" s="357"/>
      <c r="Z3825" s="358"/>
      <c r="AA3825" s="359"/>
      <c r="AB3825" s="360"/>
    </row>
    <row r="3826" spans="1:36" s="361" customFormat="1" ht="15" hidden="1" customHeight="1">
      <c r="A3826" s="354"/>
      <c r="B3826" s="355"/>
      <c r="C3826" s="32"/>
      <c r="D3826" s="33"/>
      <c r="E3826" s="34"/>
      <c r="F3826" s="35"/>
      <c r="G3826" s="33"/>
      <c r="H3826" s="34"/>
      <c r="I3826" s="35"/>
      <c r="J3826" s="43"/>
      <c r="K3826" s="42"/>
      <c r="L3826" s="39"/>
      <c r="M3826" s="41"/>
      <c r="N3826" s="356"/>
      <c r="O3826" s="40"/>
      <c r="P3826" s="39"/>
      <c r="Q3826" s="45"/>
      <c r="R3826" s="362"/>
      <c r="S3826" s="363"/>
      <c r="T3826" s="46"/>
      <c r="U3826" s="44"/>
      <c r="V3826" s="1418">
        <f t="shared" si="385"/>
        <v>0</v>
      </c>
      <c r="W3826" s="357"/>
      <c r="X3826" s="357"/>
      <c r="Y3826" s="357"/>
      <c r="Z3826" s="358"/>
      <c r="AA3826" s="359"/>
      <c r="AB3826" s="360"/>
    </row>
    <row r="3827" spans="1:36" s="369" customFormat="1" ht="15" hidden="1">
      <c r="A3827" s="364"/>
      <c r="B3827" s="355"/>
      <c r="C3827" s="32"/>
      <c r="D3827" s="33"/>
      <c r="E3827" s="34"/>
      <c r="F3827" s="35"/>
      <c r="G3827" s="33"/>
      <c r="H3827" s="34"/>
      <c r="I3827" s="35"/>
      <c r="J3827" s="43"/>
      <c r="K3827" s="42"/>
      <c r="L3827" s="39"/>
      <c r="M3827" s="41"/>
      <c r="N3827" s="40"/>
      <c r="O3827" s="40"/>
      <c r="P3827" s="39"/>
      <c r="Q3827" s="38"/>
      <c r="R3827" s="365"/>
      <c r="S3827" s="366"/>
      <c r="T3827" s="46"/>
      <c r="U3827" s="44"/>
      <c r="V3827" s="1418">
        <f t="shared" si="385"/>
        <v>0</v>
      </c>
      <c r="W3827" s="367"/>
      <c r="X3827" s="367"/>
      <c r="Y3827" s="367"/>
      <c r="Z3827" s="368"/>
    </row>
    <row r="3828" spans="1:36" s="77" customFormat="1" ht="15" hidden="1">
      <c r="A3828" s="370"/>
      <c r="B3828" s="29"/>
      <c r="C3828" s="30"/>
      <c r="D3828" s="18"/>
      <c r="E3828" s="19"/>
      <c r="F3828" s="20"/>
      <c r="G3828" s="18"/>
      <c r="H3828" s="19"/>
      <c r="I3828" s="20"/>
      <c r="J3828" s="21"/>
      <c r="K3828" s="22"/>
      <c r="L3828" s="23"/>
      <c r="M3828" s="24"/>
      <c r="N3828" s="25"/>
      <c r="O3828" s="25"/>
      <c r="P3828" s="23"/>
      <c r="Q3828" s="26"/>
      <c r="R3828" s="371"/>
      <c r="S3828" s="27"/>
      <c r="T3828" s="372"/>
      <c r="U3828" s="31"/>
      <c r="V3828" s="1418">
        <f t="shared" si="385"/>
        <v>0</v>
      </c>
      <c r="AB3828" s="15"/>
    </row>
    <row r="3829" spans="1:36" s="77" customFormat="1" ht="15.6" hidden="1">
      <c r="A3829" s="370"/>
      <c r="B3829" s="499"/>
      <c r="C3829" s="37"/>
      <c r="D3829" s="1929" t="s">
        <v>1520</v>
      </c>
      <c r="E3829" s="1930"/>
      <c r="F3829" s="1930"/>
      <c r="G3829" s="1930"/>
      <c r="H3829" s="1930"/>
      <c r="I3829" s="1931"/>
      <c r="J3829" s="1932">
        <f>VLOOKUP(A3831,'11 - FINANCEIRA'!_xlnm.Print_Area,6,FALSE)</f>
        <v>120</v>
      </c>
      <c r="K3829" s="1933"/>
      <c r="L3829" s="1343" t="str">
        <f>VLOOKUP(A3831,'11 - FINANCEIRA'!_xlnm.Print_Area,4,FALSE)</f>
        <v>m</v>
      </c>
      <c r="M3829" s="1934" t="s">
        <v>1521</v>
      </c>
      <c r="N3829" s="1935"/>
      <c r="O3829" s="1935"/>
      <c r="P3829" s="1935"/>
      <c r="Q3829" s="1936"/>
      <c r="R3829" s="726">
        <f>SUM(R3825:R3828)</f>
        <v>120</v>
      </c>
      <c r="S3829" s="1344" t="str">
        <f>L3829</f>
        <v>m</v>
      </c>
      <c r="T3829" s="373"/>
      <c r="U3829" s="486"/>
      <c r="V3829" s="1418">
        <f t="shared" si="385"/>
        <v>0</v>
      </c>
      <c r="AB3829" s="15"/>
    </row>
    <row r="3830" spans="1:36" s="77" customFormat="1" ht="15.6" hidden="1">
      <c r="A3830" s="370"/>
      <c r="B3830" s="499"/>
      <c r="C3830" s="725"/>
      <c r="D3830" s="1937" t="s">
        <v>1522</v>
      </c>
      <c r="E3830" s="1938"/>
      <c r="F3830" s="1938"/>
      <c r="G3830" s="1938"/>
      <c r="H3830" s="1938"/>
      <c r="I3830" s="1939"/>
      <c r="J3830" s="1943">
        <f>R3829/J3829</f>
        <v>1</v>
      </c>
      <c r="K3830" s="1944"/>
      <c r="L3830" s="1947"/>
      <c r="M3830" s="1934" t="s">
        <v>1523</v>
      </c>
      <c r="N3830" s="1935"/>
      <c r="O3830" s="1935"/>
      <c r="P3830" s="1935"/>
      <c r="Q3830" s="1936"/>
      <c r="R3830" s="726">
        <f>VLOOKUP(A3831,'11 - FINANCEIRA'!_xlnm.Print_Area,8,FALSE)</f>
        <v>120</v>
      </c>
      <c r="S3830" s="727" t="str">
        <f>L3829</f>
        <v>m</v>
      </c>
      <c r="T3830" s="373"/>
      <c r="U3830" s="486"/>
      <c r="V3830" s="1418">
        <f t="shared" si="385"/>
        <v>0</v>
      </c>
      <c r="AB3830" s="15"/>
    </row>
    <row r="3831" spans="1:36" s="77" customFormat="1" ht="15.6" hidden="1">
      <c r="A3831" s="364" t="s">
        <v>698</v>
      </c>
      <c r="B3831" s="499"/>
      <c r="C3831" s="37"/>
      <c r="D3831" s="2013"/>
      <c r="E3831" s="2014"/>
      <c r="F3831" s="2014"/>
      <c r="G3831" s="2014"/>
      <c r="H3831" s="2014"/>
      <c r="I3831" s="2015"/>
      <c r="J3831" s="2016"/>
      <c r="K3831" s="2017"/>
      <c r="L3831" s="1962"/>
      <c r="M3831" s="2007" t="s">
        <v>1524</v>
      </c>
      <c r="N3831" s="2008"/>
      <c r="O3831" s="2008"/>
      <c r="P3831" s="2008"/>
      <c r="Q3831" s="2009"/>
      <c r="R3831" s="1345">
        <f>R3829-R3830</f>
        <v>0</v>
      </c>
      <c r="S3831" s="1346" t="str">
        <f>L3829</f>
        <v>m</v>
      </c>
      <c r="T3831" s="373"/>
      <c r="U3831" s="486"/>
      <c r="V3831" s="1418">
        <f>R3831</f>
        <v>0</v>
      </c>
      <c r="AB3831" s="15"/>
    </row>
    <row r="3832" spans="1:36" s="77" customFormat="1" ht="15.6" hidden="1">
      <c r="A3832" s="370"/>
      <c r="B3832" s="1347"/>
      <c r="C3832" s="1348"/>
      <c r="D3832" s="1349"/>
      <c r="E3832" s="1350"/>
      <c r="F3832" s="1349"/>
      <c r="G3832" s="1349"/>
      <c r="H3832" s="1349"/>
      <c r="I3832" s="1349"/>
      <c r="J3832" s="1351"/>
      <c r="K3832" s="1352"/>
      <c r="L3832" s="1353"/>
      <c r="M3832" s="1354"/>
      <c r="N3832" s="1354"/>
      <c r="O3832" s="1354"/>
      <c r="P3832" s="1354"/>
      <c r="Q3832" s="1354"/>
      <c r="R3832" s="1355"/>
      <c r="S3832" s="1356"/>
      <c r="T3832" s="1357"/>
      <c r="U3832" s="1358"/>
      <c r="V3832" s="1420">
        <f>SUM(V3823:V3831)</f>
        <v>0</v>
      </c>
      <c r="AB3832" s="15"/>
    </row>
    <row r="3833" spans="1:36" s="352" customFormat="1" ht="15.6" hidden="1">
      <c r="A3833" s="351"/>
      <c r="B3833" s="1963" t="str">
        <f>VLOOKUP(A3841,'11 - FINANCEIRA'!_xlnm.Print_Area,1,FALSE)</f>
        <v>2.5.5.4</v>
      </c>
      <c r="C3833" s="1965" t="str">
        <f>VLOOKUP(A3841,'11 - FINANCEIRA'!_xlnm.Print_Area,3,FALSE)</f>
        <v>Condulete de alumínio 4x2”, furos 1”, múltiplo, com espelho para 2 rj45 conectores fêmea blindado cat.6 - conector fêmea do tipo keystone jack. ref: furukawa ou similar</v>
      </c>
      <c r="D3833" s="1967" t="s">
        <v>1503</v>
      </c>
      <c r="E3833" s="1968"/>
      <c r="F3833" s="1968"/>
      <c r="G3833" s="1968"/>
      <c r="H3833" s="1968"/>
      <c r="I3833" s="1969"/>
      <c r="J3833" s="1914" t="s">
        <v>1504</v>
      </c>
      <c r="K3833" s="1914" t="s">
        <v>1505</v>
      </c>
      <c r="L3833" s="1914" t="s">
        <v>1506</v>
      </c>
      <c r="M3833" s="1914" t="s">
        <v>1507</v>
      </c>
      <c r="N3833" s="1914" t="s">
        <v>1508</v>
      </c>
      <c r="O3833" s="1914" t="s">
        <v>1509</v>
      </c>
      <c r="P3833" s="1341" t="s">
        <v>1510</v>
      </c>
      <c r="Q3833" s="1914" t="s">
        <v>1493</v>
      </c>
      <c r="R3833" s="1916" t="s">
        <v>804</v>
      </c>
      <c r="S3833" s="1914" t="s">
        <v>1511</v>
      </c>
      <c r="T3833" s="1914" t="s">
        <v>1512</v>
      </c>
      <c r="U3833" s="1918" t="s">
        <v>1513</v>
      </c>
      <c r="V3833" s="1418">
        <f t="shared" ref="V3833:V3840" si="386">V3834</f>
        <v>0</v>
      </c>
      <c r="W3833" s="16"/>
      <c r="X3833" s="16"/>
      <c r="Y3833" s="16"/>
      <c r="Z3833" s="17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</row>
    <row r="3834" spans="1:36" s="352" customFormat="1" ht="15.6" hidden="1">
      <c r="A3834" s="351"/>
      <c r="B3834" s="1964" t="e">
        <f>LEFT(#REF!,5)</f>
        <v>#REF!</v>
      </c>
      <c r="C3834" s="1966" t="e">
        <f>VLOOKUP(LEFT(#REF!,5),'11 - FINANCEIRA'!_xlnm.Print_Area,2,FALSE)</f>
        <v>#REF!</v>
      </c>
      <c r="D3834" s="1920" t="s">
        <v>1514</v>
      </c>
      <c r="E3834" s="1921"/>
      <c r="F3834" s="1922"/>
      <c r="G3834" s="1923" t="s">
        <v>1515</v>
      </c>
      <c r="H3834" s="1924"/>
      <c r="I3834" s="1925"/>
      <c r="J3834" s="1915"/>
      <c r="K3834" s="1915"/>
      <c r="L3834" s="1915"/>
      <c r="M3834" s="1915"/>
      <c r="N3834" s="1915"/>
      <c r="O3834" s="1915"/>
      <c r="P3834" s="353" t="s">
        <v>1516</v>
      </c>
      <c r="Q3834" s="1915"/>
      <c r="R3834" s="1917"/>
      <c r="S3834" s="1915"/>
      <c r="T3834" s="1915"/>
      <c r="U3834" s="1919"/>
      <c r="V3834" s="1418">
        <f t="shared" si="386"/>
        <v>0</v>
      </c>
      <c r="W3834" s="16"/>
      <c r="X3834" s="16"/>
      <c r="Y3834" s="16"/>
      <c r="Z3834" s="17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</row>
    <row r="3835" spans="1:36" s="361" customFormat="1" ht="30" hidden="1">
      <c r="A3835" s="354"/>
      <c r="B3835" s="355"/>
      <c r="C3835" s="32" t="s">
        <v>1337</v>
      </c>
      <c r="D3835" s="33"/>
      <c r="E3835" s="34"/>
      <c r="F3835" s="35"/>
      <c r="G3835" s="33"/>
      <c r="H3835" s="34"/>
      <c r="I3835" s="35"/>
      <c r="J3835" s="43"/>
      <c r="K3835" s="42"/>
      <c r="L3835" s="39"/>
      <c r="M3835" s="41"/>
      <c r="N3835" s="356"/>
      <c r="O3835" s="40"/>
      <c r="P3835" s="39"/>
      <c r="Q3835" s="45"/>
      <c r="R3835" s="1359">
        <v>3</v>
      </c>
      <c r="S3835" s="1265" t="s">
        <v>816</v>
      </c>
      <c r="T3835" s="46" t="s">
        <v>328</v>
      </c>
      <c r="U3835" s="44"/>
      <c r="V3835" s="1418">
        <f t="shared" si="386"/>
        <v>0</v>
      </c>
      <c r="W3835" s="357"/>
      <c r="X3835" s="357"/>
      <c r="Y3835" s="357"/>
      <c r="Z3835" s="358"/>
      <c r="AA3835" s="359"/>
      <c r="AB3835" s="360"/>
    </row>
    <row r="3836" spans="1:36" s="361" customFormat="1" ht="15" hidden="1" customHeight="1">
      <c r="A3836" s="354"/>
      <c r="B3836" s="355"/>
      <c r="C3836" s="32"/>
      <c r="D3836" s="33"/>
      <c r="E3836" s="34"/>
      <c r="F3836" s="35"/>
      <c r="G3836" s="33"/>
      <c r="H3836" s="34"/>
      <c r="I3836" s="35"/>
      <c r="J3836" s="43"/>
      <c r="K3836" s="42"/>
      <c r="L3836" s="39"/>
      <c r="M3836" s="41"/>
      <c r="N3836" s="356"/>
      <c r="O3836" s="40"/>
      <c r="P3836" s="39"/>
      <c r="Q3836" s="45"/>
      <c r="R3836" s="362"/>
      <c r="S3836" s="363"/>
      <c r="T3836" s="46"/>
      <c r="U3836" s="44"/>
      <c r="V3836" s="1418">
        <f t="shared" si="386"/>
        <v>0</v>
      </c>
      <c r="W3836" s="357"/>
      <c r="X3836" s="357"/>
      <c r="Y3836" s="357"/>
      <c r="Z3836" s="358"/>
      <c r="AA3836" s="359"/>
      <c r="AB3836" s="360"/>
    </row>
    <row r="3837" spans="1:36" s="369" customFormat="1" ht="15" hidden="1">
      <c r="A3837" s="364"/>
      <c r="B3837" s="355"/>
      <c r="C3837" s="32"/>
      <c r="D3837" s="33"/>
      <c r="E3837" s="34"/>
      <c r="F3837" s="35"/>
      <c r="G3837" s="33"/>
      <c r="H3837" s="34"/>
      <c r="I3837" s="35"/>
      <c r="J3837" s="43"/>
      <c r="K3837" s="42"/>
      <c r="L3837" s="39"/>
      <c r="M3837" s="41"/>
      <c r="N3837" s="40"/>
      <c r="O3837" s="40"/>
      <c r="P3837" s="39"/>
      <c r="Q3837" s="38"/>
      <c r="R3837" s="365"/>
      <c r="S3837" s="366"/>
      <c r="T3837" s="46"/>
      <c r="U3837" s="44"/>
      <c r="V3837" s="1418">
        <f t="shared" si="386"/>
        <v>0</v>
      </c>
      <c r="W3837" s="367"/>
      <c r="X3837" s="367"/>
      <c r="Y3837" s="367"/>
      <c r="Z3837" s="368"/>
    </row>
    <row r="3838" spans="1:36" s="77" customFormat="1" ht="15" hidden="1">
      <c r="A3838" s="370"/>
      <c r="B3838" s="29"/>
      <c r="C3838" s="30"/>
      <c r="D3838" s="18"/>
      <c r="E3838" s="19"/>
      <c r="F3838" s="20"/>
      <c r="G3838" s="18"/>
      <c r="H3838" s="19"/>
      <c r="I3838" s="20"/>
      <c r="J3838" s="21"/>
      <c r="K3838" s="22"/>
      <c r="L3838" s="23"/>
      <c r="M3838" s="24"/>
      <c r="N3838" s="25"/>
      <c r="O3838" s="25"/>
      <c r="P3838" s="23"/>
      <c r="Q3838" s="26"/>
      <c r="R3838" s="371"/>
      <c r="S3838" s="27"/>
      <c r="T3838" s="372"/>
      <c r="U3838" s="31"/>
      <c r="V3838" s="1418">
        <f t="shared" si="386"/>
        <v>0</v>
      </c>
      <c r="AB3838" s="15"/>
    </row>
    <row r="3839" spans="1:36" s="77" customFormat="1" ht="15.6" hidden="1">
      <c r="A3839" s="370"/>
      <c r="B3839" s="499"/>
      <c r="C3839" s="37"/>
      <c r="D3839" s="1929" t="s">
        <v>1520</v>
      </c>
      <c r="E3839" s="1930"/>
      <c r="F3839" s="1930"/>
      <c r="G3839" s="1930"/>
      <c r="H3839" s="1930"/>
      <c r="I3839" s="1931"/>
      <c r="J3839" s="1932">
        <f>VLOOKUP(A3841,'11 - FINANCEIRA'!_xlnm.Print_Area,6,FALSE)</f>
        <v>3</v>
      </c>
      <c r="K3839" s="1933"/>
      <c r="L3839" s="1343" t="str">
        <f>VLOOKUP(A3841,'11 - FINANCEIRA'!_xlnm.Print_Area,4,FALSE)</f>
        <v>und</v>
      </c>
      <c r="M3839" s="1934" t="s">
        <v>1521</v>
      </c>
      <c r="N3839" s="1935"/>
      <c r="O3839" s="1935"/>
      <c r="P3839" s="1935"/>
      <c r="Q3839" s="1936"/>
      <c r="R3839" s="726">
        <f>SUM(R3835:R3838)</f>
        <v>3</v>
      </c>
      <c r="S3839" s="1344" t="str">
        <f>L3839</f>
        <v>und</v>
      </c>
      <c r="T3839" s="373"/>
      <c r="U3839" s="486"/>
      <c r="V3839" s="1418">
        <f t="shared" si="386"/>
        <v>0</v>
      </c>
      <c r="AB3839" s="15"/>
    </row>
    <row r="3840" spans="1:36" s="77" customFormat="1" ht="15.6" hidden="1">
      <c r="A3840" s="370"/>
      <c r="B3840" s="499"/>
      <c r="C3840" s="725"/>
      <c r="D3840" s="1937" t="s">
        <v>1522</v>
      </c>
      <c r="E3840" s="1938"/>
      <c r="F3840" s="1938"/>
      <c r="G3840" s="1938"/>
      <c r="H3840" s="1938"/>
      <c r="I3840" s="1939"/>
      <c r="J3840" s="1943">
        <f>R3839/J3839</f>
        <v>1</v>
      </c>
      <c r="K3840" s="1944"/>
      <c r="L3840" s="1947"/>
      <c r="M3840" s="1934" t="s">
        <v>1523</v>
      </c>
      <c r="N3840" s="1935"/>
      <c r="O3840" s="1935"/>
      <c r="P3840" s="1935"/>
      <c r="Q3840" s="1936"/>
      <c r="R3840" s="726">
        <f>VLOOKUP(A3841,'11 - FINANCEIRA'!_xlnm.Print_Area,8,FALSE)</f>
        <v>3</v>
      </c>
      <c r="S3840" s="727" t="str">
        <f>L3839</f>
        <v>und</v>
      </c>
      <c r="T3840" s="373"/>
      <c r="U3840" s="486"/>
      <c r="V3840" s="1418">
        <f t="shared" si="386"/>
        <v>0</v>
      </c>
      <c r="AB3840" s="15"/>
    </row>
    <row r="3841" spans="1:36" s="77" customFormat="1" ht="15.6" hidden="1">
      <c r="A3841" s="364" t="s">
        <v>699</v>
      </c>
      <c r="B3841" s="499"/>
      <c r="C3841" s="37"/>
      <c r="D3841" s="2013"/>
      <c r="E3841" s="2014"/>
      <c r="F3841" s="2014"/>
      <c r="G3841" s="2014"/>
      <c r="H3841" s="2014"/>
      <c r="I3841" s="2015"/>
      <c r="J3841" s="2016"/>
      <c r="K3841" s="2017"/>
      <c r="L3841" s="1962"/>
      <c r="M3841" s="2007" t="s">
        <v>1524</v>
      </c>
      <c r="N3841" s="2008"/>
      <c r="O3841" s="2008"/>
      <c r="P3841" s="2008"/>
      <c r="Q3841" s="2009"/>
      <c r="R3841" s="1345">
        <f>R3839-R3840</f>
        <v>0</v>
      </c>
      <c r="S3841" s="1346" t="str">
        <f>L3839</f>
        <v>und</v>
      </c>
      <c r="T3841" s="373"/>
      <c r="U3841" s="486"/>
      <c r="V3841" s="1418">
        <f>R3841</f>
        <v>0</v>
      </c>
      <c r="AB3841" s="15"/>
    </row>
    <row r="3842" spans="1:36" s="77" customFormat="1" ht="15.6" hidden="1">
      <c r="A3842" s="370"/>
      <c r="B3842" s="1347"/>
      <c r="C3842" s="1348"/>
      <c r="D3842" s="1349"/>
      <c r="E3842" s="1350"/>
      <c r="F3842" s="1349"/>
      <c r="G3842" s="1349"/>
      <c r="H3842" s="1349"/>
      <c r="I3842" s="1349"/>
      <c r="J3842" s="1351"/>
      <c r="K3842" s="1352"/>
      <c r="L3842" s="1353"/>
      <c r="M3842" s="1354"/>
      <c r="N3842" s="1354"/>
      <c r="O3842" s="1354"/>
      <c r="P3842" s="1354"/>
      <c r="Q3842" s="1354"/>
      <c r="R3842" s="1355"/>
      <c r="S3842" s="1356"/>
      <c r="T3842" s="1357"/>
      <c r="U3842" s="1358"/>
      <c r="V3842" s="1420">
        <f>SUM(V3833:V3841)</f>
        <v>0</v>
      </c>
      <c r="AB3842" s="15"/>
    </row>
    <row r="3843" spans="1:36" s="352" customFormat="1" ht="15.6" hidden="1">
      <c r="A3843" s="351"/>
      <c r="B3843" s="1963" t="str">
        <f>VLOOKUP(A3851,'11 - FINANCEIRA'!_xlnm.Print_Area,1,FALSE)</f>
        <v>2.5.5.5</v>
      </c>
      <c r="C3843" s="1965" t="str">
        <f>VLOOKUP(A3851,'11 - FINANCEIRA'!_xlnm.Print_Area,3,FALSE)</f>
        <v>Tomada de rede rj45 - fornecimento e instalação. af_11/2019</v>
      </c>
      <c r="D3843" s="1967" t="s">
        <v>1503</v>
      </c>
      <c r="E3843" s="1968"/>
      <c r="F3843" s="1968"/>
      <c r="G3843" s="1968"/>
      <c r="H3843" s="1968"/>
      <c r="I3843" s="1969"/>
      <c r="J3843" s="1914" t="s">
        <v>1504</v>
      </c>
      <c r="K3843" s="1914" t="s">
        <v>1505</v>
      </c>
      <c r="L3843" s="1914" t="s">
        <v>1506</v>
      </c>
      <c r="M3843" s="1914" t="s">
        <v>1507</v>
      </c>
      <c r="N3843" s="1914" t="s">
        <v>1508</v>
      </c>
      <c r="O3843" s="1914" t="s">
        <v>1509</v>
      </c>
      <c r="P3843" s="1341" t="s">
        <v>1510</v>
      </c>
      <c r="Q3843" s="1914" t="s">
        <v>1493</v>
      </c>
      <c r="R3843" s="1916" t="s">
        <v>804</v>
      </c>
      <c r="S3843" s="1914" t="s">
        <v>1511</v>
      </c>
      <c r="T3843" s="1914" t="s">
        <v>1512</v>
      </c>
      <c r="U3843" s="1918" t="s">
        <v>1513</v>
      </c>
      <c r="V3843" s="1418">
        <f t="shared" ref="V3843:V3850" si="387">V3844</f>
        <v>0</v>
      </c>
      <c r="W3843" s="16"/>
      <c r="X3843" s="16"/>
      <c r="Y3843" s="16"/>
      <c r="Z3843" s="17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</row>
    <row r="3844" spans="1:36" s="352" customFormat="1" ht="15.6" hidden="1">
      <c r="A3844" s="351"/>
      <c r="B3844" s="1964" t="e">
        <f>LEFT(#REF!,5)</f>
        <v>#REF!</v>
      </c>
      <c r="C3844" s="1966" t="e">
        <f>VLOOKUP(LEFT(#REF!,5),'11 - FINANCEIRA'!_xlnm.Print_Area,2,FALSE)</f>
        <v>#REF!</v>
      </c>
      <c r="D3844" s="1920" t="s">
        <v>1514</v>
      </c>
      <c r="E3844" s="1921"/>
      <c r="F3844" s="1922"/>
      <c r="G3844" s="1923" t="s">
        <v>1515</v>
      </c>
      <c r="H3844" s="1924"/>
      <c r="I3844" s="1925"/>
      <c r="J3844" s="1915"/>
      <c r="K3844" s="1915"/>
      <c r="L3844" s="1915"/>
      <c r="M3844" s="1915"/>
      <c r="N3844" s="1915"/>
      <c r="O3844" s="1915"/>
      <c r="P3844" s="353" t="s">
        <v>1516</v>
      </c>
      <c r="Q3844" s="1915"/>
      <c r="R3844" s="1917"/>
      <c r="S3844" s="1915"/>
      <c r="T3844" s="1915"/>
      <c r="U3844" s="1919"/>
      <c r="V3844" s="1418">
        <f t="shared" si="387"/>
        <v>0</v>
      </c>
      <c r="W3844" s="16"/>
      <c r="X3844" s="16"/>
      <c r="Y3844" s="16"/>
      <c r="Z3844" s="17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</row>
    <row r="3845" spans="1:36" s="361" customFormat="1" ht="15" hidden="1">
      <c r="A3845" s="354"/>
      <c r="B3845" s="355"/>
      <c r="C3845" s="32" t="s">
        <v>1339</v>
      </c>
      <c r="D3845" s="33"/>
      <c r="E3845" s="34"/>
      <c r="F3845" s="35"/>
      <c r="G3845" s="33"/>
      <c r="H3845" s="34"/>
      <c r="I3845" s="35"/>
      <c r="J3845" s="43"/>
      <c r="K3845" s="42"/>
      <c r="L3845" s="39"/>
      <c r="M3845" s="41"/>
      <c r="N3845" s="356"/>
      <c r="O3845" s="40"/>
      <c r="P3845" s="39"/>
      <c r="Q3845" s="45"/>
      <c r="R3845" s="1359">
        <v>6</v>
      </c>
      <c r="S3845" s="1265" t="s">
        <v>816</v>
      </c>
      <c r="T3845" s="46" t="s">
        <v>328</v>
      </c>
      <c r="U3845" s="44"/>
      <c r="V3845" s="1418">
        <f t="shared" si="387"/>
        <v>0</v>
      </c>
      <c r="W3845" s="357"/>
      <c r="X3845" s="357"/>
      <c r="Y3845" s="357"/>
      <c r="Z3845" s="358"/>
      <c r="AA3845" s="359"/>
      <c r="AB3845" s="360"/>
    </row>
    <row r="3846" spans="1:36" s="361" customFormat="1" ht="15" hidden="1" customHeight="1">
      <c r="A3846" s="354"/>
      <c r="B3846" s="355"/>
      <c r="C3846" s="32"/>
      <c r="D3846" s="33"/>
      <c r="E3846" s="34"/>
      <c r="F3846" s="35"/>
      <c r="G3846" s="33"/>
      <c r="H3846" s="34"/>
      <c r="I3846" s="35"/>
      <c r="J3846" s="43"/>
      <c r="K3846" s="42"/>
      <c r="L3846" s="39"/>
      <c r="M3846" s="41"/>
      <c r="N3846" s="356"/>
      <c r="O3846" s="40"/>
      <c r="P3846" s="39"/>
      <c r="Q3846" s="45"/>
      <c r="R3846" s="362"/>
      <c r="S3846" s="363"/>
      <c r="T3846" s="46"/>
      <c r="U3846" s="44"/>
      <c r="V3846" s="1418">
        <f t="shared" si="387"/>
        <v>0</v>
      </c>
      <c r="W3846" s="357"/>
      <c r="X3846" s="357"/>
      <c r="Y3846" s="357"/>
      <c r="Z3846" s="358"/>
      <c r="AA3846" s="359"/>
      <c r="AB3846" s="360"/>
    </row>
    <row r="3847" spans="1:36" s="369" customFormat="1" ht="15" hidden="1">
      <c r="A3847" s="364"/>
      <c r="B3847" s="355"/>
      <c r="C3847" s="32"/>
      <c r="D3847" s="33"/>
      <c r="E3847" s="34"/>
      <c r="F3847" s="35"/>
      <c r="G3847" s="33"/>
      <c r="H3847" s="34"/>
      <c r="I3847" s="35"/>
      <c r="J3847" s="43"/>
      <c r="K3847" s="42"/>
      <c r="L3847" s="39"/>
      <c r="M3847" s="41"/>
      <c r="N3847" s="40"/>
      <c r="O3847" s="40"/>
      <c r="P3847" s="39"/>
      <c r="Q3847" s="38"/>
      <c r="R3847" s="365"/>
      <c r="S3847" s="366"/>
      <c r="T3847" s="46"/>
      <c r="U3847" s="44"/>
      <c r="V3847" s="1418">
        <f t="shared" si="387"/>
        <v>0</v>
      </c>
      <c r="W3847" s="367"/>
      <c r="X3847" s="367"/>
      <c r="Y3847" s="367"/>
      <c r="Z3847" s="368"/>
    </row>
    <row r="3848" spans="1:36" s="77" customFormat="1" ht="15" hidden="1">
      <c r="A3848" s="370"/>
      <c r="B3848" s="29"/>
      <c r="C3848" s="30"/>
      <c r="D3848" s="18"/>
      <c r="E3848" s="19"/>
      <c r="F3848" s="20"/>
      <c r="G3848" s="18"/>
      <c r="H3848" s="19"/>
      <c r="I3848" s="20"/>
      <c r="J3848" s="21"/>
      <c r="K3848" s="22"/>
      <c r="L3848" s="23"/>
      <c r="M3848" s="24"/>
      <c r="N3848" s="25"/>
      <c r="O3848" s="25"/>
      <c r="P3848" s="23"/>
      <c r="Q3848" s="26"/>
      <c r="R3848" s="371"/>
      <c r="S3848" s="27"/>
      <c r="T3848" s="372"/>
      <c r="U3848" s="31"/>
      <c r="V3848" s="1418">
        <f t="shared" si="387"/>
        <v>0</v>
      </c>
      <c r="AB3848" s="15"/>
    </row>
    <row r="3849" spans="1:36" s="77" customFormat="1" ht="15.6" hidden="1">
      <c r="A3849" s="370"/>
      <c r="B3849" s="499"/>
      <c r="C3849" s="37"/>
      <c r="D3849" s="1929" t="s">
        <v>1520</v>
      </c>
      <c r="E3849" s="1930"/>
      <c r="F3849" s="1930"/>
      <c r="G3849" s="1930"/>
      <c r="H3849" s="1930"/>
      <c r="I3849" s="1931"/>
      <c r="J3849" s="1932">
        <f>VLOOKUP(A3851,'11 - FINANCEIRA'!_xlnm.Print_Area,6,FALSE)</f>
        <v>6</v>
      </c>
      <c r="K3849" s="1933"/>
      <c r="L3849" s="1343" t="str">
        <f>VLOOKUP(A3851,'11 - FINANCEIRA'!_xlnm.Print_Area,4,FALSE)</f>
        <v>und</v>
      </c>
      <c r="M3849" s="1934" t="s">
        <v>1521</v>
      </c>
      <c r="N3849" s="1935"/>
      <c r="O3849" s="1935"/>
      <c r="P3849" s="1935"/>
      <c r="Q3849" s="1936"/>
      <c r="R3849" s="726">
        <f>SUM(R3845:R3848)</f>
        <v>6</v>
      </c>
      <c r="S3849" s="1344" t="str">
        <f>L3849</f>
        <v>und</v>
      </c>
      <c r="T3849" s="373"/>
      <c r="U3849" s="486"/>
      <c r="V3849" s="1418">
        <f t="shared" si="387"/>
        <v>0</v>
      </c>
      <c r="AB3849" s="15"/>
    </row>
    <row r="3850" spans="1:36" s="77" customFormat="1" ht="15.6" hidden="1">
      <c r="A3850" s="370"/>
      <c r="B3850" s="499"/>
      <c r="C3850" s="725"/>
      <c r="D3850" s="1937" t="s">
        <v>1522</v>
      </c>
      <c r="E3850" s="1938"/>
      <c r="F3850" s="1938"/>
      <c r="G3850" s="1938"/>
      <c r="H3850" s="1938"/>
      <c r="I3850" s="1939"/>
      <c r="J3850" s="1943">
        <f>R3849/J3849</f>
        <v>1</v>
      </c>
      <c r="K3850" s="1944"/>
      <c r="L3850" s="1947"/>
      <c r="M3850" s="1934" t="s">
        <v>1523</v>
      </c>
      <c r="N3850" s="1935"/>
      <c r="O3850" s="1935"/>
      <c r="P3850" s="1935"/>
      <c r="Q3850" s="1936"/>
      <c r="R3850" s="726">
        <f>VLOOKUP(A3851,'11 - FINANCEIRA'!_xlnm.Print_Area,8,FALSE)</f>
        <v>6</v>
      </c>
      <c r="S3850" s="727" t="str">
        <f>L3849</f>
        <v>und</v>
      </c>
      <c r="T3850" s="373"/>
      <c r="U3850" s="486"/>
      <c r="V3850" s="1418">
        <f t="shared" si="387"/>
        <v>0</v>
      </c>
      <c r="AB3850" s="15"/>
    </row>
    <row r="3851" spans="1:36" s="77" customFormat="1" ht="15.6" hidden="1">
      <c r="A3851" s="364" t="s">
        <v>700</v>
      </c>
      <c r="B3851" s="499"/>
      <c r="C3851" s="37"/>
      <c r="D3851" s="2013"/>
      <c r="E3851" s="2014"/>
      <c r="F3851" s="2014"/>
      <c r="G3851" s="2014"/>
      <c r="H3851" s="2014"/>
      <c r="I3851" s="2015"/>
      <c r="J3851" s="2016"/>
      <c r="K3851" s="2017"/>
      <c r="L3851" s="1962"/>
      <c r="M3851" s="2007" t="s">
        <v>1524</v>
      </c>
      <c r="N3851" s="2008"/>
      <c r="O3851" s="2008"/>
      <c r="P3851" s="2008"/>
      <c r="Q3851" s="2009"/>
      <c r="R3851" s="1345">
        <f>R3849-R3850</f>
        <v>0</v>
      </c>
      <c r="S3851" s="1346" t="str">
        <f>L3849</f>
        <v>und</v>
      </c>
      <c r="T3851" s="373"/>
      <c r="U3851" s="486"/>
      <c r="V3851" s="1418">
        <f>R3851</f>
        <v>0</v>
      </c>
      <c r="AB3851" s="15"/>
    </row>
    <row r="3852" spans="1:36" s="77" customFormat="1" ht="15.6" hidden="1">
      <c r="A3852" s="370"/>
      <c r="B3852" s="1347"/>
      <c r="C3852" s="1348"/>
      <c r="D3852" s="1349"/>
      <c r="E3852" s="1350"/>
      <c r="F3852" s="1349"/>
      <c r="G3852" s="1349"/>
      <c r="H3852" s="1349"/>
      <c r="I3852" s="1349"/>
      <c r="J3852" s="1351"/>
      <c r="K3852" s="1352"/>
      <c r="L3852" s="1353"/>
      <c r="M3852" s="1354"/>
      <c r="N3852" s="1354"/>
      <c r="O3852" s="1354"/>
      <c r="P3852" s="1354"/>
      <c r="Q3852" s="1354"/>
      <c r="R3852" s="1355"/>
      <c r="S3852" s="1356"/>
      <c r="T3852" s="1357"/>
      <c r="U3852" s="1358"/>
      <c r="V3852" s="1420">
        <f>SUM(V3843:V3851)</f>
        <v>0</v>
      </c>
      <c r="AB3852" s="15"/>
    </row>
    <row r="3853" spans="1:36" s="352" customFormat="1" ht="15.6" hidden="1">
      <c r="A3853" s="351"/>
      <c r="B3853" s="1963" t="str">
        <f>VLOOKUP(A3861,'11 - FINANCEIRA'!_xlnm.Print_Area,1,FALSE)</f>
        <v>2.5.5.6</v>
      </c>
      <c r="C3853" s="1965" t="str">
        <f>VLOOKUP(A3861,'11 - FINANCEIRA'!_xlnm.Print_Area,3,FALSE)</f>
        <v>Condulete de alumínio 4x2”, furos 1”, múltiplo com espelho</v>
      </c>
      <c r="D3853" s="1967" t="s">
        <v>1503</v>
      </c>
      <c r="E3853" s="1968"/>
      <c r="F3853" s="1968"/>
      <c r="G3853" s="1968"/>
      <c r="H3853" s="1968"/>
      <c r="I3853" s="1969"/>
      <c r="J3853" s="1914" t="s">
        <v>1504</v>
      </c>
      <c r="K3853" s="1914" t="s">
        <v>1505</v>
      </c>
      <c r="L3853" s="1914" t="s">
        <v>1506</v>
      </c>
      <c r="M3853" s="1914" t="s">
        <v>1507</v>
      </c>
      <c r="N3853" s="1914" t="s">
        <v>1508</v>
      </c>
      <c r="O3853" s="1914" t="s">
        <v>1509</v>
      </c>
      <c r="P3853" s="1341" t="s">
        <v>1510</v>
      </c>
      <c r="Q3853" s="1914" t="s">
        <v>1493</v>
      </c>
      <c r="R3853" s="1916" t="s">
        <v>804</v>
      </c>
      <c r="S3853" s="1914" t="s">
        <v>1511</v>
      </c>
      <c r="T3853" s="1914" t="s">
        <v>1512</v>
      </c>
      <c r="U3853" s="1918" t="s">
        <v>1513</v>
      </c>
      <c r="V3853" s="1418">
        <f t="shared" ref="V3853:V3860" si="388">V3854</f>
        <v>0</v>
      </c>
      <c r="W3853" s="16"/>
      <c r="X3853" s="16"/>
      <c r="Y3853" s="16"/>
      <c r="Z3853" s="17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</row>
    <row r="3854" spans="1:36" s="352" customFormat="1" ht="15.6" hidden="1">
      <c r="A3854" s="351"/>
      <c r="B3854" s="1964" t="e">
        <f>LEFT(#REF!,5)</f>
        <v>#REF!</v>
      </c>
      <c r="C3854" s="1966" t="e">
        <f>VLOOKUP(LEFT(#REF!,5),'11 - FINANCEIRA'!_xlnm.Print_Area,2,FALSE)</f>
        <v>#REF!</v>
      </c>
      <c r="D3854" s="1920" t="s">
        <v>1514</v>
      </c>
      <c r="E3854" s="1921"/>
      <c r="F3854" s="1922"/>
      <c r="G3854" s="1923" t="s">
        <v>1515</v>
      </c>
      <c r="H3854" s="1924"/>
      <c r="I3854" s="1925"/>
      <c r="J3854" s="1915"/>
      <c r="K3854" s="1915"/>
      <c r="L3854" s="1915"/>
      <c r="M3854" s="1915"/>
      <c r="N3854" s="1915"/>
      <c r="O3854" s="1915"/>
      <c r="P3854" s="353" t="s">
        <v>1516</v>
      </c>
      <c r="Q3854" s="1915"/>
      <c r="R3854" s="1917"/>
      <c r="S3854" s="1915"/>
      <c r="T3854" s="1915"/>
      <c r="U3854" s="1919"/>
      <c r="V3854" s="1418">
        <f t="shared" si="388"/>
        <v>0</v>
      </c>
      <c r="W3854" s="16"/>
      <c r="X3854" s="16"/>
      <c r="Y3854" s="16"/>
      <c r="Z3854" s="17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</row>
    <row r="3855" spans="1:36" s="361" customFormat="1" ht="15" hidden="1" customHeight="1">
      <c r="A3855" s="354"/>
      <c r="B3855" s="355"/>
      <c r="C3855" s="32" t="s">
        <v>1341</v>
      </c>
      <c r="D3855" s="33"/>
      <c r="E3855" s="34"/>
      <c r="F3855" s="35"/>
      <c r="G3855" s="33"/>
      <c r="H3855" s="34"/>
      <c r="I3855" s="35"/>
      <c r="J3855" s="43"/>
      <c r="K3855" s="42"/>
      <c r="L3855" s="39"/>
      <c r="M3855" s="41"/>
      <c r="N3855" s="356"/>
      <c r="O3855" s="40"/>
      <c r="P3855" s="39"/>
      <c r="Q3855" s="45"/>
      <c r="R3855" s="1359">
        <v>6</v>
      </c>
      <c r="S3855" s="1265" t="s">
        <v>816</v>
      </c>
      <c r="T3855" s="46" t="s">
        <v>328</v>
      </c>
      <c r="U3855" s="44"/>
      <c r="V3855" s="1418">
        <f t="shared" si="388"/>
        <v>0</v>
      </c>
      <c r="W3855" s="357"/>
      <c r="X3855" s="357"/>
      <c r="Y3855" s="357"/>
      <c r="Z3855" s="358"/>
      <c r="AA3855" s="359"/>
      <c r="AB3855" s="360"/>
    </row>
    <row r="3856" spans="1:36" s="361" customFormat="1" ht="15" hidden="1" customHeight="1">
      <c r="A3856" s="354"/>
      <c r="B3856" s="355"/>
      <c r="C3856" s="32"/>
      <c r="D3856" s="33"/>
      <c r="E3856" s="34"/>
      <c r="F3856" s="35"/>
      <c r="G3856" s="33"/>
      <c r="H3856" s="34"/>
      <c r="I3856" s="35"/>
      <c r="J3856" s="43"/>
      <c r="K3856" s="42"/>
      <c r="L3856" s="39"/>
      <c r="M3856" s="41"/>
      <c r="N3856" s="356"/>
      <c r="O3856" s="40"/>
      <c r="P3856" s="39"/>
      <c r="Q3856" s="45"/>
      <c r="R3856" s="362"/>
      <c r="S3856" s="363"/>
      <c r="T3856" s="46"/>
      <c r="U3856" s="44"/>
      <c r="V3856" s="1418">
        <f t="shared" si="388"/>
        <v>0</v>
      </c>
      <c r="W3856" s="357"/>
      <c r="X3856" s="357"/>
      <c r="Y3856" s="357"/>
      <c r="Z3856" s="358"/>
      <c r="AA3856" s="359"/>
      <c r="AB3856" s="360"/>
    </row>
    <row r="3857" spans="1:36" s="369" customFormat="1" ht="15" hidden="1">
      <c r="A3857" s="364"/>
      <c r="B3857" s="355"/>
      <c r="C3857" s="32"/>
      <c r="D3857" s="33"/>
      <c r="E3857" s="34"/>
      <c r="F3857" s="35"/>
      <c r="G3857" s="33"/>
      <c r="H3857" s="34"/>
      <c r="I3857" s="35"/>
      <c r="J3857" s="43"/>
      <c r="K3857" s="42"/>
      <c r="L3857" s="39"/>
      <c r="M3857" s="41"/>
      <c r="N3857" s="40"/>
      <c r="O3857" s="40"/>
      <c r="P3857" s="39"/>
      <c r="Q3857" s="38"/>
      <c r="R3857" s="365"/>
      <c r="S3857" s="366"/>
      <c r="T3857" s="46"/>
      <c r="U3857" s="44"/>
      <c r="V3857" s="1418">
        <f t="shared" si="388"/>
        <v>0</v>
      </c>
      <c r="W3857" s="367"/>
      <c r="X3857" s="367"/>
      <c r="Y3857" s="367"/>
      <c r="Z3857" s="368"/>
    </row>
    <row r="3858" spans="1:36" s="77" customFormat="1" ht="15" hidden="1">
      <c r="A3858" s="370"/>
      <c r="B3858" s="29"/>
      <c r="C3858" s="30"/>
      <c r="D3858" s="18"/>
      <c r="E3858" s="19"/>
      <c r="F3858" s="20"/>
      <c r="G3858" s="18"/>
      <c r="H3858" s="19"/>
      <c r="I3858" s="20"/>
      <c r="J3858" s="21"/>
      <c r="K3858" s="22"/>
      <c r="L3858" s="23"/>
      <c r="M3858" s="24"/>
      <c r="N3858" s="25"/>
      <c r="O3858" s="25"/>
      <c r="P3858" s="23"/>
      <c r="Q3858" s="26"/>
      <c r="R3858" s="371"/>
      <c r="S3858" s="27"/>
      <c r="T3858" s="372"/>
      <c r="U3858" s="31"/>
      <c r="V3858" s="1418">
        <f t="shared" si="388"/>
        <v>0</v>
      </c>
      <c r="AB3858" s="15"/>
    </row>
    <row r="3859" spans="1:36" s="77" customFormat="1" ht="15.6" hidden="1">
      <c r="A3859" s="370"/>
      <c r="B3859" s="499"/>
      <c r="C3859" s="37"/>
      <c r="D3859" s="1929" t="s">
        <v>1520</v>
      </c>
      <c r="E3859" s="1930"/>
      <c r="F3859" s="1930"/>
      <c r="G3859" s="1930"/>
      <c r="H3859" s="1930"/>
      <c r="I3859" s="1931"/>
      <c r="J3859" s="1932">
        <f>VLOOKUP(A3861,'11 - FINANCEIRA'!_xlnm.Print_Area,6,FALSE)</f>
        <v>6</v>
      </c>
      <c r="K3859" s="1933"/>
      <c r="L3859" s="1343" t="str">
        <f>VLOOKUP(A3861,'11 - FINANCEIRA'!_xlnm.Print_Area,4,FALSE)</f>
        <v>und</v>
      </c>
      <c r="M3859" s="1934" t="s">
        <v>1521</v>
      </c>
      <c r="N3859" s="1935"/>
      <c r="O3859" s="1935"/>
      <c r="P3859" s="1935"/>
      <c r="Q3859" s="1936"/>
      <c r="R3859" s="726">
        <f>SUM(R3855:R3858)</f>
        <v>6</v>
      </c>
      <c r="S3859" s="1344" t="str">
        <f>L3859</f>
        <v>und</v>
      </c>
      <c r="T3859" s="373"/>
      <c r="U3859" s="486"/>
      <c r="V3859" s="1418">
        <f t="shared" si="388"/>
        <v>0</v>
      </c>
      <c r="AB3859" s="15"/>
    </row>
    <row r="3860" spans="1:36" s="77" customFormat="1" ht="15.6" hidden="1">
      <c r="A3860" s="370"/>
      <c r="B3860" s="499"/>
      <c r="C3860" s="725"/>
      <c r="D3860" s="1937" t="s">
        <v>1522</v>
      </c>
      <c r="E3860" s="1938"/>
      <c r="F3860" s="1938"/>
      <c r="G3860" s="1938"/>
      <c r="H3860" s="1938"/>
      <c r="I3860" s="1939"/>
      <c r="J3860" s="1943">
        <f>R3859/J3859</f>
        <v>1</v>
      </c>
      <c r="K3860" s="1944"/>
      <c r="L3860" s="1947"/>
      <c r="M3860" s="1934" t="s">
        <v>1523</v>
      </c>
      <c r="N3860" s="1935"/>
      <c r="O3860" s="1935"/>
      <c r="P3860" s="1935"/>
      <c r="Q3860" s="1936"/>
      <c r="R3860" s="726">
        <f>VLOOKUP(A3861,'11 - FINANCEIRA'!_xlnm.Print_Area,8,FALSE)</f>
        <v>6</v>
      </c>
      <c r="S3860" s="727" t="str">
        <f>L3859</f>
        <v>und</v>
      </c>
      <c r="T3860" s="373"/>
      <c r="U3860" s="486"/>
      <c r="V3860" s="1418">
        <f t="shared" si="388"/>
        <v>0</v>
      </c>
      <c r="AB3860" s="15"/>
    </row>
    <row r="3861" spans="1:36" s="77" customFormat="1" ht="15.6" hidden="1">
      <c r="A3861" s="364" t="s">
        <v>701</v>
      </c>
      <c r="B3861" s="499"/>
      <c r="C3861" s="37"/>
      <c r="D3861" s="2013"/>
      <c r="E3861" s="2014"/>
      <c r="F3861" s="2014"/>
      <c r="G3861" s="2014"/>
      <c r="H3861" s="2014"/>
      <c r="I3861" s="2015"/>
      <c r="J3861" s="2016"/>
      <c r="K3861" s="2017"/>
      <c r="L3861" s="1962"/>
      <c r="M3861" s="2007" t="s">
        <v>1524</v>
      </c>
      <c r="N3861" s="2008"/>
      <c r="O3861" s="2008"/>
      <c r="P3861" s="2008"/>
      <c r="Q3861" s="2009"/>
      <c r="R3861" s="1345">
        <f>R3859-R3860</f>
        <v>0</v>
      </c>
      <c r="S3861" s="1346" t="str">
        <f>L3859</f>
        <v>und</v>
      </c>
      <c r="T3861" s="373"/>
      <c r="U3861" s="486"/>
      <c r="V3861" s="1418">
        <f>R3861</f>
        <v>0</v>
      </c>
      <c r="AB3861" s="15"/>
    </row>
    <row r="3862" spans="1:36" s="77" customFormat="1" ht="15.6" hidden="1">
      <c r="A3862" s="370"/>
      <c r="B3862" s="1347"/>
      <c r="C3862" s="1348"/>
      <c r="D3862" s="1349"/>
      <c r="E3862" s="1350"/>
      <c r="F3862" s="1349"/>
      <c r="G3862" s="1349"/>
      <c r="H3862" s="1349"/>
      <c r="I3862" s="1349"/>
      <c r="J3862" s="1351"/>
      <c r="K3862" s="1352"/>
      <c r="L3862" s="1353"/>
      <c r="M3862" s="1354"/>
      <c r="N3862" s="1354"/>
      <c r="O3862" s="1354"/>
      <c r="P3862" s="1354"/>
      <c r="Q3862" s="1354"/>
      <c r="R3862" s="1355"/>
      <c r="S3862" s="1356"/>
      <c r="T3862" s="1357"/>
      <c r="U3862" s="1358"/>
      <c r="V3862" s="1420">
        <f>SUM(V3853:V3861)</f>
        <v>0</v>
      </c>
      <c r="AB3862" s="15"/>
    </row>
    <row r="3863" spans="1:36" s="352" customFormat="1" ht="15.6" hidden="1">
      <c r="A3863" s="351"/>
      <c r="B3863" s="1963" t="str">
        <f>VLOOKUP(A3871,'11 - FINANCEIRA'!_xlnm.Print_Area,1,FALSE)</f>
        <v>2.5.5.7</v>
      </c>
      <c r="C3863" s="1965" t="str">
        <f>VLOOKUP(A3871,'11 - FINANCEIRA'!_xlnm.Print_Area,3,FALSE)</f>
        <v xml:space="preserve">Caixa de passagem de embutir no piso, padrão telebrás, r1, com tampa em ferro fundido. </v>
      </c>
      <c r="D3863" s="1967" t="s">
        <v>1503</v>
      </c>
      <c r="E3863" s="1968"/>
      <c r="F3863" s="1968"/>
      <c r="G3863" s="1968"/>
      <c r="H3863" s="1968"/>
      <c r="I3863" s="1969"/>
      <c r="J3863" s="1914" t="s">
        <v>1504</v>
      </c>
      <c r="K3863" s="1914" t="s">
        <v>1505</v>
      </c>
      <c r="L3863" s="1914" t="s">
        <v>1506</v>
      </c>
      <c r="M3863" s="1914" t="s">
        <v>1507</v>
      </c>
      <c r="N3863" s="1914" t="s">
        <v>1508</v>
      </c>
      <c r="O3863" s="1914" t="s">
        <v>1509</v>
      </c>
      <c r="P3863" s="1341" t="s">
        <v>1510</v>
      </c>
      <c r="Q3863" s="1914" t="s">
        <v>1493</v>
      </c>
      <c r="R3863" s="1916" t="s">
        <v>804</v>
      </c>
      <c r="S3863" s="1914" t="s">
        <v>1511</v>
      </c>
      <c r="T3863" s="1914" t="s">
        <v>1512</v>
      </c>
      <c r="U3863" s="1918" t="s">
        <v>1513</v>
      </c>
      <c r="V3863" s="1418">
        <f t="shared" ref="V3863:V3870" si="389">V3864</f>
        <v>0</v>
      </c>
      <c r="W3863" s="16"/>
      <c r="X3863" s="16"/>
      <c r="Y3863" s="16"/>
      <c r="Z3863" s="17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</row>
    <row r="3864" spans="1:36" s="352" customFormat="1" ht="15.6" hidden="1">
      <c r="A3864" s="351"/>
      <c r="B3864" s="1964" t="e">
        <f>LEFT(#REF!,5)</f>
        <v>#REF!</v>
      </c>
      <c r="C3864" s="1966" t="e">
        <f>VLOOKUP(LEFT(#REF!,5),'11 - FINANCEIRA'!_xlnm.Print_Area,2,FALSE)</f>
        <v>#REF!</v>
      </c>
      <c r="D3864" s="1920" t="s">
        <v>1514</v>
      </c>
      <c r="E3864" s="1921"/>
      <c r="F3864" s="1922"/>
      <c r="G3864" s="1923" t="s">
        <v>1515</v>
      </c>
      <c r="H3864" s="1924"/>
      <c r="I3864" s="1925"/>
      <c r="J3864" s="1915"/>
      <c r="K3864" s="1915"/>
      <c r="L3864" s="1915"/>
      <c r="M3864" s="1915"/>
      <c r="N3864" s="1915"/>
      <c r="O3864" s="1915"/>
      <c r="P3864" s="353" t="s">
        <v>1516</v>
      </c>
      <c r="Q3864" s="1915"/>
      <c r="R3864" s="1917"/>
      <c r="S3864" s="1915"/>
      <c r="T3864" s="1915"/>
      <c r="U3864" s="1919"/>
      <c r="V3864" s="1418">
        <f t="shared" si="389"/>
        <v>0</v>
      </c>
      <c r="W3864" s="16"/>
      <c r="X3864" s="16"/>
      <c r="Y3864" s="16"/>
      <c r="Z3864" s="17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</row>
    <row r="3865" spans="1:36" s="361" customFormat="1" ht="15" hidden="1">
      <c r="A3865" s="354"/>
      <c r="B3865" s="355"/>
      <c r="C3865" s="32" t="s">
        <v>1343</v>
      </c>
      <c r="D3865" s="33"/>
      <c r="E3865" s="34"/>
      <c r="F3865" s="35"/>
      <c r="G3865" s="33"/>
      <c r="H3865" s="34"/>
      <c r="I3865" s="35"/>
      <c r="J3865" s="43"/>
      <c r="K3865" s="42"/>
      <c r="L3865" s="39"/>
      <c r="M3865" s="41"/>
      <c r="N3865" s="356"/>
      <c r="O3865" s="40"/>
      <c r="P3865" s="39"/>
      <c r="Q3865" s="45"/>
      <c r="R3865" s="1359">
        <v>15</v>
      </c>
      <c r="S3865" s="1265" t="s">
        <v>816</v>
      </c>
      <c r="T3865" s="46" t="s">
        <v>328</v>
      </c>
      <c r="U3865" s="44"/>
      <c r="V3865" s="1418">
        <f t="shared" si="389"/>
        <v>0</v>
      </c>
      <c r="W3865" s="357"/>
      <c r="X3865" s="357"/>
      <c r="Y3865" s="357"/>
      <c r="Z3865" s="358"/>
      <c r="AA3865" s="359"/>
      <c r="AB3865" s="360"/>
    </row>
    <row r="3866" spans="1:36" s="361" customFormat="1" ht="15" hidden="1" customHeight="1">
      <c r="A3866" s="354"/>
      <c r="B3866" s="355"/>
      <c r="C3866" s="32"/>
      <c r="D3866" s="33"/>
      <c r="E3866" s="34"/>
      <c r="F3866" s="35"/>
      <c r="G3866" s="33"/>
      <c r="H3866" s="34"/>
      <c r="I3866" s="35"/>
      <c r="J3866" s="43"/>
      <c r="K3866" s="42"/>
      <c r="L3866" s="39"/>
      <c r="M3866" s="41"/>
      <c r="N3866" s="356"/>
      <c r="O3866" s="40"/>
      <c r="P3866" s="39"/>
      <c r="Q3866" s="45"/>
      <c r="R3866" s="362"/>
      <c r="S3866" s="363"/>
      <c r="T3866" s="46"/>
      <c r="U3866" s="44"/>
      <c r="V3866" s="1418">
        <f t="shared" si="389"/>
        <v>0</v>
      </c>
      <c r="W3866" s="357"/>
      <c r="X3866" s="357"/>
      <c r="Y3866" s="357"/>
      <c r="Z3866" s="358"/>
      <c r="AA3866" s="359"/>
      <c r="AB3866" s="360"/>
    </row>
    <row r="3867" spans="1:36" s="369" customFormat="1" ht="15" hidden="1">
      <c r="A3867" s="364"/>
      <c r="B3867" s="355"/>
      <c r="C3867" s="32"/>
      <c r="D3867" s="33"/>
      <c r="E3867" s="34"/>
      <c r="F3867" s="35"/>
      <c r="G3867" s="33"/>
      <c r="H3867" s="34"/>
      <c r="I3867" s="35"/>
      <c r="J3867" s="43"/>
      <c r="K3867" s="42"/>
      <c r="L3867" s="39"/>
      <c r="M3867" s="41"/>
      <c r="N3867" s="40"/>
      <c r="O3867" s="40"/>
      <c r="P3867" s="39"/>
      <c r="Q3867" s="38"/>
      <c r="R3867" s="365"/>
      <c r="S3867" s="366"/>
      <c r="T3867" s="46"/>
      <c r="U3867" s="44"/>
      <c r="V3867" s="1418">
        <f t="shared" si="389"/>
        <v>0</v>
      </c>
      <c r="W3867" s="367"/>
      <c r="X3867" s="367"/>
      <c r="Y3867" s="367"/>
      <c r="Z3867" s="368"/>
    </row>
    <row r="3868" spans="1:36" s="77" customFormat="1" ht="15" hidden="1">
      <c r="A3868" s="370"/>
      <c r="B3868" s="29"/>
      <c r="C3868" s="30"/>
      <c r="D3868" s="18"/>
      <c r="E3868" s="19"/>
      <c r="F3868" s="20"/>
      <c r="G3868" s="18"/>
      <c r="H3868" s="19"/>
      <c r="I3868" s="20"/>
      <c r="J3868" s="21"/>
      <c r="K3868" s="22"/>
      <c r="L3868" s="23"/>
      <c r="M3868" s="24"/>
      <c r="N3868" s="25"/>
      <c r="O3868" s="25"/>
      <c r="P3868" s="23"/>
      <c r="Q3868" s="26"/>
      <c r="R3868" s="371"/>
      <c r="S3868" s="27"/>
      <c r="T3868" s="372"/>
      <c r="U3868" s="31"/>
      <c r="V3868" s="1418">
        <f t="shared" si="389"/>
        <v>0</v>
      </c>
      <c r="AB3868" s="15"/>
    </row>
    <row r="3869" spans="1:36" s="77" customFormat="1" ht="15.6" hidden="1">
      <c r="A3869" s="370"/>
      <c r="B3869" s="499"/>
      <c r="C3869" s="37"/>
      <c r="D3869" s="1929" t="s">
        <v>1520</v>
      </c>
      <c r="E3869" s="1930"/>
      <c r="F3869" s="1930"/>
      <c r="G3869" s="1930"/>
      <c r="H3869" s="1930"/>
      <c r="I3869" s="1931"/>
      <c r="J3869" s="1932">
        <f>VLOOKUP(A3871,'11 - FINANCEIRA'!_xlnm.Print_Area,6,FALSE)</f>
        <v>15</v>
      </c>
      <c r="K3869" s="1933"/>
      <c r="L3869" s="1343" t="str">
        <f>VLOOKUP(A3871,'11 - FINANCEIRA'!_xlnm.Print_Area,4,FALSE)</f>
        <v>und</v>
      </c>
      <c r="M3869" s="1934" t="s">
        <v>1521</v>
      </c>
      <c r="N3869" s="1935"/>
      <c r="O3869" s="1935"/>
      <c r="P3869" s="1935"/>
      <c r="Q3869" s="1936"/>
      <c r="R3869" s="726">
        <f>SUM(R3865:R3868)</f>
        <v>15</v>
      </c>
      <c r="S3869" s="1344" t="str">
        <f>L3869</f>
        <v>und</v>
      </c>
      <c r="T3869" s="373"/>
      <c r="U3869" s="486"/>
      <c r="V3869" s="1418">
        <f t="shared" si="389"/>
        <v>0</v>
      </c>
      <c r="AB3869" s="15"/>
    </row>
    <row r="3870" spans="1:36" s="77" customFormat="1" ht="15.6" hidden="1">
      <c r="A3870" s="370"/>
      <c r="B3870" s="499"/>
      <c r="C3870" s="725"/>
      <c r="D3870" s="1937" t="s">
        <v>1522</v>
      </c>
      <c r="E3870" s="1938"/>
      <c r="F3870" s="1938"/>
      <c r="G3870" s="1938"/>
      <c r="H3870" s="1938"/>
      <c r="I3870" s="1939"/>
      <c r="J3870" s="1943">
        <f>R3869/J3869</f>
        <v>1</v>
      </c>
      <c r="K3870" s="1944"/>
      <c r="L3870" s="1947"/>
      <c r="M3870" s="1934" t="s">
        <v>1523</v>
      </c>
      <c r="N3870" s="1935"/>
      <c r="O3870" s="1935"/>
      <c r="P3870" s="1935"/>
      <c r="Q3870" s="1936"/>
      <c r="R3870" s="726">
        <f>VLOOKUP(A3871,'11 - FINANCEIRA'!_xlnm.Print_Area,8,FALSE)</f>
        <v>15</v>
      </c>
      <c r="S3870" s="727" t="str">
        <f>L3869</f>
        <v>und</v>
      </c>
      <c r="T3870" s="373"/>
      <c r="U3870" s="486"/>
      <c r="V3870" s="1418">
        <f t="shared" si="389"/>
        <v>0</v>
      </c>
      <c r="AB3870" s="15"/>
    </row>
    <row r="3871" spans="1:36" s="77" customFormat="1" ht="15.6" hidden="1">
      <c r="A3871" s="364" t="s">
        <v>702</v>
      </c>
      <c r="B3871" s="499"/>
      <c r="C3871" s="37"/>
      <c r="D3871" s="2013"/>
      <c r="E3871" s="2014"/>
      <c r="F3871" s="2014"/>
      <c r="G3871" s="2014"/>
      <c r="H3871" s="2014"/>
      <c r="I3871" s="2015"/>
      <c r="J3871" s="2016"/>
      <c r="K3871" s="2017"/>
      <c r="L3871" s="1962"/>
      <c r="M3871" s="2007" t="s">
        <v>1524</v>
      </c>
      <c r="N3871" s="2008"/>
      <c r="O3871" s="2008"/>
      <c r="P3871" s="2008"/>
      <c r="Q3871" s="2009"/>
      <c r="R3871" s="1345">
        <f>R3869-R3870</f>
        <v>0</v>
      </c>
      <c r="S3871" s="1346" t="str">
        <f>L3869</f>
        <v>und</v>
      </c>
      <c r="T3871" s="373"/>
      <c r="U3871" s="486"/>
      <c r="V3871" s="1418">
        <f>R3871</f>
        <v>0</v>
      </c>
      <c r="AB3871" s="15"/>
    </row>
    <row r="3872" spans="1:36" s="77" customFormat="1" ht="15.6" hidden="1">
      <c r="A3872" s="370"/>
      <c r="B3872" s="1347"/>
      <c r="C3872" s="1348"/>
      <c r="D3872" s="1349"/>
      <c r="E3872" s="1350"/>
      <c r="F3872" s="1349"/>
      <c r="G3872" s="1349"/>
      <c r="H3872" s="1349"/>
      <c r="I3872" s="1349"/>
      <c r="J3872" s="1351"/>
      <c r="K3872" s="1352"/>
      <c r="L3872" s="1353"/>
      <c r="M3872" s="1354"/>
      <c r="N3872" s="1354"/>
      <c r="O3872" s="1354"/>
      <c r="P3872" s="1354"/>
      <c r="Q3872" s="1354"/>
      <c r="R3872" s="1355"/>
      <c r="S3872" s="1356"/>
      <c r="T3872" s="1357"/>
      <c r="U3872" s="1358"/>
      <c r="V3872" s="1420">
        <f>SUM(V3863:V3871)</f>
        <v>0</v>
      </c>
      <c r="AB3872" s="15"/>
    </row>
    <row r="3873" spans="1:36" s="352" customFormat="1" ht="15.6" hidden="1">
      <c r="A3873" s="351"/>
      <c r="B3873" s="1963" t="str">
        <f>VLOOKUP(A3881,'11 - FINANCEIRA'!_xlnm.Print_Area,1,FALSE)</f>
        <v>2.5.5.8</v>
      </c>
      <c r="C3873" s="1965" t="str">
        <f>VLOOKUP(A3881,'11 - FINANCEIRA'!_xlnm.Print_Area,3,FALSE)</f>
        <v>Caixa de telefone em chapa de aço padrão telebras do tipo cie-4 600x600x120 mm</v>
      </c>
      <c r="D3873" s="1967" t="s">
        <v>1503</v>
      </c>
      <c r="E3873" s="1968"/>
      <c r="F3873" s="1968"/>
      <c r="G3873" s="1968"/>
      <c r="H3873" s="1968"/>
      <c r="I3873" s="1969"/>
      <c r="J3873" s="1914" t="s">
        <v>1504</v>
      </c>
      <c r="K3873" s="1914" t="s">
        <v>1505</v>
      </c>
      <c r="L3873" s="1914" t="s">
        <v>1506</v>
      </c>
      <c r="M3873" s="1914" t="s">
        <v>1507</v>
      </c>
      <c r="N3873" s="1914" t="s">
        <v>1508</v>
      </c>
      <c r="O3873" s="1914" t="s">
        <v>1509</v>
      </c>
      <c r="P3873" s="1341" t="s">
        <v>1510</v>
      </c>
      <c r="Q3873" s="1914" t="s">
        <v>1493</v>
      </c>
      <c r="R3873" s="1916" t="s">
        <v>804</v>
      </c>
      <c r="S3873" s="1914" t="s">
        <v>1511</v>
      </c>
      <c r="T3873" s="1914" t="s">
        <v>1512</v>
      </c>
      <c r="U3873" s="1918" t="s">
        <v>1513</v>
      </c>
      <c r="V3873" s="1418">
        <f t="shared" ref="V3873:V3880" si="390">V3874</f>
        <v>0</v>
      </c>
      <c r="W3873" s="16"/>
      <c r="X3873" s="16"/>
      <c r="Y3873" s="16"/>
      <c r="Z3873" s="17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</row>
    <row r="3874" spans="1:36" s="352" customFormat="1" ht="15.6" hidden="1">
      <c r="A3874" s="351"/>
      <c r="B3874" s="1964" t="e">
        <f>LEFT(#REF!,5)</f>
        <v>#REF!</v>
      </c>
      <c r="C3874" s="1966" t="e">
        <f>VLOOKUP(LEFT(#REF!,5),'11 - FINANCEIRA'!_xlnm.Print_Area,2,FALSE)</f>
        <v>#REF!</v>
      </c>
      <c r="D3874" s="1920" t="s">
        <v>1514</v>
      </c>
      <c r="E3874" s="1921"/>
      <c r="F3874" s="1922"/>
      <c r="G3874" s="1923" t="s">
        <v>1515</v>
      </c>
      <c r="H3874" s="1924"/>
      <c r="I3874" s="1925"/>
      <c r="J3874" s="1915"/>
      <c r="K3874" s="1915"/>
      <c r="L3874" s="1915"/>
      <c r="M3874" s="1915"/>
      <c r="N3874" s="1915"/>
      <c r="O3874" s="1915"/>
      <c r="P3874" s="353" t="s">
        <v>1516</v>
      </c>
      <c r="Q3874" s="1915"/>
      <c r="R3874" s="1917"/>
      <c r="S3874" s="1915"/>
      <c r="T3874" s="1915"/>
      <c r="U3874" s="1919"/>
      <c r="V3874" s="1418">
        <f t="shared" si="390"/>
        <v>0</v>
      </c>
      <c r="W3874" s="16"/>
      <c r="X3874" s="16"/>
      <c r="Y3874" s="16"/>
      <c r="Z3874" s="17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</row>
    <row r="3875" spans="1:36" s="361" customFormat="1" ht="15" hidden="1">
      <c r="A3875" s="354"/>
      <c r="B3875" s="355"/>
      <c r="C3875" s="32" t="s">
        <v>1345</v>
      </c>
      <c r="D3875" s="33"/>
      <c r="E3875" s="34"/>
      <c r="F3875" s="35"/>
      <c r="G3875" s="33"/>
      <c r="H3875" s="34"/>
      <c r="I3875" s="35"/>
      <c r="J3875" s="43"/>
      <c r="K3875" s="42"/>
      <c r="L3875" s="39"/>
      <c r="M3875" s="41"/>
      <c r="N3875" s="356"/>
      <c r="O3875" s="40"/>
      <c r="P3875" s="39"/>
      <c r="Q3875" s="45"/>
      <c r="R3875" s="1359">
        <v>1</v>
      </c>
      <c r="S3875" s="1265" t="s">
        <v>816</v>
      </c>
      <c r="T3875" s="46" t="s">
        <v>328</v>
      </c>
      <c r="U3875" s="44"/>
      <c r="V3875" s="1418">
        <f t="shared" si="390"/>
        <v>0</v>
      </c>
      <c r="W3875" s="357"/>
      <c r="X3875" s="357"/>
      <c r="Y3875" s="357"/>
      <c r="Z3875" s="358"/>
      <c r="AA3875" s="359"/>
      <c r="AB3875" s="360"/>
    </row>
    <row r="3876" spans="1:36" s="361" customFormat="1" ht="15" hidden="1" customHeight="1">
      <c r="A3876" s="354"/>
      <c r="B3876" s="355"/>
      <c r="C3876" s="32"/>
      <c r="D3876" s="33"/>
      <c r="E3876" s="34"/>
      <c r="F3876" s="35"/>
      <c r="G3876" s="33"/>
      <c r="H3876" s="34"/>
      <c r="I3876" s="35"/>
      <c r="J3876" s="43"/>
      <c r="K3876" s="42"/>
      <c r="L3876" s="39"/>
      <c r="M3876" s="41"/>
      <c r="N3876" s="356"/>
      <c r="O3876" s="40"/>
      <c r="P3876" s="39"/>
      <c r="Q3876" s="45"/>
      <c r="R3876" s="362"/>
      <c r="S3876" s="363"/>
      <c r="T3876" s="46"/>
      <c r="U3876" s="44"/>
      <c r="V3876" s="1418">
        <f t="shared" si="390"/>
        <v>0</v>
      </c>
      <c r="W3876" s="357"/>
      <c r="X3876" s="357"/>
      <c r="Y3876" s="357"/>
      <c r="Z3876" s="358"/>
      <c r="AA3876" s="359"/>
      <c r="AB3876" s="360"/>
    </row>
    <row r="3877" spans="1:36" s="369" customFormat="1" ht="15" hidden="1">
      <c r="A3877" s="364"/>
      <c r="B3877" s="355"/>
      <c r="C3877" s="32"/>
      <c r="D3877" s="33"/>
      <c r="E3877" s="34"/>
      <c r="F3877" s="35"/>
      <c r="G3877" s="33"/>
      <c r="H3877" s="34"/>
      <c r="I3877" s="35"/>
      <c r="J3877" s="43"/>
      <c r="K3877" s="42"/>
      <c r="L3877" s="39"/>
      <c r="M3877" s="41"/>
      <c r="N3877" s="40"/>
      <c r="O3877" s="40"/>
      <c r="P3877" s="39"/>
      <c r="Q3877" s="38"/>
      <c r="R3877" s="365"/>
      <c r="S3877" s="366"/>
      <c r="T3877" s="46"/>
      <c r="U3877" s="44"/>
      <c r="V3877" s="1418">
        <f t="shared" si="390"/>
        <v>0</v>
      </c>
      <c r="W3877" s="367"/>
      <c r="X3877" s="367"/>
      <c r="Y3877" s="367"/>
      <c r="Z3877" s="368"/>
    </row>
    <row r="3878" spans="1:36" s="77" customFormat="1" ht="15" hidden="1">
      <c r="A3878" s="370"/>
      <c r="B3878" s="29"/>
      <c r="C3878" s="30"/>
      <c r="D3878" s="18"/>
      <c r="E3878" s="19"/>
      <c r="F3878" s="20"/>
      <c r="G3878" s="18"/>
      <c r="H3878" s="19"/>
      <c r="I3878" s="20"/>
      <c r="J3878" s="21"/>
      <c r="K3878" s="22"/>
      <c r="L3878" s="23"/>
      <c r="M3878" s="24"/>
      <c r="N3878" s="25"/>
      <c r="O3878" s="25"/>
      <c r="P3878" s="23"/>
      <c r="Q3878" s="26"/>
      <c r="R3878" s="371"/>
      <c r="S3878" s="27"/>
      <c r="T3878" s="372"/>
      <c r="U3878" s="31"/>
      <c r="V3878" s="1418">
        <f t="shared" si="390"/>
        <v>0</v>
      </c>
      <c r="AB3878" s="15"/>
    </row>
    <row r="3879" spans="1:36" s="77" customFormat="1" ht="15.6" hidden="1">
      <c r="A3879" s="370"/>
      <c r="B3879" s="499"/>
      <c r="C3879" s="37"/>
      <c r="D3879" s="1929" t="s">
        <v>1520</v>
      </c>
      <c r="E3879" s="1930"/>
      <c r="F3879" s="1930"/>
      <c r="G3879" s="1930"/>
      <c r="H3879" s="1930"/>
      <c r="I3879" s="1931"/>
      <c r="J3879" s="1932">
        <f>VLOOKUP(A3881,'11 - FINANCEIRA'!_xlnm.Print_Area,6,FALSE)</f>
        <v>1</v>
      </c>
      <c r="K3879" s="1933"/>
      <c r="L3879" s="1343" t="str">
        <f>VLOOKUP(A3881,'11 - FINANCEIRA'!_xlnm.Print_Area,4,FALSE)</f>
        <v>und</v>
      </c>
      <c r="M3879" s="1934" t="s">
        <v>1521</v>
      </c>
      <c r="N3879" s="1935"/>
      <c r="O3879" s="1935"/>
      <c r="P3879" s="1935"/>
      <c r="Q3879" s="1936"/>
      <c r="R3879" s="726">
        <f>SUM(R3875:R3878)</f>
        <v>1</v>
      </c>
      <c r="S3879" s="1344" t="str">
        <f>L3879</f>
        <v>und</v>
      </c>
      <c r="T3879" s="373"/>
      <c r="U3879" s="486"/>
      <c r="V3879" s="1418">
        <f t="shared" si="390"/>
        <v>0</v>
      </c>
      <c r="AB3879" s="15"/>
    </row>
    <row r="3880" spans="1:36" s="77" customFormat="1" ht="15.6" hidden="1">
      <c r="A3880" s="370"/>
      <c r="B3880" s="499"/>
      <c r="C3880" s="725"/>
      <c r="D3880" s="1937" t="s">
        <v>1522</v>
      </c>
      <c r="E3880" s="1938"/>
      <c r="F3880" s="1938"/>
      <c r="G3880" s="1938"/>
      <c r="H3880" s="1938"/>
      <c r="I3880" s="1939"/>
      <c r="J3880" s="1943">
        <f>R3879/J3879</f>
        <v>1</v>
      </c>
      <c r="K3880" s="1944"/>
      <c r="L3880" s="1947"/>
      <c r="M3880" s="1934" t="s">
        <v>1523</v>
      </c>
      <c r="N3880" s="1935"/>
      <c r="O3880" s="1935"/>
      <c r="P3880" s="1935"/>
      <c r="Q3880" s="1936"/>
      <c r="R3880" s="726">
        <f>VLOOKUP(A3881,'11 - FINANCEIRA'!_xlnm.Print_Area,8,FALSE)</f>
        <v>1</v>
      </c>
      <c r="S3880" s="727" t="str">
        <f>L3879</f>
        <v>und</v>
      </c>
      <c r="T3880" s="373"/>
      <c r="U3880" s="486"/>
      <c r="V3880" s="1418">
        <f t="shared" si="390"/>
        <v>0</v>
      </c>
      <c r="AB3880" s="15"/>
    </row>
    <row r="3881" spans="1:36" s="77" customFormat="1" ht="15.6" hidden="1">
      <c r="A3881" s="364" t="s">
        <v>703</v>
      </c>
      <c r="B3881" s="499"/>
      <c r="C3881" s="37"/>
      <c r="D3881" s="2013"/>
      <c r="E3881" s="2014"/>
      <c r="F3881" s="2014"/>
      <c r="G3881" s="2014"/>
      <c r="H3881" s="2014"/>
      <c r="I3881" s="2015"/>
      <c r="J3881" s="2016"/>
      <c r="K3881" s="2017"/>
      <c r="L3881" s="1962"/>
      <c r="M3881" s="2007" t="s">
        <v>1524</v>
      </c>
      <c r="N3881" s="2008"/>
      <c r="O3881" s="2008"/>
      <c r="P3881" s="2008"/>
      <c r="Q3881" s="2009"/>
      <c r="R3881" s="1345">
        <f>R3879-R3880</f>
        <v>0</v>
      </c>
      <c r="S3881" s="1346" t="str">
        <f>L3879</f>
        <v>und</v>
      </c>
      <c r="T3881" s="373"/>
      <c r="U3881" s="486"/>
      <c r="V3881" s="1418">
        <f>R3881</f>
        <v>0</v>
      </c>
      <c r="AB3881" s="15"/>
    </row>
    <row r="3882" spans="1:36" s="77" customFormat="1" ht="15.6" hidden="1">
      <c r="A3882" s="370"/>
      <c r="B3882" s="1347"/>
      <c r="C3882" s="1348"/>
      <c r="D3882" s="1349"/>
      <c r="E3882" s="1350"/>
      <c r="F3882" s="1349"/>
      <c r="G3882" s="1349"/>
      <c r="H3882" s="1349"/>
      <c r="I3882" s="1349"/>
      <c r="J3882" s="1351"/>
      <c r="K3882" s="1352"/>
      <c r="L3882" s="1353"/>
      <c r="M3882" s="1354"/>
      <c r="N3882" s="1354"/>
      <c r="O3882" s="1354"/>
      <c r="P3882" s="1354"/>
      <c r="Q3882" s="1354"/>
      <c r="R3882" s="1355"/>
      <c r="S3882" s="1356"/>
      <c r="T3882" s="1357"/>
      <c r="U3882" s="1358"/>
      <c r="V3882" s="1420">
        <f>SUM(V3873:V3881)</f>
        <v>0</v>
      </c>
      <c r="AB3882" s="15"/>
    </row>
    <row r="3883" spans="1:36" s="352" customFormat="1" ht="15.6" hidden="1">
      <c r="A3883" s="351"/>
      <c r="B3883" s="1963" t="str">
        <f>VLOOKUP(A3891,'11 - FINANCEIRA'!_xlnm.Print_Area,1,FALSE)</f>
        <v>2.5.5.9</v>
      </c>
      <c r="C3883" s="1965" t="str">
        <f>VLOOKUP(A3891,'11 - FINANCEIRA'!_xlnm.Print_Area,3,FALSE)</f>
        <v>Caixa retangular 4" x 2" média (1,30 m do piso), pvc, instalada em parede - fornecimento e instalação. af_12/2015</v>
      </c>
      <c r="D3883" s="1967" t="s">
        <v>1503</v>
      </c>
      <c r="E3883" s="1968"/>
      <c r="F3883" s="1968"/>
      <c r="G3883" s="1968"/>
      <c r="H3883" s="1968"/>
      <c r="I3883" s="1969"/>
      <c r="J3883" s="1914" t="s">
        <v>1504</v>
      </c>
      <c r="K3883" s="1914" t="s">
        <v>1505</v>
      </c>
      <c r="L3883" s="1914" t="s">
        <v>1506</v>
      </c>
      <c r="M3883" s="1914" t="s">
        <v>1507</v>
      </c>
      <c r="N3883" s="1914" t="s">
        <v>1508</v>
      </c>
      <c r="O3883" s="1914" t="s">
        <v>1509</v>
      </c>
      <c r="P3883" s="1341" t="s">
        <v>1510</v>
      </c>
      <c r="Q3883" s="1914" t="s">
        <v>1493</v>
      </c>
      <c r="R3883" s="1916" t="s">
        <v>804</v>
      </c>
      <c r="S3883" s="1914" t="s">
        <v>1511</v>
      </c>
      <c r="T3883" s="1914" t="s">
        <v>1512</v>
      </c>
      <c r="U3883" s="1918" t="s">
        <v>1513</v>
      </c>
      <c r="V3883" s="1418">
        <f t="shared" ref="V3883:V3890" si="391">V3884</f>
        <v>0</v>
      </c>
      <c r="W3883" s="16"/>
      <c r="X3883" s="16"/>
      <c r="Y3883" s="16"/>
      <c r="Z3883" s="17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</row>
    <row r="3884" spans="1:36" s="352" customFormat="1" ht="15.6" hidden="1">
      <c r="A3884" s="351"/>
      <c r="B3884" s="1964" t="e">
        <f>LEFT(#REF!,5)</f>
        <v>#REF!</v>
      </c>
      <c r="C3884" s="1966" t="e">
        <f>VLOOKUP(LEFT(#REF!,5),'11 - FINANCEIRA'!_xlnm.Print_Area,2,FALSE)</f>
        <v>#REF!</v>
      </c>
      <c r="D3884" s="1920" t="s">
        <v>1514</v>
      </c>
      <c r="E3884" s="1921"/>
      <c r="F3884" s="1922"/>
      <c r="G3884" s="1923" t="s">
        <v>1515</v>
      </c>
      <c r="H3884" s="1924"/>
      <c r="I3884" s="1925"/>
      <c r="J3884" s="1915"/>
      <c r="K3884" s="1915"/>
      <c r="L3884" s="1915"/>
      <c r="M3884" s="1915"/>
      <c r="N3884" s="1915"/>
      <c r="O3884" s="1915"/>
      <c r="P3884" s="353" t="s">
        <v>1516</v>
      </c>
      <c r="Q3884" s="1915"/>
      <c r="R3884" s="1917"/>
      <c r="S3884" s="1915"/>
      <c r="T3884" s="1915"/>
      <c r="U3884" s="1919"/>
      <c r="V3884" s="1418">
        <f t="shared" si="391"/>
        <v>0</v>
      </c>
      <c r="W3884" s="16"/>
      <c r="X3884" s="16"/>
      <c r="Y3884" s="16"/>
      <c r="Z3884" s="17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</row>
    <row r="3885" spans="1:36" s="361" customFormat="1" ht="30" hidden="1">
      <c r="A3885" s="354"/>
      <c r="B3885" s="355"/>
      <c r="C3885" s="32" t="s">
        <v>1347</v>
      </c>
      <c r="D3885" s="33"/>
      <c r="E3885" s="34"/>
      <c r="F3885" s="35"/>
      <c r="G3885" s="33"/>
      <c r="H3885" s="34"/>
      <c r="I3885" s="35"/>
      <c r="J3885" s="43"/>
      <c r="K3885" s="42"/>
      <c r="L3885" s="39"/>
      <c r="M3885" s="41"/>
      <c r="N3885" s="356"/>
      <c r="O3885" s="40"/>
      <c r="P3885" s="39"/>
      <c r="Q3885" s="45"/>
      <c r="R3885" s="1359">
        <v>1</v>
      </c>
      <c r="S3885" s="1265" t="s">
        <v>816</v>
      </c>
      <c r="T3885" s="46" t="s">
        <v>328</v>
      </c>
      <c r="U3885" s="44"/>
      <c r="V3885" s="1418">
        <f t="shared" si="391"/>
        <v>0</v>
      </c>
      <c r="W3885" s="357"/>
      <c r="X3885" s="357"/>
      <c r="Y3885" s="357"/>
      <c r="Z3885" s="358"/>
      <c r="AA3885" s="359"/>
      <c r="AB3885" s="360"/>
    </row>
    <row r="3886" spans="1:36" s="361" customFormat="1" ht="15" hidden="1" customHeight="1">
      <c r="A3886" s="354"/>
      <c r="B3886" s="355"/>
      <c r="C3886" s="32"/>
      <c r="D3886" s="33"/>
      <c r="E3886" s="34"/>
      <c r="F3886" s="35"/>
      <c r="G3886" s="33"/>
      <c r="H3886" s="34"/>
      <c r="I3886" s="35"/>
      <c r="J3886" s="43"/>
      <c r="K3886" s="42"/>
      <c r="L3886" s="39"/>
      <c r="M3886" s="41"/>
      <c r="N3886" s="356"/>
      <c r="O3886" s="40"/>
      <c r="P3886" s="39"/>
      <c r="Q3886" s="45"/>
      <c r="R3886" s="362"/>
      <c r="S3886" s="363"/>
      <c r="T3886" s="46"/>
      <c r="U3886" s="44"/>
      <c r="V3886" s="1418">
        <f t="shared" si="391"/>
        <v>0</v>
      </c>
      <c r="W3886" s="357"/>
      <c r="X3886" s="357"/>
      <c r="Y3886" s="357"/>
      <c r="Z3886" s="358"/>
      <c r="AA3886" s="359"/>
      <c r="AB3886" s="360"/>
    </row>
    <row r="3887" spans="1:36" s="369" customFormat="1" ht="15" hidden="1">
      <c r="A3887" s="364"/>
      <c r="B3887" s="355"/>
      <c r="C3887" s="32"/>
      <c r="D3887" s="33"/>
      <c r="E3887" s="34"/>
      <c r="F3887" s="35"/>
      <c r="G3887" s="33"/>
      <c r="H3887" s="34"/>
      <c r="I3887" s="35"/>
      <c r="J3887" s="43"/>
      <c r="K3887" s="42"/>
      <c r="L3887" s="39"/>
      <c r="M3887" s="41"/>
      <c r="N3887" s="40"/>
      <c r="O3887" s="40"/>
      <c r="P3887" s="39"/>
      <c r="Q3887" s="38"/>
      <c r="R3887" s="365"/>
      <c r="S3887" s="366"/>
      <c r="T3887" s="46"/>
      <c r="U3887" s="44"/>
      <c r="V3887" s="1418">
        <f t="shared" si="391"/>
        <v>0</v>
      </c>
      <c r="W3887" s="367"/>
      <c r="X3887" s="367"/>
      <c r="Y3887" s="367"/>
      <c r="Z3887" s="368"/>
    </row>
    <row r="3888" spans="1:36" s="77" customFormat="1" ht="15" hidden="1">
      <c r="A3888" s="370"/>
      <c r="B3888" s="29"/>
      <c r="C3888" s="30"/>
      <c r="D3888" s="18"/>
      <c r="E3888" s="19"/>
      <c r="F3888" s="20"/>
      <c r="G3888" s="18"/>
      <c r="H3888" s="19"/>
      <c r="I3888" s="20"/>
      <c r="J3888" s="21"/>
      <c r="K3888" s="22"/>
      <c r="L3888" s="23"/>
      <c r="M3888" s="24"/>
      <c r="N3888" s="25"/>
      <c r="O3888" s="25"/>
      <c r="P3888" s="23"/>
      <c r="Q3888" s="26"/>
      <c r="R3888" s="371"/>
      <c r="S3888" s="27"/>
      <c r="T3888" s="372"/>
      <c r="U3888" s="31"/>
      <c r="V3888" s="1418">
        <f t="shared" si="391"/>
        <v>0</v>
      </c>
      <c r="AB3888" s="15"/>
    </row>
    <row r="3889" spans="1:36" s="77" customFormat="1" ht="15.6" hidden="1">
      <c r="A3889" s="370"/>
      <c r="B3889" s="499"/>
      <c r="C3889" s="37"/>
      <c r="D3889" s="1929" t="s">
        <v>1520</v>
      </c>
      <c r="E3889" s="1930"/>
      <c r="F3889" s="1930"/>
      <c r="G3889" s="1930"/>
      <c r="H3889" s="1930"/>
      <c r="I3889" s="1931"/>
      <c r="J3889" s="1932">
        <f>VLOOKUP(A3891,'11 - FINANCEIRA'!_xlnm.Print_Area,6,FALSE)</f>
        <v>1</v>
      </c>
      <c r="K3889" s="1933"/>
      <c r="L3889" s="1343" t="str">
        <f>VLOOKUP(A3891,'11 - FINANCEIRA'!_xlnm.Print_Area,4,FALSE)</f>
        <v>und</v>
      </c>
      <c r="M3889" s="1934" t="s">
        <v>1521</v>
      </c>
      <c r="N3889" s="1935"/>
      <c r="O3889" s="1935"/>
      <c r="P3889" s="1935"/>
      <c r="Q3889" s="1936"/>
      <c r="R3889" s="726">
        <f>SUM(R3885:R3888)</f>
        <v>1</v>
      </c>
      <c r="S3889" s="1344" t="str">
        <f>L3889</f>
        <v>und</v>
      </c>
      <c r="T3889" s="373"/>
      <c r="U3889" s="486"/>
      <c r="V3889" s="1418">
        <f t="shared" si="391"/>
        <v>0</v>
      </c>
      <c r="AB3889" s="15"/>
    </row>
    <row r="3890" spans="1:36" s="77" customFormat="1" ht="15.6" hidden="1">
      <c r="A3890" s="370"/>
      <c r="B3890" s="499"/>
      <c r="C3890" s="725"/>
      <c r="D3890" s="1937" t="s">
        <v>1522</v>
      </c>
      <c r="E3890" s="1938"/>
      <c r="F3890" s="1938"/>
      <c r="G3890" s="1938"/>
      <c r="H3890" s="1938"/>
      <c r="I3890" s="1939"/>
      <c r="J3890" s="1943">
        <f>R3889/J3889</f>
        <v>1</v>
      </c>
      <c r="K3890" s="1944"/>
      <c r="L3890" s="1947"/>
      <c r="M3890" s="1934" t="s">
        <v>1523</v>
      </c>
      <c r="N3890" s="1935"/>
      <c r="O3890" s="1935"/>
      <c r="P3890" s="1935"/>
      <c r="Q3890" s="1936"/>
      <c r="R3890" s="726">
        <f>VLOOKUP(A3891,'11 - FINANCEIRA'!_xlnm.Print_Area,8,FALSE)</f>
        <v>1</v>
      </c>
      <c r="S3890" s="727" t="str">
        <f>L3889</f>
        <v>und</v>
      </c>
      <c r="T3890" s="373"/>
      <c r="U3890" s="486"/>
      <c r="V3890" s="1418">
        <f t="shared" si="391"/>
        <v>0</v>
      </c>
      <c r="AB3890" s="15"/>
    </row>
    <row r="3891" spans="1:36" s="77" customFormat="1" ht="15.6" hidden="1">
      <c r="A3891" s="364" t="s">
        <v>704</v>
      </c>
      <c r="B3891" s="499"/>
      <c r="C3891" s="37"/>
      <c r="D3891" s="2013"/>
      <c r="E3891" s="2014"/>
      <c r="F3891" s="2014"/>
      <c r="G3891" s="2014"/>
      <c r="H3891" s="2014"/>
      <c r="I3891" s="2015"/>
      <c r="J3891" s="2016"/>
      <c r="K3891" s="2017"/>
      <c r="L3891" s="1962"/>
      <c r="M3891" s="2007" t="s">
        <v>1524</v>
      </c>
      <c r="N3891" s="2008"/>
      <c r="O3891" s="2008"/>
      <c r="P3891" s="2008"/>
      <c r="Q3891" s="2009"/>
      <c r="R3891" s="1345">
        <f>R3889-R3890</f>
        <v>0</v>
      </c>
      <c r="S3891" s="1346" t="str">
        <f>L3889</f>
        <v>und</v>
      </c>
      <c r="T3891" s="373"/>
      <c r="U3891" s="486"/>
      <c r="V3891" s="1418">
        <f>R3891</f>
        <v>0</v>
      </c>
      <c r="AB3891" s="15"/>
    </row>
    <row r="3892" spans="1:36" s="77" customFormat="1" ht="15.6" hidden="1">
      <c r="A3892" s="370"/>
      <c r="B3892" s="1347"/>
      <c r="C3892" s="1348"/>
      <c r="D3892" s="1349"/>
      <c r="E3892" s="1350"/>
      <c r="F3892" s="1349"/>
      <c r="G3892" s="1349"/>
      <c r="H3892" s="1349"/>
      <c r="I3892" s="1349"/>
      <c r="J3892" s="1351"/>
      <c r="K3892" s="1352"/>
      <c r="L3892" s="1353"/>
      <c r="M3892" s="1354"/>
      <c r="N3892" s="1354"/>
      <c r="O3892" s="1354"/>
      <c r="P3892" s="1354"/>
      <c r="Q3892" s="1354"/>
      <c r="R3892" s="1355"/>
      <c r="S3892" s="1356"/>
      <c r="T3892" s="1357"/>
      <c r="U3892" s="1358"/>
      <c r="V3892" s="1420">
        <f>SUM(V3883:V3891)</f>
        <v>0</v>
      </c>
      <c r="AB3892" s="15"/>
    </row>
    <row r="3893" spans="1:36" s="352" customFormat="1" ht="15.6" hidden="1">
      <c r="A3893" s="351"/>
      <c r="B3893" s="1963" t="str">
        <f>VLOOKUP(A3901,'11 - FINANCEIRA'!_xlnm.Print_Area,1,FALSE)</f>
        <v>2.5.5.10</v>
      </c>
      <c r="C3893" s="1965" t="str">
        <f>VLOOKUP(A3901,'11 - FINANCEIRA'!_xlnm.Print_Area,3,FALSE)</f>
        <v>Eletroduto de pvc rígido roscável, diâm. 1" (32mm), inclusive conexões</v>
      </c>
      <c r="D3893" s="1967" t="s">
        <v>1503</v>
      </c>
      <c r="E3893" s="1968"/>
      <c r="F3893" s="1968"/>
      <c r="G3893" s="1968"/>
      <c r="H3893" s="1968"/>
      <c r="I3893" s="1969"/>
      <c r="J3893" s="1914" t="s">
        <v>1504</v>
      </c>
      <c r="K3893" s="1914" t="s">
        <v>1505</v>
      </c>
      <c r="L3893" s="1914" t="s">
        <v>1506</v>
      </c>
      <c r="M3893" s="1914" t="s">
        <v>1507</v>
      </c>
      <c r="N3893" s="1914" t="s">
        <v>1508</v>
      </c>
      <c r="O3893" s="1914" t="s">
        <v>1509</v>
      </c>
      <c r="P3893" s="1341" t="s">
        <v>1510</v>
      </c>
      <c r="Q3893" s="1914" t="s">
        <v>1493</v>
      </c>
      <c r="R3893" s="1916" t="s">
        <v>804</v>
      </c>
      <c r="S3893" s="1914" t="s">
        <v>1511</v>
      </c>
      <c r="T3893" s="1914" t="s">
        <v>1512</v>
      </c>
      <c r="U3893" s="1918" t="s">
        <v>1513</v>
      </c>
      <c r="V3893" s="1418">
        <f t="shared" ref="V3893:V3900" si="392">V3894</f>
        <v>0</v>
      </c>
      <c r="W3893" s="16"/>
      <c r="X3893" s="16"/>
      <c r="Y3893" s="16"/>
      <c r="Z3893" s="17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</row>
    <row r="3894" spans="1:36" s="352" customFormat="1" ht="15.6" hidden="1">
      <c r="A3894" s="351"/>
      <c r="B3894" s="1964" t="e">
        <f>LEFT(#REF!,5)</f>
        <v>#REF!</v>
      </c>
      <c r="C3894" s="1966" t="e">
        <f>VLOOKUP(LEFT(#REF!,5),'11 - FINANCEIRA'!_xlnm.Print_Area,2,FALSE)</f>
        <v>#REF!</v>
      </c>
      <c r="D3894" s="1920" t="s">
        <v>1514</v>
      </c>
      <c r="E3894" s="1921"/>
      <c r="F3894" s="1922"/>
      <c r="G3894" s="1923" t="s">
        <v>1515</v>
      </c>
      <c r="H3894" s="1924"/>
      <c r="I3894" s="1925"/>
      <c r="J3894" s="1915"/>
      <c r="K3894" s="1915"/>
      <c r="L3894" s="1915"/>
      <c r="M3894" s="1915"/>
      <c r="N3894" s="1915"/>
      <c r="O3894" s="1915"/>
      <c r="P3894" s="353" t="s">
        <v>1516</v>
      </c>
      <c r="Q3894" s="1915"/>
      <c r="R3894" s="1917"/>
      <c r="S3894" s="1915"/>
      <c r="T3894" s="1915"/>
      <c r="U3894" s="1919"/>
      <c r="V3894" s="1418">
        <f t="shared" si="392"/>
        <v>0</v>
      </c>
      <c r="W3894" s="16"/>
      <c r="X3894" s="16"/>
      <c r="Y3894" s="16"/>
      <c r="Z3894" s="17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</row>
    <row r="3895" spans="1:36" s="361" customFormat="1" ht="15" hidden="1" customHeight="1">
      <c r="A3895" s="354"/>
      <c r="B3895" s="355"/>
      <c r="C3895" s="32" t="s">
        <v>1200</v>
      </c>
      <c r="D3895" s="33"/>
      <c r="E3895" s="34"/>
      <c r="F3895" s="35"/>
      <c r="G3895" s="33"/>
      <c r="H3895" s="34"/>
      <c r="I3895" s="35"/>
      <c r="J3895" s="43"/>
      <c r="K3895" s="42"/>
      <c r="L3895" s="39"/>
      <c r="M3895" s="41"/>
      <c r="N3895" s="356"/>
      <c r="O3895" s="40"/>
      <c r="P3895" s="39"/>
      <c r="Q3895" s="45"/>
      <c r="R3895" s="1359">
        <v>77</v>
      </c>
      <c r="S3895" s="1265" t="s">
        <v>809</v>
      </c>
      <c r="T3895" s="46" t="s">
        <v>328</v>
      </c>
      <c r="U3895" s="44"/>
      <c r="V3895" s="1418">
        <f t="shared" si="392"/>
        <v>0</v>
      </c>
      <c r="W3895" s="357"/>
      <c r="X3895" s="357"/>
      <c r="Y3895" s="357"/>
      <c r="Z3895" s="358"/>
      <c r="AA3895" s="359"/>
      <c r="AB3895" s="360"/>
    </row>
    <row r="3896" spans="1:36" s="361" customFormat="1" ht="15" hidden="1" customHeight="1">
      <c r="A3896" s="354"/>
      <c r="B3896" s="355"/>
      <c r="C3896" s="32"/>
      <c r="D3896" s="33"/>
      <c r="E3896" s="34"/>
      <c r="F3896" s="35"/>
      <c r="G3896" s="33"/>
      <c r="H3896" s="34"/>
      <c r="I3896" s="35"/>
      <c r="J3896" s="43"/>
      <c r="K3896" s="42"/>
      <c r="L3896" s="39"/>
      <c r="M3896" s="41"/>
      <c r="N3896" s="356"/>
      <c r="O3896" s="40"/>
      <c r="P3896" s="39"/>
      <c r="Q3896" s="45"/>
      <c r="R3896" s="362"/>
      <c r="S3896" s="363"/>
      <c r="T3896" s="46"/>
      <c r="U3896" s="44"/>
      <c r="V3896" s="1418">
        <f t="shared" si="392"/>
        <v>0</v>
      </c>
      <c r="W3896" s="357"/>
      <c r="X3896" s="357"/>
      <c r="Y3896" s="357"/>
      <c r="Z3896" s="358"/>
      <c r="AA3896" s="359"/>
      <c r="AB3896" s="360"/>
    </row>
    <row r="3897" spans="1:36" s="369" customFormat="1" ht="15" hidden="1">
      <c r="A3897" s="364"/>
      <c r="B3897" s="355"/>
      <c r="C3897" s="32"/>
      <c r="D3897" s="33"/>
      <c r="E3897" s="34"/>
      <c r="F3897" s="35"/>
      <c r="G3897" s="33"/>
      <c r="H3897" s="34"/>
      <c r="I3897" s="35"/>
      <c r="J3897" s="43"/>
      <c r="K3897" s="42"/>
      <c r="L3897" s="39"/>
      <c r="M3897" s="41"/>
      <c r="N3897" s="40"/>
      <c r="O3897" s="40"/>
      <c r="P3897" s="39"/>
      <c r="Q3897" s="38"/>
      <c r="R3897" s="365"/>
      <c r="S3897" s="366"/>
      <c r="T3897" s="46"/>
      <c r="U3897" s="44"/>
      <c r="V3897" s="1418">
        <f t="shared" si="392"/>
        <v>0</v>
      </c>
      <c r="W3897" s="367"/>
      <c r="X3897" s="367"/>
      <c r="Y3897" s="367"/>
      <c r="Z3897" s="368"/>
    </row>
    <row r="3898" spans="1:36" s="77" customFormat="1" ht="15" hidden="1">
      <c r="A3898" s="370"/>
      <c r="B3898" s="29"/>
      <c r="C3898" s="30"/>
      <c r="D3898" s="18"/>
      <c r="E3898" s="19"/>
      <c r="F3898" s="20"/>
      <c r="G3898" s="18"/>
      <c r="H3898" s="19"/>
      <c r="I3898" s="20"/>
      <c r="J3898" s="21"/>
      <c r="K3898" s="22"/>
      <c r="L3898" s="23"/>
      <c r="M3898" s="24"/>
      <c r="N3898" s="25"/>
      <c r="O3898" s="25"/>
      <c r="P3898" s="23"/>
      <c r="Q3898" s="26"/>
      <c r="R3898" s="371"/>
      <c r="S3898" s="27"/>
      <c r="T3898" s="372"/>
      <c r="U3898" s="31"/>
      <c r="V3898" s="1418">
        <f t="shared" si="392"/>
        <v>0</v>
      </c>
      <c r="AB3898" s="15"/>
    </row>
    <row r="3899" spans="1:36" s="77" customFormat="1" ht="15.6" hidden="1">
      <c r="A3899" s="370"/>
      <c r="B3899" s="499"/>
      <c r="C3899" s="37"/>
      <c r="D3899" s="1929" t="s">
        <v>1520</v>
      </c>
      <c r="E3899" s="1930"/>
      <c r="F3899" s="1930"/>
      <c r="G3899" s="1930"/>
      <c r="H3899" s="1930"/>
      <c r="I3899" s="1931"/>
      <c r="J3899" s="1932">
        <f>VLOOKUP(A3901,'11 - FINANCEIRA'!_xlnm.Print_Area,6,FALSE)</f>
        <v>77</v>
      </c>
      <c r="K3899" s="1933"/>
      <c r="L3899" s="1343" t="str">
        <f>VLOOKUP(A3901,'11 - FINANCEIRA'!_xlnm.Print_Area,4,FALSE)</f>
        <v>m</v>
      </c>
      <c r="M3899" s="1934" t="s">
        <v>1521</v>
      </c>
      <c r="N3899" s="1935"/>
      <c r="O3899" s="1935"/>
      <c r="P3899" s="1935"/>
      <c r="Q3899" s="1936"/>
      <c r="R3899" s="726">
        <f>SUM(R3895:R3898)</f>
        <v>77</v>
      </c>
      <c r="S3899" s="1344" t="str">
        <f>L3899</f>
        <v>m</v>
      </c>
      <c r="T3899" s="373"/>
      <c r="U3899" s="486"/>
      <c r="V3899" s="1418">
        <f t="shared" si="392"/>
        <v>0</v>
      </c>
      <c r="AB3899" s="15"/>
    </row>
    <row r="3900" spans="1:36" s="77" customFormat="1" ht="15.6" hidden="1">
      <c r="A3900" s="370"/>
      <c r="B3900" s="499"/>
      <c r="C3900" s="725"/>
      <c r="D3900" s="1937" t="s">
        <v>1522</v>
      </c>
      <c r="E3900" s="1938"/>
      <c r="F3900" s="1938"/>
      <c r="G3900" s="1938"/>
      <c r="H3900" s="1938"/>
      <c r="I3900" s="1939"/>
      <c r="J3900" s="1943">
        <f>R3899/J3899</f>
        <v>1</v>
      </c>
      <c r="K3900" s="1944"/>
      <c r="L3900" s="1947"/>
      <c r="M3900" s="1934" t="s">
        <v>1523</v>
      </c>
      <c r="N3900" s="1935"/>
      <c r="O3900" s="1935"/>
      <c r="P3900" s="1935"/>
      <c r="Q3900" s="1936"/>
      <c r="R3900" s="726">
        <f>VLOOKUP(A3901,'11 - FINANCEIRA'!_xlnm.Print_Area,8,FALSE)</f>
        <v>77</v>
      </c>
      <c r="S3900" s="727" t="str">
        <f>L3899</f>
        <v>m</v>
      </c>
      <c r="T3900" s="373"/>
      <c r="U3900" s="486"/>
      <c r="V3900" s="1418">
        <f t="shared" si="392"/>
        <v>0</v>
      </c>
      <c r="AB3900" s="15"/>
    </row>
    <row r="3901" spans="1:36" s="77" customFormat="1" ht="15.6" hidden="1">
      <c r="A3901" s="364" t="s">
        <v>705</v>
      </c>
      <c r="B3901" s="499"/>
      <c r="C3901" s="37"/>
      <c r="D3901" s="2013"/>
      <c r="E3901" s="2014"/>
      <c r="F3901" s="2014"/>
      <c r="G3901" s="2014"/>
      <c r="H3901" s="2014"/>
      <c r="I3901" s="2015"/>
      <c r="J3901" s="2016"/>
      <c r="K3901" s="2017"/>
      <c r="L3901" s="1962"/>
      <c r="M3901" s="2007" t="s">
        <v>1524</v>
      </c>
      <c r="N3901" s="2008"/>
      <c r="O3901" s="2008"/>
      <c r="P3901" s="2008"/>
      <c r="Q3901" s="2009"/>
      <c r="R3901" s="1345">
        <f>R3899-R3900</f>
        <v>0</v>
      </c>
      <c r="S3901" s="1346" t="str">
        <f>L3899</f>
        <v>m</v>
      </c>
      <c r="T3901" s="373"/>
      <c r="U3901" s="486"/>
      <c r="V3901" s="1418">
        <f>R3901</f>
        <v>0</v>
      </c>
      <c r="AB3901" s="15"/>
    </row>
    <row r="3902" spans="1:36" s="77" customFormat="1" ht="15.6" hidden="1">
      <c r="A3902" s="370"/>
      <c r="B3902" s="1347"/>
      <c r="C3902" s="1348"/>
      <c r="D3902" s="1349"/>
      <c r="E3902" s="1350"/>
      <c r="F3902" s="1349"/>
      <c r="G3902" s="1349"/>
      <c r="H3902" s="1349"/>
      <c r="I3902" s="1349"/>
      <c r="J3902" s="1351"/>
      <c r="K3902" s="1352"/>
      <c r="L3902" s="1353"/>
      <c r="M3902" s="1354"/>
      <c r="N3902" s="1354"/>
      <c r="O3902" s="1354"/>
      <c r="P3902" s="1354"/>
      <c r="Q3902" s="1354"/>
      <c r="R3902" s="1355"/>
      <c r="S3902" s="1356"/>
      <c r="T3902" s="1357"/>
      <c r="U3902" s="1358"/>
      <c r="V3902" s="1420">
        <f>SUM(V3893:V3901)</f>
        <v>0</v>
      </c>
      <c r="AB3902" s="15"/>
    </row>
    <row r="3903" spans="1:36" s="352" customFormat="1" ht="15.6" hidden="1">
      <c r="A3903" s="351"/>
      <c r="B3903" s="1963" t="str">
        <f>VLOOKUP(A3911,'11 - FINANCEIRA'!_xlnm.Print_Area,1,FALSE)</f>
        <v>2.5.5.11</v>
      </c>
      <c r="C3903" s="1965" t="str">
        <f>VLOOKUP(A3911,'11 - FINANCEIRA'!_xlnm.Print_Area,3,FALSE)</f>
        <v>Eletroduto de aço galvanizado médio, inclusive conexões, suportes e fixação dn 50 (2")</v>
      </c>
      <c r="D3903" s="1967" t="s">
        <v>1503</v>
      </c>
      <c r="E3903" s="1968"/>
      <c r="F3903" s="1968"/>
      <c r="G3903" s="1968"/>
      <c r="H3903" s="1968"/>
      <c r="I3903" s="1969"/>
      <c r="J3903" s="1914" t="s">
        <v>1504</v>
      </c>
      <c r="K3903" s="1914" t="s">
        <v>1505</v>
      </c>
      <c r="L3903" s="1914" t="s">
        <v>1506</v>
      </c>
      <c r="M3903" s="1914" t="s">
        <v>1507</v>
      </c>
      <c r="N3903" s="1914" t="s">
        <v>1508</v>
      </c>
      <c r="O3903" s="1914" t="s">
        <v>1509</v>
      </c>
      <c r="P3903" s="1341" t="s">
        <v>1510</v>
      </c>
      <c r="Q3903" s="1914" t="s">
        <v>1493</v>
      </c>
      <c r="R3903" s="1916" t="s">
        <v>804</v>
      </c>
      <c r="S3903" s="1914" t="s">
        <v>1511</v>
      </c>
      <c r="T3903" s="1914" t="s">
        <v>1512</v>
      </c>
      <c r="U3903" s="1918" t="s">
        <v>1513</v>
      </c>
      <c r="V3903" s="1418">
        <f t="shared" ref="V3903:V3910" si="393">V3904</f>
        <v>0</v>
      </c>
      <c r="W3903" s="16"/>
      <c r="X3903" s="16"/>
      <c r="Y3903" s="16"/>
      <c r="Z3903" s="17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</row>
    <row r="3904" spans="1:36" s="352" customFormat="1" ht="15.6" hidden="1">
      <c r="A3904" s="351"/>
      <c r="B3904" s="1964" t="e">
        <f>LEFT(#REF!,5)</f>
        <v>#REF!</v>
      </c>
      <c r="C3904" s="1966" t="e">
        <f>VLOOKUP(LEFT(#REF!,5),'11 - FINANCEIRA'!_xlnm.Print_Area,2,FALSE)</f>
        <v>#REF!</v>
      </c>
      <c r="D3904" s="1920" t="s">
        <v>1514</v>
      </c>
      <c r="E3904" s="1921"/>
      <c r="F3904" s="1922"/>
      <c r="G3904" s="1923" t="s">
        <v>1515</v>
      </c>
      <c r="H3904" s="1924"/>
      <c r="I3904" s="1925"/>
      <c r="J3904" s="1915"/>
      <c r="K3904" s="1915"/>
      <c r="L3904" s="1915"/>
      <c r="M3904" s="1915"/>
      <c r="N3904" s="1915"/>
      <c r="O3904" s="1915"/>
      <c r="P3904" s="353" t="s">
        <v>1516</v>
      </c>
      <c r="Q3904" s="1915"/>
      <c r="R3904" s="1917"/>
      <c r="S3904" s="1915"/>
      <c r="T3904" s="1915"/>
      <c r="U3904" s="1919"/>
      <c r="V3904" s="1418">
        <f t="shared" si="393"/>
        <v>0</v>
      </c>
      <c r="W3904" s="16"/>
      <c r="X3904" s="16"/>
      <c r="Y3904" s="16"/>
      <c r="Z3904" s="17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</row>
    <row r="3905" spans="1:36" s="361" customFormat="1" ht="15" hidden="1">
      <c r="A3905" s="354"/>
      <c r="B3905" s="355"/>
      <c r="C3905" s="32" t="s">
        <v>1349</v>
      </c>
      <c r="D3905" s="33"/>
      <c r="E3905" s="34"/>
      <c r="F3905" s="35"/>
      <c r="G3905" s="33"/>
      <c r="H3905" s="34"/>
      <c r="I3905" s="35"/>
      <c r="J3905" s="43"/>
      <c r="K3905" s="42"/>
      <c r="L3905" s="39"/>
      <c r="M3905" s="41"/>
      <c r="N3905" s="356"/>
      <c r="O3905" s="40"/>
      <c r="P3905" s="39"/>
      <c r="Q3905" s="45"/>
      <c r="R3905" s="1359">
        <v>5</v>
      </c>
      <c r="S3905" s="1265" t="s">
        <v>809</v>
      </c>
      <c r="T3905" s="46" t="s">
        <v>328</v>
      </c>
      <c r="U3905" s="44"/>
      <c r="V3905" s="1418">
        <f t="shared" si="393"/>
        <v>0</v>
      </c>
      <c r="W3905" s="357"/>
      <c r="X3905" s="357"/>
      <c r="Y3905" s="357"/>
      <c r="Z3905" s="358"/>
      <c r="AA3905" s="359"/>
      <c r="AB3905" s="360"/>
    </row>
    <row r="3906" spans="1:36" s="361" customFormat="1" ht="15" hidden="1" customHeight="1">
      <c r="A3906" s="354"/>
      <c r="B3906" s="355"/>
      <c r="C3906" s="32"/>
      <c r="D3906" s="33"/>
      <c r="E3906" s="34"/>
      <c r="F3906" s="35"/>
      <c r="G3906" s="33"/>
      <c r="H3906" s="34"/>
      <c r="I3906" s="35"/>
      <c r="J3906" s="43"/>
      <c r="K3906" s="42"/>
      <c r="L3906" s="39"/>
      <c r="M3906" s="41"/>
      <c r="N3906" s="356"/>
      <c r="O3906" s="40"/>
      <c r="P3906" s="39"/>
      <c r="Q3906" s="45"/>
      <c r="R3906" s="362"/>
      <c r="S3906" s="363"/>
      <c r="T3906" s="46"/>
      <c r="U3906" s="44"/>
      <c r="V3906" s="1418">
        <f t="shared" si="393"/>
        <v>0</v>
      </c>
      <c r="W3906" s="357"/>
      <c r="X3906" s="357"/>
      <c r="Y3906" s="357"/>
      <c r="Z3906" s="358"/>
      <c r="AA3906" s="359"/>
      <c r="AB3906" s="360"/>
    </row>
    <row r="3907" spans="1:36" s="369" customFormat="1" ht="15" hidden="1">
      <c r="A3907" s="364"/>
      <c r="B3907" s="355"/>
      <c r="C3907" s="32"/>
      <c r="D3907" s="33"/>
      <c r="E3907" s="34"/>
      <c r="F3907" s="35"/>
      <c r="G3907" s="33"/>
      <c r="H3907" s="34"/>
      <c r="I3907" s="35"/>
      <c r="J3907" s="43"/>
      <c r="K3907" s="42"/>
      <c r="L3907" s="39"/>
      <c r="M3907" s="41"/>
      <c r="N3907" s="40"/>
      <c r="O3907" s="40"/>
      <c r="P3907" s="39"/>
      <c r="Q3907" s="38"/>
      <c r="R3907" s="365"/>
      <c r="S3907" s="366"/>
      <c r="T3907" s="46"/>
      <c r="U3907" s="44"/>
      <c r="V3907" s="1418">
        <f t="shared" si="393"/>
        <v>0</v>
      </c>
      <c r="W3907" s="367"/>
      <c r="X3907" s="367"/>
      <c r="Y3907" s="367"/>
      <c r="Z3907" s="368"/>
    </row>
    <row r="3908" spans="1:36" s="77" customFormat="1" ht="15" hidden="1">
      <c r="A3908" s="370"/>
      <c r="B3908" s="29"/>
      <c r="C3908" s="30"/>
      <c r="D3908" s="18"/>
      <c r="E3908" s="19"/>
      <c r="F3908" s="20"/>
      <c r="G3908" s="18"/>
      <c r="H3908" s="19"/>
      <c r="I3908" s="20"/>
      <c r="J3908" s="21"/>
      <c r="K3908" s="22"/>
      <c r="L3908" s="23"/>
      <c r="M3908" s="24"/>
      <c r="N3908" s="25"/>
      <c r="O3908" s="25"/>
      <c r="P3908" s="23"/>
      <c r="Q3908" s="26"/>
      <c r="R3908" s="371"/>
      <c r="S3908" s="27"/>
      <c r="T3908" s="372"/>
      <c r="U3908" s="31"/>
      <c r="V3908" s="1418">
        <f t="shared" si="393"/>
        <v>0</v>
      </c>
      <c r="AB3908" s="15"/>
    </row>
    <row r="3909" spans="1:36" s="77" customFormat="1" ht="15.6" hidden="1">
      <c r="A3909" s="370"/>
      <c r="B3909" s="499"/>
      <c r="C3909" s="37"/>
      <c r="D3909" s="1929" t="s">
        <v>1520</v>
      </c>
      <c r="E3909" s="1930"/>
      <c r="F3909" s="1930"/>
      <c r="G3909" s="1930"/>
      <c r="H3909" s="1930"/>
      <c r="I3909" s="1931"/>
      <c r="J3909" s="1932">
        <f>VLOOKUP(A3911,'11 - FINANCEIRA'!_xlnm.Print_Area,6,FALSE)</f>
        <v>5</v>
      </c>
      <c r="K3909" s="1933"/>
      <c r="L3909" s="1343" t="str">
        <f>VLOOKUP(A3911,'11 - FINANCEIRA'!_xlnm.Print_Area,4,FALSE)</f>
        <v>m</v>
      </c>
      <c r="M3909" s="1934" t="s">
        <v>1521</v>
      </c>
      <c r="N3909" s="1935"/>
      <c r="O3909" s="1935"/>
      <c r="P3909" s="1935"/>
      <c r="Q3909" s="1936"/>
      <c r="R3909" s="726">
        <f>SUM(R3905:R3908)</f>
        <v>5</v>
      </c>
      <c r="S3909" s="1344" t="str">
        <f>L3909</f>
        <v>m</v>
      </c>
      <c r="T3909" s="373"/>
      <c r="U3909" s="486"/>
      <c r="V3909" s="1418">
        <f t="shared" si="393"/>
        <v>0</v>
      </c>
      <c r="AB3909" s="15"/>
    </row>
    <row r="3910" spans="1:36" s="77" customFormat="1" ht="15.6" hidden="1">
      <c r="A3910" s="370"/>
      <c r="B3910" s="499"/>
      <c r="C3910" s="725"/>
      <c r="D3910" s="1937" t="s">
        <v>1522</v>
      </c>
      <c r="E3910" s="1938"/>
      <c r="F3910" s="1938"/>
      <c r="G3910" s="1938"/>
      <c r="H3910" s="1938"/>
      <c r="I3910" s="1939"/>
      <c r="J3910" s="1943">
        <f>R3909/J3909</f>
        <v>1</v>
      </c>
      <c r="K3910" s="1944"/>
      <c r="L3910" s="1947"/>
      <c r="M3910" s="1934" t="s">
        <v>1523</v>
      </c>
      <c r="N3910" s="1935"/>
      <c r="O3910" s="1935"/>
      <c r="P3910" s="1935"/>
      <c r="Q3910" s="1936"/>
      <c r="R3910" s="726">
        <f>VLOOKUP(A3911,'11 - FINANCEIRA'!_xlnm.Print_Area,8,FALSE)</f>
        <v>5</v>
      </c>
      <c r="S3910" s="727" t="str">
        <f>L3909</f>
        <v>m</v>
      </c>
      <c r="T3910" s="373"/>
      <c r="U3910" s="486"/>
      <c r="V3910" s="1418">
        <f t="shared" si="393"/>
        <v>0</v>
      </c>
      <c r="AB3910" s="15"/>
    </row>
    <row r="3911" spans="1:36" s="77" customFormat="1" ht="15.6" hidden="1">
      <c r="A3911" s="364" t="s">
        <v>706</v>
      </c>
      <c r="B3911" s="499"/>
      <c r="C3911" s="37"/>
      <c r="D3911" s="2013"/>
      <c r="E3911" s="2014"/>
      <c r="F3911" s="2014"/>
      <c r="G3911" s="2014"/>
      <c r="H3911" s="2014"/>
      <c r="I3911" s="2015"/>
      <c r="J3911" s="2016"/>
      <c r="K3911" s="2017"/>
      <c r="L3911" s="1962"/>
      <c r="M3911" s="2007" t="s">
        <v>1524</v>
      </c>
      <c r="N3911" s="2008"/>
      <c r="O3911" s="2008"/>
      <c r="P3911" s="2008"/>
      <c r="Q3911" s="2009"/>
      <c r="R3911" s="1345">
        <f>R3909-R3910</f>
        <v>0</v>
      </c>
      <c r="S3911" s="1346" t="str">
        <f>L3909</f>
        <v>m</v>
      </c>
      <c r="T3911" s="373"/>
      <c r="U3911" s="486"/>
      <c r="V3911" s="1418">
        <f>R3911</f>
        <v>0</v>
      </c>
      <c r="AB3911" s="15"/>
    </row>
    <row r="3912" spans="1:36" s="77" customFormat="1" ht="15.6" hidden="1">
      <c r="A3912" s="370"/>
      <c r="B3912" s="1347"/>
      <c r="C3912" s="1348"/>
      <c r="D3912" s="1349"/>
      <c r="E3912" s="1350"/>
      <c r="F3912" s="1349"/>
      <c r="G3912" s="1349"/>
      <c r="H3912" s="1349"/>
      <c r="I3912" s="1349"/>
      <c r="J3912" s="1351"/>
      <c r="K3912" s="1352"/>
      <c r="L3912" s="1353"/>
      <c r="M3912" s="1354"/>
      <c r="N3912" s="1354"/>
      <c r="O3912" s="1354"/>
      <c r="P3912" s="1354"/>
      <c r="Q3912" s="1354"/>
      <c r="R3912" s="1355"/>
      <c r="S3912" s="1356"/>
      <c r="T3912" s="1357"/>
      <c r="U3912" s="1358"/>
      <c r="V3912" s="1420">
        <f>SUM(V3903:V3911)</f>
        <v>0</v>
      </c>
      <c r="AB3912" s="15"/>
    </row>
    <row r="3913" spans="1:36" s="352" customFormat="1" ht="15.6" hidden="1">
      <c r="A3913" s="351"/>
      <c r="B3913" s="1963" t="str">
        <f>VLOOKUP(A3921,'11 - FINANCEIRA'!_xlnm.Print_Area,1,FALSE)</f>
        <v>2.5.5.12</v>
      </c>
      <c r="C3913" s="1965" t="str">
        <f>VLOOKUP(A3921,'11 - FINANCEIRA'!_xlnm.Print_Area,3,FALSE)</f>
        <v>Eletroduto rígido roscável, pvc, dn 25 mm (3/4"), para circuitos terminais, instalado em forro - fornecimento e instalação. af_12/2015</v>
      </c>
      <c r="D3913" s="1967" t="s">
        <v>1503</v>
      </c>
      <c r="E3913" s="1968"/>
      <c r="F3913" s="1968"/>
      <c r="G3913" s="1968"/>
      <c r="H3913" s="1968"/>
      <c r="I3913" s="1969"/>
      <c r="J3913" s="1914" t="s">
        <v>1504</v>
      </c>
      <c r="K3913" s="1914" t="s">
        <v>1505</v>
      </c>
      <c r="L3913" s="1914" t="s">
        <v>1506</v>
      </c>
      <c r="M3913" s="1914" t="s">
        <v>1507</v>
      </c>
      <c r="N3913" s="1914" t="s">
        <v>1508</v>
      </c>
      <c r="O3913" s="1914" t="s">
        <v>1509</v>
      </c>
      <c r="P3913" s="1341" t="s">
        <v>1510</v>
      </c>
      <c r="Q3913" s="1914" t="s">
        <v>1493</v>
      </c>
      <c r="R3913" s="1916" t="s">
        <v>804</v>
      </c>
      <c r="S3913" s="1914" t="s">
        <v>1511</v>
      </c>
      <c r="T3913" s="1914" t="s">
        <v>1512</v>
      </c>
      <c r="U3913" s="1918" t="s">
        <v>1513</v>
      </c>
      <c r="V3913" s="1418">
        <f t="shared" ref="V3913:V3920" si="394">V3914</f>
        <v>0</v>
      </c>
      <c r="W3913" s="16"/>
      <c r="X3913" s="16"/>
      <c r="Y3913" s="16"/>
      <c r="Z3913" s="17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</row>
    <row r="3914" spans="1:36" s="352" customFormat="1" ht="15.6" hidden="1">
      <c r="A3914" s="351"/>
      <c r="B3914" s="1964" t="e">
        <f>LEFT(#REF!,5)</f>
        <v>#REF!</v>
      </c>
      <c r="C3914" s="1966" t="e">
        <f>VLOOKUP(LEFT(#REF!,5),'11 - FINANCEIRA'!_xlnm.Print_Area,2,FALSE)</f>
        <v>#REF!</v>
      </c>
      <c r="D3914" s="1920" t="s">
        <v>1514</v>
      </c>
      <c r="E3914" s="1921"/>
      <c r="F3914" s="1922"/>
      <c r="G3914" s="1923" t="s">
        <v>1515</v>
      </c>
      <c r="H3914" s="1924"/>
      <c r="I3914" s="1925"/>
      <c r="J3914" s="1915"/>
      <c r="K3914" s="1915"/>
      <c r="L3914" s="1915"/>
      <c r="M3914" s="1915"/>
      <c r="N3914" s="1915"/>
      <c r="O3914" s="1915"/>
      <c r="P3914" s="353" t="s">
        <v>1516</v>
      </c>
      <c r="Q3914" s="1915"/>
      <c r="R3914" s="1917"/>
      <c r="S3914" s="1915"/>
      <c r="T3914" s="1915"/>
      <c r="U3914" s="1919"/>
      <c r="V3914" s="1418">
        <f t="shared" si="394"/>
        <v>0</v>
      </c>
      <c r="W3914" s="16"/>
      <c r="X3914" s="16"/>
      <c r="Y3914" s="16"/>
      <c r="Z3914" s="17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</row>
    <row r="3915" spans="1:36" s="361" customFormat="1" ht="30" hidden="1">
      <c r="A3915" s="354"/>
      <c r="B3915" s="355"/>
      <c r="C3915" s="32" t="s">
        <v>157</v>
      </c>
      <c r="D3915" s="33"/>
      <c r="E3915" s="34"/>
      <c r="F3915" s="35"/>
      <c r="G3915" s="33"/>
      <c r="H3915" s="34"/>
      <c r="I3915" s="35"/>
      <c r="J3915" s="43"/>
      <c r="K3915" s="42"/>
      <c r="L3915" s="39"/>
      <c r="M3915" s="41"/>
      <c r="N3915" s="356"/>
      <c r="O3915" s="40"/>
      <c r="P3915" s="39"/>
      <c r="Q3915" s="45"/>
      <c r="R3915" s="1359">
        <v>24</v>
      </c>
      <c r="S3915" s="1265" t="s">
        <v>809</v>
      </c>
      <c r="T3915" s="46" t="s">
        <v>328</v>
      </c>
      <c r="U3915" s="44"/>
      <c r="V3915" s="1418">
        <f t="shared" si="394"/>
        <v>0</v>
      </c>
      <c r="W3915" s="357"/>
      <c r="X3915" s="357"/>
      <c r="Y3915" s="357"/>
      <c r="Z3915" s="358"/>
      <c r="AA3915" s="359"/>
      <c r="AB3915" s="360"/>
    </row>
    <row r="3916" spans="1:36" s="361" customFormat="1" ht="15" hidden="1" customHeight="1">
      <c r="A3916" s="354"/>
      <c r="B3916" s="355"/>
      <c r="C3916" s="32"/>
      <c r="D3916" s="33"/>
      <c r="E3916" s="34"/>
      <c r="F3916" s="35"/>
      <c r="G3916" s="33"/>
      <c r="H3916" s="34"/>
      <c r="I3916" s="35"/>
      <c r="J3916" s="43"/>
      <c r="K3916" s="42"/>
      <c r="L3916" s="39"/>
      <c r="M3916" s="41"/>
      <c r="N3916" s="356"/>
      <c r="O3916" s="40"/>
      <c r="P3916" s="39"/>
      <c r="Q3916" s="45"/>
      <c r="R3916" s="362"/>
      <c r="S3916" s="363"/>
      <c r="T3916" s="46"/>
      <c r="U3916" s="44"/>
      <c r="V3916" s="1418">
        <f t="shared" si="394"/>
        <v>0</v>
      </c>
      <c r="W3916" s="357"/>
      <c r="X3916" s="357"/>
      <c r="Y3916" s="357"/>
      <c r="Z3916" s="358"/>
      <c r="AA3916" s="359"/>
      <c r="AB3916" s="360"/>
    </row>
    <row r="3917" spans="1:36" s="369" customFormat="1" ht="15" hidden="1">
      <c r="A3917" s="364"/>
      <c r="B3917" s="355"/>
      <c r="C3917" s="32"/>
      <c r="D3917" s="33"/>
      <c r="E3917" s="34"/>
      <c r="F3917" s="35"/>
      <c r="G3917" s="33"/>
      <c r="H3917" s="34"/>
      <c r="I3917" s="35"/>
      <c r="J3917" s="43"/>
      <c r="K3917" s="42"/>
      <c r="L3917" s="39"/>
      <c r="M3917" s="41"/>
      <c r="N3917" s="40"/>
      <c r="O3917" s="40"/>
      <c r="P3917" s="39"/>
      <c r="Q3917" s="38"/>
      <c r="R3917" s="365"/>
      <c r="S3917" s="366"/>
      <c r="T3917" s="46"/>
      <c r="U3917" s="44"/>
      <c r="V3917" s="1418">
        <f t="shared" si="394"/>
        <v>0</v>
      </c>
      <c r="W3917" s="367"/>
      <c r="X3917" s="367"/>
      <c r="Y3917" s="367"/>
      <c r="Z3917" s="368"/>
    </row>
    <row r="3918" spans="1:36" s="77" customFormat="1" ht="15" hidden="1">
      <c r="A3918" s="370"/>
      <c r="B3918" s="29"/>
      <c r="C3918" s="30"/>
      <c r="D3918" s="18"/>
      <c r="E3918" s="19"/>
      <c r="F3918" s="20"/>
      <c r="G3918" s="18"/>
      <c r="H3918" s="19"/>
      <c r="I3918" s="20"/>
      <c r="J3918" s="21"/>
      <c r="K3918" s="22"/>
      <c r="L3918" s="23"/>
      <c r="M3918" s="24"/>
      <c r="N3918" s="25"/>
      <c r="O3918" s="25"/>
      <c r="P3918" s="23"/>
      <c r="Q3918" s="26"/>
      <c r="R3918" s="371"/>
      <c r="S3918" s="27"/>
      <c r="T3918" s="372"/>
      <c r="U3918" s="31"/>
      <c r="V3918" s="1418">
        <f t="shared" si="394"/>
        <v>0</v>
      </c>
      <c r="AB3918" s="15"/>
    </row>
    <row r="3919" spans="1:36" s="77" customFormat="1" ht="15.6" hidden="1">
      <c r="A3919" s="370"/>
      <c r="B3919" s="499"/>
      <c r="C3919" s="37"/>
      <c r="D3919" s="1929" t="s">
        <v>1520</v>
      </c>
      <c r="E3919" s="1930"/>
      <c r="F3919" s="1930"/>
      <c r="G3919" s="1930"/>
      <c r="H3919" s="1930"/>
      <c r="I3919" s="1931"/>
      <c r="J3919" s="1932">
        <f>VLOOKUP(A3921,'11 - FINANCEIRA'!_xlnm.Print_Area,6,FALSE)</f>
        <v>24</v>
      </c>
      <c r="K3919" s="1933"/>
      <c r="L3919" s="1343" t="str">
        <f>VLOOKUP(A3921,'11 - FINANCEIRA'!_xlnm.Print_Area,4,FALSE)</f>
        <v>m</v>
      </c>
      <c r="M3919" s="1934" t="s">
        <v>1521</v>
      </c>
      <c r="N3919" s="1935"/>
      <c r="O3919" s="1935"/>
      <c r="P3919" s="1935"/>
      <c r="Q3919" s="1936"/>
      <c r="R3919" s="726">
        <f>SUM(R3915:R3918)</f>
        <v>24</v>
      </c>
      <c r="S3919" s="1344" t="str">
        <f>L3919</f>
        <v>m</v>
      </c>
      <c r="T3919" s="373"/>
      <c r="U3919" s="486"/>
      <c r="V3919" s="1418">
        <f t="shared" si="394"/>
        <v>0</v>
      </c>
      <c r="AB3919" s="15"/>
    </row>
    <row r="3920" spans="1:36" s="77" customFormat="1" ht="15.6" hidden="1">
      <c r="A3920" s="370"/>
      <c r="B3920" s="499"/>
      <c r="C3920" s="725"/>
      <c r="D3920" s="1937" t="s">
        <v>1522</v>
      </c>
      <c r="E3920" s="1938"/>
      <c r="F3920" s="1938"/>
      <c r="G3920" s="1938"/>
      <c r="H3920" s="1938"/>
      <c r="I3920" s="1939"/>
      <c r="J3920" s="1943">
        <f>R3919/J3919</f>
        <v>1</v>
      </c>
      <c r="K3920" s="1944"/>
      <c r="L3920" s="1947"/>
      <c r="M3920" s="1934" t="s">
        <v>1523</v>
      </c>
      <c r="N3920" s="1935"/>
      <c r="O3920" s="1935"/>
      <c r="P3920" s="1935"/>
      <c r="Q3920" s="1936"/>
      <c r="R3920" s="726">
        <f>VLOOKUP(A3921,'11 - FINANCEIRA'!_xlnm.Print_Area,8,FALSE)</f>
        <v>24</v>
      </c>
      <c r="S3920" s="727" t="str">
        <f>L3919</f>
        <v>m</v>
      </c>
      <c r="T3920" s="373"/>
      <c r="U3920" s="486"/>
      <c r="V3920" s="1418">
        <f t="shared" si="394"/>
        <v>0</v>
      </c>
      <c r="AB3920" s="15"/>
    </row>
    <row r="3921" spans="1:36" s="77" customFormat="1" ht="15.6" hidden="1">
      <c r="A3921" s="364" t="s">
        <v>707</v>
      </c>
      <c r="B3921" s="499"/>
      <c r="C3921" s="37"/>
      <c r="D3921" s="2013"/>
      <c r="E3921" s="2014"/>
      <c r="F3921" s="2014"/>
      <c r="G3921" s="2014"/>
      <c r="H3921" s="2014"/>
      <c r="I3921" s="2015"/>
      <c r="J3921" s="2016"/>
      <c r="K3921" s="2017"/>
      <c r="L3921" s="1962"/>
      <c r="M3921" s="2007" t="s">
        <v>1524</v>
      </c>
      <c r="N3921" s="2008"/>
      <c r="O3921" s="2008"/>
      <c r="P3921" s="2008"/>
      <c r="Q3921" s="2009"/>
      <c r="R3921" s="1345">
        <f>R3919-R3920</f>
        <v>0</v>
      </c>
      <c r="S3921" s="1346" t="str">
        <f>L3919</f>
        <v>m</v>
      </c>
      <c r="T3921" s="373"/>
      <c r="U3921" s="486"/>
      <c r="V3921" s="1418">
        <f>R3921</f>
        <v>0</v>
      </c>
      <c r="AB3921" s="15"/>
    </row>
    <row r="3922" spans="1:36" s="77" customFormat="1" ht="15.6" hidden="1">
      <c r="A3922" s="370"/>
      <c r="B3922" s="1347"/>
      <c r="C3922" s="1348"/>
      <c r="D3922" s="1349"/>
      <c r="E3922" s="1350"/>
      <c r="F3922" s="1349"/>
      <c r="G3922" s="1349"/>
      <c r="H3922" s="1349"/>
      <c r="I3922" s="1349"/>
      <c r="J3922" s="1351"/>
      <c r="K3922" s="1352"/>
      <c r="L3922" s="1353"/>
      <c r="M3922" s="1354"/>
      <c r="N3922" s="1354"/>
      <c r="O3922" s="1354"/>
      <c r="P3922" s="1354"/>
      <c r="Q3922" s="1354"/>
      <c r="R3922" s="1355"/>
      <c r="S3922" s="1356"/>
      <c r="T3922" s="1357"/>
      <c r="U3922" s="1358"/>
      <c r="V3922" s="1420">
        <f>SUM(V3913:V3921)</f>
        <v>0</v>
      </c>
      <c r="AB3922" s="15"/>
    </row>
    <row r="3923" spans="1:36" s="352" customFormat="1" ht="15.6" hidden="1">
      <c r="A3923" s="351"/>
      <c r="B3923" s="1963" t="str">
        <f>VLOOKUP(A3931,'11 - FINANCEIRA'!_xlnm.Print_Area,1,FALSE)</f>
        <v>2.5.5.13</v>
      </c>
      <c r="C3923" s="1965" t="str">
        <f>VLOOKUP(A3931,'11 - FINANCEIRA'!_xlnm.Print_Area,3,FALSE)</f>
        <v>Duto em polietileno de alta densidade (pead) ∅2” ref: kanalex ou similar</v>
      </c>
      <c r="D3923" s="1967" t="s">
        <v>1503</v>
      </c>
      <c r="E3923" s="1968"/>
      <c r="F3923" s="1968"/>
      <c r="G3923" s="1968"/>
      <c r="H3923" s="1968"/>
      <c r="I3923" s="1969"/>
      <c r="J3923" s="1914" t="s">
        <v>1504</v>
      </c>
      <c r="K3923" s="1914" t="s">
        <v>1505</v>
      </c>
      <c r="L3923" s="1914" t="s">
        <v>1506</v>
      </c>
      <c r="M3923" s="1914" t="s">
        <v>1507</v>
      </c>
      <c r="N3923" s="1914" t="s">
        <v>1508</v>
      </c>
      <c r="O3923" s="1914" t="s">
        <v>1509</v>
      </c>
      <c r="P3923" s="1341" t="s">
        <v>1510</v>
      </c>
      <c r="Q3923" s="1914" t="s">
        <v>1493</v>
      </c>
      <c r="R3923" s="1916" t="s">
        <v>804</v>
      </c>
      <c r="S3923" s="1914" t="s">
        <v>1511</v>
      </c>
      <c r="T3923" s="1914" t="s">
        <v>1512</v>
      </c>
      <c r="U3923" s="1918" t="s">
        <v>1513</v>
      </c>
      <c r="V3923" s="1418">
        <f t="shared" ref="V3923:V3930" si="395">V3924</f>
        <v>0</v>
      </c>
      <c r="W3923" s="16"/>
      <c r="X3923" s="16"/>
      <c r="Y3923" s="16"/>
      <c r="Z3923" s="17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</row>
    <row r="3924" spans="1:36" s="352" customFormat="1" ht="15.6" hidden="1">
      <c r="A3924" s="351"/>
      <c r="B3924" s="1964" t="e">
        <f>LEFT(#REF!,5)</f>
        <v>#REF!</v>
      </c>
      <c r="C3924" s="1966" t="e">
        <f>VLOOKUP(LEFT(#REF!,5),'11 - FINANCEIRA'!_xlnm.Print_Area,2,FALSE)</f>
        <v>#REF!</v>
      </c>
      <c r="D3924" s="1920" t="s">
        <v>1514</v>
      </c>
      <c r="E3924" s="1921"/>
      <c r="F3924" s="1922"/>
      <c r="G3924" s="1923" t="s">
        <v>1515</v>
      </c>
      <c r="H3924" s="1924"/>
      <c r="I3924" s="1925"/>
      <c r="J3924" s="1915"/>
      <c r="K3924" s="1915"/>
      <c r="L3924" s="1915"/>
      <c r="M3924" s="1915"/>
      <c r="N3924" s="1915"/>
      <c r="O3924" s="1915"/>
      <c r="P3924" s="353" t="s">
        <v>1516</v>
      </c>
      <c r="Q3924" s="1915"/>
      <c r="R3924" s="1917"/>
      <c r="S3924" s="1915"/>
      <c r="T3924" s="1915"/>
      <c r="U3924" s="1919"/>
      <c r="V3924" s="1418">
        <f t="shared" si="395"/>
        <v>0</v>
      </c>
      <c r="W3924" s="16"/>
      <c r="X3924" s="16"/>
      <c r="Y3924" s="16"/>
      <c r="Z3924" s="17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</row>
    <row r="3925" spans="1:36" s="361" customFormat="1" ht="15" hidden="1" customHeight="1">
      <c r="A3925" s="354"/>
      <c r="B3925" s="355"/>
      <c r="C3925" s="32" t="s">
        <v>1351</v>
      </c>
      <c r="D3925" s="33"/>
      <c r="E3925" s="34"/>
      <c r="F3925" s="35"/>
      <c r="G3925" s="33"/>
      <c r="H3925" s="34"/>
      <c r="I3925" s="35"/>
      <c r="J3925" s="43"/>
      <c r="K3925" s="42"/>
      <c r="L3925" s="39"/>
      <c r="M3925" s="41"/>
      <c r="N3925" s="356"/>
      <c r="O3925" s="40"/>
      <c r="P3925" s="39"/>
      <c r="Q3925" s="45"/>
      <c r="R3925" s="1359">
        <v>150</v>
      </c>
      <c r="S3925" s="1265" t="s">
        <v>809</v>
      </c>
      <c r="T3925" s="46" t="s">
        <v>328</v>
      </c>
      <c r="U3925" s="44"/>
      <c r="V3925" s="1418">
        <f t="shared" si="395"/>
        <v>0</v>
      </c>
      <c r="W3925" s="357"/>
      <c r="X3925" s="357"/>
      <c r="Y3925" s="357"/>
      <c r="Z3925" s="358"/>
      <c r="AA3925" s="359"/>
      <c r="AB3925" s="360"/>
    </row>
    <row r="3926" spans="1:36" s="361" customFormat="1" ht="15" hidden="1" customHeight="1">
      <c r="A3926" s="354"/>
      <c r="B3926" s="355"/>
      <c r="C3926" s="32"/>
      <c r="D3926" s="33"/>
      <c r="E3926" s="34"/>
      <c r="F3926" s="35"/>
      <c r="G3926" s="33"/>
      <c r="H3926" s="34"/>
      <c r="I3926" s="35"/>
      <c r="J3926" s="43"/>
      <c r="K3926" s="42"/>
      <c r="L3926" s="39"/>
      <c r="M3926" s="41"/>
      <c r="N3926" s="356"/>
      <c r="O3926" s="40"/>
      <c r="P3926" s="39"/>
      <c r="Q3926" s="45"/>
      <c r="R3926" s="362"/>
      <c r="S3926" s="363"/>
      <c r="T3926" s="46"/>
      <c r="U3926" s="44"/>
      <c r="V3926" s="1418">
        <f t="shared" si="395"/>
        <v>0</v>
      </c>
      <c r="W3926" s="357"/>
      <c r="X3926" s="357"/>
      <c r="Y3926" s="357"/>
      <c r="Z3926" s="358"/>
      <c r="AA3926" s="359"/>
      <c r="AB3926" s="360"/>
    </row>
    <row r="3927" spans="1:36" s="369" customFormat="1" ht="15" hidden="1">
      <c r="A3927" s="364"/>
      <c r="B3927" s="355"/>
      <c r="C3927" s="32"/>
      <c r="D3927" s="33"/>
      <c r="E3927" s="34"/>
      <c r="F3927" s="35"/>
      <c r="G3927" s="33"/>
      <c r="H3927" s="34"/>
      <c r="I3927" s="35"/>
      <c r="J3927" s="43"/>
      <c r="K3927" s="42"/>
      <c r="L3927" s="39"/>
      <c r="M3927" s="41"/>
      <c r="N3927" s="40"/>
      <c r="O3927" s="40"/>
      <c r="P3927" s="39"/>
      <c r="Q3927" s="38"/>
      <c r="R3927" s="365"/>
      <c r="S3927" s="366"/>
      <c r="T3927" s="46"/>
      <c r="U3927" s="44"/>
      <c r="V3927" s="1418">
        <f t="shared" si="395"/>
        <v>0</v>
      </c>
      <c r="W3927" s="367"/>
      <c r="X3927" s="367"/>
      <c r="Y3927" s="367"/>
      <c r="Z3927" s="368"/>
    </row>
    <row r="3928" spans="1:36" s="77" customFormat="1" ht="15" hidden="1">
      <c r="A3928" s="370"/>
      <c r="B3928" s="29"/>
      <c r="C3928" s="30"/>
      <c r="D3928" s="18"/>
      <c r="E3928" s="19"/>
      <c r="F3928" s="20"/>
      <c r="G3928" s="18"/>
      <c r="H3928" s="19"/>
      <c r="I3928" s="20"/>
      <c r="J3928" s="21"/>
      <c r="K3928" s="22"/>
      <c r="L3928" s="23"/>
      <c r="M3928" s="24"/>
      <c r="N3928" s="25"/>
      <c r="O3928" s="25"/>
      <c r="P3928" s="23"/>
      <c r="Q3928" s="26"/>
      <c r="R3928" s="371"/>
      <c r="S3928" s="27"/>
      <c r="T3928" s="372"/>
      <c r="U3928" s="31"/>
      <c r="V3928" s="1418">
        <f t="shared" si="395"/>
        <v>0</v>
      </c>
      <c r="AB3928" s="15"/>
    </row>
    <row r="3929" spans="1:36" s="77" customFormat="1" ht="15.6" hidden="1">
      <c r="A3929" s="370"/>
      <c r="B3929" s="499"/>
      <c r="C3929" s="37"/>
      <c r="D3929" s="1929" t="s">
        <v>1520</v>
      </c>
      <c r="E3929" s="1930"/>
      <c r="F3929" s="1930"/>
      <c r="G3929" s="1930"/>
      <c r="H3929" s="1930"/>
      <c r="I3929" s="1931"/>
      <c r="J3929" s="1932">
        <f>VLOOKUP(A3931,'11 - FINANCEIRA'!_xlnm.Print_Area,6,FALSE)</f>
        <v>150</v>
      </c>
      <c r="K3929" s="1933"/>
      <c r="L3929" s="1343" t="str">
        <f>VLOOKUP(A3931,'11 - FINANCEIRA'!_xlnm.Print_Area,4,FALSE)</f>
        <v>m</v>
      </c>
      <c r="M3929" s="1934" t="s">
        <v>1521</v>
      </c>
      <c r="N3929" s="1935"/>
      <c r="O3929" s="1935"/>
      <c r="P3929" s="1935"/>
      <c r="Q3929" s="1936"/>
      <c r="R3929" s="726">
        <f>SUM(R3925:R3928)</f>
        <v>150</v>
      </c>
      <c r="S3929" s="1344" t="str">
        <f>L3929</f>
        <v>m</v>
      </c>
      <c r="T3929" s="373"/>
      <c r="U3929" s="486"/>
      <c r="V3929" s="1418">
        <f t="shared" si="395"/>
        <v>0</v>
      </c>
      <c r="AB3929" s="15"/>
    </row>
    <row r="3930" spans="1:36" s="77" customFormat="1" ht="15.6" hidden="1">
      <c r="A3930" s="370"/>
      <c r="B3930" s="499"/>
      <c r="C3930" s="725"/>
      <c r="D3930" s="1937" t="s">
        <v>1522</v>
      </c>
      <c r="E3930" s="1938"/>
      <c r="F3930" s="1938"/>
      <c r="G3930" s="1938"/>
      <c r="H3930" s="1938"/>
      <c r="I3930" s="1939"/>
      <c r="J3930" s="1943">
        <f>R3929/J3929</f>
        <v>1</v>
      </c>
      <c r="K3930" s="1944"/>
      <c r="L3930" s="1947"/>
      <c r="M3930" s="1934" t="s">
        <v>1523</v>
      </c>
      <c r="N3930" s="1935"/>
      <c r="O3930" s="1935"/>
      <c r="P3930" s="1935"/>
      <c r="Q3930" s="1936"/>
      <c r="R3930" s="726">
        <f>VLOOKUP(A3931,'11 - FINANCEIRA'!_xlnm.Print_Area,8,FALSE)</f>
        <v>150</v>
      </c>
      <c r="S3930" s="727" t="str">
        <f>L3929</f>
        <v>m</v>
      </c>
      <c r="T3930" s="373"/>
      <c r="U3930" s="486"/>
      <c r="V3930" s="1418">
        <f t="shared" si="395"/>
        <v>0</v>
      </c>
      <c r="AB3930" s="15"/>
    </row>
    <row r="3931" spans="1:36" s="77" customFormat="1" ht="15.6" hidden="1">
      <c r="A3931" s="364" t="s">
        <v>708</v>
      </c>
      <c r="B3931" s="499"/>
      <c r="C3931" s="37"/>
      <c r="D3931" s="2013"/>
      <c r="E3931" s="2014"/>
      <c r="F3931" s="2014"/>
      <c r="G3931" s="2014"/>
      <c r="H3931" s="2014"/>
      <c r="I3931" s="2015"/>
      <c r="J3931" s="2016"/>
      <c r="K3931" s="2017"/>
      <c r="L3931" s="1962"/>
      <c r="M3931" s="2007" t="s">
        <v>1524</v>
      </c>
      <c r="N3931" s="2008"/>
      <c r="O3931" s="2008"/>
      <c r="P3931" s="2008"/>
      <c r="Q3931" s="2009"/>
      <c r="R3931" s="1345">
        <f>R3929-R3930</f>
        <v>0</v>
      </c>
      <c r="S3931" s="1346" t="str">
        <f>L3929</f>
        <v>m</v>
      </c>
      <c r="T3931" s="373"/>
      <c r="U3931" s="486"/>
      <c r="V3931" s="1418">
        <f>R3931</f>
        <v>0</v>
      </c>
      <c r="AB3931" s="15"/>
    </row>
    <row r="3932" spans="1:36" s="77" customFormat="1" ht="15.6" hidden="1">
      <c r="A3932" s="370"/>
      <c r="B3932" s="1347"/>
      <c r="C3932" s="1348"/>
      <c r="D3932" s="1349"/>
      <c r="E3932" s="1350"/>
      <c r="F3932" s="1349"/>
      <c r="G3932" s="1349"/>
      <c r="H3932" s="1349"/>
      <c r="I3932" s="1349"/>
      <c r="J3932" s="1351"/>
      <c r="K3932" s="1352"/>
      <c r="L3932" s="1353"/>
      <c r="M3932" s="1354"/>
      <c r="N3932" s="1354"/>
      <c r="O3932" s="1354"/>
      <c r="P3932" s="1354"/>
      <c r="Q3932" s="1354"/>
      <c r="R3932" s="1355"/>
      <c r="S3932" s="1356"/>
      <c r="T3932" s="1357"/>
      <c r="U3932" s="1358"/>
      <c r="V3932" s="1420">
        <f>SUM(V3923:V3931)</f>
        <v>0</v>
      </c>
      <c r="AB3932" s="15"/>
    </row>
    <row r="3933" spans="1:36" s="352" customFormat="1" ht="15.6" hidden="1">
      <c r="A3933" s="351"/>
      <c r="B3933" s="1963" t="str">
        <f>VLOOKUP(A3941,'11 - FINANCEIRA'!_xlnm.Print_Area,1,FALSE)</f>
        <v>2.5.5.14</v>
      </c>
      <c r="C3933" s="1965" t="str">
        <f>VLOOKUP(A3941,'11 - FINANCEIRA'!_xlnm.Print_Area,3,FALSE)</f>
        <v>Envelopamento de concreto simples com consumo mínimo de cimento de 250kg/m³, inclusive escavação para profundidade mínima do eletroduto de 50 cm, de 25 x 30 cm, para 2 eletrodutos</v>
      </c>
      <c r="D3933" s="1967" t="s">
        <v>1503</v>
      </c>
      <c r="E3933" s="1968"/>
      <c r="F3933" s="1968"/>
      <c r="G3933" s="1968"/>
      <c r="H3933" s="1968"/>
      <c r="I3933" s="1969"/>
      <c r="J3933" s="1914" t="s">
        <v>1504</v>
      </c>
      <c r="K3933" s="1914" t="s">
        <v>1505</v>
      </c>
      <c r="L3933" s="1914" t="s">
        <v>1506</v>
      </c>
      <c r="M3933" s="1914" t="s">
        <v>1507</v>
      </c>
      <c r="N3933" s="1914" t="s">
        <v>1508</v>
      </c>
      <c r="O3933" s="1914" t="s">
        <v>1509</v>
      </c>
      <c r="P3933" s="1341" t="s">
        <v>1510</v>
      </c>
      <c r="Q3933" s="1914" t="s">
        <v>1493</v>
      </c>
      <c r="R3933" s="1916" t="s">
        <v>804</v>
      </c>
      <c r="S3933" s="1914" t="s">
        <v>1511</v>
      </c>
      <c r="T3933" s="1914" t="s">
        <v>1512</v>
      </c>
      <c r="U3933" s="1918" t="s">
        <v>1513</v>
      </c>
      <c r="V3933" s="1418">
        <f t="shared" ref="V3933:V3940" si="396">V3934</f>
        <v>0</v>
      </c>
      <c r="W3933" s="16"/>
      <c r="X3933" s="16"/>
      <c r="Y3933" s="16"/>
      <c r="Z3933" s="17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</row>
    <row r="3934" spans="1:36" s="352" customFormat="1" ht="15.6" hidden="1">
      <c r="A3934" s="351"/>
      <c r="B3934" s="1964" t="e">
        <f>LEFT(#REF!,5)</f>
        <v>#REF!</v>
      </c>
      <c r="C3934" s="1966" t="e">
        <f>VLOOKUP(LEFT(#REF!,5),'11 - FINANCEIRA'!_xlnm.Print_Area,2,FALSE)</f>
        <v>#REF!</v>
      </c>
      <c r="D3934" s="1920" t="s">
        <v>1514</v>
      </c>
      <c r="E3934" s="1921"/>
      <c r="F3934" s="1922"/>
      <c r="G3934" s="1923" t="s">
        <v>1515</v>
      </c>
      <c r="H3934" s="1924"/>
      <c r="I3934" s="1925"/>
      <c r="J3934" s="1915"/>
      <c r="K3934" s="1915"/>
      <c r="L3934" s="1915"/>
      <c r="M3934" s="1915"/>
      <c r="N3934" s="1915"/>
      <c r="O3934" s="1915"/>
      <c r="P3934" s="353" t="s">
        <v>1516</v>
      </c>
      <c r="Q3934" s="1915"/>
      <c r="R3934" s="1917"/>
      <c r="S3934" s="1915"/>
      <c r="T3934" s="1915"/>
      <c r="U3934" s="1919"/>
      <c r="V3934" s="1418">
        <f t="shared" si="396"/>
        <v>0</v>
      </c>
      <c r="W3934" s="16"/>
      <c r="X3934" s="16"/>
      <c r="Y3934" s="16"/>
      <c r="Z3934" s="17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</row>
    <row r="3935" spans="1:36" s="361" customFormat="1" ht="45" hidden="1">
      <c r="A3935" s="354"/>
      <c r="B3935" s="355"/>
      <c r="C3935" s="28" t="s">
        <v>1108</v>
      </c>
      <c r="D3935" s="18"/>
      <c r="E3935" s="19"/>
      <c r="F3935" s="20"/>
      <c r="G3935" s="18"/>
      <c r="H3935" s="19"/>
      <c r="I3935" s="20"/>
      <c r="J3935" s="21"/>
      <c r="K3935" s="22"/>
      <c r="L3935" s="23"/>
      <c r="M3935" s="24"/>
      <c r="N3935" s="728"/>
      <c r="O3935" s="25"/>
      <c r="P3935" s="23"/>
      <c r="Q3935" s="729"/>
      <c r="R3935" s="1109">
        <v>215</v>
      </c>
      <c r="S3935" s="730" t="s">
        <v>809</v>
      </c>
      <c r="T3935" s="446" t="s">
        <v>327</v>
      </c>
      <c r="U3935" s="44"/>
      <c r="V3935" s="1418">
        <f t="shared" si="396"/>
        <v>0</v>
      </c>
      <c r="W3935" s="357"/>
      <c r="X3935" s="357"/>
      <c r="Y3935" s="357"/>
      <c r="Z3935" s="358"/>
      <c r="AA3935" s="359"/>
      <c r="AB3935" s="360"/>
    </row>
    <row r="3936" spans="1:36" s="361" customFormat="1" ht="15" hidden="1" customHeight="1">
      <c r="A3936" s="354"/>
      <c r="B3936" s="355"/>
      <c r="C3936" s="32"/>
      <c r="D3936" s="33"/>
      <c r="E3936" s="34"/>
      <c r="F3936" s="35"/>
      <c r="G3936" s="33"/>
      <c r="H3936" s="34"/>
      <c r="I3936" s="35"/>
      <c r="J3936" s="43"/>
      <c r="K3936" s="42"/>
      <c r="L3936" s="39"/>
      <c r="M3936" s="41"/>
      <c r="N3936" s="356"/>
      <c r="O3936" s="40"/>
      <c r="P3936" s="39"/>
      <c r="Q3936" s="45"/>
      <c r="R3936" s="362"/>
      <c r="S3936" s="363"/>
      <c r="T3936" s="46"/>
      <c r="U3936" s="44"/>
      <c r="V3936" s="1418">
        <f t="shared" si="396"/>
        <v>0</v>
      </c>
      <c r="W3936" s="357"/>
      <c r="X3936" s="357"/>
      <c r="Y3936" s="357"/>
      <c r="Z3936" s="358"/>
      <c r="AA3936" s="359"/>
      <c r="AB3936" s="360"/>
    </row>
    <row r="3937" spans="1:36" s="369" customFormat="1" ht="15" hidden="1">
      <c r="A3937" s="364"/>
      <c r="B3937" s="355"/>
      <c r="C3937" s="32"/>
      <c r="D3937" s="33"/>
      <c r="E3937" s="34"/>
      <c r="F3937" s="35"/>
      <c r="G3937" s="33"/>
      <c r="H3937" s="34"/>
      <c r="I3937" s="35"/>
      <c r="J3937" s="43"/>
      <c r="K3937" s="42"/>
      <c r="L3937" s="39"/>
      <c r="M3937" s="41"/>
      <c r="N3937" s="40"/>
      <c r="O3937" s="40"/>
      <c r="P3937" s="39"/>
      <c r="Q3937" s="38"/>
      <c r="R3937" s="365"/>
      <c r="S3937" s="366"/>
      <c r="T3937" s="46"/>
      <c r="U3937" s="44"/>
      <c r="V3937" s="1418">
        <f t="shared" si="396"/>
        <v>0</v>
      </c>
      <c r="W3937" s="367"/>
      <c r="X3937" s="367"/>
      <c r="Y3937" s="367"/>
      <c r="Z3937" s="368"/>
    </row>
    <row r="3938" spans="1:36" s="77" customFormat="1" ht="15" hidden="1">
      <c r="A3938" s="370"/>
      <c r="B3938" s="29"/>
      <c r="C3938" s="30"/>
      <c r="D3938" s="18"/>
      <c r="E3938" s="19"/>
      <c r="F3938" s="20"/>
      <c r="G3938" s="18"/>
      <c r="H3938" s="19"/>
      <c r="I3938" s="20"/>
      <c r="J3938" s="21"/>
      <c r="K3938" s="22"/>
      <c r="L3938" s="23"/>
      <c r="M3938" s="24"/>
      <c r="N3938" s="25"/>
      <c r="O3938" s="25"/>
      <c r="P3938" s="23"/>
      <c r="Q3938" s="26"/>
      <c r="R3938" s="371"/>
      <c r="S3938" s="27"/>
      <c r="T3938" s="372"/>
      <c r="U3938" s="31"/>
      <c r="V3938" s="1418">
        <f t="shared" si="396"/>
        <v>0</v>
      </c>
      <c r="AB3938" s="15"/>
    </row>
    <row r="3939" spans="1:36" s="77" customFormat="1" ht="15.6" hidden="1">
      <c r="A3939" s="370"/>
      <c r="B3939" s="499"/>
      <c r="C3939" s="37"/>
      <c r="D3939" s="1929" t="s">
        <v>1520</v>
      </c>
      <c r="E3939" s="1930"/>
      <c r="F3939" s="1930"/>
      <c r="G3939" s="1930"/>
      <c r="H3939" s="1930"/>
      <c r="I3939" s="1931"/>
      <c r="J3939" s="1932">
        <f>VLOOKUP(A3941,'11 - FINANCEIRA'!_xlnm.Print_Area,6,FALSE)</f>
        <v>215</v>
      </c>
      <c r="K3939" s="1933"/>
      <c r="L3939" s="1343" t="str">
        <f>VLOOKUP(A3941,'11 - FINANCEIRA'!_xlnm.Print_Area,4,FALSE)</f>
        <v>m</v>
      </c>
      <c r="M3939" s="1934" t="s">
        <v>1521</v>
      </c>
      <c r="N3939" s="1935"/>
      <c r="O3939" s="1935"/>
      <c r="P3939" s="1935"/>
      <c r="Q3939" s="1936"/>
      <c r="R3939" s="726">
        <f>SUM(R3935:R3938)</f>
        <v>215</v>
      </c>
      <c r="S3939" s="1344" t="str">
        <f>L3939</f>
        <v>m</v>
      </c>
      <c r="T3939" s="373"/>
      <c r="U3939" s="486"/>
      <c r="V3939" s="1418">
        <f t="shared" si="396"/>
        <v>0</v>
      </c>
      <c r="AB3939" s="15"/>
    </row>
    <row r="3940" spans="1:36" s="77" customFormat="1" ht="15.6" hidden="1">
      <c r="A3940" s="370"/>
      <c r="B3940" s="499"/>
      <c r="C3940" s="725"/>
      <c r="D3940" s="1937" t="s">
        <v>1522</v>
      </c>
      <c r="E3940" s="1938"/>
      <c r="F3940" s="1938"/>
      <c r="G3940" s="1938"/>
      <c r="H3940" s="1938"/>
      <c r="I3940" s="1939"/>
      <c r="J3940" s="1943">
        <f>R3939/J3939</f>
        <v>1</v>
      </c>
      <c r="K3940" s="1944"/>
      <c r="L3940" s="1947"/>
      <c r="M3940" s="1934" t="s">
        <v>1523</v>
      </c>
      <c r="N3940" s="1935"/>
      <c r="O3940" s="1935"/>
      <c r="P3940" s="1935"/>
      <c r="Q3940" s="1936"/>
      <c r="R3940" s="726">
        <f>VLOOKUP(A3941,'11 - FINANCEIRA'!_xlnm.Print_Area,8,FALSE)</f>
        <v>215</v>
      </c>
      <c r="S3940" s="727" t="str">
        <f>L3939</f>
        <v>m</v>
      </c>
      <c r="T3940" s="373"/>
      <c r="U3940" s="486"/>
      <c r="V3940" s="1418">
        <f t="shared" si="396"/>
        <v>0</v>
      </c>
      <c r="AB3940" s="15"/>
    </row>
    <row r="3941" spans="1:36" s="77" customFormat="1" ht="15.6" hidden="1">
      <c r="A3941" s="364" t="s">
        <v>709</v>
      </c>
      <c r="B3941" s="499"/>
      <c r="C3941" s="37"/>
      <c r="D3941" s="2013"/>
      <c r="E3941" s="2014"/>
      <c r="F3941" s="2014"/>
      <c r="G3941" s="2014"/>
      <c r="H3941" s="2014"/>
      <c r="I3941" s="2015"/>
      <c r="J3941" s="2016"/>
      <c r="K3941" s="2017"/>
      <c r="L3941" s="1962"/>
      <c r="M3941" s="2007" t="s">
        <v>1524</v>
      </c>
      <c r="N3941" s="2008"/>
      <c r="O3941" s="2008"/>
      <c r="P3941" s="2008"/>
      <c r="Q3941" s="2009"/>
      <c r="R3941" s="1345">
        <f>R3939-R3940</f>
        <v>0</v>
      </c>
      <c r="S3941" s="1346" t="str">
        <f>L3939</f>
        <v>m</v>
      </c>
      <c r="T3941" s="373"/>
      <c r="U3941" s="486"/>
      <c r="V3941" s="1418">
        <f>R3941</f>
        <v>0</v>
      </c>
      <c r="AB3941" s="15"/>
    </row>
    <row r="3942" spans="1:36" s="77" customFormat="1" ht="15.6" hidden="1">
      <c r="A3942" s="370"/>
      <c r="B3942" s="1347"/>
      <c r="C3942" s="1348"/>
      <c r="D3942" s="1349"/>
      <c r="E3942" s="1350"/>
      <c r="F3942" s="1349"/>
      <c r="G3942" s="1349"/>
      <c r="H3942" s="1349"/>
      <c r="I3942" s="1349"/>
      <c r="J3942" s="1351"/>
      <c r="K3942" s="1352"/>
      <c r="L3942" s="1353"/>
      <c r="M3942" s="1354"/>
      <c r="N3942" s="1354"/>
      <c r="O3942" s="1354"/>
      <c r="P3942" s="1354"/>
      <c r="Q3942" s="1354"/>
      <c r="R3942" s="1355"/>
      <c r="S3942" s="1356"/>
      <c r="T3942" s="1357"/>
      <c r="U3942" s="1358"/>
      <c r="V3942" s="1420">
        <f>SUM(V3933:V3941)</f>
        <v>0</v>
      </c>
      <c r="AB3942" s="15"/>
    </row>
    <row r="3943" spans="1:36" s="352" customFormat="1" ht="15.6" hidden="1">
      <c r="A3943" s="351"/>
      <c r="B3943" s="1963" t="str">
        <f>VLOOKUP(A3951,'11 - FINANCEIRA'!_xlnm.Print_Area,1,FALSE)</f>
        <v>2.5.5.15</v>
      </c>
      <c r="C3943" s="1965" t="str">
        <f>VLOOKUP(A3951,'11 - FINANCEIRA'!_xlnm.Print_Area,3,FALSE)</f>
        <v>Eletroduto de pvc rígido roscável, diâm. 1 1/2" (50mm), inclusive conexões</v>
      </c>
      <c r="D3943" s="1967" t="s">
        <v>1503</v>
      </c>
      <c r="E3943" s="1968"/>
      <c r="F3943" s="1968"/>
      <c r="G3943" s="1968"/>
      <c r="H3943" s="1968"/>
      <c r="I3943" s="1969"/>
      <c r="J3943" s="1914" t="s">
        <v>1504</v>
      </c>
      <c r="K3943" s="1914" t="s">
        <v>1505</v>
      </c>
      <c r="L3943" s="1914" t="s">
        <v>1506</v>
      </c>
      <c r="M3943" s="1914" t="s">
        <v>1507</v>
      </c>
      <c r="N3943" s="1914" t="s">
        <v>1508</v>
      </c>
      <c r="O3943" s="1914" t="s">
        <v>1509</v>
      </c>
      <c r="P3943" s="1341" t="s">
        <v>1510</v>
      </c>
      <c r="Q3943" s="1914" t="s">
        <v>1493</v>
      </c>
      <c r="R3943" s="1916" t="s">
        <v>804</v>
      </c>
      <c r="S3943" s="1914" t="s">
        <v>1511</v>
      </c>
      <c r="T3943" s="1914" t="s">
        <v>1512</v>
      </c>
      <c r="U3943" s="1918" t="s">
        <v>1513</v>
      </c>
      <c r="V3943" s="1418">
        <f t="shared" ref="V3943:V3950" si="397">V3944</f>
        <v>0</v>
      </c>
      <c r="W3943" s="16"/>
      <c r="X3943" s="16"/>
      <c r="Y3943" s="16"/>
      <c r="Z3943" s="17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</row>
    <row r="3944" spans="1:36" s="352" customFormat="1" ht="15.6" hidden="1">
      <c r="A3944" s="351"/>
      <c r="B3944" s="1964" t="e">
        <f>LEFT(#REF!,5)</f>
        <v>#REF!</v>
      </c>
      <c r="C3944" s="1966" t="e">
        <f>VLOOKUP(LEFT(#REF!,5),'11 - FINANCEIRA'!_xlnm.Print_Area,2,FALSE)</f>
        <v>#REF!</v>
      </c>
      <c r="D3944" s="1920" t="s">
        <v>1514</v>
      </c>
      <c r="E3944" s="1921"/>
      <c r="F3944" s="1922"/>
      <c r="G3944" s="1923" t="s">
        <v>1515</v>
      </c>
      <c r="H3944" s="1924"/>
      <c r="I3944" s="1925"/>
      <c r="J3944" s="1915"/>
      <c r="K3944" s="1915"/>
      <c r="L3944" s="1915"/>
      <c r="M3944" s="1915"/>
      <c r="N3944" s="1915"/>
      <c r="O3944" s="1915"/>
      <c r="P3944" s="353" t="s">
        <v>1516</v>
      </c>
      <c r="Q3944" s="1915"/>
      <c r="R3944" s="1917"/>
      <c r="S3944" s="1915"/>
      <c r="T3944" s="1915"/>
      <c r="U3944" s="1919"/>
      <c r="V3944" s="1418">
        <f t="shared" si="397"/>
        <v>0</v>
      </c>
      <c r="W3944" s="16"/>
      <c r="X3944" s="16"/>
      <c r="Y3944" s="16"/>
      <c r="Z3944" s="17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</row>
    <row r="3945" spans="1:36" s="361" customFormat="1" ht="15" hidden="1" customHeight="1">
      <c r="A3945" s="354"/>
      <c r="B3945" s="355"/>
      <c r="C3945" s="32" t="s">
        <v>1353</v>
      </c>
      <c r="D3945" s="33"/>
      <c r="E3945" s="34"/>
      <c r="F3945" s="35"/>
      <c r="G3945" s="33"/>
      <c r="H3945" s="34"/>
      <c r="I3945" s="35"/>
      <c r="J3945" s="43"/>
      <c r="K3945" s="42"/>
      <c r="L3945" s="39"/>
      <c r="M3945" s="41"/>
      <c r="N3945" s="356"/>
      <c r="O3945" s="40"/>
      <c r="P3945" s="39"/>
      <c r="Q3945" s="45"/>
      <c r="R3945" s="1359">
        <v>55</v>
      </c>
      <c r="S3945" s="1265" t="s">
        <v>809</v>
      </c>
      <c r="T3945" s="46" t="s">
        <v>328</v>
      </c>
      <c r="U3945" s="44"/>
      <c r="V3945" s="1418">
        <f t="shared" si="397"/>
        <v>0</v>
      </c>
      <c r="W3945" s="357"/>
      <c r="X3945" s="357"/>
      <c r="Y3945" s="357"/>
      <c r="Z3945" s="358"/>
      <c r="AA3945" s="359"/>
      <c r="AB3945" s="360"/>
    </row>
    <row r="3946" spans="1:36" s="361" customFormat="1" ht="15" hidden="1" customHeight="1">
      <c r="A3946" s="354"/>
      <c r="B3946" s="355"/>
      <c r="C3946" s="32"/>
      <c r="D3946" s="33"/>
      <c r="E3946" s="34"/>
      <c r="F3946" s="35"/>
      <c r="G3946" s="33"/>
      <c r="H3946" s="34"/>
      <c r="I3946" s="35"/>
      <c r="J3946" s="43"/>
      <c r="K3946" s="42"/>
      <c r="L3946" s="39"/>
      <c r="M3946" s="41"/>
      <c r="N3946" s="356"/>
      <c r="O3946" s="40"/>
      <c r="P3946" s="39"/>
      <c r="Q3946" s="45"/>
      <c r="R3946" s="362"/>
      <c r="S3946" s="363"/>
      <c r="T3946" s="46"/>
      <c r="U3946" s="44"/>
      <c r="V3946" s="1418">
        <f t="shared" si="397"/>
        <v>0</v>
      </c>
      <c r="W3946" s="357"/>
      <c r="X3946" s="357"/>
      <c r="Y3946" s="357"/>
      <c r="Z3946" s="358"/>
      <c r="AA3946" s="359"/>
      <c r="AB3946" s="360"/>
    </row>
    <row r="3947" spans="1:36" s="369" customFormat="1" ht="15" hidden="1">
      <c r="A3947" s="364"/>
      <c r="B3947" s="355"/>
      <c r="C3947" s="32"/>
      <c r="D3947" s="33"/>
      <c r="E3947" s="34"/>
      <c r="F3947" s="35"/>
      <c r="G3947" s="33"/>
      <c r="H3947" s="34"/>
      <c r="I3947" s="35"/>
      <c r="J3947" s="43"/>
      <c r="K3947" s="42"/>
      <c r="L3947" s="39"/>
      <c r="M3947" s="41"/>
      <c r="N3947" s="40"/>
      <c r="O3947" s="40"/>
      <c r="P3947" s="39"/>
      <c r="Q3947" s="38"/>
      <c r="R3947" s="365"/>
      <c r="S3947" s="366"/>
      <c r="T3947" s="46"/>
      <c r="U3947" s="44"/>
      <c r="V3947" s="1418">
        <f t="shared" si="397"/>
        <v>0</v>
      </c>
      <c r="W3947" s="367"/>
      <c r="X3947" s="367"/>
      <c r="Y3947" s="367"/>
      <c r="Z3947" s="368"/>
    </row>
    <row r="3948" spans="1:36" s="77" customFormat="1" ht="15" hidden="1">
      <c r="A3948" s="370"/>
      <c r="B3948" s="29"/>
      <c r="C3948" s="30"/>
      <c r="D3948" s="18"/>
      <c r="E3948" s="19"/>
      <c r="F3948" s="20"/>
      <c r="G3948" s="18"/>
      <c r="H3948" s="19"/>
      <c r="I3948" s="20"/>
      <c r="J3948" s="21"/>
      <c r="K3948" s="22"/>
      <c r="L3948" s="23"/>
      <c r="M3948" s="24"/>
      <c r="N3948" s="25"/>
      <c r="O3948" s="25"/>
      <c r="P3948" s="23"/>
      <c r="Q3948" s="26"/>
      <c r="R3948" s="371"/>
      <c r="S3948" s="27"/>
      <c r="T3948" s="372"/>
      <c r="U3948" s="31"/>
      <c r="V3948" s="1418">
        <f t="shared" si="397"/>
        <v>0</v>
      </c>
      <c r="AB3948" s="15"/>
    </row>
    <row r="3949" spans="1:36" s="77" customFormat="1" ht="15.6" hidden="1">
      <c r="A3949" s="370"/>
      <c r="B3949" s="499"/>
      <c r="C3949" s="37"/>
      <c r="D3949" s="1929" t="s">
        <v>1520</v>
      </c>
      <c r="E3949" s="1930"/>
      <c r="F3949" s="1930"/>
      <c r="G3949" s="1930"/>
      <c r="H3949" s="1930"/>
      <c r="I3949" s="1931"/>
      <c r="J3949" s="1932">
        <f>VLOOKUP(A3951,'11 - FINANCEIRA'!_xlnm.Print_Area,6,FALSE)</f>
        <v>55</v>
      </c>
      <c r="K3949" s="1933"/>
      <c r="L3949" s="1343" t="str">
        <f>VLOOKUP(A3951,'11 - FINANCEIRA'!_xlnm.Print_Area,4,FALSE)</f>
        <v>m</v>
      </c>
      <c r="M3949" s="1934" t="s">
        <v>1521</v>
      </c>
      <c r="N3949" s="1935"/>
      <c r="O3949" s="1935"/>
      <c r="P3949" s="1935"/>
      <c r="Q3949" s="1936"/>
      <c r="R3949" s="726">
        <f>SUM(R3945:R3948)</f>
        <v>55</v>
      </c>
      <c r="S3949" s="1344" t="str">
        <f>L3949</f>
        <v>m</v>
      </c>
      <c r="T3949" s="373"/>
      <c r="U3949" s="486"/>
      <c r="V3949" s="1418">
        <f t="shared" si="397"/>
        <v>0</v>
      </c>
      <c r="AB3949" s="15"/>
    </row>
    <row r="3950" spans="1:36" s="77" customFormat="1" ht="15.6" hidden="1">
      <c r="A3950" s="370"/>
      <c r="B3950" s="499"/>
      <c r="C3950" s="725"/>
      <c r="D3950" s="1937" t="s">
        <v>1522</v>
      </c>
      <c r="E3950" s="1938"/>
      <c r="F3950" s="1938"/>
      <c r="G3950" s="1938"/>
      <c r="H3950" s="1938"/>
      <c r="I3950" s="1939"/>
      <c r="J3950" s="1943">
        <f>R3949/J3949</f>
        <v>1</v>
      </c>
      <c r="K3950" s="1944"/>
      <c r="L3950" s="1947"/>
      <c r="M3950" s="1934" t="s">
        <v>1523</v>
      </c>
      <c r="N3950" s="1935"/>
      <c r="O3950" s="1935"/>
      <c r="P3950" s="1935"/>
      <c r="Q3950" s="1936"/>
      <c r="R3950" s="726">
        <f>VLOOKUP(A3951,'11 - FINANCEIRA'!_xlnm.Print_Area,8,FALSE)</f>
        <v>55</v>
      </c>
      <c r="S3950" s="727" t="str">
        <f>L3949</f>
        <v>m</v>
      </c>
      <c r="T3950" s="373"/>
      <c r="U3950" s="486"/>
      <c r="V3950" s="1418">
        <f t="shared" si="397"/>
        <v>0</v>
      </c>
      <c r="AB3950" s="15"/>
    </row>
    <row r="3951" spans="1:36" s="77" customFormat="1" ht="15.6" hidden="1">
      <c r="A3951" s="364" t="s">
        <v>710</v>
      </c>
      <c r="B3951" s="499"/>
      <c r="C3951" s="37"/>
      <c r="D3951" s="2013"/>
      <c r="E3951" s="2014"/>
      <c r="F3951" s="2014"/>
      <c r="G3951" s="2014"/>
      <c r="H3951" s="2014"/>
      <c r="I3951" s="2015"/>
      <c r="J3951" s="2016"/>
      <c r="K3951" s="2017"/>
      <c r="L3951" s="1962"/>
      <c r="M3951" s="2007" t="s">
        <v>1524</v>
      </c>
      <c r="N3951" s="2008"/>
      <c r="O3951" s="2008"/>
      <c r="P3951" s="2008"/>
      <c r="Q3951" s="2009"/>
      <c r="R3951" s="1345">
        <f>R3949-R3950</f>
        <v>0</v>
      </c>
      <c r="S3951" s="1346" t="str">
        <f>L3949</f>
        <v>m</v>
      </c>
      <c r="T3951" s="373"/>
      <c r="U3951" s="486"/>
      <c r="V3951" s="1418">
        <f>R3951</f>
        <v>0</v>
      </c>
      <c r="AB3951" s="15"/>
    </row>
    <row r="3952" spans="1:36" s="77" customFormat="1" ht="15.6" hidden="1">
      <c r="A3952" s="370"/>
      <c r="B3952" s="1347"/>
      <c r="C3952" s="1348"/>
      <c r="D3952" s="1349"/>
      <c r="E3952" s="1350"/>
      <c r="F3952" s="1349"/>
      <c r="G3952" s="1349"/>
      <c r="H3952" s="1349"/>
      <c r="I3952" s="1349"/>
      <c r="J3952" s="1351"/>
      <c r="K3952" s="1352"/>
      <c r="L3952" s="1353"/>
      <c r="M3952" s="1354"/>
      <c r="N3952" s="1354"/>
      <c r="O3952" s="1354"/>
      <c r="P3952" s="1354"/>
      <c r="Q3952" s="1354"/>
      <c r="R3952" s="1355"/>
      <c r="S3952" s="1356"/>
      <c r="T3952" s="1357"/>
      <c r="U3952" s="1358"/>
      <c r="V3952" s="1420">
        <f>SUM(V3943:V3951)</f>
        <v>0</v>
      </c>
      <c r="AB3952" s="15"/>
    </row>
    <row r="3953" spans="1:36" s="352" customFormat="1" ht="15.6" hidden="1">
      <c r="A3953" s="351"/>
      <c r="B3953" s="1963" t="str">
        <f>VLOOKUP(A3961,'11 - FINANCEIRA'!_xlnm.Print_Area,1,FALSE)</f>
        <v>2.5.5.16</v>
      </c>
      <c r="C3953" s="1965" t="str">
        <f>VLOOKUP(A3961,'11 - FINANCEIRA'!_xlnm.Print_Area,3,FALSE)</f>
        <v>Duto em polietileno de alta densidade (pead) ∅1” ref: kanalex ou similar</v>
      </c>
      <c r="D3953" s="1967" t="s">
        <v>1503</v>
      </c>
      <c r="E3953" s="1968"/>
      <c r="F3953" s="1968"/>
      <c r="G3953" s="1968"/>
      <c r="H3953" s="1968"/>
      <c r="I3953" s="1969"/>
      <c r="J3953" s="1914" t="s">
        <v>1504</v>
      </c>
      <c r="K3953" s="1914" t="s">
        <v>1505</v>
      </c>
      <c r="L3953" s="1914" t="s">
        <v>1506</v>
      </c>
      <c r="M3953" s="1914" t="s">
        <v>1507</v>
      </c>
      <c r="N3953" s="1914" t="s">
        <v>1508</v>
      </c>
      <c r="O3953" s="1914" t="s">
        <v>1509</v>
      </c>
      <c r="P3953" s="1341" t="s">
        <v>1510</v>
      </c>
      <c r="Q3953" s="1914" t="s">
        <v>1493</v>
      </c>
      <c r="R3953" s="1916" t="s">
        <v>804</v>
      </c>
      <c r="S3953" s="1914" t="s">
        <v>1511</v>
      </c>
      <c r="T3953" s="1914" t="s">
        <v>1512</v>
      </c>
      <c r="U3953" s="1918" t="s">
        <v>1513</v>
      </c>
      <c r="V3953" s="1418">
        <f t="shared" ref="V3953:V3960" si="398">V3954</f>
        <v>0</v>
      </c>
      <c r="W3953" s="16"/>
      <c r="X3953" s="16"/>
      <c r="Y3953" s="16"/>
      <c r="Z3953" s="17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</row>
    <row r="3954" spans="1:36" s="352" customFormat="1" ht="15.6" hidden="1">
      <c r="A3954" s="351"/>
      <c r="B3954" s="1964" t="e">
        <f>LEFT(#REF!,5)</f>
        <v>#REF!</v>
      </c>
      <c r="C3954" s="1966" t="e">
        <f>VLOOKUP(LEFT(#REF!,5),'11 - FINANCEIRA'!_xlnm.Print_Area,2,FALSE)</f>
        <v>#REF!</v>
      </c>
      <c r="D3954" s="1920" t="s">
        <v>1514</v>
      </c>
      <c r="E3954" s="1921"/>
      <c r="F3954" s="1922"/>
      <c r="G3954" s="1923" t="s">
        <v>1515</v>
      </c>
      <c r="H3954" s="1924"/>
      <c r="I3954" s="1925"/>
      <c r="J3954" s="1915"/>
      <c r="K3954" s="1915"/>
      <c r="L3954" s="1915"/>
      <c r="M3954" s="1915"/>
      <c r="N3954" s="1915"/>
      <c r="O3954" s="1915"/>
      <c r="P3954" s="353" t="s">
        <v>1516</v>
      </c>
      <c r="Q3954" s="1915"/>
      <c r="R3954" s="1917"/>
      <c r="S3954" s="1915"/>
      <c r="T3954" s="1915"/>
      <c r="U3954" s="1919"/>
      <c r="V3954" s="1418">
        <f t="shared" si="398"/>
        <v>0</v>
      </c>
      <c r="W3954" s="16"/>
      <c r="X3954" s="16"/>
      <c r="Y3954" s="16"/>
      <c r="Z3954" s="17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</row>
    <row r="3955" spans="1:36" s="361" customFormat="1" ht="15" hidden="1">
      <c r="A3955" s="354"/>
      <c r="B3955" s="355"/>
      <c r="C3955" s="32" t="s">
        <v>1354</v>
      </c>
      <c r="D3955" s="33"/>
      <c r="E3955" s="34"/>
      <c r="F3955" s="35"/>
      <c r="G3955" s="33"/>
      <c r="H3955" s="34"/>
      <c r="I3955" s="35"/>
      <c r="J3955" s="43"/>
      <c r="K3955" s="42"/>
      <c r="L3955" s="39"/>
      <c r="M3955" s="41"/>
      <c r="N3955" s="356"/>
      <c r="O3955" s="40"/>
      <c r="P3955" s="39"/>
      <c r="Q3955" s="45"/>
      <c r="R3955" s="1359">
        <v>10</v>
      </c>
      <c r="S3955" s="1265" t="s">
        <v>809</v>
      </c>
      <c r="T3955" s="46" t="s">
        <v>328</v>
      </c>
      <c r="U3955" s="44"/>
      <c r="V3955" s="1418">
        <f t="shared" si="398"/>
        <v>0</v>
      </c>
      <c r="W3955" s="357"/>
      <c r="X3955" s="357"/>
      <c r="Y3955" s="357"/>
      <c r="Z3955" s="358"/>
      <c r="AA3955" s="359"/>
      <c r="AB3955" s="360"/>
    </row>
    <row r="3956" spans="1:36" s="361" customFormat="1" ht="15" hidden="1" customHeight="1">
      <c r="A3956" s="354"/>
      <c r="B3956" s="355"/>
      <c r="C3956" s="32"/>
      <c r="D3956" s="33"/>
      <c r="E3956" s="34"/>
      <c r="F3956" s="35"/>
      <c r="G3956" s="33"/>
      <c r="H3956" s="34"/>
      <c r="I3956" s="35"/>
      <c r="J3956" s="43"/>
      <c r="K3956" s="42"/>
      <c r="L3956" s="39"/>
      <c r="M3956" s="41"/>
      <c r="N3956" s="356"/>
      <c r="O3956" s="40"/>
      <c r="P3956" s="39"/>
      <c r="Q3956" s="45"/>
      <c r="R3956" s="362"/>
      <c r="S3956" s="363"/>
      <c r="T3956" s="46"/>
      <c r="U3956" s="44"/>
      <c r="V3956" s="1418">
        <f t="shared" si="398"/>
        <v>0</v>
      </c>
      <c r="W3956" s="357"/>
      <c r="X3956" s="357"/>
      <c r="Y3956" s="357"/>
      <c r="Z3956" s="358"/>
      <c r="AA3956" s="359"/>
      <c r="AB3956" s="360"/>
    </row>
    <row r="3957" spans="1:36" s="369" customFormat="1" ht="15" hidden="1">
      <c r="A3957" s="364"/>
      <c r="B3957" s="355"/>
      <c r="C3957" s="32"/>
      <c r="D3957" s="33"/>
      <c r="E3957" s="34"/>
      <c r="F3957" s="35"/>
      <c r="G3957" s="33"/>
      <c r="H3957" s="34"/>
      <c r="I3957" s="35"/>
      <c r="J3957" s="43"/>
      <c r="K3957" s="42"/>
      <c r="L3957" s="39"/>
      <c r="M3957" s="41"/>
      <c r="N3957" s="40"/>
      <c r="O3957" s="40"/>
      <c r="P3957" s="39"/>
      <c r="Q3957" s="38"/>
      <c r="R3957" s="365"/>
      <c r="S3957" s="366"/>
      <c r="T3957" s="46"/>
      <c r="U3957" s="44"/>
      <c r="V3957" s="1418">
        <f t="shared" si="398"/>
        <v>0</v>
      </c>
      <c r="W3957" s="367"/>
      <c r="X3957" s="367"/>
      <c r="Y3957" s="367"/>
      <c r="Z3957" s="368"/>
    </row>
    <row r="3958" spans="1:36" s="77" customFormat="1" ht="15" hidden="1">
      <c r="A3958" s="370"/>
      <c r="B3958" s="29"/>
      <c r="C3958" s="30"/>
      <c r="D3958" s="18"/>
      <c r="E3958" s="19"/>
      <c r="F3958" s="20"/>
      <c r="G3958" s="18"/>
      <c r="H3958" s="19"/>
      <c r="I3958" s="20"/>
      <c r="J3958" s="21"/>
      <c r="K3958" s="22"/>
      <c r="L3958" s="23"/>
      <c r="M3958" s="24"/>
      <c r="N3958" s="25"/>
      <c r="O3958" s="25"/>
      <c r="P3958" s="23"/>
      <c r="Q3958" s="26"/>
      <c r="R3958" s="371"/>
      <c r="S3958" s="27"/>
      <c r="T3958" s="372"/>
      <c r="U3958" s="31"/>
      <c r="V3958" s="1418">
        <f t="shared" si="398"/>
        <v>0</v>
      </c>
      <c r="AB3958" s="15"/>
    </row>
    <row r="3959" spans="1:36" s="77" customFormat="1" ht="15.6" hidden="1">
      <c r="A3959" s="370"/>
      <c r="B3959" s="499"/>
      <c r="C3959" s="37"/>
      <c r="D3959" s="1929" t="s">
        <v>1520</v>
      </c>
      <c r="E3959" s="1930"/>
      <c r="F3959" s="1930"/>
      <c r="G3959" s="1930"/>
      <c r="H3959" s="1930"/>
      <c r="I3959" s="1931"/>
      <c r="J3959" s="1932">
        <f>VLOOKUP(A3961,'11 - FINANCEIRA'!_xlnm.Print_Area,6,FALSE)</f>
        <v>10</v>
      </c>
      <c r="K3959" s="1933"/>
      <c r="L3959" s="1343" t="str">
        <f>VLOOKUP(A3961,'11 - FINANCEIRA'!_xlnm.Print_Area,4,FALSE)</f>
        <v>m</v>
      </c>
      <c r="M3959" s="1934" t="s">
        <v>1521</v>
      </c>
      <c r="N3959" s="1935"/>
      <c r="O3959" s="1935"/>
      <c r="P3959" s="1935"/>
      <c r="Q3959" s="1936"/>
      <c r="R3959" s="726">
        <f>SUM(R3955:R3958)</f>
        <v>10</v>
      </c>
      <c r="S3959" s="1344" t="str">
        <f>L3959</f>
        <v>m</v>
      </c>
      <c r="T3959" s="373"/>
      <c r="U3959" s="486"/>
      <c r="V3959" s="1418">
        <f t="shared" si="398"/>
        <v>0</v>
      </c>
      <c r="AB3959" s="15"/>
    </row>
    <row r="3960" spans="1:36" s="77" customFormat="1" ht="15.6" hidden="1">
      <c r="A3960" s="370"/>
      <c r="B3960" s="499"/>
      <c r="C3960" s="725"/>
      <c r="D3960" s="1937" t="s">
        <v>1522</v>
      </c>
      <c r="E3960" s="1938"/>
      <c r="F3960" s="1938"/>
      <c r="G3960" s="1938"/>
      <c r="H3960" s="1938"/>
      <c r="I3960" s="1939"/>
      <c r="J3960" s="1943">
        <f>R3959/J3959</f>
        <v>1</v>
      </c>
      <c r="K3960" s="1944"/>
      <c r="L3960" s="1947"/>
      <c r="M3960" s="1934" t="s">
        <v>1523</v>
      </c>
      <c r="N3960" s="1935"/>
      <c r="O3960" s="1935"/>
      <c r="P3960" s="1935"/>
      <c r="Q3960" s="1936"/>
      <c r="R3960" s="726">
        <f>VLOOKUP(A3961,'11 - FINANCEIRA'!_xlnm.Print_Area,8,FALSE)</f>
        <v>10</v>
      </c>
      <c r="S3960" s="727" t="str">
        <f>L3959</f>
        <v>m</v>
      </c>
      <c r="T3960" s="373"/>
      <c r="U3960" s="486"/>
      <c r="V3960" s="1418">
        <f t="shared" si="398"/>
        <v>0</v>
      </c>
      <c r="AB3960" s="15"/>
    </row>
    <row r="3961" spans="1:36" s="77" customFormat="1" ht="15.6" hidden="1">
      <c r="A3961" s="364" t="s">
        <v>711</v>
      </c>
      <c r="B3961" s="499"/>
      <c r="C3961" s="37"/>
      <c r="D3961" s="2013"/>
      <c r="E3961" s="2014"/>
      <c r="F3961" s="2014"/>
      <c r="G3961" s="2014"/>
      <c r="H3961" s="2014"/>
      <c r="I3961" s="2015"/>
      <c r="J3961" s="2016"/>
      <c r="K3961" s="2017"/>
      <c r="L3961" s="1962"/>
      <c r="M3961" s="2007" t="s">
        <v>1524</v>
      </c>
      <c r="N3961" s="2008"/>
      <c r="O3961" s="2008"/>
      <c r="P3961" s="2008"/>
      <c r="Q3961" s="2009"/>
      <c r="R3961" s="1345">
        <f>R3959-R3960</f>
        <v>0</v>
      </c>
      <c r="S3961" s="1346" t="str">
        <f>L3959</f>
        <v>m</v>
      </c>
      <c r="T3961" s="373"/>
      <c r="U3961" s="486"/>
      <c r="V3961" s="1418">
        <f>R3961</f>
        <v>0</v>
      </c>
      <c r="AB3961" s="15"/>
    </row>
    <row r="3962" spans="1:36" s="77" customFormat="1" ht="15.6" hidden="1">
      <c r="A3962" s="370"/>
      <c r="B3962" s="1347"/>
      <c r="C3962" s="1348"/>
      <c r="D3962" s="1349"/>
      <c r="E3962" s="1350"/>
      <c r="F3962" s="1349"/>
      <c r="G3962" s="1349"/>
      <c r="H3962" s="1349"/>
      <c r="I3962" s="1349"/>
      <c r="J3962" s="1351"/>
      <c r="K3962" s="1352"/>
      <c r="L3962" s="1353"/>
      <c r="M3962" s="1354"/>
      <c r="N3962" s="1354"/>
      <c r="O3962" s="1354"/>
      <c r="P3962" s="1354"/>
      <c r="Q3962" s="1354"/>
      <c r="R3962" s="1355"/>
      <c r="S3962" s="1356"/>
      <c r="T3962" s="1357"/>
      <c r="U3962" s="1358"/>
      <c r="V3962" s="1420">
        <f>SUM(V3953:V3961)</f>
        <v>0</v>
      </c>
      <c r="AB3962" s="15"/>
    </row>
    <row r="3963" spans="1:36" s="352" customFormat="1" ht="15.6" hidden="1">
      <c r="A3963" s="351"/>
      <c r="B3963" s="1963" t="str">
        <f>VLOOKUP(A3971,'11 - FINANCEIRA'!_xlnm.Print_Area,1,FALSE)</f>
        <v>2.5.5.17</v>
      </c>
      <c r="C3963" s="1965" t="str">
        <f>VLOOKUP(A3971,'11 - FINANCEIRA'!_xlnm.Print_Area,3,FALSE)</f>
        <v>Eletroduto flexível corrugado 1", marca de referência tigre</v>
      </c>
      <c r="D3963" s="1967" t="s">
        <v>1503</v>
      </c>
      <c r="E3963" s="1968"/>
      <c r="F3963" s="1968"/>
      <c r="G3963" s="1968"/>
      <c r="H3963" s="1968"/>
      <c r="I3963" s="1969"/>
      <c r="J3963" s="1914" t="s">
        <v>1504</v>
      </c>
      <c r="K3963" s="1914" t="s">
        <v>1505</v>
      </c>
      <c r="L3963" s="1914" t="s">
        <v>1506</v>
      </c>
      <c r="M3963" s="1914" t="s">
        <v>1507</v>
      </c>
      <c r="N3963" s="1914" t="s">
        <v>1508</v>
      </c>
      <c r="O3963" s="1914" t="s">
        <v>1509</v>
      </c>
      <c r="P3963" s="1341" t="s">
        <v>1510</v>
      </c>
      <c r="Q3963" s="1914" t="s">
        <v>1493</v>
      </c>
      <c r="R3963" s="1916" t="s">
        <v>804</v>
      </c>
      <c r="S3963" s="1914" t="s">
        <v>1511</v>
      </c>
      <c r="T3963" s="1914" t="s">
        <v>1512</v>
      </c>
      <c r="U3963" s="1918" t="s">
        <v>1513</v>
      </c>
      <c r="V3963" s="1418">
        <f t="shared" ref="V3963:V3970" si="399">V3964</f>
        <v>0</v>
      </c>
      <c r="W3963" s="16"/>
      <c r="X3963" s="16"/>
      <c r="Y3963" s="16"/>
      <c r="Z3963" s="17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</row>
    <row r="3964" spans="1:36" s="352" customFormat="1" ht="15.6" hidden="1">
      <c r="A3964" s="351"/>
      <c r="B3964" s="1964" t="e">
        <f>LEFT(#REF!,5)</f>
        <v>#REF!</v>
      </c>
      <c r="C3964" s="1966" t="e">
        <f>VLOOKUP(LEFT(#REF!,5),'11 - FINANCEIRA'!_xlnm.Print_Area,2,FALSE)</f>
        <v>#REF!</v>
      </c>
      <c r="D3964" s="1920" t="s">
        <v>1514</v>
      </c>
      <c r="E3964" s="1921"/>
      <c r="F3964" s="1922"/>
      <c r="G3964" s="1923" t="s">
        <v>1515</v>
      </c>
      <c r="H3964" s="1924"/>
      <c r="I3964" s="1925"/>
      <c r="J3964" s="1915"/>
      <c r="K3964" s="1915"/>
      <c r="L3964" s="1915"/>
      <c r="M3964" s="1915"/>
      <c r="N3964" s="1915"/>
      <c r="O3964" s="1915"/>
      <c r="P3964" s="353" t="s">
        <v>1516</v>
      </c>
      <c r="Q3964" s="1915"/>
      <c r="R3964" s="1917"/>
      <c r="S3964" s="1915"/>
      <c r="T3964" s="1915"/>
      <c r="U3964" s="1919"/>
      <c r="V3964" s="1418">
        <f t="shared" si="399"/>
        <v>0</v>
      </c>
      <c r="W3964" s="16"/>
      <c r="X3964" s="16"/>
      <c r="Y3964" s="16"/>
      <c r="Z3964" s="17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</row>
    <row r="3965" spans="1:36" s="361" customFormat="1" ht="15" hidden="1">
      <c r="A3965" s="354"/>
      <c r="B3965" s="355"/>
      <c r="C3965" s="28" t="s">
        <v>1192</v>
      </c>
      <c r="D3965" s="18"/>
      <c r="E3965" s="19"/>
      <c r="F3965" s="20"/>
      <c r="G3965" s="18"/>
      <c r="H3965" s="19"/>
      <c r="I3965" s="20"/>
      <c r="J3965" s="21"/>
      <c r="K3965" s="22"/>
      <c r="L3965" s="23"/>
      <c r="M3965" s="24"/>
      <c r="N3965" s="728"/>
      <c r="O3965" s="25"/>
      <c r="P3965" s="23"/>
      <c r="Q3965" s="729"/>
      <c r="R3965" s="1109">
        <v>22</v>
      </c>
      <c r="S3965" s="730" t="s">
        <v>809</v>
      </c>
      <c r="T3965" s="446" t="s">
        <v>327</v>
      </c>
      <c r="U3965" s="44"/>
      <c r="V3965" s="1418">
        <f t="shared" si="399"/>
        <v>0</v>
      </c>
      <c r="W3965" s="357"/>
      <c r="X3965" s="357"/>
      <c r="Y3965" s="357"/>
      <c r="Z3965" s="358"/>
      <c r="AA3965" s="359"/>
      <c r="AB3965" s="360"/>
    </row>
    <row r="3966" spans="1:36" s="361" customFormat="1" ht="15" hidden="1" customHeight="1">
      <c r="A3966" s="354"/>
      <c r="B3966" s="355"/>
      <c r="C3966" s="32"/>
      <c r="D3966" s="33"/>
      <c r="E3966" s="34"/>
      <c r="F3966" s="35"/>
      <c r="G3966" s="33"/>
      <c r="H3966" s="34"/>
      <c r="I3966" s="35"/>
      <c r="J3966" s="43"/>
      <c r="K3966" s="42"/>
      <c r="L3966" s="39"/>
      <c r="M3966" s="41"/>
      <c r="N3966" s="356"/>
      <c r="O3966" s="40"/>
      <c r="P3966" s="39"/>
      <c r="Q3966" s="45"/>
      <c r="R3966" s="362"/>
      <c r="S3966" s="363"/>
      <c r="T3966" s="46"/>
      <c r="U3966" s="44"/>
      <c r="V3966" s="1418">
        <f t="shared" si="399"/>
        <v>0</v>
      </c>
      <c r="W3966" s="357"/>
      <c r="X3966" s="357"/>
      <c r="Y3966" s="357"/>
      <c r="Z3966" s="358"/>
      <c r="AA3966" s="359"/>
      <c r="AB3966" s="360"/>
    </row>
    <row r="3967" spans="1:36" s="369" customFormat="1" ht="15" hidden="1">
      <c r="A3967" s="364"/>
      <c r="B3967" s="355"/>
      <c r="C3967" s="32"/>
      <c r="D3967" s="33"/>
      <c r="E3967" s="34"/>
      <c r="F3967" s="35"/>
      <c r="G3967" s="33"/>
      <c r="H3967" s="34"/>
      <c r="I3967" s="35"/>
      <c r="J3967" s="43"/>
      <c r="K3967" s="42"/>
      <c r="L3967" s="39"/>
      <c r="M3967" s="41"/>
      <c r="N3967" s="40"/>
      <c r="O3967" s="40"/>
      <c r="P3967" s="39"/>
      <c r="Q3967" s="38"/>
      <c r="R3967" s="365"/>
      <c r="S3967" s="366"/>
      <c r="T3967" s="46"/>
      <c r="U3967" s="44"/>
      <c r="V3967" s="1418">
        <f t="shared" si="399"/>
        <v>0</v>
      </c>
      <c r="W3967" s="367"/>
      <c r="X3967" s="367"/>
      <c r="Y3967" s="367"/>
      <c r="Z3967" s="368"/>
    </row>
    <row r="3968" spans="1:36" s="77" customFormat="1" ht="15" hidden="1">
      <c r="A3968" s="370"/>
      <c r="B3968" s="29"/>
      <c r="C3968" s="30"/>
      <c r="D3968" s="18"/>
      <c r="E3968" s="19"/>
      <c r="F3968" s="20"/>
      <c r="G3968" s="18"/>
      <c r="H3968" s="19"/>
      <c r="I3968" s="20"/>
      <c r="J3968" s="21"/>
      <c r="K3968" s="22"/>
      <c r="L3968" s="23"/>
      <c r="M3968" s="24"/>
      <c r="N3968" s="25"/>
      <c r="O3968" s="25"/>
      <c r="P3968" s="23"/>
      <c r="Q3968" s="26"/>
      <c r="R3968" s="371"/>
      <c r="S3968" s="27"/>
      <c r="T3968" s="372"/>
      <c r="U3968" s="31"/>
      <c r="V3968" s="1418">
        <f t="shared" si="399"/>
        <v>0</v>
      </c>
      <c r="AB3968" s="15"/>
    </row>
    <row r="3969" spans="1:36" s="77" customFormat="1" ht="15.6" hidden="1">
      <c r="A3969" s="370"/>
      <c r="B3969" s="499"/>
      <c r="C3969" s="37"/>
      <c r="D3969" s="1929" t="s">
        <v>1520</v>
      </c>
      <c r="E3969" s="1930"/>
      <c r="F3969" s="1930"/>
      <c r="G3969" s="1930"/>
      <c r="H3969" s="1930"/>
      <c r="I3969" s="1931"/>
      <c r="J3969" s="1932">
        <f>VLOOKUP(A3971,'11 - FINANCEIRA'!_xlnm.Print_Area,6,FALSE)</f>
        <v>22</v>
      </c>
      <c r="K3969" s="1933"/>
      <c r="L3969" s="1343" t="str">
        <f>VLOOKUP(A3971,'11 - FINANCEIRA'!_xlnm.Print_Area,4,FALSE)</f>
        <v>m</v>
      </c>
      <c r="M3969" s="1934" t="s">
        <v>1521</v>
      </c>
      <c r="N3969" s="1935"/>
      <c r="O3969" s="1935"/>
      <c r="P3969" s="1935"/>
      <c r="Q3969" s="1936"/>
      <c r="R3969" s="726">
        <f>SUM(R3965:R3968)</f>
        <v>22</v>
      </c>
      <c r="S3969" s="1344" t="str">
        <f>L3969</f>
        <v>m</v>
      </c>
      <c r="T3969" s="373"/>
      <c r="U3969" s="486"/>
      <c r="V3969" s="1418">
        <f t="shared" si="399"/>
        <v>0</v>
      </c>
      <c r="AB3969" s="15"/>
    </row>
    <row r="3970" spans="1:36" s="77" customFormat="1" ht="15.6" hidden="1">
      <c r="A3970" s="370"/>
      <c r="B3970" s="499"/>
      <c r="C3970" s="725"/>
      <c r="D3970" s="1937" t="s">
        <v>1522</v>
      </c>
      <c r="E3970" s="1938"/>
      <c r="F3970" s="1938"/>
      <c r="G3970" s="1938"/>
      <c r="H3970" s="1938"/>
      <c r="I3970" s="1939"/>
      <c r="J3970" s="1943">
        <f>R3969/J3969</f>
        <v>1</v>
      </c>
      <c r="K3970" s="1944"/>
      <c r="L3970" s="1947"/>
      <c r="M3970" s="1934" t="s">
        <v>1523</v>
      </c>
      <c r="N3970" s="1935"/>
      <c r="O3970" s="1935"/>
      <c r="P3970" s="1935"/>
      <c r="Q3970" s="1936"/>
      <c r="R3970" s="726">
        <f>VLOOKUP(A3971,'11 - FINANCEIRA'!_xlnm.Print_Area,8,FALSE)</f>
        <v>22</v>
      </c>
      <c r="S3970" s="727" t="str">
        <f>L3969</f>
        <v>m</v>
      </c>
      <c r="T3970" s="373"/>
      <c r="U3970" s="486"/>
      <c r="V3970" s="1418">
        <f t="shared" si="399"/>
        <v>0</v>
      </c>
      <c r="AB3970" s="15"/>
    </row>
    <row r="3971" spans="1:36" s="77" customFormat="1" ht="15.6" hidden="1">
      <c r="A3971" s="364" t="s">
        <v>712</v>
      </c>
      <c r="B3971" s="499"/>
      <c r="C3971" s="37"/>
      <c r="D3971" s="2013"/>
      <c r="E3971" s="2014"/>
      <c r="F3971" s="2014"/>
      <c r="G3971" s="2014"/>
      <c r="H3971" s="2014"/>
      <c r="I3971" s="2015"/>
      <c r="J3971" s="2016"/>
      <c r="K3971" s="2017"/>
      <c r="L3971" s="1962"/>
      <c r="M3971" s="2007" t="s">
        <v>1524</v>
      </c>
      <c r="N3971" s="2008"/>
      <c r="O3971" s="2008"/>
      <c r="P3971" s="2008"/>
      <c r="Q3971" s="2009"/>
      <c r="R3971" s="1345">
        <f>R3969-R3970</f>
        <v>0</v>
      </c>
      <c r="S3971" s="1346" t="str">
        <f>L3969</f>
        <v>m</v>
      </c>
      <c r="T3971" s="373"/>
      <c r="U3971" s="486"/>
      <c r="V3971" s="1418">
        <f>R3971</f>
        <v>0</v>
      </c>
      <c r="AB3971" s="15"/>
    </row>
    <row r="3972" spans="1:36" s="77" customFormat="1" ht="15.6" hidden="1">
      <c r="A3972" s="370"/>
      <c r="B3972" s="1347"/>
      <c r="C3972" s="1348"/>
      <c r="D3972" s="1349"/>
      <c r="E3972" s="1350"/>
      <c r="F3972" s="1349"/>
      <c r="G3972" s="1349"/>
      <c r="H3972" s="1349"/>
      <c r="I3972" s="1349"/>
      <c r="J3972" s="1351"/>
      <c r="K3972" s="1352"/>
      <c r="L3972" s="1353"/>
      <c r="M3972" s="1354"/>
      <c r="N3972" s="1354"/>
      <c r="O3972" s="1354"/>
      <c r="P3972" s="1354"/>
      <c r="Q3972" s="1354"/>
      <c r="R3972" s="1355"/>
      <c r="S3972" s="1356"/>
      <c r="T3972" s="1357"/>
      <c r="U3972" s="1358"/>
      <c r="V3972" s="1420">
        <f>SUM(V3963:V3971)</f>
        <v>0</v>
      </c>
      <c r="AB3972" s="15"/>
    </row>
    <row r="3973" spans="1:36" s="352" customFormat="1" ht="15.6" hidden="1" customHeight="1">
      <c r="A3973" s="351"/>
      <c r="B3973" s="1963" t="str">
        <f>VLOOKUP(A3981,'11 - FINANCEIRA'!_xlnm.Print_Area,1,FALSE)</f>
        <v>2.5.5.18</v>
      </c>
      <c r="C3973" s="1965" t="str">
        <f>VLOOKUP(A3981,'11 - FINANCEIRA'!_xlnm.Print_Area,3,FALSE)</f>
        <v xml:space="preserve">Rack de parede 19" fechado com chave, 16us, 470x570mm, com portas laterais e frontal, com venezianas, cooler de ventilação na parte superior. </v>
      </c>
      <c r="D3973" s="1967" t="s">
        <v>1503</v>
      </c>
      <c r="E3973" s="1968"/>
      <c r="F3973" s="1968"/>
      <c r="G3973" s="1968"/>
      <c r="H3973" s="1968"/>
      <c r="I3973" s="1969"/>
      <c r="J3973" s="1914" t="s">
        <v>1504</v>
      </c>
      <c r="K3973" s="1914" t="s">
        <v>1505</v>
      </c>
      <c r="L3973" s="1914" t="s">
        <v>1506</v>
      </c>
      <c r="M3973" s="1914" t="s">
        <v>1507</v>
      </c>
      <c r="N3973" s="1914" t="s">
        <v>1508</v>
      </c>
      <c r="O3973" s="1914" t="s">
        <v>1509</v>
      </c>
      <c r="P3973" s="1341" t="s">
        <v>1510</v>
      </c>
      <c r="Q3973" s="1914" t="s">
        <v>1493</v>
      </c>
      <c r="R3973" s="1916" t="s">
        <v>804</v>
      </c>
      <c r="S3973" s="1914" t="s">
        <v>1511</v>
      </c>
      <c r="T3973" s="1914" t="s">
        <v>1512</v>
      </c>
      <c r="U3973" s="1918" t="s">
        <v>1513</v>
      </c>
      <c r="V3973" s="1418">
        <f t="shared" ref="V3973:V3980" si="400">V3974</f>
        <v>0</v>
      </c>
      <c r="W3973" s="16"/>
      <c r="X3973" s="16"/>
      <c r="Y3973" s="16"/>
      <c r="Z3973" s="17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</row>
    <row r="3974" spans="1:36" s="352" customFormat="1" ht="15.6" hidden="1">
      <c r="A3974" s="351"/>
      <c r="B3974" s="1964" t="e">
        <f>LEFT(#REF!,5)</f>
        <v>#REF!</v>
      </c>
      <c r="C3974" s="1966" t="e">
        <f>VLOOKUP(LEFT(#REF!,5),'11 - FINANCEIRA'!_xlnm.Print_Area,2,FALSE)</f>
        <v>#REF!</v>
      </c>
      <c r="D3974" s="1920" t="s">
        <v>1514</v>
      </c>
      <c r="E3974" s="1921"/>
      <c r="F3974" s="1922"/>
      <c r="G3974" s="1923" t="s">
        <v>1515</v>
      </c>
      <c r="H3974" s="1924"/>
      <c r="I3974" s="1925"/>
      <c r="J3974" s="1915"/>
      <c r="K3974" s="1915"/>
      <c r="L3974" s="1915"/>
      <c r="M3974" s="1915"/>
      <c r="N3974" s="1915"/>
      <c r="O3974" s="1915"/>
      <c r="P3974" s="353" t="s">
        <v>1516</v>
      </c>
      <c r="Q3974" s="1915"/>
      <c r="R3974" s="1917"/>
      <c r="S3974" s="1915"/>
      <c r="T3974" s="1915"/>
      <c r="U3974" s="1919"/>
      <c r="V3974" s="1418">
        <f t="shared" si="400"/>
        <v>0</v>
      </c>
      <c r="W3974" s="16"/>
      <c r="X3974" s="16"/>
      <c r="Y3974" s="16"/>
      <c r="Z3974" s="17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</row>
    <row r="3975" spans="1:36" s="361" customFormat="1" ht="30" hidden="1">
      <c r="A3975" s="354"/>
      <c r="B3975" s="355"/>
      <c r="C3975" s="32" t="s">
        <v>1356</v>
      </c>
      <c r="D3975" s="33"/>
      <c r="E3975" s="34"/>
      <c r="F3975" s="35"/>
      <c r="G3975" s="33"/>
      <c r="H3975" s="34"/>
      <c r="I3975" s="35"/>
      <c r="J3975" s="43"/>
      <c r="K3975" s="42"/>
      <c r="L3975" s="39"/>
      <c r="M3975" s="41"/>
      <c r="N3975" s="356"/>
      <c r="O3975" s="40"/>
      <c r="P3975" s="39"/>
      <c r="Q3975" s="45"/>
      <c r="R3975" s="1359">
        <v>1</v>
      </c>
      <c r="S3975" s="1265" t="s">
        <v>816</v>
      </c>
      <c r="T3975" s="46" t="s">
        <v>328</v>
      </c>
      <c r="U3975" s="44"/>
      <c r="V3975" s="1418">
        <f t="shared" si="400"/>
        <v>0</v>
      </c>
      <c r="W3975" s="357"/>
      <c r="X3975" s="357"/>
      <c r="Y3975" s="357"/>
      <c r="Z3975" s="358"/>
      <c r="AA3975" s="359"/>
      <c r="AB3975" s="360"/>
    </row>
    <row r="3976" spans="1:36" s="361" customFormat="1" ht="15" hidden="1" customHeight="1">
      <c r="A3976" s="354"/>
      <c r="B3976" s="355"/>
      <c r="C3976" s="32"/>
      <c r="D3976" s="33"/>
      <c r="E3976" s="34"/>
      <c r="F3976" s="35"/>
      <c r="G3976" s="33"/>
      <c r="H3976" s="34"/>
      <c r="I3976" s="35"/>
      <c r="J3976" s="43"/>
      <c r="K3976" s="42"/>
      <c r="L3976" s="39"/>
      <c r="M3976" s="41"/>
      <c r="N3976" s="356"/>
      <c r="O3976" s="40"/>
      <c r="P3976" s="39"/>
      <c r="Q3976" s="45"/>
      <c r="R3976" s="362"/>
      <c r="S3976" s="363"/>
      <c r="T3976" s="46"/>
      <c r="U3976" s="44"/>
      <c r="V3976" s="1418">
        <f t="shared" si="400"/>
        <v>0</v>
      </c>
      <c r="W3976" s="357"/>
      <c r="X3976" s="357"/>
      <c r="Y3976" s="357"/>
      <c r="Z3976" s="358"/>
      <c r="AA3976" s="359"/>
      <c r="AB3976" s="360"/>
    </row>
    <row r="3977" spans="1:36" s="369" customFormat="1" ht="15" hidden="1">
      <c r="A3977" s="364"/>
      <c r="B3977" s="355"/>
      <c r="C3977" s="32"/>
      <c r="D3977" s="33"/>
      <c r="E3977" s="34"/>
      <c r="F3977" s="35"/>
      <c r="G3977" s="33"/>
      <c r="H3977" s="34"/>
      <c r="I3977" s="35"/>
      <c r="J3977" s="43"/>
      <c r="K3977" s="42"/>
      <c r="L3977" s="39"/>
      <c r="M3977" s="41"/>
      <c r="N3977" s="40"/>
      <c r="O3977" s="40"/>
      <c r="P3977" s="39"/>
      <c r="Q3977" s="38"/>
      <c r="R3977" s="365"/>
      <c r="S3977" s="366"/>
      <c r="T3977" s="46"/>
      <c r="U3977" s="44"/>
      <c r="V3977" s="1418">
        <f t="shared" si="400"/>
        <v>0</v>
      </c>
      <c r="W3977" s="367"/>
      <c r="X3977" s="367"/>
      <c r="Y3977" s="367"/>
      <c r="Z3977" s="368"/>
    </row>
    <row r="3978" spans="1:36" s="77" customFormat="1" ht="15" hidden="1">
      <c r="A3978" s="370"/>
      <c r="B3978" s="29"/>
      <c r="C3978" s="30"/>
      <c r="D3978" s="18"/>
      <c r="E3978" s="19"/>
      <c r="F3978" s="20"/>
      <c r="G3978" s="18"/>
      <c r="H3978" s="19"/>
      <c r="I3978" s="20"/>
      <c r="J3978" s="21"/>
      <c r="K3978" s="22"/>
      <c r="L3978" s="23"/>
      <c r="M3978" s="24"/>
      <c r="N3978" s="25"/>
      <c r="O3978" s="25"/>
      <c r="P3978" s="23"/>
      <c r="Q3978" s="26"/>
      <c r="R3978" s="371"/>
      <c r="S3978" s="27"/>
      <c r="T3978" s="372"/>
      <c r="U3978" s="31"/>
      <c r="V3978" s="1418">
        <f t="shared" si="400"/>
        <v>0</v>
      </c>
      <c r="AB3978" s="15"/>
    </row>
    <row r="3979" spans="1:36" s="77" customFormat="1" ht="15.6" hidden="1">
      <c r="A3979" s="370"/>
      <c r="B3979" s="499"/>
      <c r="C3979" s="37"/>
      <c r="D3979" s="1929" t="s">
        <v>1520</v>
      </c>
      <c r="E3979" s="1930"/>
      <c r="F3979" s="1930"/>
      <c r="G3979" s="1930"/>
      <c r="H3979" s="1930"/>
      <c r="I3979" s="1931"/>
      <c r="J3979" s="1932">
        <f>VLOOKUP(A3981,'11 - FINANCEIRA'!_xlnm.Print_Area,6,FALSE)</f>
        <v>1</v>
      </c>
      <c r="K3979" s="1933"/>
      <c r="L3979" s="1343" t="str">
        <f>VLOOKUP(A3981,'11 - FINANCEIRA'!_xlnm.Print_Area,4,FALSE)</f>
        <v>und</v>
      </c>
      <c r="M3979" s="1934" t="s">
        <v>1521</v>
      </c>
      <c r="N3979" s="1935"/>
      <c r="O3979" s="1935"/>
      <c r="P3979" s="1935"/>
      <c r="Q3979" s="1936"/>
      <c r="R3979" s="726">
        <f>SUM(R3975:R3978)</f>
        <v>1</v>
      </c>
      <c r="S3979" s="1344" t="str">
        <f>L3979</f>
        <v>und</v>
      </c>
      <c r="T3979" s="373"/>
      <c r="U3979" s="486"/>
      <c r="V3979" s="1418">
        <f t="shared" si="400"/>
        <v>0</v>
      </c>
      <c r="AB3979" s="15"/>
    </row>
    <row r="3980" spans="1:36" s="77" customFormat="1" ht="15.6" hidden="1">
      <c r="A3980" s="370"/>
      <c r="B3980" s="499"/>
      <c r="C3980" s="725"/>
      <c r="D3980" s="1937" t="s">
        <v>1522</v>
      </c>
      <c r="E3980" s="1938"/>
      <c r="F3980" s="1938"/>
      <c r="G3980" s="1938"/>
      <c r="H3980" s="1938"/>
      <c r="I3980" s="1939"/>
      <c r="J3980" s="1943">
        <f>R3979/J3979</f>
        <v>1</v>
      </c>
      <c r="K3980" s="1944"/>
      <c r="L3980" s="1947"/>
      <c r="M3980" s="1934" t="s">
        <v>1523</v>
      </c>
      <c r="N3980" s="1935"/>
      <c r="O3980" s="1935"/>
      <c r="P3980" s="1935"/>
      <c r="Q3980" s="1936"/>
      <c r="R3980" s="726">
        <f>VLOOKUP(A3981,'11 - FINANCEIRA'!_xlnm.Print_Area,8,FALSE)</f>
        <v>1</v>
      </c>
      <c r="S3980" s="727" t="str">
        <f>L3979</f>
        <v>und</v>
      </c>
      <c r="T3980" s="373"/>
      <c r="U3980" s="486"/>
      <c r="V3980" s="1418">
        <f t="shared" si="400"/>
        <v>0</v>
      </c>
      <c r="AB3980" s="15"/>
    </row>
    <row r="3981" spans="1:36" s="77" customFormat="1" ht="15.6" hidden="1">
      <c r="A3981" s="364" t="s">
        <v>713</v>
      </c>
      <c r="B3981" s="499"/>
      <c r="C3981" s="37"/>
      <c r="D3981" s="2013"/>
      <c r="E3981" s="2014"/>
      <c r="F3981" s="2014"/>
      <c r="G3981" s="2014"/>
      <c r="H3981" s="2014"/>
      <c r="I3981" s="2015"/>
      <c r="J3981" s="2016"/>
      <c r="K3981" s="2017"/>
      <c r="L3981" s="1962"/>
      <c r="M3981" s="2007" t="s">
        <v>1524</v>
      </c>
      <c r="N3981" s="2008"/>
      <c r="O3981" s="2008"/>
      <c r="P3981" s="2008"/>
      <c r="Q3981" s="2009"/>
      <c r="R3981" s="1345">
        <f>R3979-R3980</f>
        <v>0</v>
      </c>
      <c r="S3981" s="1346" t="str">
        <f>L3979</f>
        <v>und</v>
      </c>
      <c r="T3981" s="373"/>
      <c r="U3981" s="486"/>
      <c r="V3981" s="1418">
        <f>R3981</f>
        <v>0</v>
      </c>
      <c r="AB3981" s="15"/>
    </row>
    <row r="3982" spans="1:36" s="77" customFormat="1" ht="15.6" hidden="1">
      <c r="A3982" s="370"/>
      <c r="B3982" s="1347"/>
      <c r="C3982" s="1348"/>
      <c r="D3982" s="1349"/>
      <c r="E3982" s="1350"/>
      <c r="F3982" s="1349"/>
      <c r="G3982" s="1349"/>
      <c r="H3982" s="1349"/>
      <c r="I3982" s="1349"/>
      <c r="J3982" s="1351"/>
      <c r="K3982" s="1352"/>
      <c r="L3982" s="1353"/>
      <c r="M3982" s="1354"/>
      <c r="N3982" s="1354"/>
      <c r="O3982" s="1354"/>
      <c r="P3982" s="1354"/>
      <c r="Q3982" s="1354"/>
      <c r="R3982" s="1355"/>
      <c r="S3982" s="1356"/>
      <c r="T3982" s="1357"/>
      <c r="U3982" s="1358"/>
      <c r="V3982" s="1420">
        <f>SUM(V3973:V3981)</f>
        <v>0</v>
      </c>
      <c r="AB3982" s="15"/>
    </row>
    <row r="3983" spans="1:36" s="352" customFormat="1" ht="15.6" hidden="1">
      <c r="A3983" s="351"/>
      <c r="B3983" s="1963" t="str">
        <f>VLOOKUP(A3991,'11 - FINANCEIRA'!_xlnm.Print_Area,1,FALSE)</f>
        <v>2.5.5.19</v>
      </c>
      <c r="C3983" s="1965" t="str">
        <f>VLOOKUP(A3991,'11 - FINANCEIRA'!_xlnm.Print_Area,3,FALSE)</f>
        <v>Switch de 24 portas, com taxa de transmissão de 10/100/1000 mbps portas rj-45 10/100/1000 poe+ com detecção automática, camada 3, 4 portas gigabit ethernet sfp fixas, instalação em rack de 19". ref: 2930f 24g poe+ 4sfp – aruba ou similar</v>
      </c>
      <c r="D3983" s="1967" t="s">
        <v>1503</v>
      </c>
      <c r="E3983" s="1968"/>
      <c r="F3983" s="1968"/>
      <c r="G3983" s="1968"/>
      <c r="H3983" s="1968"/>
      <c r="I3983" s="1969"/>
      <c r="J3983" s="1914" t="s">
        <v>1504</v>
      </c>
      <c r="K3983" s="1914" t="s">
        <v>1505</v>
      </c>
      <c r="L3983" s="1914" t="s">
        <v>1506</v>
      </c>
      <c r="M3983" s="1914" t="s">
        <v>1507</v>
      </c>
      <c r="N3983" s="1914" t="s">
        <v>1508</v>
      </c>
      <c r="O3983" s="1914" t="s">
        <v>1509</v>
      </c>
      <c r="P3983" s="1341" t="s">
        <v>1510</v>
      </c>
      <c r="Q3983" s="1914" t="s">
        <v>1493</v>
      </c>
      <c r="R3983" s="1916" t="s">
        <v>804</v>
      </c>
      <c r="S3983" s="1914" t="s">
        <v>1511</v>
      </c>
      <c r="T3983" s="1914" t="s">
        <v>1512</v>
      </c>
      <c r="U3983" s="1918" t="s">
        <v>1513</v>
      </c>
      <c r="V3983" s="1418">
        <f t="shared" ref="V3983:V3990" si="401">V3984</f>
        <v>0</v>
      </c>
      <c r="W3983" s="16"/>
      <c r="X3983" s="16"/>
      <c r="Y3983" s="16"/>
      <c r="Z3983" s="17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</row>
    <row r="3984" spans="1:36" s="352" customFormat="1" ht="15.6" hidden="1">
      <c r="A3984" s="351"/>
      <c r="B3984" s="1964" t="e">
        <f>LEFT(#REF!,5)</f>
        <v>#REF!</v>
      </c>
      <c r="C3984" s="1966" t="e">
        <f>VLOOKUP(LEFT(#REF!,5),'11 - FINANCEIRA'!_xlnm.Print_Area,2,FALSE)</f>
        <v>#REF!</v>
      </c>
      <c r="D3984" s="1920" t="s">
        <v>1514</v>
      </c>
      <c r="E3984" s="1921"/>
      <c r="F3984" s="1922"/>
      <c r="G3984" s="1923" t="s">
        <v>1515</v>
      </c>
      <c r="H3984" s="1924"/>
      <c r="I3984" s="1925"/>
      <c r="J3984" s="1915"/>
      <c r="K3984" s="1915"/>
      <c r="L3984" s="1915"/>
      <c r="M3984" s="1915"/>
      <c r="N3984" s="1915"/>
      <c r="O3984" s="1915"/>
      <c r="P3984" s="353" t="s">
        <v>1516</v>
      </c>
      <c r="Q3984" s="1915"/>
      <c r="R3984" s="1917"/>
      <c r="S3984" s="1915"/>
      <c r="T3984" s="1915"/>
      <c r="U3984" s="1919"/>
      <c r="V3984" s="1418">
        <f t="shared" si="401"/>
        <v>0</v>
      </c>
      <c r="W3984" s="16"/>
      <c r="X3984" s="16"/>
      <c r="Y3984" s="16"/>
      <c r="Z3984" s="17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</row>
    <row r="3985" spans="1:36" s="361" customFormat="1" ht="45" hidden="1">
      <c r="A3985" s="354"/>
      <c r="B3985" s="355"/>
      <c r="C3985" s="32" t="s">
        <v>1358</v>
      </c>
      <c r="D3985" s="33"/>
      <c r="E3985" s="34"/>
      <c r="F3985" s="35"/>
      <c r="G3985" s="33"/>
      <c r="H3985" s="34"/>
      <c r="I3985" s="35"/>
      <c r="J3985" s="43"/>
      <c r="K3985" s="42"/>
      <c r="L3985" s="39"/>
      <c r="M3985" s="41"/>
      <c r="N3985" s="356"/>
      <c r="O3985" s="40"/>
      <c r="P3985" s="39"/>
      <c r="Q3985" s="45"/>
      <c r="R3985" s="1359">
        <v>1</v>
      </c>
      <c r="S3985" s="1265" t="s">
        <v>816</v>
      </c>
      <c r="T3985" s="46" t="s">
        <v>328</v>
      </c>
      <c r="U3985" s="44"/>
      <c r="V3985" s="1418">
        <f t="shared" si="401"/>
        <v>0</v>
      </c>
      <c r="W3985" s="357"/>
      <c r="X3985" s="357"/>
      <c r="Y3985" s="357"/>
      <c r="Z3985" s="358"/>
      <c r="AA3985" s="359"/>
      <c r="AB3985" s="360"/>
    </row>
    <row r="3986" spans="1:36" s="361" customFormat="1" ht="15" hidden="1" customHeight="1">
      <c r="A3986" s="354"/>
      <c r="B3986" s="355"/>
      <c r="C3986" s="32"/>
      <c r="D3986" s="33"/>
      <c r="E3986" s="34"/>
      <c r="F3986" s="35"/>
      <c r="G3986" s="33"/>
      <c r="H3986" s="34"/>
      <c r="I3986" s="35"/>
      <c r="J3986" s="43"/>
      <c r="K3986" s="42"/>
      <c r="L3986" s="39"/>
      <c r="M3986" s="41"/>
      <c r="N3986" s="356"/>
      <c r="O3986" s="40"/>
      <c r="P3986" s="39"/>
      <c r="Q3986" s="45"/>
      <c r="R3986" s="362"/>
      <c r="S3986" s="363"/>
      <c r="T3986" s="46"/>
      <c r="U3986" s="44"/>
      <c r="V3986" s="1418">
        <f t="shared" si="401"/>
        <v>0</v>
      </c>
      <c r="W3986" s="357"/>
      <c r="X3986" s="357"/>
      <c r="Y3986" s="357"/>
      <c r="Z3986" s="358"/>
      <c r="AA3986" s="359"/>
      <c r="AB3986" s="360"/>
    </row>
    <row r="3987" spans="1:36" s="369" customFormat="1" ht="15" hidden="1">
      <c r="A3987" s="364"/>
      <c r="B3987" s="355"/>
      <c r="C3987" s="32"/>
      <c r="D3987" s="33"/>
      <c r="E3987" s="34"/>
      <c r="F3987" s="35"/>
      <c r="G3987" s="33"/>
      <c r="H3987" s="34"/>
      <c r="I3987" s="35"/>
      <c r="J3987" s="43"/>
      <c r="K3987" s="42"/>
      <c r="L3987" s="39"/>
      <c r="M3987" s="41"/>
      <c r="N3987" s="40"/>
      <c r="O3987" s="40"/>
      <c r="P3987" s="39"/>
      <c r="Q3987" s="38"/>
      <c r="R3987" s="365"/>
      <c r="S3987" s="366"/>
      <c r="T3987" s="46"/>
      <c r="U3987" s="44"/>
      <c r="V3987" s="1418">
        <f t="shared" si="401"/>
        <v>0</v>
      </c>
      <c r="W3987" s="367"/>
      <c r="X3987" s="367"/>
      <c r="Y3987" s="367"/>
      <c r="Z3987" s="368"/>
    </row>
    <row r="3988" spans="1:36" s="77" customFormat="1" ht="15" hidden="1">
      <c r="A3988" s="370"/>
      <c r="B3988" s="29"/>
      <c r="C3988" s="30"/>
      <c r="D3988" s="18"/>
      <c r="E3988" s="19"/>
      <c r="F3988" s="20"/>
      <c r="G3988" s="18"/>
      <c r="H3988" s="19"/>
      <c r="I3988" s="20"/>
      <c r="J3988" s="21"/>
      <c r="K3988" s="22"/>
      <c r="L3988" s="23"/>
      <c r="M3988" s="24"/>
      <c r="N3988" s="25"/>
      <c r="O3988" s="25"/>
      <c r="P3988" s="23"/>
      <c r="Q3988" s="26"/>
      <c r="R3988" s="371"/>
      <c r="S3988" s="27"/>
      <c r="T3988" s="372"/>
      <c r="U3988" s="31"/>
      <c r="V3988" s="1418">
        <f t="shared" si="401"/>
        <v>0</v>
      </c>
      <c r="AB3988" s="15"/>
    </row>
    <row r="3989" spans="1:36" s="77" customFormat="1" ht="15.6" hidden="1">
      <c r="A3989" s="370"/>
      <c r="B3989" s="499"/>
      <c r="C3989" s="37"/>
      <c r="D3989" s="1929" t="s">
        <v>1520</v>
      </c>
      <c r="E3989" s="1930"/>
      <c r="F3989" s="1930"/>
      <c r="G3989" s="1930"/>
      <c r="H3989" s="1930"/>
      <c r="I3989" s="1931"/>
      <c r="J3989" s="1932">
        <f>VLOOKUP(A3991,'11 - FINANCEIRA'!_xlnm.Print_Area,6,FALSE)</f>
        <v>1</v>
      </c>
      <c r="K3989" s="1933"/>
      <c r="L3989" s="1343" t="str">
        <f>VLOOKUP(A3991,'11 - FINANCEIRA'!_xlnm.Print_Area,4,FALSE)</f>
        <v>und</v>
      </c>
      <c r="M3989" s="1934" t="s">
        <v>1521</v>
      </c>
      <c r="N3989" s="1935"/>
      <c r="O3989" s="1935"/>
      <c r="P3989" s="1935"/>
      <c r="Q3989" s="1936"/>
      <c r="R3989" s="726">
        <f>SUM(R3985:R3988)</f>
        <v>1</v>
      </c>
      <c r="S3989" s="1344" t="str">
        <f>L3989</f>
        <v>und</v>
      </c>
      <c r="T3989" s="373"/>
      <c r="U3989" s="486"/>
      <c r="V3989" s="1418">
        <f t="shared" si="401"/>
        <v>0</v>
      </c>
      <c r="AB3989" s="15"/>
    </row>
    <row r="3990" spans="1:36" s="77" customFormat="1" ht="15.6" hidden="1">
      <c r="A3990" s="370"/>
      <c r="B3990" s="499"/>
      <c r="C3990" s="725"/>
      <c r="D3990" s="1937" t="s">
        <v>1522</v>
      </c>
      <c r="E3990" s="1938"/>
      <c r="F3990" s="1938"/>
      <c r="G3990" s="1938"/>
      <c r="H3990" s="1938"/>
      <c r="I3990" s="1939"/>
      <c r="J3990" s="1943">
        <f>R3989/J3989</f>
        <v>1</v>
      </c>
      <c r="K3990" s="1944"/>
      <c r="L3990" s="1947"/>
      <c r="M3990" s="1934" t="s">
        <v>1523</v>
      </c>
      <c r="N3990" s="1935"/>
      <c r="O3990" s="1935"/>
      <c r="P3990" s="1935"/>
      <c r="Q3990" s="1936"/>
      <c r="R3990" s="726">
        <f>VLOOKUP(A3991,'11 - FINANCEIRA'!_xlnm.Print_Area,8,FALSE)</f>
        <v>1</v>
      </c>
      <c r="S3990" s="727" t="str">
        <f>L3989</f>
        <v>und</v>
      </c>
      <c r="T3990" s="373"/>
      <c r="U3990" s="486"/>
      <c r="V3990" s="1418">
        <f t="shared" si="401"/>
        <v>0</v>
      </c>
      <c r="AB3990" s="15"/>
    </row>
    <row r="3991" spans="1:36" s="77" customFormat="1" ht="15.6" hidden="1">
      <c r="A3991" s="364" t="s">
        <v>714</v>
      </c>
      <c r="B3991" s="499"/>
      <c r="C3991" s="37"/>
      <c r="D3991" s="2013"/>
      <c r="E3991" s="2014"/>
      <c r="F3991" s="2014"/>
      <c r="G3991" s="2014"/>
      <c r="H3991" s="2014"/>
      <c r="I3991" s="2015"/>
      <c r="J3991" s="2016"/>
      <c r="K3991" s="2017"/>
      <c r="L3991" s="1962"/>
      <c r="M3991" s="2007" t="s">
        <v>1524</v>
      </c>
      <c r="N3991" s="2008"/>
      <c r="O3991" s="2008"/>
      <c r="P3991" s="2008"/>
      <c r="Q3991" s="2009"/>
      <c r="R3991" s="1345">
        <f>R3989-R3990</f>
        <v>0</v>
      </c>
      <c r="S3991" s="1346" t="str">
        <f>L3989</f>
        <v>und</v>
      </c>
      <c r="T3991" s="373"/>
      <c r="U3991" s="486"/>
      <c r="V3991" s="1418">
        <f>R3991</f>
        <v>0</v>
      </c>
      <c r="AB3991" s="15"/>
    </row>
    <row r="3992" spans="1:36" s="77" customFormat="1" ht="15.6" hidden="1">
      <c r="A3992" s="370"/>
      <c r="B3992" s="1347"/>
      <c r="C3992" s="1348"/>
      <c r="D3992" s="1349"/>
      <c r="E3992" s="1350"/>
      <c r="F3992" s="1349"/>
      <c r="G3992" s="1349"/>
      <c r="H3992" s="1349"/>
      <c r="I3992" s="1349"/>
      <c r="J3992" s="1351"/>
      <c r="K3992" s="1352"/>
      <c r="L3992" s="1353"/>
      <c r="M3992" s="1354"/>
      <c r="N3992" s="1354"/>
      <c r="O3992" s="1354"/>
      <c r="P3992" s="1354"/>
      <c r="Q3992" s="1354"/>
      <c r="R3992" s="1355"/>
      <c r="S3992" s="1356"/>
      <c r="T3992" s="1357"/>
      <c r="U3992" s="1358"/>
      <c r="V3992" s="1420">
        <f>SUM(V3983:V3991)</f>
        <v>0</v>
      </c>
      <c r="AB3992" s="15"/>
    </row>
    <row r="3993" spans="1:36" s="352" customFormat="1" ht="15.6" hidden="1">
      <c r="A3993" s="351"/>
      <c r="B3993" s="1963" t="str">
        <f>VLOOKUP(A4001,'11 - FINANCEIRA'!_xlnm.Print_Area,1,FALSE)</f>
        <v>2.5.5.20</v>
      </c>
      <c r="C3993" s="1965" t="str">
        <f>VLOOKUP(A4001,'11 - FINANCEIRA'!_xlnm.Print_Area,3,FALSE)</f>
        <v>Patch panel 24 portas, categoria 6 - fornecimento e instalação. af_11/2019</v>
      </c>
      <c r="D3993" s="1967" t="s">
        <v>1503</v>
      </c>
      <c r="E3993" s="1968"/>
      <c r="F3993" s="1968"/>
      <c r="G3993" s="1968"/>
      <c r="H3993" s="1968"/>
      <c r="I3993" s="1969"/>
      <c r="J3993" s="1914" t="s">
        <v>1504</v>
      </c>
      <c r="K3993" s="1914" t="s">
        <v>1505</v>
      </c>
      <c r="L3993" s="1914" t="s">
        <v>1506</v>
      </c>
      <c r="M3993" s="1914" t="s">
        <v>1507</v>
      </c>
      <c r="N3993" s="1914" t="s">
        <v>1508</v>
      </c>
      <c r="O3993" s="1914" t="s">
        <v>1509</v>
      </c>
      <c r="P3993" s="1341" t="s">
        <v>1510</v>
      </c>
      <c r="Q3993" s="1914" t="s">
        <v>1493</v>
      </c>
      <c r="R3993" s="1916" t="s">
        <v>804</v>
      </c>
      <c r="S3993" s="1914" t="s">
        <v>1511</v>
      </c>
      <c r="T3993" s="1914" t="s">
        <v>1512</v>
      </c>
      <c r="U3993" s="1918" t="s">
        <v>1513</v>
      </c>
      <c r="V3993" s="1418">
        <f t="shared" ref="V3993:V4000" si="402">V3994</f>
        <v>0</v>
      </c>
      <c r="W3993" s="16"/>
      <c r="X3993" s="16"/>
      <c r="Y3993" s="16"/>
      <c r="Z3993" s="17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</row>
    <row r="3994" spans="1:36" s="352" customFormat="1" ht="15.6" hidden="1">
      <c r="A3994" s="351"/>
      <c r="B3994" s="1964" t="e">
        <f>LEFT(#REF!,5)</f>
        <v>#REF!</v>
      </c>
      <c r="C3994" s="1966" t="e">
        <f>VLOOKUP(LEFT(#REF!,5),'11 - FINANCEIRA'!_xlnm.Print_Area,2,FALSE)</f>
        <v>#REF!</v>
      </c>
      <c r="D3994" s="1920" t="s">
        <v>1514</v>
      </c>
      <c r="E3994" s="1921"/>
      <c r="F3994" s="1922"/>
      <c r="G3994" s="1923" t="s">
        <v>1515</v>
      </c>
      <c r="H3994" s="1924"/>
      <c r="I3994" s="1925"/>
      <c r="J3994" s="1915"/>
      <c r="K3994" s="1915"/>
      <c r="L3994" s="1915"/>
      <c r="M3994" s="1915"/>
      <c r="N3994" s="1915"/>
      <c r="O3994" s="1915"/>
      <c r="P3994" s="353" t="s">
        <v>1516</v>
      </c>
      <c r="Q3994" s="1915"/>
      <c r="R3994" s="1917"/>
      <c r="S3994" s="1915"/>
      <c r="T3994" s="1915"/>
      <c r="U3994" s="1919"/>
      <c r="V3994" s="1418">
        <f t="shared" si="402"/>
        <v>0</v>
      </c>
      <c r="W3994" s="16"/>
      <c r="X3994" s="16"/>
      <c r="Y3994" s="16"/>
      <c r="Z3994" s="17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</row>
    <row r="3995" spans="1:36" s="361" customFormat="1" ht="15" hidden="1">
      <c r="A3995" s="354"/>
      <c r="B3995" s="355"/>
      <c r="C3995" s="32" t="s">
        <v>1360</v>
      </c>
      <c r="D3995" s="33"/>
      <c r="E3995" s="34"/>
      <c r="F3995" s="35"/>
      <c r="G3995" s="33"/>
      <c r="H3995" s="34"/>
      <c r="I3995" s="35"/>
      <c r="J3995" s="43"/>
      <c r="K3995" s="42"/>
      <c r="L3995" s="39"/>
      <c r="M3995" s="41"/>
      <c r="N3995" s="356"/>
      <c r="O3995" s="40"/>
      <c r="P3995" s="39"/>
      <c r="Q3995" s="45"/>
      <c r="R3995" s="1359">
        <v>2</v>
      </c>
      <c r="S3995" s="1265" t="s">
        <v>816</v>
      </c>
      <c r="T3995" s="46" t="s">
        <v>328</v>
      </c>
      <c r="U3995" s="44"/>
      <c r="V3995" s="1418">
        <f t="shared" si="402"/>
        <v>0</v>
      </c>
      <c r="W3995" s="357"/>
      <c r="X3995" s="357"/>
      <c r="Y3995" s="357"/>
      <c r="Z3995" s="358"/>
      <c r="AA3995" s="359"/>
      <c r="AB3995" s="360"/>
    </row>
    <row r="3996" spans="1:36" s="361" customFormat="1" ht="15" hidden="1" customHeight="1">
      <c r="A3996" s="354"/>
      <c r="B3996" s="355"/>
      <c r="C3996" s="32"/>
      <c r="D3996" s="33"/>
      <c r="E3996" s="34"/>
      <c r="F3996" s="35"/>
      <c r="G3996" s="33"/>
      <c r="H3996" s="34"/>
      <c r="I3996" s="35"/>
      <c r="J3996" s="43"/>
      <c r="K3996" s="42"/>
      <c r="L3996" s="39"/>
      <c r="M3996" s="41"/>
      <c r="N3996" s="356"/>
      <c r="O3996" s="40"/>
      <c r="P3996" s="39"/>
      <c r="Q3996" s="45"/>
      <c r="R3996" s="362"/>
      <c r="S3996" s="363"/>
      <c r="T3996" s="46"/>
      <c r="U3996" s="44"/>
      <c r="V3996" s="1418">
        <f t="shared" si="402"/>
        <v>0</v>
      </c>
      <c r="W3996" s="357"/>
      <c r="X3996" s="357"/>
      <c r="Y3996" s="357"/>
      <c r="Z3996" s="358"/>
      <c r="AA3996" s="359"/>
      <c r="AB3996" s="360"/>
    </row>
    <row r="3997" spans="1:36" s="369" customFormat="1" ht="15" hidden="1">
      <c r="A3997" s="364"/>
      <c r="B3997" s="355"/>
      <c r="C3997" s="32"/>
      <c r="D3997" s="33"/>
      <c r="E3997" s="34"/>
      <c r="F3997" s="35"/>
      <c r="G3997" s="33"/>
      <c r="H3997" s="34"/>
      <c r="I3997" s="35"/>
      <c r="J3997" s="43"/>
      <c r="K3997" s="42"/>
      <c r="L3997" s="39"/>
      <c r="M3997" s="41"/>
      <c r="N3997" s="40"/>
      <c r="O3997" s="40"/>
      <c r="P3997" s="39"/>
      <c r="Q3997" s="38"/>
      <c r="R3997" s="365"/>
      <c r="S3997" s="366"/>
      <c r="T3997" s="46"/>
      <c r="U3997" s="44"/>
      <c r="V3997" s="1418">
        <f t="shared" si="402"/>
        <v>0</v>
      </c>
      <c r="W3997" s="367"/>
      <c r="X3997" s="367"/>
      <c r="Y3997" s="367"/>
      <c r="Z3997" s="368"/>
    </row>
    <row r="3998" spans="1:36" s="77" customFormat="1" ht="15" hidden="1">
      <c r="A3998" s="370"/>
      <c r="B3998" s="29"/>
      <c r="C3998" s="30"/>
      <c r="D3998" s="18"/>
      <c r="E3998" s="19"/>
      <c r="F3998" s="20"/>
      <c r="G3998" s="18"/>
      <c r="H3998" s="19"/>
      <c r="I3998" s="20"/>
      <c r="J3998" s="21"/>
      <c r="K3998" s="22"/>
      <c r="L3998" s="23"/>
      <c r="M3998" s="24"/>
      <c r="N3998" s="25"/>
      <c r="O3998" s="25"/>
      <c r="P3998" s="23"/>
      <c r="Q3998" s="26"/>
      <c r="R3998" s="371"/>
      <c r="S3998" s="27"/>
      <c r="T3998" s="372"/>
      <c r="U3998" s="31"/>
      <c r="V3998" s="1418">
        <f t="shared" si="402"/>
        <v>0</v>
      </c>
      <c r="AB3998" s="15"/>
    </row>
    <row r="3999" spans="1:36" s="77" customFormat="1" ht="15.6" hidden="1">
      <c r="A3999" s="370"/>
      <c r="B3999" s="499"/>
      <c r="C3999" s="37"/>
      <c r="D3999" s="1929" t="s">
        <v>1520</v>
      </c>
      <c r="E3999" s="1930"/>
      <c r="F3999" s="1930"/>
      <c r="G3999" s="1930"/>
      <c r="H3999" s="1930"/>
      <c r="I3999" s="1931"/>
      <c r="J3999" s="1932">
        <f>VLOOKUP(A4001,'11 - FINANCEIRA'!_xlnm.Print_Area,6,FALSE)</f>
        <v>2</v>
      </c>
      <c r="K3999" s="1933"/>
      <c r="L3999" s="1343" t="str">
        <f>VLOOKUP(A4001,'11 - FINANCEIRA'!_xlnm.Print_Area,4,FALSE)</f>
        <v>und</v>
      </c>
      <c r="M3999" s="1934" t="s">
        <v>1521</v>
      </c>
      <c r="N3999" s="1935"/>
      <c r="O3999" s="1935"/>
      <c r="P3999" s="1935"/>
      <c r="Q3999" s="1936"/>
      <c r="R3999" s="726">
        <f>SUM(R3995:R3998)</f>
        <v>2</v>
      </c>
      <c r="S3999" s="1344" t="str">
        <f>L3999</f>
        <v>und</v>
      </c>
      <c r="T3999" s="373"/>
      <c r="U3999" s="486"/>
      <c r="V3999" s="1418">
        <f t="shared" si="402"/>
        <v>0</v>
      </c>
      <c r="AB3999" s="15"/>
    </row>
    <row r="4000" spans="1:36" s="77" customFormat="1" ht="15.6" hidden="1">
      <c r="A4000" s="370"/>
      <c r="B4000" s="499"/>
      <c r="C4000" s="725"/>
      <c r="D4000" s="1937" t="s">
        <v>1522</v>
      </c>
      <c r="E4000" s="1938"/>
      <c r="F4000" s="1938"/>
      <c r="G4000" s="1938"/>
      <c r="H4000" s="1938"/>
      <c r="I4000" s="1939"/>
      <c r="J4000" s="1943">
        <f>R3999/J3999</f>
        <v>1</v>
      </c>
      <c r="K4000" s="1944"/>
      <c r="L4000" s="1947"/>
      <c r="M4000" s="1934" t="s">
        <v>1523</v>
      </c>
      <c r="N4000" s="1935"/>
      <c r="O4000" s="1935"/>
      <c r="P4000" s="1935"/>
      <c r="Q4000" s="1936"/>
      <c r="R4000" s="726">
        <f>VLOOKUP(A4001,'11 - FINANCEIRA'!_xlnm.Print_Area,8,FALSE)</f>
        <v>2</v>
      </c>
      <c r="S4000" s="727" t="str">
        <f>L3999</f>
        <v>und</v>
      </c>
      <c r="T4000" s="373"/>
      <c r="U4000" s="486"/>
      <c r="V4000" s="1418">
        <f t="shared" si="402"/>
        <v>0</v>
      </c>
      <c r="AB4000" s="15"/>
    </row>
    <row r="4001" spans="1:36" s="77" customFormat="1" ht="15.6" hidden="1">
      <c r="A4001" s="364" t="s">
        <v>715</v>
      </c>
      <c r="B4001" s="499"/>
      <c r="C4001" s="37"/>
      <c r="D4001" s="2013"/>
      <c r="E4001" s="2014"/>
      <c r="F4001" s="2014"/>
      <c r="G4001" s="2014"/>
      <c r="H4001" s="2014"/>
      <c r="I4001" s="2015"/>
      <c r="J4001" s="2016"/>
      <c r="K4001" s="2017"/>
      <c r="L4001" s="1962"/>
      <c r="M4001" s="2007" t="s">
        <v>1524</v>
      </c>
      <c r="N4001" s="2008"/>
      <c r="O4001" s="2008"/>
      <c r="P4001" s="2008"/>
      <c r="Q4001" s="2009"/>
      <c r="R4001" s="1345">
        <f>R3999-R4000</f>
        <v>0</v>
      </c>
      <c r="S4001" s="1346" t="str">
        <f>L3999</f>
        <v>und</v>
      </c>
      <c r="T4001" s="373"/>
      <c r="U4001" s="486"/>
      <c r="V4001" s="1418">
        <f>R4001</f>
        <v>0</v>
      </c>
      <c r="AB4001" s="15"/>
    </row>
    <row r="4002" spans="1:36" s="77" customFormat="1" ht="15.6" hidden="1">
      <c r="A4002" s="370"/>
      <c r="B4002" s="1347"/>
      <c r="C4002" s="1348"/>
      <c r="D4002" s="1349"/>
      <c r="E4002" s="1350"/>
      <c r="F4002" s="1349"/>
      <c r="G4002" s="1349"/>
      <c r="H4002" s="1349"/>
      <c r="I4002" s="1349"/>
      <c r="J4002" s="1351"/>
      <c r="K4002" s="1352"/>
      <c r="L4002" s="1353"/>
      <c r="M4002" s="1354"/>
      <c r="N4002" s="1354"/>
      <c r="O4002" s="1354"/>
      <c r="P4002" s="1354"/>
      <c r="Q4002" s="1354"/>
      <c r="R4002" s="1355"/>
      <c r="S4002" s="1356"/>
      <c r="T4002" s="1357"/>
      <c r="U4002" s="1358"/>
      <c r="V4002" s="1420">
        <f>SUM(V3993:V4001)</f>
        <v>0</v>
      </c>
      <c r="AB4002" s="15"/>
    </row>
    <row r="4003" spans="1:36" s="352" customFormat="1" ht="15.6" hidden="1">
      <c r="A4003" s="351"/>
      <c r="B4003" s="1963" t="str">
        <f>VLOOKUP(A4011,'11 - FINANCEIRA'!_xlnm.Print_Area,1,FALSE)</f>
        <v>2.5.5.21</v>
      </c>
      <c r="C4003" s="1965" t="str">
        <f>VLOOKUP(A4011,'11 - FINANCEIRA'!_xlnm.Print_Area,3,FALSE)</f>
        <v>Calha de tomadas com filtro para instalação, em rack, com 06 tomadas 2p+t, ref: pial</v>
      </c>
      <c r="D4003" s="1967" t="s">
        <v>1503</v>
      </c>
      <c r="E4003" s="1968"/>
      <c r="F4003" s="1968"/>
      <c r="G4003" s="1968"/>
      <c r="H4003" s="1968"/>
      <c r="I4003" s="1969"/>
      <c r="J4003" s="1914" t="s">
        <v>1504</v>
      </c>
      <c r="K4003" s="1914" t="s">
        <v>1505</v>
      </c>
      <c r="L4003" s="1914" t="s">
        <v>1506</v>
      </c>
      <c r="M4003" s="1914" t="s">
        <v>1507</v>
      </c>
      <c r="N4003" s="1914" t="s">
        <v>1508</v>
      </c>
      <c r="O4003" s="1914" t="s">
        <v>1509</v>
      </c>
      <c r="P4003" s="1341" t="s">
        <v>1510</v>
      </c>
      <c r="Q4003" s="1914" t="s">
        <v>1493</v>
      </c>
      <c r="R4003" s="1916" t="s">
        <v>804</v>
      </c>
      <c r="S4003" s="1914" t="s">
        <v>1511</v>
      </c>
      <c r="T4003" s="1914" t="s">
        <v>1512</v>
      </c>
      <c r="U4003" s="1918" t="s">
        <v>1513</v>
      </c>
      <c r="V4003" s="1418">
        <f t="shared" ref="V4003:V4010" si="403">V4004</f>
        <v>0</v>
      </c>
      <c r="W4003" s="16"/>
      <c r="X4003" s="16"/>
      <c r="Y4003" s="16"/>
      <c r="Z4003" s="17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</row>
    <row r="4004" spans="1:36" s="352" customFormat="1" ht="15.6" hidden="1">
      <c r="A4004" s="351"/>
      <c r="B4004" s="1964" t="e">
        <f>LEFT(#REF!,5)</f>
        <v>#REF!</v>
      </c>
      <c r="C4004" s="1966" t="e">
        <f>VLOOKUP(LEFT(#REF!,5),'11 - FINANCEIRA'!_xlnm.Print_Area,2,FALSE)</f>
        <v>#REF!</v>
      </c>
      <c r="D4004" s="1920" t="s">
        <v>1514</v>
      </c>
      <c r="E4004" s="1921"/>
      <c r="F4004" s="1922"/>
      <c r="G4004" s="1923" t="s">
        <v>1515</v>
      </c>
      <c r="H4004" s="1924"/>
      <c r="I4004" s="1925"/>
      <c r="J4004" s="1915"/>
      <c r="K4004" s="1915"/>
      <c r="L4004" s="1915"/>
      <c r="M4004" s="1915"/>
      <c r="N4004" s="1915"/>
      <c r="O4004" s="1915"/>
      <c r="P4004" s="353" t="s">
        <v>1516</v>
      </c>
      <c r="Q4004" s="1915"/>
      <c r="R4004" s="1917"/>
      <c r="S4004" s="1915"/>
      <c r="T4004" s="1915"/>
      <c r="U4004" s="1919"/>
      <c r="V4004" s="1418">
        <f t="shared" si="403"/>
        <v>0</v>
      </c>
      <c r="W4004" s="16"/>
      <c r="X4004" s="16"/>
      <c r="Y4004" s="16"/>
      <c r="Z4004" s="17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</row>
    <row r="4005" spans="1:36" s="361" customFormat="1" ht="15" hidden="1">
      <c r="A4005" s="354"/>
      <c r="B4005" s="355"/>
      <c r="C4005" s="32" t="s">
        <v>1362</v>
      </c>
      <c r="D4005" s="33"/>
      <c r="E4005" s="34"/>
      <c r="F4005" s="35"/>
      <c r="G4005" s="33"/>
      <c r="H4005" s="34"/>
      <c r="I4005" s="35"/>
      <c r="J4005" s="43"/>
      <c r="K4005" s="42"/>
      <c r="L4005" s="39"/>
      <c r="M4005" s="41"/>
      <c r="N4005" s="356"/>
      <c r="O4005" s="40"/>
      <c r="P4005" s="39"/>
      <c r="Q4005" s="45"/>
      <c r="R4005" s="1359">
        <v>2</v>
      </c>
      <c r="S4005" s="1265" t="s">
        <v>816</v>
      </c>
      <c r="T4005" s="46" t="s">
        <v>328</v>
      </c>
      <c r="U4005" s="44"/>
      <c r="V4005" s="1418">
        <f t="shared" si="403"/>
        <v>0</v>
      </c>
      <c r="W4005" s="357"/>
      <c r="X4005" s="357"/>
      <c r="Y4005" s="357"/>
      <c r="Z4005" s="358"/>
      <c r="AA4005" s="359"/>
      <c r="AB4005" s="360"/>
    </row>
    <row r="4006" spans="1:36" s="361" customFormat="1" ht="15" hidden="1" customHeight="1">
      <c r="A4006" s="354"/>
      <c r="B4006" s="355"/>
      <c r="C4006" s="32"/>
      <c r="D4006" s="33"/>
      <c r="E4006" s="34"/>
      <c r="F4006" s="35"/>
      <c r="G4006" s="33"/>
      <c r="H4006" s="34"/>
      <c r="I4006" s="35"/>
      <c r="J4006" s="43"/>
      <c r="K4006" s="42"/>
      <c r="L4006" s="39"/>
      <c r="M4006" s="41"/>
      <c r="N4006" s="356"/>
      <c r="O4006" s="40"/>
      <c r="P4006" s="39"/>
      <c r="Q4006" s="45"/>
      <c r="R4006" s="362"/>
      <c r="S4006" s="363"/>
      <c r="T4006" s="46"/>
      <c r="U4006" s="44"/>
      <c r="V4006" s="1418">
        <f t="shared" si="403"/>
        <v>0</v>
      </c>
      <c r="W4006" s="357"/>
      <c r="X4006" s="357"/>
      <c r="Y4006" s="357"/>
      <c r="Z4006" s="358"/>
      <c r="AA4006" s="359"/>
      <c r="AB4006" s="360"/>
    </row>
    <row r="4007" spans="1:36" s="369" customFormat="1" ht="15" hidden="1">
      <c r="A4007" s="364"/>
      <c r="B4007" s="355"/>
      <c r="C4007" s="32"/>
      <c r="D4007" s="33"/>
      <c r="E4007" s="34"/>
      <c r="F4007" s="35"/>
      <c r="G4007" s="33"/>
      <c r="H4007" s="34"/>
      <c r="I4007" s="35"/>
      <c r="J4007" s="43"/>
      <c r="K4007" s="42"/>
      <c r="L4007" s="39"/>
      <c r="M4007" s="41"/>
      <c r="N4007" s="40"/>
      <c r="O4007" s="40"/>
      <c r="P4007" s="39"/>
      <c r="Q4007" s="38"/>
      <c r="R4007" s="365"/>
      <c r="S4007" s="366"/>
      <c r="T4007" s="46"/>
      <c r="U4007" s="44"/>
      <c r="V4007" s="1418">
        <f t="shared" si="403"/>
        <v>0</v>
      </c>
      <c r="W4007" s="367"/>
      <c r="X4007" s="367"/>
      <c r="Y4007" s="367"/>
      <c r="Z4007" s="368"/>
    </row>
    <row r="4008" spans="1:36" s="77" customFormat="1" ht="15" hidden="1">
      <c r="A4008" s="370"/>
      <c r="B4008" s="29"/>
      <c r="C4008" s="30"/>
      <c r="D4008" s="18"/>
      <c r="E4008" s="19"/>
      <c r="F4008" s="20"/>
      <c r="G4008" s="18"/>
      <c r="H4008" s="19"/>
      <c r="I4008" s="20"/>
      <c r="J4008" s="21"/>
      <c r="K4008" s="22"/>
      <c r="L4008" s="23"/>
      <c r="M4008" s="24"/>
      <c r="N4008" s="25"/>
      <c r="O4008" s="25"/>
      <c r="P4008" s="23"/>
      <c r="Q4008" s="26"/>
      <c r="R4008" s="371"/>
      <c r="S4008" s="27"/>
      <c r="T4008" s="372"/>
      <c r="U4008" s="31"/>
      <c r="V4008" s="1418">
        <f t="shared" si="403"/>
        <v>0</v>
      </c>
      <c r="AB4008" s="15"/>
    </row>
    <row r="4009" spans="1:36" s="77" customFormat="1" ht="15.6" hidden="1">
      <c r="A4009" s="370"/>
      <c r="B4009" s="499"/>
      <c r="C4009" s="37"/>
      <c r="D4009" s="1929" t="s">
        <v>1520</v>
      </c>
      <c r="E4009" s="1930"/>
      <c r="F4009" s="1930"/>
      <c r="G4009" s="1930"/>
      <c r="H4009" s="1930"/>
      <c r="I4009" s="1931"/>
      <c r="J4009" s="1932">
        <f>VLOOKUP(A4011,'11 - FINANCEIRA'!_xlnm.Print_Area,6,FALSE)</f>
        <v>2</v>
      </c>
      <c r="K4009" s="1933"/>
      <c r="L4009" s="1343" t="str">
        <f>VLOOKUP(A4011,'11 - FINANCEIRA'!_xlnm.Print_Area,4,FALSE)</f>
        <v>und</v>
      </c>
      <c r="M4009" s="1934" t="s">
        <v>1521</v>
      </c>
      <c r="N4009" s="1935"/>
      <c r="O4009" s="1935"/>
      <c r="P4009" s="1935"/>
      <c r="Q4009" s="1936"/>
      <c r="R4009" s="726">
        <f>SUM(R4005:R4008)</f>
        <v>2</v>
      </c>
      <c r="S4009" s="1344" t="str">
        <f>L4009</f>
        <v>und</v>
      </c>
      <c r="T4009" s="373"/>
      <c r="U4009" s="486"/>
      <c r="V4009" s="1418">
        <f t="shared" si="403"/>
        <v>0</v>
      </c>
      <c r="AB4009" s="15"/>
    </row>
    <row r="4010" spans="1:36" s="77" customFormat="1" ht="15.6" hidden="1">
      <c r="A4010" s="370"/>
      <c r="B4010" s="499"/>
      <c r="C4010" s="725"/>
      <c r="D4010" s="1937" t="s">
        <v>1522</v>
      </c>
      <c r="E4010" s="1938"/>
      <c r="F4010" s="1938"/>
      <c r="G4010" s="1938"/>
      <c r="H4010" s="1938"/>
      <c r="I4010" s="1939"/>
      <c r="J4010" s="1943">
        <f>R4009/J4009</f>
        <v>1</v>
      </c>
      <c r="K4010" s="1944"/>
      <c r="L4010" s="1947"/>
      <c r="M4010" s="1934" t="s">
        <v>1523</v>
      </c>
      <c r="N4010" s="1935"/>
      <c r="O4010" s="1935"/>
      <c r="P4010" s="1935"/>
      <c r="Q4010" s="1936"/>
      <c r="R4010" s="726">
        <f>VLOOKUP(A4011,'11 - FINANCEIRA'!_xlnm.Print_Area,8,FALSE)</f>
        <v>2</v>
      </c>
      <c r="S4010" s="727" t="str">
        <f>L4009</f>
        <v>und</v>
      </c>
      <c r="T4010" s="373"/>
      <c r="U4010" s="486"/>
      <c r="V4010" s="1418">
        <f t="shared" si="403"/>
        <v>0</v>
      </c>
      <c r="AB4010" s="15"/>
    </row>
    <row r="4011" spans="1:36" s="77" customFormat="1" ht="15.6" hidden="1">
      <c r="A4011" s="364" t="s">
        <v>716</v>
      </c>
      <c r="B4011" s="499"/>
      <c r="C4011" s="37"/>
      <c r="D4011" s="2013"/>
      <c r="E4011" s="2014"/>
      <c r="F4011" s="2014"/>
      <c r="G4011" s="2014"/>
      <c r="H4011" s="2014"/>
      <c r="I4011" s="2015"/>
      <c r="J4011" s="2016"/>
      <c r="K4011" s="2017"/>
      <c r="L4011" s="1962"/>
      <c r="M4011" s="2007" t="s">
        <v>1524</v>
      </c>
      <c r="N4011" s="2008"/>
      <c r="O4011" s="2008"/>
      <c r="P4011" s="2008"/>
      <c r="Q4011" s="2009"/>
      <c r="R4011" s="1345">
        <f>R4009-R4010</f>
        <v>0</v>
      </c>
      <c r="S4011" s="1346" t="str">
        <f>L4009</f>
        <v>und</v>
      </c>
      <c r="T4011" s="373"/>
      <c r="U4011" s="486"/>
      <c r="V4011" s="1418">
        <f>R4011</f>
        <v>0</v>
      </c>
      <c r="AB4011" s="15"/>
    </row>
    <row r="4012" spans="1:36" s="77" customFormat="1" ht="15.6" hidden="1">
      <c r="A4012" s="370"/>
      <c r="B4012" s="1347"/>
      <c r="C4012" s="1348"/>
      <c r="D4012" s="1349"/>
      <c r="E4012" s="1350"/>
      <c r="F4012" s="1349"/>
      <c r="G4012" s="1349"/>
      <c r="H4012" s="1349"/>
      <c r="I4012" s="1349"/>
      <c r="J4012" s="1351"/>
      <c r="K4012" s="1352"/>
      <c r="L4012" s="1353"/>
      <c r="M4012" s="1354"/>
      <c r="N4012" s="1354"/>
      <c r="O4012" s="1354"/>
      <c r="P4012" s="1354"/>
      <c r="Q4012" s="1354"/>
      <c r="R4012" s="1355"/>
      <c r="S4012" s="1356"/>
      <c r="T4012" s="1357"/>
      <c r="U4012" s="1358"/>
      <c r="V4012" s="1420">
        <f>SUM(V4003:V4011)</f>
        <v>0</v>
      </c>
      <c r="AB4012" s="15"/>
    </row>
    <row r="4013" spans="1:36" s="352" customFormat="1" ht="15.6" hidden="1" customHeight="1">
      <c r="A4013" s="351"/>
      <c r="B4013" s="1963" t="str">
        <f>VLOOKUP(A4021,'11 - FINANCEIRA'!_xlnm.Print_Area,1,FALSE)</f>
        <v>2.5.5.22</v>
      </c>
      <c r="C4013" s="1965" t="str">
        <f>VLOOKUP(A4021,'11 - FINANCEIRA'!_xlnm.Print_Area,3,FALSE)</f>
        <v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v>
      </c>
      <c r="D4013" s="1967" t="s">
        <v>1503</v>
      </c>
      <c r="E4013" s="1968"/>
      <c r="F4013" s="1968"/>
      <c r="G4013" s="1968"/>
      <c r="H4013" s="1968"/>
      <c r="I4013" s="1969"/>
      <c r="J4013" s="1914" t="s">
        <v>1504</v>
      </c>
      <c r="K4013" s="1914" t="s">
        <v>1505</v>
      </c>
      <c r="L4013" s="1914" t="s">
        <v>1506</v>
      </c>
      <c r="M4013" s="1914" t="s">
        <v>1507</v>
      </c>
      <c r="N4013" s="1914" t="s">
        <v>1508</v>
      </c>
      <c r="O4013" s="1914" t="s">
        <v>1509</v>
      </c>
      <c r="P4013" s="1341" t="s">
        <v>1510</v>
      </c>
      <c r="Q4013" s="1914" t="s">
        <v>1493</v>
      </c>
      <c r="R4013" s="1916" t="s">
        <v>804</v>
      </c>
      <c r="S4013" s="1914" t="s">
        <v>1511</v>
      </c>
      <c r="T4013" s="1914" t="s">
        <v>1512</v>
      </c>
      <c r="U4013" s="1918" t="s">
        <v>1513</v>
      </c>
      <c r="V4013" s="1418">
        <f t="shared" ref="V4013:V4020" si="404">V4014</f>
        <v>0</v>
      </c>
      <c r="W4013" s="16"/>
      <c r="X4013" s="16"/>
      <c r="Y4013" s="16"/>
      <c r="Z4013" s="17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</row>
    <row r="4014" spans="1:36" s="352" customFormat="1" ht="15.6" hidden="1">
      <c r="A4014" s="351"/>
      <c r="B4014" s="1964" t="e">
        <f>LEFT(#REF!,5)</f>
        <v>#REF!</v>
      </c>
      <c r="C4014" s="1966" t="e">
        <f>VLOOKUP(LEFT(#REF!,5),'11 - FINANCEIRA'!_xlnm.Print_Area,2,FALSE)</f>
        <v>#REF!</v>
      </c>
      <c r="D4014" s="1920" t="s">
        <v>1514</v>
      </c>
      <c r="E4014" s="1921"/>
      <c r="F4014" s="1922"/>
      <c r="G4014" s="1923" t="s">
        <v>1515</v>
      </c>
      <c r="H4014" s="1924"/>
      <c r="I4014" s="1925"/>
      <c r="J4014" s="1915"/>
      <c r="K4014" s="1915"/>
      <c r="L4014" s="1915"/>
      <c r="M4014" s="1915"/>
      <c r="N4014" s="1915"/>
      <c r="O4014" s="1915"/>
      <c r="P4014" s="353" t="s">
        <v>1516</v>
      </c>
      <c r="Q4014" s="1915"/>
      <c r="R4014" s="1917"/>
      <c r="S4014" s="1915"/>
      <c r="T4014" s="1915"/>
      <c r="U4014" s="1919"/>
      <c r="V4014" s="1418">
        <f t="shared" si="404"/>
        <v>0</v>
      </c>
      <c r="W4014" s="16"/>
      <c r="X4014" s="16"/>
      <c r="Y4014" s="16"/>
      <c r="Z4014" s="17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</row>
    <row r="4015" spans="1:36" s="361" customFormat="1" ht="45" hidden="1">
      <c r="A4015" s="354"/>
      <c r="B4015" s="355"/>
      <c r="C4015" s="28" t="s">
        <v>1364</v>
      </c>
      <c r="D4015" s="18"/>
      <c r="E4015" s="19"/>
      <c r="F4015" s="20"/>
      <c r="G4015" s="18"/>
      <c r="H4015" s="19"/>
      <c r="I4015" s="20"/>
      <c r="J4015" s="21"/>
      <c r="K4015" s="22"/>
      <c r="L4015" s="23"/>
      <c r="M4015" s="24"/>
      <c r="N4015" s="728"/>
      <c r="O4015" s="25"/>
      <c r="P4015" s="23"/>
      <c r="Q4015" s="729"/>
      <c r="R4015" s="1109">
        <v>2</v>
      </c>
      <c r="S4015" s="730" t="s">
        <v>1365</v>
      </c>
      <c r="T4015" s="446" t="s">
        <v>328</v>
      </c>
      <c r="U4015" s="44"/>
      <c r="V4015" s="1418">
        <f t="shared" si="404"/>
        <v>0</v>
      </c>
      <c r="W4015" s="357"/>
      <c r="X4015" s="357"/>
      <c r="Y4015" s="357"/>
      <c r="Z4015" s="358"/>
      <c r="AA4015" s="359"/>
      <c r="AB4015" s="360"/>
    </row>
    <row r="4016" spans="1:36" s="361" customFormat="1" ht="15" hidden="1" customHeight="1">
      <c r="A4016" s="354"/>
      <c r="B4016" s="355"/>
      <c r="C4016" s="32"/>
      <c r="D4016" s="33"/>
      <c r="E4016" s="34"/>
      <c r="F4016" s="35"/>
      <c r="G4016" s="33"/>
      <c r="H4016" s="34"/>
      <c r="I4016" s="35"/>
      <c r="J4016" s="43"/>
      <c r="K4016" s="42"/>
      <c r="L4016" s="39"/>
      <c r="M4016" s="41"/>
      <c r="N4016" s="356"/>
      <c r="O4016" s="40"/>
      <c r="P4016" s="39"/>
      <c r="Q4016" s="45"/>
      <c r="R4016" s="362"/>
      <c r="S4016" s="363"/>
      <c r="T4016" s="46"/>
      <c r="U4016" s="44"/>
      <c r="V4016" s="1418">
        <f t="shared" si="404"/>
        <v>0</v>
      </c>
      <c r="W4016" s="357"/>
      <c r="X4016" s="357"/>
      <c r="Y4016" s="357"/>
      <c r="Z4016" s="358"/>
      <c r="AA4016" s="359"/>
      <c r="AB4016" s="360"/>
    </row>
    <row r="4017" spans="1:36" s="369" customFormat="1" ht="15" hidden="1">
      <c r="A4017" s="364"/>
      <c r="B4017" s="355"/>
      <c r="C4017" s="32"/>
      <c r="D4017" s="33"/>
      <c r="E4017" s="34"/>
      <c r="F4017" s="35"/>
      <c r="G4017" s="33"/>
      <c r="H4017" s="34"/>
      <c r="I4017" s="35"/>
      <c r="J4017" s="43"/>
      <c r="K4017" s="42"/>
      <c r="L4017" s="39"/>
      <c r="M4017" s="41"/>
      <c r="N4017" s="40"/>
      <c r="O4017" s="40"/>
      <c r="P4017" s="39"/>
      <c r="Q4017" s="38"/>
      <c r="R4017" s="365"/>
      <c r="S4017" s="366"/>
      <c r="T4017" s="46"/>
      <c r="U4017" s="44"/>
      <c r="V4017" s="1418">
        <f t="shared" si="404"/>
        <v>0</v>
      </c>
      <c r="W4017" s="367"/>
      <c r="X4017" s="367"/>
      <c r="Y4017" s="367"/>
      <c r="Z4017" s="368"/>
    </row>
    <row r="4018" spans="1:36" s="77" customFormat="1" ht="15" hidden="1">
      <c r="A4018" s="370"/>
      <c r="B4018" s="29"/>
      <c r="C4018" s="30"/>
      <c r="D4018" s="18"/>
      <c r="E4018" s="19"/>
      <c r="F4018" s="20"/>
      <c r="G4018" s="18"/>
      <c r="H4018" s="19"/>
      <c r="I4018" s="20"/>
      <c r="J4018" s="21"/>
      <c r="K4018" s="22"/>
      <c r="L4018" s="23"/>
      <c r="M4018" s="24"/>
      <c r="N4018" s="25"/>
      <c r="O4018" s="25"/>
      <c r="P4018" s="23"/>
      <c r="Q4018" s="26"/>
      <c r="R4018" s="371"/>
      <c r="S4018" s="27"/>
      <c r="T4018" s="372"/>
      <c r="U4018" s="31"/>
      <c r="V4018" s="1418">
        <f t="shared" si="404"/>
        <v>0</v>
      </c>
      <c r="AB4018" s="15"/>
    </row>
    <row r="4019" spans="1:36" s="77" customFormat="1" ht="15.6" hidden="1">
      <c r="A4019" s="370"/>
      <c r="B4019" s="499"/>
      <c r="C4019" s="37"/>
      <c r="D4019" s="1929" t="s">
        <v>1520</v>
      </c>
      <c r="E4019" s="1930"/>
      <c r="F4019" s="1930"/>
      <c r="G4019" s="1930"/>
      <c r="H4019" s="1930"/>
      <c r="I4019" s="1931"/>
      <c r="J4019" s="1932">
        <f>VLOOKUP(A4021,'11 - FINANCEIRA'!_xlnm.Print_Area,6,FALSE)</f>
        <v>2</v>
      </c>
      <c r="K4019" s="1933"/>
      <c r="L4019" s="1343" t="str">
        <f>VLOOKUP(A4021,'11 - FINANCEIRA'!_xlnm.Print_Area,4,FALSE)</f>
        <v>cj</v>
      </c>
      <c r="M4019" s="1934" t="s">
        <v>1521</v>
      </c>
      <c r="N4019" s="1935"/>
      <c r="O4019" s="1935"/>
      <c r="P4019" s="1935"/>
      <c r="Q4019" s="1936"/>
      <c r="R4019" s="726">
        <f>SUM(R4015:R4018)</f>
        <v>2</v>
      </c>
      <c r="S4019" s="1344" t="str">
        <f>L4019</f>
        <v>cj</v>
      </c>
      <c r="T4019" s="373"/>
      <c r="U4019" s="486"/>
      <c r="V4019" s="1418">
        <f t="shared" si="404"/>
        <v>0</v>
      </c>
      <c r="AB4019" s="15"/>
    </row>
    <row r="4020" spans="1:36" s="77" customFormat="1" ht="15.6" hidden="1">
      <c r="A4020" s="370"/>
      <c r="B4020" s="499"/>
      <c r="C4020" s="725"/>
      <c r="D4020" s="1937" t="s">
        <v>1522</v>
      </c>
      <c r="E4020" s="1938"/>
      <c r="F4020" s="1938"/>
      <c r="G4020" s="1938"/>
      <c r="H4020" s="1938"/>
      <c r="I4020" s="1939"/>
      <c r="J4020" s="1943">
        <f>R4019/J4019</f>
        <v>1</v>
      </c>
      <c r="K4020" s="1944"/>
      <c r="L4020" s="1947"/>
      <c r="M4020" s="1934" t="s">
        <v>1523</v>
      </c>
      <c r="N4020" s="1935"/>
      <c r="O4020" s="1935"/>
      <c r="P4020" s="1935"/>
      <c r="Q4020" s="1936"/>
      <c r="R4020" s="726">
        <f>VLOOKUP(A4021,'11 - FINANCEIRA'!_xlnm.Print_Area,8,FALSE)</f>
        <v>2</v>
      </c>
      <c r="S4020" s="727" t="str">
        <f>L4019</f>
        <v>cj</v>
      </c>
      <c r="T4020" s="373"/>
      <c r="U4020" s="486"/>
      <c r="V4020" s="1418">
        <f t="shared" si="404"/>
        <v>0</v>
      </c>
      <c r="AB4020" s="15"/>
    </row>
    <row r="4021" spans="1:36" s="77" customFormat="1" ht="15.6" hidden="1">
      <c r="A4021" s="364" t="s">
        <v>717</v>
      </c>
      <c r="B4021" s="499"/>
      <c r="C4021" s="37"/>
      <c r="D4021" s="2013"/>
      <c r="E4021" s="2014"/>
      <c r="F4021" s="2014"/>
      <c r="G4021" s="2014"/>
      <c r="H4021" s="2014"/>
      <c r="I4021" s="2015"/>
      <c r="J4021" s="2016"/>
      <c r="K4021" s="2017"/>
      <c r="L4021" s="1962"/>
      <c r="M4021" s="2007" t="s">
        <v>1524</v>
      </c>
      <c r="N4021" s="2008"/>
      <c r="O4021" s="2008"/>
      <c r="P4021" s="2008"/>
      <c r="Q4021" s="2009"/>
      <c r="R4021" s="1345">
        <f>R4019-R4020</f>
        <v>0</v>
      </c>
      <c r="S4021" s="1346" t="str">
        <f>L4019</f>
        <v>cj</v>
      </c>
      <c r="T4021" s="373"/>
      <c r="U4021" s="486"/>
      <c r="V4021" s="1418">
        <f>R4021</f>
        <v>0</v>
      </c>
      <c r="AB4021" s="15"/>
    </row>
    <row r="4022" spans="1:36" s="77" customFormat="1" ht="15.6" hidden="1">
      <c r="A4022" s="370"/>
      <c r="B4022" s="1347"/>
      <c r="C4022" s="1348"/>
      <c r="D4022" s="1349"/>
      <c r="E4022" s="1350"/>
      <c r="F4022" s="1349"/>
      <c r="G4022" s="1349"/>
      <c r="H4022" s="1349"/>
      <c r="I4022" s="1349"/>
      <c r="J4022" s="1351"/>
      <c r="K4022" s="1352"/>
      <c r="L4022" s="1353"/>
      <c r="M4022" s="1354"/>
      <c r="N4022" s="1354"/>
      <c r="O4022" s="1354"/>
      <c r="P4022" s="1354"/>
      <c r="Q4022" s="1354"/>
      <c r="R4022" s="1355"/>
      <c r="S4022" s="1356"/>
      <c r="T4022" s="1357"/>
      <c r="U4022" s="1358"/>
      <c r="V4022" s="1420">
        <f>SUM(V4013:V4021)</f>
        <v>0</v>
      </c>
      <c r="AB4022" s="15"/>
    </row>
    <row r="4023" spans="1:36" s="352" customFormat="1" ht="15.6" hidden="1">
      <c r="A4023" s="351"/>
      <c r="B4023" s="1963" t="str">
        <f>VLOOKUP(A4031,'11 - FINANCEIRA'!_xlnm.Print_Area,1,FALSE)</f>
        <v>2.5.5.23</v>
      </c>
      <c r="C4023" s="1965" t="str">
        <f>VLOOKUP(A4031,'11 - FINANCEIRA'!_xlnm.Print_Area,3,FALSE)</f>
        <v>Organizador de cabos horizontal, aberto, padrão rack 19"</v>
      </c>
      <c r="D4023" s="1967" t="s">
        <v>1503</v>
      </c>
      <c r="E4023" s="1968"/>
      <c r="F4023" s="1968"/>
      <c r="G4023" s="1968"/>
      <c r="H4023" s="1968"/>
      <c r="I4023" s="1969"/>
      <c r="J4023" s="1914" t="s">
        <v>1504</v>
      </c>
      <c r="K4023" s="1914" t="s">
        <v>1505</v>
      </c>
      <c r="L4023" s="1914" t="s">
        <v>1506</v>
      </c>
      <c r="M4023" s="1914" t="s">
        <v>1507</v>
      </c>
      <c r="N4023" s="1914" t="s">
        <v>1508</v>
      </c>
      <c r="O4023" s="1914" t="s">
        <v>1509</v>
      </c>
      <c r="P4023" s="1341" t="s">
        <v>1510</v>
      </c>
      <c r="Q4023" s="1914" t="s">
        <v>1493</v>
      </c>
      <c r="R4023" s="1916" t="s">
        <v>804</v>
      </c>
      <c r="S4023" s="1914" t="s">
        <v>1511</v>
      </c>
      <c r="T4023" s="1914" t="s">
        <v>1512</v>
      </c>
      <c r="U4023" s="1918" t="s">
        <v>1513</v>
      </c>
      <c r="V4023" s="1418">
        <f t="shared" ref="V4023:V4030" si="405">V4024</f>
        <v>0</v>
      </c>
      <c r="W4023" s="16"/>
      <c r="X4023" s="16"/>
      <c r="Y4023" s="16"/>
      <c r="Z4023" s="17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</row>
    <row r="4024" spans="1:36" s="352" customFormat="1" ht="15.6" hidden="1">
      <c r="A4024" s="351"/>
      <c r="B4024" s="1964" t="e">
        <f>LEFT(#REF!,5)</f>
        <v>#REF!</v>
      </c>
      <c r="C4024" s="1966" t="e">
        <f>VLOOKUP(LEFT(#REF!,5),'11 - FINANCEIRA'!_xlnm.Print_Area,2,FALSE)</f>
        <v>#REF!</v>
      </c>
      <c r="D4024" s="1920" t="s">
        <v>1514</v>
      </c>
      <c r="E4024" s="1921"/>
      <c r="F4024" s="1922"/>
      <c r="G4024" s="1923" t="s">
        <v>1515</v>
      </c>
      <c r="H4024" s="1924"/>
      <c r="I4024" s="1925"/>
      <c r="J4024" s="1915"/>
      <c r="K4024" s="1915"/>
      <c r="L4024" s="1915"/>
      <c r="M4024" s="1915"/>
      <c r="N4024" s="1915"/>
      <c r="O4024" s="1915"/>
      <c r="P4024" s="353" t="s">
        <v>1516</v>
      </c>
      <c r="Q4024" s="1915"/>
      <c r="R4024" s="1917"/>
      <c r="S4024" s="1915"/>
      <c r="T4024" s="1915"/>
      <c r="U4024" s="1919"/>
      <c r="V4024" s="1418">
        <f t="shared" si="405"/>
        <v>0</v>
      </c>
      <c r="W4024" s="16"/>
      <c r="X4024" s="16"/>
      <c r="Y4024" s="16"/>
      <c r="Z4024" s="17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</row>
    <row r="4025" spans="1:36" s="361" customFormat="1" ht="15" hidden="1" customHeight="1">
      <c r="A4025" s="354"/>
      <c r="B4025" s="355"/>
      <c r="C4025" s="28" t="s">
        <v>1367</v>
      </c>
      <c r="D4025" s="18"/>
      <c r="E4025" s="19"/>
      <c r="F4025" s="20"/>
      <c r="G4025" s="18"/>
      <c r="H4025" s="19"/>
      <c r="I4025" s="20"/>
      <c r="J4025" s="21"/>
      <c r="K4025" s="22"/>
      <c r="L4025" s="23"/>
      <c r="M4025" s="24"/>
      <c r="N4025" s="728"/>
      <c r="O4025" s="25"/>
      <c r="P4025" s="23"/>
      <c r="Q4025" s="729"/>
      <c r="R4025" s="1109">
        <v>2</v>
      </c>
      <c r="S4025" s="730" t="s">
        <v>816</v>
      </c>
      <c r="T4025" s="446" t="s">
        <v>328</v>
      </c>
      <c r="U4025" s="44"/>
      <c r="V4025" s="1418">
        <f t="shared" si="405"/>
        <v>0</v>
      </c>
      <c r="W4025" s="357"/>
      <c r="X4025" s="357"/>
      <c r="Y4025" s="357"/>
      <c r="Z4025" s="358"/>
      <c r="AA4025" s="359"/>
      <c r="AB4025" s="360"/>
    </row>
    <row r="4026" spans="1:36" s="361" customFormat="1" ht="15" hidden="1" customHeight="1">
      <c r="A4026" s="354"/>
      <c r="B4026" s="355"/>
      <c r="C4026" s="32"/>
      <c r="D4026" s="33"/>
      <c r="E4026" s="34"/>
      <c r="F4026" s="35"/>
      <c r="G4026" s="33"/>
      <c r="H4026" s="34"/>
      <c r="I4026" s="35"/>
      <c r="J4026" s="43"/>
      <c r="K4026" s="42"/>
      <c r="L4026" s="39"/>
      <c r="M4026" s="41"/>
      <c r="N4026" s="356"/>
      <c r="O4026" s="40"/>
      <c r="P4026" s="39"/>
      <c r="Q4026" s="45"/>
      <c r="R4026" s="362"/>
      <c r="S4026" s="363"/>
      <c r="T4026" s="46"/>
      <c r="U4026" s="44"/>
      <c r="V4026" s="1418">
        <f t="shared" si="405"/>
        <v>0</v>
      </c>
      <c r="W4026" s="357"/>
      <c r="X4026" s="357"/>
      <c r="Y4026" s="357"/>
      <c r="Z4026" s="358"/>
      <c r="AA4026" s="359"/>
      <c r="AB4026" s="360"/>
    </row>
    <row r="4027" spans="1:36" s="369" customFormat="1" ht="15" hidden="1">
      <c r="A4027" s="364"/>
      <c r="B4027" s="355"/>
      <c r="C4027" s="32"/>
      <c r="D4027" s="33"/>
      <c r="E4027" s="34"/>
      <c r="F4027" s="35"/>
      <c r="G4027" s="33"/>
      <c r="H4027" s="34"/>
      <c r="I4027" s="35"/>
      <c r="J4027" s="43"/>
      <c r="K4027" s="42"/>
      <c r="L4027" s="39"/>
      <c r="M4027" s="41"/>
      <c r="N4027" s="40"/>
      <c r="O4027" s="40"/>
      <c r="P4027" s="39"/>
      <c r="Q4027" s="38"/>
      <c r="R4027" s="365"/>
      <c r="S4027" s="366"/>
      <c r="T4027" s="46"/>
      <c r="U4027" s="44"/>
      <c r="V4027" s="1418">
        <f t="shared" si="405"/>
        <v>0</v>
      </c>
      <c r="W4027" s="367"/>
      <c r="X4027" s="367"/>
      <c r="Y4027" s="367"/>
      <c r="Z4027" s="368"/>
    </row>
    <row r="4028" spans="1:36" s="77" customFormat="1" ht="15" hidden="1">
      <c r="A4028" s="370"/>
      <c r="B4028" s="29"/>
      <c r="C4028" s="30"/>
      <c r="D4028" s="18"/>
      <c r="E4028" s="19"/>
      <c r="F4028" s="20"/>
      <c r="G4028" s="18"/>
      <c r="H4028" s="19"/>
      <c r="I4028" s="20"/>
      <c r="J4028" s="21"/>
      <c r="K4028" s="22"/>
      <c r="L4028" s="23"/>
      <c r="M4028" s="24"/>
      <c r="N4028" s="25"/>
      <c r="O4028" s="25"/>
      <c r="P4028" s="23"/>
      <c r="Q4028" s="26"/>
      <c r="R4028" s="371"/>
      <c r="S4028" s="27"/>
      <c r="T4028" s="372"/>
      <c r="U4028" s="31"/>
      <c r="V4028" s="1418">
        <f t="shared" si="405"/>
        <v>0</v>
      </c>
      <c r="AB4028" s="15"/>
    </row>
    <row r="4029" spans="1:36" s="77" customFormat="1" ht="15.6" hidden="1">
      <c r="A4029" s="370"/>
      <c r="B4029" s="499"/>
      <c r="C4029" s="37"/>
      <c r="D4029" s="1929" t="s">
        <v>1520</v>
      </c>
      <c r="E4029" s="1930"/>
      <c r="F4029" s="1930"/>
      <c r="G4029" s="1930"/>
      <c r="H4029" s="1930"/>
      <c r="I4029" s="1931"/>
      <c r="J4029" s="1932">
        <f>VLOOKUP(A4031,'11 - FINANCEIRA'!_xlnm.Print_Area,6,FALSE)</f>
        <v>2</v>
      </c>
      <c r="K4029" s="1933"/>
      <c r="L4029" s="1343" t="str">
        <f>VLOOKUP(A4031,'11 - FINANCEIRA'!_xlnm.Print_Area,4,FALSE)</f>
        <v>und</v>
      </c>
      <c r="M4029" s="1934" t="s">
        <v>1521</v>
      </c>
      <c r="N4029" s="1935"/>
      <c r="O4029" s="1935"/>
      <c r="P4029" s="1935"/>
      <c r="Q4029" s="1936"/>
      <c r="R4029" s="726">
        <f>SUM(R4025:R4028)</f>
        <v>2</v>
      </c>
      <c r="S4029" s="1344" t="str">
        <f>L4029</f>
        <v>und</v>
      </c>
      <c r="T4029" s="373"/>
      <c r="U4029" s="486"/>
      <c r="V4029" s="1418">
        <f t="shared" si="405"/>
        <v>0</v>
      </c>
      <c r="AB4029" s="15"/>
    </row>
    <row r="4030" spans="1:36" s="77" customFormat="1" ht="15.6" hidden="1">
      <c r="A4030" s="370"/>
      <c r="B4030" s="499"/>
      <c r="C4030" s="725"/>
      <c r="D4030" s="1937" t="s">
        <v>1522</v>
      </c>
      <c r="E4030" s="1938"/>
      <c r="F4030" s="1938"/>
      <c r="G4030" s="1938"/>
      <c r="H4030" s="1938"/>
      <c r="I4030" s="1939"/>
      <c r="J4030" s="1943">
        <f>R4029/J4029</f>
        <v>1</v>
      </c>
      <c r="K4030" s="1944"/>
      <c r="L4030" s="1947"/>
      <c r="M4030" s="1934" t="s">
        <v>1523</v>
      </c>
      <c r="N4030" s="1935"/>
      <c r="O4030" s="1935"/>
      <c r="P4030" s="1935"/>
      <c r="Q4030" s="1936"/>
      <c r="R4030" s="726">
        <f>VLOOKUP(A4031,'11 - FINANCEIRA'!_xlnm.Print_Area,8,FALSE)</f>
        <v>2</v>
      </c>
      <c r="S4030" s="727" t="str">
        <f>L4029</f>
        <v>und</v>
      </c>
      <c r="T4030" s="373"/>
      <c r="U4030" s="486"/>
      <c r="V4030" s="1418">
        <f t="shared" si="405"/>
        <v>0</v>
      </c>
      <c r="AB4030" s="15"/>
    </row>
    <row r="4031" spans="1:36" s="77" customFormat="1" ht="15.6" hidden="1">
      <c r="A4031" s="364" t="s">
        <v>718</v>
      </c>
      <c r="B4031" s="499"/>
      <c r="C4031" s="37"/>
      <c r="D4031" s="2013"/>
      <c r="E4031" s="2014"/>
      <c r="F4031" s="2014"/>
      <c r="G4031" s="2014"/>
      <c r="H4031" s="2014"/>
      <c r="I4031" s="2015"/>
      <c r="J4031" s="2016"/>
      <c r="K4031" s="2017"/>
      <c r="L4031" s="1962"/>
      <c r="M4031" s="2007" t="s">
        <v>1524</v>
      </c>
      <c r="N4031" s="2008"/>
      <c r="O4031" s="2008"/>
      <c r="P4031" s="2008"/>
      <c r="Q4031" s="2009"/>
      <c r="R4031" s="1345">
        <f>R4029-R4030</f>
        <v>0</v>
      </c>
      <c r="S4031" s="1346" t="str">
        <f>L4029</f>
        <v>und</v>
      </c>
      <c r="T4031" s="373"/>
      <c r="U4031" s="486"/>
      <c r="V4031" s="1418">
        <f>R4031</f>
        <v>0</v>
      </c>
      <c r="AB4031" s="15"/>
    </row>
    <row r="4032" spans="1:36" s="77" customFormat="1" ht="15.6" hidden="1">
      <c r="A4032" s="370"/>
      <c r="B4032" s="1347"/>
      <c r="C4032" s="1348"/>
      <c r="D4032" s="1349"/>
      <c r="E4032" s="1350"/>
      <c r="F4032" s="1349"/>
      <c r="G4032" s="1349"/>
      <c r="H4032" s="1349"/>
      <c r="I4032" s="1349"/>
      <c r="J4032" s="1351"/>
      <c r="K4032" s="1352"/>
      <c r="L4032" s="1353"/>
      <c r="M4032" s="1354"/>
      <c r="N4032" s="1354"/>
      <c r="O4032" s="1354"/>
      <c r="P4032" s="1354"/>
      <c r="Q4032" s="1354"/>
      <c r="R4032" s="1355"/>
      <c r="S4032" s="1356"/>
      <c r="T4032" s="1357"/>
      <c r="U4032" s="1358"/>
      <c r="V4032" s="1420">
        <f>SUM(V4023:V4031)</f>
        <v>0</v>
      </c>
      <c r="AB4032" s="15"/>
    </row>
    <row r="4033" spans="1:36" s="352" customFormat="1" ht="15.6" hidden="1">
      <c r="A4033" s="351"/>
      <c r="B4033" s="1963" t="str">
        <f>VLOOKUP(A4041,'11 - FINANCEIRA'!_xlnm.Print_Area,1,FALSE)</f>
        <v>2.5.5.24</v>
      </c>
      <c r="C4033" s="1965" t="str">
        <f>VLOOKUP(A4041,'11 - FINANCEIRA'!_xlnm.Print_Area,3,FALSE)</f>
        <v>Tampa cega de 1u para rack 19"</v>
      </c>
      <c r="D4033" s="1967" t="s">
        <v>1503</v>
      </c>
      <c r="E4033" s="1968"/>
      <c r="F4033" s="1968"/>
      <c r="G4033" s="1968"/>
      <c r="H4033" s="1968"/>
      <c r="I4033" s="1969"/>
      <c r="J4033" s="1914" t="s">
        <v>1504</v>
      </c>
      <c r="K4033" s="1914" t="s">
        <v>1505</v>
      </c>
      <c r="L4033" s="1914" t="s">
        <v>1506</v>
      </c>
      <c r="M4033" s="1914" t="s">
        <v>1507</v>
      </c>
      <c r="N4033" s="1914" t="s">
        <v>1508</v>
      </c>
      <c r="O4033" s="1914" t="s">
        <v>1509</v>
      </c>
      <c r="P4033" s="1341" t="s">
        <v>1510</v>
      </c>
      <c r="Q4033" s="1914" t="s">
        <v>1493</v>
      </c>
      <c r="R4033" s="1916" t="s">
        <v>804</v>
      </c>
      <c r="S4033" s="1914" t="s">
        <v>1511</v>
      </c>
      <c r="T4033" s="1914" t="s">
        <v>1512</v>
      </c>
      <c r="U4033" s="1918" t="s">
        <v>1513</v>
      </c>
      <c r="V4033" s="1418">
        <f t="shared" ref="V4033:V4040" si="406">V4034</f>
        <v>0</v>
      </c>
      <c r="W4033" s="16"/>
      <c r="X4033" s="16"/>
      <c r="Y4033" s="16"/>
      <c r="Z4033" s="17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</row>
    <row r="4034" spans="1:36" s="352" customFormat="1" ht="15.6" hidden="1">
      <c r="A4034" s="351"/>
      <c r="B4034" s="1964" t="e">
        <f>LEFT(#REF!,5)</f>
        <v>#REF!</v>
      </c>
      <c r="C4034" s="1966" t="e">
        <f>VLOOKUP(LEFT(#REF!,5),'11 - FINANCEIRA'!_xlnm.Print_Area,2,FALSE)</f>
        <v>#REF!</v>
      </c>
      <c r="D4034" s="1920" t="s">
        <v>1514</v>
      </c>
      <c r="E4034" s="1921"/>
      <c r="F4034" s="1922"/>
      <c r="G4034" s="1923" t="s">
        <v>1515</v>
      </c>
      <c r="H4034" s="1924"/>
      <c r="I4034" s="1925"/>
      <c r="J4034" s="1915"/>
      <c r="K4034" s="1915"/>
      <c r="L4034" s="1915"/>
      <c r="M4034" s="1915"/>
      <c r="N4034" s="1915"/>
      <c r="O4034" s="1915"/>
      <c r="P4034" s="353" t="s">
        <v>1516</v>
      </c>
      <c r="Q4034" s="1915"/>
      <c r="R4034" s="1917"/>
      <c r="S4034" s="1915"/>
      <c r="T4034" s="1915"/>
      <c r="U4034" s="1919"/>
      <c r="V4034" s="1418">
        <f t="shared" si="406"/>
        <v>0</v>
      </c>
      <c r="W4034" s="16"/>
      <c r="X4034" s="16"/>
      <c r="Y4034" s="16"/>
      <c r="Z4034" s="17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</row>
    <row r="4035" spans="1:36" s="361" customFormat="1" ht="15" hidden="1" customHeight="1">
      <c r="A4035" s="354"/>
      <c r="B4035" s="355"/>
      <c r="C4035" s="28" t="s">
        <v>1369</v>
      </c>
      <c r="D4035" s="18"/>
      <c r="E4035" s="19"/>
      <c r="F4035" s="20"/>
      <c r="G4035" s="18"/>
      <c r="H4035" s="19"/>
      <c r="I4035" s="20"/>
      <c r="J4035" s="21"/>
      <c r="K4035" s="22"/>
      <c r="L4035" s="23"/>
      <c r="M4035" s="24"/>
      <c r="N4035" s="728"/>
      <c r="O4035" s="25"/>
      <c r="P4035" s="23"/>
      <c r="Q4035" s="729"/>
      <c r="R4035" s="1109">
        <v>6</v>
      </c>
      <c r="S4035" s="730" t="s">
        <v>1365</v>
      </c>
      <c r="T4035" s="446" t="s">
        <v>328</v>
      </c>
      <c r="U4035" s="44"/>
      <c r="V4035" s="1418">
        <f t="shared" si="406"/>
        <v>0</v>
      </c>
      <c r="W4035" s="357"/>
      <c r="X4035" s="357"/>
      <c r="Y4035" s="357"/>
      <c r="Z4035" s="358"/>
      <c r="AA4035" s="359"/>
      <c r="AB4035" s="360"/>
    </row>
    <row r="4036" spans="1:36" s="361" customFormat="1" ht="15" hidden="1" customHeight="1">
      <c r="A4036" s="354"/>
      <c r="B4036" s="355"/>
      <c r="C4036" s="32"/>
      <c r="D4036" s="33"/>
      <c r="E4036" s="34"/>
      <c r="F4036" s="35"/>
      <c r="G4036" s="33"/>
      <c r="H4036" s="34"/>
      <c r="I4036" s="35"/>
      <c r="J4036" s="43"/>
      <c r="K4036" s="42"/>
      <c r="L4036" s="39"/>
      <c r="M4036" s="41"/>
      <c r="N4036" s="356"/>
      <c r="O4036" s="40"/>
      <c r="P4036" s="39"/>
      <c r="Q4036" s="45"/>
      <c r="R4036" s="362"/>
      <c r="S4036" s="363"/>
      <c r="T4036" s="46"/>
      <c r="U4036" s="44"/>
      <c r="V4036" s="1418">
        <f t="shared" si="406"/>
        <v>0</v>
      </c>
      <c r="W4036" s="357"/>
      <c r="X4036" s="357"/>
      <c r="Y4036" s="357"/>
      <c r="Z4036" s="358"/>
      <c r="AA4036" s="359"/>
      <c r="AB4036" s="360"/>
    </row>
    <row r="4037" spans="1:36" s="369" customFormat="1" ht="15" hidden="1">
      <c r="A4037" s="364"/>
      <c r="B4037" s="355"/>
      <c r="C4037" s="32"/>
      <c r="D4037" s="33"/>
      <c r="E4037" s="34"/>
      <c r="F4037" s="35"/>
      <c r="G4037" s="33"/>
      <c r="H4037" s="34"/>
      <c r="I4037" s="35"/>
      <c r="J4037" s="43"/>
      <c r="K4037" s="42"/>
      <c r="L4037" s="39"/>
      <c r="M4037" s="41"/>
      <c r="N4037" s="40"/>
      <c r="O4037" s="40"/>
      <c r="P4037" s="39"/>
      <c r="Q4037" s="38"/>
      <c r="R4037" s="365"/>
      <c r="S4037" s="366"/>
      <c r="T4037" s="46"/>
      <c r="U4037" s="44"/>
      <c r="V4037" s="1418">
        <f t="shared" si="406"/>
        <v>0</v>
      </c>
      <c r="W4037" s="367"/>
      <c r="X4037" s="367"/>
      <c r="Y4037" s="367"/>
      <c r="Z4037" s="368"/>
    </row>
    <row r="4038" spans="1:36" s="77" customFormat="1" ht="15" hidden="1">
      <c r="A4038" s="370"/>
      <c r="B4038" s="29"/>
      <c r="C4038" s="30"/>
      <c r="D4038" s="18"/>
      <c r="E4038" s="19"/>
      <c r="F4038" s="20"/>
      <c r="G4038" s="18"/>
      <c r="H4038" s="19"/>
      <c r="I4038" s="20"/>
      <c r="J4038" s="21"/>
      <c r="K4038" s="22"/>
      <c r="L4038" s="23"/>
      <c r="M4038" s="24"/>
      <c r="N4038" s="25"/>
      <c r="O4038" s="25"/>
      <c r="P4038" s="23"/>
      <c r="Q4038" s="26"/>
      <c r="R4038" s="371"/>
      <c r="S4038" s="27"/>
      <c r="T4038" s="372"/>
      <c r="U4038" s="31"/>
      <c r="V4038" s="1418">
        <f t="shared" si="406"/>
        <v>0</v>
      </c>
      <c r="AB4038" s="15"/>
    </row>
    <row r="4039" spans="1:36" s="77" customFormat="1" ht="15.6" hidden="1">
      <c r="A4039" s="370"/>
      <c r="B4039" s="499"/>
      <c r="C4039" s="37"/>
      <c r="D4039" s="1929" t="s">
        <v>1520</v>
      </c>
      <c r="E4039" s="1930"/>
      <c r="F4039" s="1930"/>
      <c r="G4039" s="1930"/>
      <c r="H4039" s="1930"/>
      <c r="I4039" s="1931"/>
      <c r="J4039" s="1932">
        <f>VLOOKUP(A4041,'11 - FINANCEIRA'!_xlnm.Print_Area,6,FALSE)</f>
        <v>6</v>
      </c>
      <c r="K4039" s="1933"/>
      <c r="L4039" s="1343" t="str">
        <f>VLOOKUP(A4041,'11 - FINANCEIRA'!_xlnm.Print_Area,4,FALSE)</f>
        <v>cj</v>
      </c>
      <c r="M4039" s="1934" t="s">
        <v>1521</v>
      </c>
      <c r="N4039" s="1935"/>
      <c r="O4039" s="1935"/>
      <c r="P4039" s="1935"/>
      <c r="Q4039" s="1936"/>
      <c r="R4039" s="726">
        <f>SUM(R4035:R4038)</f>
        <v>6</v>
      </c>
      <c r="S4039" s="1344" t="str">
        <f>L4039</f>
        <v>cj</v>
      </c>
      <c r="T4039" s="373"/>
      <c r="U4039" s="486"/>
      <c r="V4039" s="1418">
        <f t="shared" si="406"/>
        <v>0</v>
      </c>
      <c r="AB4039" s="15"/>
    </row>
    <row r="4040" spans="1:36" s="77" customFormat="1" ht="15.6" hidden="1">
      <c r="A4040" s="370"/>
      <c r="B4040" s="499"/>
      <c r="C4040" s="725"/>
      <c r="D4040" s="1937" t="s">
        <v>1522</v>
      </c>
      <c r="E4040" s="1938"/>
      <c r="F4040" s="1938"/>
      <c r="G4040" s="1938"/>
      <c r="H4040" s="1938"/>
      <c r="I4040" s="1939"/>
      <c r="J4040" s="1943">
        <f>R4039/J4039</f>
        <v>1</v>
      </c>
      <c r="K4040" s="1944"/>
      <c r="L4040" s="1947"/>
      <c r="M4040" s="1934" t="s">
        <v>1523</v>
      </c>
      <c r="N4040" s="1935"/>
      <c r="O4040" s="1935"/>
      <c r="P4040" s="1935"/>
      <c r="Q4040" s="1936"/>
      <c r="R4040" s="726">
        <f>VLOOKUP(A4041,'11 - FINANCEIRA'!_xlnm.Print_Area,8,FALSE)</f>
        <v>6</v>
      </c>
      <c r="S4040" s="727" t="str">
        <f>L4039</f>
        <v>cj</v>
      </c>
      <c r="T4040" s="373"/>
      <c r="U4040" s="486"/>
      <c r="V4040" s="1418">
        <f t="shared" si="406"/>
        <v>0</v>
      </c>
      <c r="AB4040" s="15"/>
    </row>
    <row r="4041" spans="1:36" s="77" customFormat="1" ht="15.6" hidden="1">
      <c r="A4041" s="364" t="s">
        <v>719</v>
      </c>
      <c r="B4041" s="499"/>
      <c r="C4041" s="37"/>
      <c r="D4041" s="2013"/>
      <c r="E4041" s="2014"/>
      <c r="F4041" s="2014"/>
      <c r="G4041" s="2014"/>
      <c r="H4041" s="2014"/>
      <c r="I4041" s="2015"/>
      <c r="J4041" s="2016"/>
      <c r="K4041" s="2017"/>
      <c r="L4041" s="1962"/>
      <c r="M4041" s="2007" t="s">
        <v>1524</v>
      </c>
      <c r="N4041" s="2008"/>
      <c r="O4041" s="2008"/>
      <c r="P4041" s="2008"/>
      <c r="Q4041" s="2009"/>
      <c r="R4041" s="1345">
        <f>R4039-R4040</f>
        <v>0</v>
      </c>
      <c r="S4041" s="1346" t="str">
        <f>L4039</f>
        <v>cj</v>
      </c>
      <c r="T4041" s="373"/>
      <c r="U4041" s="486"/>
      <c r="V4041" s="1418">
        <f>R4041</f>
        <v>0</v>
      </c>
      <c r="AB4041" s="15"/>
    </row>
    <row r="4042" spans="1:36" s="77" customFormat="1" ht="15.6" hidden="1">
      <c r="A4042" s="370"/>
      <c r="B4042" s="1347"/>
      <c r="C4042" s="1348"/>
      <c r="D4042" s="1349"/>
      <c r="E4042" s="1350"/>
      <c r="F4042" s="1349"/>
      <c r="G4042" s="1349"/>
      <c r="H4042" s="1349"/>
      <c r="I4042" s="1349"/>
      <c r="J4042" s="1351"/>
      <c r="K4042" s="1352"/>
      <c r="L4042" s="1353"/>
      <c r="M4042" s="1354"/>
      <c r="N4042" s="1354"/>
      <c r="O4042" s="1354"/>
      <c r="P4042" s="1354"/>
      <c r="Q4042" s="1354"/>
      <c r="R4042" s="1355"/>
      <c r="S4042" s="1356"/>
      <c r="T4042" s="1357"/>
      <c r="U4042" s="1358"/>
      <c r="V4042" s="1420">
        <f>SUM(V4033:V4041)</f>
        <v>0</v>
      </c>
      <c r="AB4042" s="15"/>
    </row>
    <row r="4043" spans="1:36" s="352" customFormat="1" ht="15.6" hidden="1">
      <c r="A4043" s="351"/>
      <c r="B4043" s="1963" t="str">
        <f>VLOOKUP(A4051,'11 - FINANCEIRA'!_xlnm.Print_Area,1,FALSE)</f>
        <v>2.5.5.25</v>
      </c>
      <c r="C4043" s="1965" t="str">
        <f>VLOOKUP(A4051,'11 - FINANCEIRA'!_xlnm.Print_Area,3,FALSE)</f>
        <v xml:space="preserve">Dio 24fo distribuidor interno óptico sc mm 62.5/125 gaveta 19'' 1u </v>
      </c>
      <c r="D4043" s="1967" t="s">
        <v>1503</v>
      </c>
      <c r="E4043" s="1968"/>
      <c r="F4043" s="1968"/>
      <c r="G4043" s="1968"/>
      <c r="H4043" s="1968"/>
      <c r="I4043" s="1969"/>
      <c r="J4043" s="1914" t="s">
        <v>1504</v>
      </c>
      <c r="K4043" s="1914" t="s">
        <v>1505</v>
      </c>
      <c r="L4043" s="1914" t="s">
        <v>1506</v>
      </c>
      <c r="M4043" s="1914" t="s">
        <v>1507</v>
      </c>
      <c r="N4043" s="1914" t="s">
        <v>1508</v>
      </c>
      <c r="O4043" s="1914" t="s">
        <v>1509</v>
      </c>
      <c r="P4043" s="1341" t="s">
        <v>1510</v>
      </c>
      <c r="Q4043" s="1914" t="s">
        <v>1493</v>
      </c>
      <c r="R4043" s="1916" t="s">
        <v>804</v>
      </c>
      <c r="S4043" s="1914" t="s">
        <v>1511</v>
      </c>
      <c r="T4043" s="1914" t="s">
        <v>1512</v>
      </c>
      <c r="U4043" s="1918" t="s">
        <v>1513</v>
      </c>
      <c r="V4043" s="1418">
        <f t="shared" ref="V4043:V4050" si="407">V4044</f>
        <v>0</v>
      </c>
      <c r="W4043" s="16"/>
      <c r="X4043" s="16"/>
      <c r="Y4043" s="16"/>
      <c r="Z4043" s="17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</row>
    <row r="4044" spans="1:36" s="352" customFormat="1" ht="15.6" hidden="1">
      <c r="A4044" s="351"/>
      <c r="B4044" s="1964" t="e">
        <f>LEFT(#REF!,5)</f>
        <v>#REF!</v>
      </c>
      <c r="C4044" s="1966" t="e">
        <f>VLOOKUP(LEFT(#REF!,5),'11 - FINANCEIRA'!_xlnm.Print_Area,2,FALSE)</f>
        <v>#REF!</v>
      </c>
      <c r="D4044" s="1920" t="s">
        <v>1514</v>
      </c>
      <c r="E4044" s="1921"/>
      <c r="F4044" s="1922"/>
      <c r="G4044" s="1923" t="s">
        <v>1515</v>
      </c>
      <c r="H4044" s="1924"/>
      <c r="I4044" s="1925"/>
      <c r="J4044" s="1915"/>
      <c r="K4044" s="1915"/>
      <c r="L4044" s="1915"/>
      <c r="M4044" s="1915"/>
      <c r="N4044" s="1915"/>
      <c r="O4044" s="1915"/>
      <c r="P4044" s="353" t="s">
        <v>1516</v>
      </c>
      <c r="Q4044" s="1915"/>
      <c r="R4044" s="1917"/>
      <c r="S4044" s="1915"/>
      <c r="T4044" s="1915"/>
      <c r="U4044" s="1919"/>
      <c r="V4044" s="1418">
        <f t="shared" si="407"/>
        <v>0</v>
      </c>
      <c r="W4044" s="16"/>
      <c r="X4044" s="16"/>
      <c r="Y4044" s="16"/>
      <c r="Z4044" s="17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</row>
    <row r="4045" spans="1:36" s="361" customFormat="1" ht="15" hidden="1" customHeight="1">
      <c r="A4045" s="354"/>
      <c r="B4045" s="355"/>
      <c r="C4045" s="28" t="s">
        <v>1371</v>
      </c>
      <c r="D4045" s="18"/>
      <c r="E4045" s="19"/>
      <c r="F4045" s="20"/>
      <c r="G4045" s="18"/>
      <c r="H4045" s="19"/>
      <c r="I4045" s="20"/>
      <c r="J4045" s="21"/>
      <c r="K4045" s="22"/>
      <c r="L4045" s="23"/>
      <c r="M4045" s="24"/>
      <c r="N4045" s="728"/>
      <c r="O4045" s="25"/>
      <c r="P4045" s="23"/>
      <c r="Q4045" s="729"/>
      <c r="R4045" s="1109">
        <v>1</v>
      </c>
      <c r="S4045" s="730" t="s">
        <v>1297</v>
      </c>
      <c r="T4045" s="446" t="s">
        <v>328</v>
      </c>
      <c r="U4045" s="44"/>
      <c r="V4045" s="1418">
        <f t="shared" si="407"/>
        <v>0</v>
      </c>
      <c r="W4045" s="357"/>
      <c r="X4045" s="357"/>
      <c r="Y4045" s="357"/>
      <c r="Z4045" s="358"/>
      <c r="AA4045" s="359"/>
      <c r="AB4045" s="360"/>
    </row>
    <row r="4046" spans="1:36" s="361" customFormat="1" ht="15" hidden="1" customHeight="1">
      <c r="A4046" s="354"/>
      <c r="B4046" s="355"/>
      <c r="C4046" s="32"/>
      <c r="D4046" s="33"/>
      <c r="E4046" s="34"/>
      <c r="F4046" s="35"/>
      <c r="G4046" s="33"/>
      <c r="H4046" s="34"/>
      <c r="I4046" s="35"/>
      <c r="J4046" s="43"/>
      <c r="K4046" s="42"/>
      <c r="L4046" s="39"/>
      <c r="M4046" s="41"/>
      <c r="N4046" s="356"/>
      <c r="O4046" s="40"/>
      <c r="P4046" s="39"/>
      <c r="Q4046" s="45"/>
      <c r="R4046" s="362"/>
      <c r="S4046" s="363"/>
      <c r="T4046" s="46"/>
      <c r="U4046" s="44"/>
      <c r="V4046" s="1418">
        <f t="shared" si="407"/>
        <v>0</v>
      </c>
      <c r="W4046" s="357"/>
      <c r="X4046" s="357"/>
      <c r="Y4046" s="357"/>
      <c r="Z4046" s="358"/>
      <c r="AA4046" s="359"/>
      <c r="AB4046" s="360"/>
    </row>
    <row r="4047" spans="1:36" s="369" customFormat="1" ht="15" hidden="1">
      <c r="A4047" s="364"/>
      <c r="B4047" s="355"/>
      <c r="C4047" s="32"/>
      <c r="D4047" s="33"/>
      <c r="E4047" s="34"/>
      <c r="F4047" s="35"/>
      <c r="G4047" s="33"/>
      <c r="H4047" s="34"/>
      <c r="I4047" s="35"/>
      <c r="J4047" s="43"/>
      <c r="K4047" s="42"/>
      <c r="L4047" s="39"/>
      <c r="M4047" s="41"/>
      <c r="N4047" s="40"/>
      <c r="O4047" s="40"/>
      <c r="P4047" s="39"/>
      <c r="Q4047" s="38"/>
      <c r="R4047" s="365"/>
      <c r="S4047" s="366"/>
      <c r="T4047" s="46"/>
      <c r="U4047" s="44"/>
      <c r="V4047" s="1418">
        <f t="shared" si="407"/>
        <v>0</v>
      </c>
      <c r="W4047" s="367"/>
      <c r="X4047" s="367"/>
      <c r="Y4047" s="367"/>
      <c r="Z4047" s="368"/>
    </row>
    <row r="4048" spans="1:36" s="77" customFormat="1" ht="15" hidden="1">
      <c r="A4048" s="370"/>
      <c r="B4048" s="29"/>
      <c r="C4048" s="30"/>
      <c r="D4048" s="18"/>
      <c r="E4048" s="19"/>
      <c r="F4048" s="20"/>
      <c r="G4048" s="18"/>
      <c r="H4048" s="19"/>
      <c r="I4048" s="20"/>
      <c r="J4048" s="21"/>
      <c r="K4048" s="22"/>
      <c r="L4048" s="23"/>
      <c r="M4048" s="24"/>
      <c r="N4048" s="25"/>
      <c r="O4048" s="25"/>
      <c r="P4048" s="23"/>
      <c r="Q4048" s="26"/>
      <c r="R4048" s="371"/>
      <c r="S4048" s="27"/>
      <c r="T4048" s="372"/>
      <c r="U4048" s="31"/>
      <c r="V4048" s="1418">
        <f t="shared" si="407"/>
        <v>0</v>
      </c>
      <c r="AB4048" s="15"/>
    </row>
    <row r="4049" spans="1:36" s="77" customFormat="1" ht="15.6" hidden="1">
      <c r="A4049" s="370"/>
      <c r="B4049" s="499"/>
      <c r="C4049" s="37"/>
      <c r="D4049" s="1929" t="s">
        <v>1520</v>
      </c>
      <c r="E4049" s="1930"/>
      <c r="F4049" s="1930"/>
      <c r="G4049" s="1930"/>
      <c r="H4049" s="1930"/>
      <c r="I4049" s="1931"/>
      <c r="J4049" s="1932">
        <f>VLOOKUP(A4051,'11 - FINANCEIRA'!_xlnm.Print_Area,6,FALSE)</f>
        <v>1</v>
      </c>
      <c r="K4049" s="1933"/>
      <c r="L4049" s="1343" t="str">
        <f>VLOOKUP(A4051,'11 - FINANCEIRA'!_xlnm.Print_Area,4,FALSE)</f>
        <v>UN</v>
      </c>
      <c r="M4049" s="1934" t="s">
        <v>1521</v>
      </c>
      <c r="N4049" s="1935"/>
      <c r="O4049" s="1935"/>
      <c r="P4049" s="1935"/>
      <c r="Q4049" s="1936"/>
      <c r="R4049" s="726">
        <f>SUM(R4045:R4048)</f>
        <v>1</v>
      </c>
      <c r="S4049" s="1344" t="str">
        <f>L4049</f>
        <v>UN</v>
      </c>
      <c r="T4049" s="373"/>
      <c r="U4049" s="486"/>
      <c r="V4049" s="1418">
        <f t="shared" si="407"/>
        <v>0</v>
      </c>
      <c r="AB4049" s="15"/>
    </row>
    <row r="4050" spans="1:36" s="77" customFormat="1" ht="15.6" hidden="1">
      <c r="A4050" s="370"/>
      <c r="B4050" s="499"/>
      <c r="C4050" s="725"/>
      <c r="D4050" s="1937" t="s">
        <v>1522</v>
      </c>
      <c r="E4050" s="1938"/>
      <c r="F4050" s="1938"/>
      <c r="G4050" s="1938"/>
      <c r="H4050" s="1938"/>
      <c r="I4050" s="1939"/>
      <c r="J4050" s="1943">
        <f>R4049/J4049</f>
        <v>1</v>
      </c>
      <c r="K4050" s="1944"/>
      <c r="L4050" s="1947"/>
      <c r="M4050" s="1934" t="s">
        <v>1523</v>
      </c>
      <c r="N4050" s="1935"/>
      <c r="O4050" s="1935"/>
      <c r="P4050" s="1935"/>
      <c r="Q4050" s="1936"/>
      <c r="R4050" s="726">
        <f>VLOOKUP(A4051,'11 - FINANCEIRA'!_xlnm.Print_Area,8,FALSE)</f>
        <v>1</v>
      </c>
      <c r="S4050" s="727" t="str">
        <f>L4049</f>
        <v>UN</v>
      </c>
      <c r="T4050" s="373"/>
      <c r="U4050" s="486"/>
      <c r="V4050" s="1418">
        <f t="shared" si="407"/>
        <v>0</v>
      </c>
      <c r="AB4050" s="15"/>
    </row>
    <row r="4051" spans="1:36" s="77" customFormat="1" ht="15.6" hidden="1">
      <c r="A4051" s="364" t="s">
        <v>720</v>
      </c>
      <c r="B4051" s="499"/>
      <c r="C4051" s="37"/>
      <c r="D4051" s="2013"/>
      <c r="E4051" s="2014"/>
      <c r="F4051" s="2014"/>
      <c r="G4051" s="2014"/>
      <c r="H4051" s="2014"/>
      <c r="I4051" s="2015"/>
      <c r="J4051" s="2016"/>
      <c r="K4051" s="2017"/>
      <c r="L4051" s="1962"/>
      <c r="M4051" s="2007" t="s">
        <v>1524</v>
      </c>
      <c r="N4051" s="2008"/>
      <c r="O4051" s="2008"/>
      <c r="P4051" s="2008"/>
      <c r="Q4051" s="2009"/>
      <c r="R4051" s="1345">
        <f>R4049-R4050</f>
        <v>0</v>
      </c>
      <c r="S4051" s="1346" t="str">
        <f>L4049</f>
        <v>UN</v>
      </c>
      <c r="T4051" s="373"/>
      <c r="U4051" s="486"/>
      <c r="V4051" s="1418">
        <f>R4051</f>
        <v>0</v>
      </c>
      <c r="AB4051" s="15"/>
    </row>
    <row r="4052" spans="1:36" s="77" customFormat="1" ht="15.6" hidden="1">
      <c r="A4052" s="370"/>
      <c r="B4052" s="1347"/>
      <c r="C4052" s="1348"/>
      <c r="D4052" s="1349"/>
      <c r="E4052" s="1350"/>
      <c r="F4052" s="1349"/>
      <c r="G4052" s="1349"/>
      <c r="H4052" s="1349"/>
      <c r="I4052" s="1349"/>
      <c r="J4052" s="1351"/>
      <c r="K4052" s="1352"/>
      <c r="L4052" s="1353"/>
      <c r="M4052" s="1354"/>
      <c r="N4052" s="1354"/>
      <c r="O4052" s="1354"/>
      <c r="P4052" s="1354"/>
      <c r="Q4052" s="1354"/>
      <c r="R4052" s="1355"/>
      <c r="S4052" s="1356"/>
      <c r="T4052" s="1357"/>
      <c r="U4052" s="1358"/>
      <c r="V4052" s="1420">
        <f>SUM(V4043:V4051)</f>
        <v>0</v>
      </c>
      <c r="AB4052" s="15"/>
    </row>
    <row r="4053" spans="1:36" s="352" customFormat="1" ht="15.6" hidden="1">
      <c r="A4053" s="351"/>
      <c r="B4053" s="1963" t="str">
        <f>VLOOKUP(A4061,'11 - FINANCEIRA'!_xlnm.Print_Area,1,FALSE)</f>
        <v>2.5.5.26</v>
      </c>
      <c r="C4053" s="1965" t="str">
        <f>VLOOKUP(A4061,'11 - FINANCEIRA'!_xlnm.Print_Area,3,FALSE)</f>
        <v>Aterramento com haste de terra 5/8"x2.40m, cabo de cobre nú 25mm²</v>
      </c>
      <c r="D4053" s="1967" t="s">
        <v>1503</v>
      </c>
      <c r="E4053" s="1968"/>
      <c r="F4053" s="1968"/>
      <c r="G4053" s="1968"/>
      <c r="H4053" s="1968"/>
      <c r="I4053" s="1969"/>
      <c r="J4053" s="1914" t="s">
        <v>1504</v>
      </c>
      <c r="K4053" s="1914" t="s">
        <v>1505</v>
      </c>
      <c r="L4053" s="1914" t="s">
        <v>1506</v>
      </c>
      <c r="M4053" s="1914" t="s">
        <v>1507</v>
      </c>
      <c r="N4053" s="1914" t="s">
        <v>1508</v>
      </c>
      <c r="O4053" s="1914" t="s">
        <v>1509</v>
      </c>
      <c r="P4053" s="1341" t="s">
        <v>1510</v>
      </c>
      <c r="Q4053" s="1914" t="s">
        <v>1493</v>
      </c>
      <c r="R4053" s="1916" t="s">
        <v>804</v>
      </c>
      <c r="S4053" s="1914" t="s">
        <v>1511</v>
      </c>
      <c r="T4053" s="1914" t="s">
        <v>1512</v>
      </c>
      <c r="U4053" s="1918" t="s">
        <v>1513</v>
      </c>
      <c r="V4053" s="1418">
        <f t="shared" ref="V4053:V4060" si="408">V4054</f>
        <v>0</v>
      </c>
      <c r="W4053" s="16"/>
      <c r="X4053" s="16"/>
      <c r="Y4053" s="16"/>
      <c r="Z4053" s="17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</row>
    <row r="4054" spans="1:36" s="352" customFormat="1" ht="15.6" hidden="1">
      <c r="A4054" s="351"/>
      <c r="B4054" s="1964" t="e">
        <f>LEFT(#REF!,5)</f>
        <v>#REF!</v>
      </c>
      <c r="C4054" s="1966" t="e">
        <f>VLOOKUP(LEFT(#REF!,5),'11 - FINANCEIRA'!_xlnm.Print_Area,2,FALSE)</f>
        <v>#REF!</v>
      </c>
      <c r="D4054" s="1920" t="s">
        <v>1514</v>
      </c>
      <c r="E4054" s="1921"/>
      <c r="F4054" s="1922"/>
      <c r="G4054" s="1923" t="s">
        <v>1515</v>
      </c>
      <c r="H4054" s="1924"/>
      <c r="I4054" s="1925"/>
      <c r="J4054" s="1915"/>
      <c r="K4054" s="1915"/>
      <c r="L4054" s="1915"/>
      <c r="M4054" s="1915"/>
      <c r="N4054" s="1915"/>
      <c r="O4054" s="1915"/>
      <c r="P4054" s="353" t="s">
        <v>1516</v>
      </c>
      <c r="Q4054" s="1915"/>
      <c r="R4054" s="1917"/>
      <c r="S4054" s="1915"/>
      <c r="T4054" s="1915"/>
      <c r="U4054" s="1919"/>
      <c r="V4054" s="1418">
        <f t="shared" si="408"/>
        <v>0</v>
      </c>
      <c r="W4054" s="16"/>
      <c r="X4054" s="16"/>
      <c r="Y4054" s="16"/>
      <c r="Z4054" s="17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</row>
    <row r="4055" spans="1:36" s="361" customFormat="1" ht="15" hidden="1">
      <c r="A4055" s="354"/>
      <c r="B4055" s="355"/>
      <c r="C4055" s="28" t="s">
        <v>1373</v>
      </c>
      <c r="D4055" s="18"/>
      <c r="E4055" s="19"/>
      <c r="F4055" s="20"/>
      <c r="G4055" s="18"/>
      <c r="H4055" s="19"/>
      <c r="I4055" s="20"/>
      <c r="J4055" s="21"/>
      <c r="K4055" s="22"/>
      <c r="L4055" s="23"/>
      <c r="M4055" s="24"/>
      <c r="N4055" s="728"/>
      <c r="O4055" s="25"/>
      <c r="P4055" s="23"/>
      <c r="Q4055" s="729"/>
      <c r="R4055" s="1109">
        <v>1</v>
      </c>
      <c r="S4055" s="730" t="s">
        <v>816</v>
      </c>
      <c r="T4055" s="446" t="s">
        <v>328</v>
      </c>
      <c r="U4055" s="44"/>
      <c r="V4055" s="1418">
        <f t="shared" si="408"/>
        <v>0</v>
      </c>
      <c r="W4055" s="357"/>
      <c r="X4055" s="357"/>
      <c r="Y4055" s="357"/>
      <c r="Z4055" s="358"/>
      <c r="AA4055" s="359"/>
      <c r="AB4055" s="360"/>
    </row>
    <row r="4056" spans="1:36" s="361" customFormat="1" ht="15" hidden="1" customHeight="1">
      <c r="A4056" s="354"/>
      <c r="B4056" s="355"/>
      <c r="C4056" s="32"/>
      <c r="D4056" s="33"/>
      <c r="E4056" s="34"/>
      <c r="F4056" s="35"/>
      <c r="G4056" s="33"/>
      <c r="H4056" s="34"/>
      <c r="I4056" s="35"/>
      <c r="J4056" s="43"/>
      <c r="K4056" s="42"/>
      <c r="L4056" s="39"/>
      <c r="M4056" s="41"/>
      <c r="N4056" s="356"/>
      <c r="O4056" s="40"/>
      <c r="P4056" s="39"/>
      <c r="Q4056" s="45"/>
      <c r="R4056" s="362"/>
      <c r="S4056" s="363"/>
      <c r="T4056" s="46"/>
      <c r="U4056" s="44"/>
      <c r="V4056" s="1418">
        <f t="shared" si="408"/>
        <v>0</v>
      </c>
      <c r="W4056" s="357"/>
      <c r="X4056" s="357"/>
      <c r="Y4056" s="357"/>
      <c r="Z4056" s="358"/>
      <c r="AA4056" s="359"/>
      <c r="AB4056" s="360"/>
    </row>
    <row r="4057" spans="1:36" s="369" customFormat="1" ht="15" hidden="1">
      <c r="A4057" s="364"/>
      <c r="B4057" s="355"/>
      <c r="C4057" s="32"/>
      <c r="D4057" s="33"/>
      <c r="E4057" s="34"/>
      <c r="F4057" s="35"/>
      <c r="G4057" s="33"/>
      <c r="H4057" s="34"/>
      <c r="I4057" s="35"/>
      <c r="J4057" s="43"/>
      <c r="K4057" s="42"/>
      <c r="L4057" s="39"/>
      <c r="M4057" s="41"/>
      <c r="N4057" s="40"/>
      <c r="O4057" s="40"/>
      <c r="P4057" s="39"/>
      <c r="Q4057" s="38"/>
      <c r="R4057" s="365"/>
      <c r="S4057" s="366"/>
      <c r="T4057" s="46"/>
      <c r="U4057" s="44"/>
      <c r="V4057" s="1418">
        <f t="shared" si="408"/>
        <v>0</v>
      </c>
      <c r="W4057" s="367"/>
      <c r="X4057" s="367"/>
      <c r="Y4057" s="367"/>
      <c r="Z4057" s="368"/>
    </row>
    <row r="4058" spans="1:36" s="77" customFormat="1" ht="15" hidden="1">
      <c r="A4058" s="370"/>
      <c r="B4058" s="29"/>
      <c r="C4058" s="30"/>
      <c r="D4058" s="18"/>
      <c r="E4058" s="19"/>
      <c r="F4058" s="20"/>
      <c r="G4058" s="18"/>
      <c r="H4058" s="19"/>
      <c r="I4058" s="20"/>
      <c r="J4058" s="21"/>
      <c r="K4058" s="22"/>
      <c r="L4058" s="23"/>
      <c r="M4058" s="24"/>
      <c r="N4058" s="25"/>
      <c r="O4058" s="25"/>
      <c r="P4058" s="23"/>
      <c r="Q4058" s="26"/>
      <c r="R4058" s="371"/>
      <c r="S4058" s="27"/>
      <c r="T4058" s="372"/>
      <c r="U4058" s="31"/>
      <c r="V4058" s="1418">
        <f t="shared" si="408"/>
        <v>0</v>
      </c>
      <c r="AB4058" s="15"/>
    </row>
    <row r="4059" spans="1:36" s="77" customFormat="1" ht="15.6" hidden="1">
      <c r="A4059" s="370"/>
      <c r="B4059" s="499"/>
      <c r="C4059" s="37"/>
      <c r="D4059" s="1929" t="s">
        <v>1520</v>
      </c>
      <c r="E4059" s="1930"/>
      <c r="F4059" s="1930"/>
      <c r="G4059" s="1930"/>
      <c r="H4059" s="1930"/>
      <c r="I4059" s="1931"/>
      <c r="J4059" s="1932">
        <f>VLOOKUP(A4061,'11 - FINANCEIRA'!_xlnm.Print_Area,6,FALSE)</f>
        <v>1</v>
      </c>
      <c r="K4059" s="1933"/>
      <c r="L4059" s="1343" t="str">
        <f>VLOOKUP(A4061,'11 - FINANCEIRA'!_xlnm.Print_Area,4,FALSE)</f>
        <v>und</v>
      </c>
      <c r="M4059" s="1934" t="s">
        <v>1521</v>
      </c>
      <c r="N4059" s="1935"/>
      <c r="O4059" s="1935"/>
      <c r="P4059" s="1935"/>
      <c r="Q4059" s="1936"/>
      <c r="R4059" s="726">
        <f>SUM(R4055:R4058)</f>
        <v>1</v>
      </c>
      <c r="S4059" s="1344" t="str">
        <f>L4059</f>
        <v>und</v>
      </c>
      <c r="T4059" s="373"/>
      <c r="U4059" s="486"/>
      <c r="V4059" s="1418">
        <f t="shared" si="408"/>
        <v>0</v>
      </c>
      <c r="AB4059" s="15"/>
    </row>
    <row r="4060" spans="1:36" s="77" customFormat="1" ht="15.6" hidden="1">
      <c r="A4060" s="370"/>
      <c r="B4060" s="499"/>
      <c r="C4060" s="725"/>
      <c r="D4060" s="1937" t="s">
        <v>1522</v>
      </c>
      <c r="E4060" s="1938"/>
      <c r="F4060" s="1938"/>
      <c r="G4060" s="1938"/>
      <c r="H4060" s="1938"/>
      <c r="I4060" s="1939"/>
      <c r="J4060" s="1943">
        <f>R4059/J4059</f>
        <v>1</v>
      </c>
      <c r="K4060" s="1944"/>
      <c r="L4060" s="1947"/>
      <c r="M4060" s="1934" t="s">
        <v>1523</v>
      </c>
      <c r="N4060" s="1935"/>
      <c r="O4060" s="1935"/>
      <c r="P4060" s="1935"/>
      <c r="Q4060" s="1936"/>
      <c r="R4060" s="726">
        <f>VLOOKUP(A4061,'11 - FINANCEIRA'!_xlnm.Print_Area,8,FALSE)</f>
        <v>1</v>
      </c>
      <c r="S4060" s="727" t="str">
        <f>L4059</f>
        <v>und</v>
      </c>
      <c r="T4060" s="373"/>
      <c r="U4060" s="486"/>
      <c r="V4060" s="1418">
        <f t="shared" si="408"/>
        <v>0</v>
      </c>
      <c r="AB4060" s="15"/>
    </row>
    <row r="4061" spans="1:36" s="77" customFormat="1" ht="15.6" hidden="1">
      <c r="A4061" s="364" t="s">
        <v>721</v>
      </c>
      <c r="B4061" s="499"/>
      <c r="C4061" s="37"/>
      <c r="D4061" s="2013"/>
      <c r="E4061" s="2014"/>
      <c r="F4061" s="2014"/>
      <c r="G4061" s="2014"/>
      <c r="H4061" s="2014"/>
      <c r="I4061" s="2015"/>
      <c r="J4061" s="2016"/>
      <c r="K4061" s="2017"/>
      <c r="L4061" s="1962"/>
      <c r="M4061" s="2007" t="s">
        <v>1524</v>
      </c>
      <c r="N4061" s="2008"/>
      <c r="O4061" s="2008"/>
      <c r="P4061" s="2008"/>
      <c r="Q4061" s="2009"/>
      <c r="R4061" s="1345">
        <f>R4059-R4060</f>
        <v>0</v>
      </c>
      <c r="S4061" s="1346" t="str">
        <f>L4059</f>
        <v>und</v>
      </c>
      <c r="T4061" s="373"/>
      <c r="U4061" s="486"/>
      <c r="V4061" s="1418">
        <f>R4061</f>
        <v>0</v>
      </c>
      <c r="AB4061" s="15"/>
    </row>
    <row r="4062" spans="1:36" s="77" customFormat="1" ht="15.6" hidden="1">
      <c r="A4062" s="370"/>
      <c r="B4062" s="1347"/>
      <c r="C4062" s="1348"/>
      <c r="D4062" s="1349"/>
      <c r="E4062" s="1350"/>
      <c r="F4062" s="1349"/>
      <c r="G4062" s="1349"/>
      <c r="H4062" s="1349"/>
      <c r="I4062" s="1349"/>
      <c r="J4062" s="1351"/>
      <c r="K4062" s="1352"/>
      <c r="L4062" s="1353"/>
      <c r="M4062" s="1354"/>
      <c r="N4062" s="1354"/>
      <c r="O4062" s="1354"/>
      <c r="P4062" s="1354"/>
      <c r="Q4062" s="1354"/>
      <c r="R4062" s="1355"/>
      <c r="S4062" s="1356"/>
      <c r="T4062" s="1357"/>
      <c r="U4062" s="1358"/>
      <c r="V4062" s="1420">
        <f>SUM(V4053:V4061)</f>
        <v>0</v>
      </c>
      <c r="AB4062" s="15"/>
    </row>
    <row r="4063" spans="1:36" s="352" customFormat="1" ht="15.6" hidden="1">
      <c r="A4063" s="351"/>
      <c r="B4063" s="1963" t="str">
        <f>VLOOKUP(A4071,'11 - FINANCEIRA'!_xlnm.Print_Area,1,FALSE)</f>
        <v>2.5.5.27</v>
      </c>
      <c r="C4063" s="1965" t="str">
        <f>VLOOKUP(A4071,'11 - FINANCEIRA'!_xlnm.Print_Area,3,FALSE)</f>
        <v>Cabo de cobre flexível isolado, 25 mm², anti-chama 0,6/1,0 kv, para distribuição - fornecimento e instalação. af_12/2015 - verde</v>
      </c>
      <c r="D4063" s="1967" t="s">
        <v>1503</v>
      </c>
      <c r="E4063" s="1968"/>
      <c r="F4063" s="1968"/>
      <c r="G4063" s="1968"/>
      <c r="H4063" s="1968"/>
      <c r="I4063" s="1969"/>
      <c r="J4063" s="1914" t="s">
        <v>1504</v>
      </c>
      <c r="K4063" s="1914" t="s">
        <v>1505</v>
      </c>
      <c r="L4063" s="1914" t="s">
        <v>1506</v>
      </c>
      <c r="M4063" s="1914" t="s">
        <v>1507</v>
      </c>
      <c r="N4063" s="1914" t="s">
        <v>1508</v>
      </c>
      <c r="O4063" s="1914" t="s">
        <v>1509</v>
      </c>
      <c r="P4063" s="1341" t="s">
        <v>1510</v>
      </c>
      <c r="Q4063" s="1914" t="s">
        <v>1493</v>
      </c>
      <c r="R4063" s="1916" t="s">
        <v>804</v>
      </c>
      <c r="S4063" s="1914" t="s">
        <v>1511</v>
      </c>
      <c r="T4063" s="1914" t="s">
        <v>1512</v>
      </c>
      <c r="U4063" s="1918" t="s">
        <v>1513</v>
      </c>
      <c r="V4063" s="1418">
        <f t="shared" ref="V4063:V4070" si="409">V4064</f>
        <v>0</v>
      </c>
      <c r="W4063" s="16"/>
      <c r="X4063" s="16"/>
      <c r="Y4063" s="16"/>
      <c r="Z4063" s="17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</row>
    <row r="4064" spans="1:36" s="352" customFormat="1" ht="15.6" hidden="1">
      <c r="A4064" s="351"/>
      <c r="B4064" s="1964" t="e">
        <f>LEFT(#REF!,5)</f>
        <v>#REF!</v>
      </c>
      <c r="C4064" s="1966" t="e">
        <f>VLOOKUP(LEFT(#REF!,5),'11 - FINANCEIRA'!_xlnm.Print_Area,2,FALSE)</f>
        <v>#REF!</v>
      </c>
      <c r="D4064" s="1920" t="s">
        <v>1514</v>
      </c>
      <c r="E4064" s="1921"/>
      <c r="F4064" s="1922"/>
      <c r="G4064" s="1923" t="s">
        <v>1515</v>
      </c>
      <c r="H4064" s="1924"/>
      <c r="I4064" s="1925"/>
      <c r="J4064" s="1915"/>
      <c r="K4064" s="1915"/>
      <c r="L4064" s="1915"/>
      <c r="M4064" s="1915"/>
      <c r="N4064" s="1915"/>
      <c r="O4064" s="1915"/>
      <c r="P4064" s="353" t="s">
        <v>1516</v>
      </c>
      <c r="Q4064" s="1915"/>
      <c r="R4064" s="1917"/>
      <c r="S4064" s="1915"/>
      <c r="T4064" s="1915"/>
      <c r="U4064" s="1919"/>
      <c r="V4064" s="1418">
        <f t="shared" si="409"/>
        <v>0</v>
      </c>
      <c r="W4064" s="16"/>
      <c r="X4064" s="16"/>
      <c r="Y4064" s="16"/>
      <c r="Z4064" s="17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</row>
    <row r="4065" spans="1:36" s="361" customFormat="1" ht="30" hidden="1">
      <c r="A4065" s="354"/>
      <c r="B4065" s="355"/>
      <c r="C4065" s="28" t="s">
        <v>1375</v>
      </c>
      <c r="D4065" s="18"/>
      <c r="E4065" s="19"/>
      <c r="F4065" s="20"/>
      <c r="G4065" s="18"/>
      <c r="H4065" s="19"/>
      <c r="I4065" s="20"/>
      <c r="J4065" s="21"/>
      <c r="K4065" s="22"/>
      <c r="L4065" s="23"/>
      <c r="M4065" s="24"/>
      <c r="N4065" s="728"/>
      <c r="O4065" s="25"/>
      <c r="P4065" s="23"/>
      <c r="Q4065" s="729"/>
      <c r="R4065" s="1109">
        <v>20</v>
      </c>
      <c r="S4065" s="730" t="s">
        <v>809</v>
      </c>
      <c r="T4065" s="446" t="s">
        <v>328</v>
      </c>
      <c r="U4065" s="44"/>
      <c r="V4065" s="1418">
        <f t="shared" si="409"/>
        <v>0</v>
      </c>
      <c r="W4065" s="357"/>
      <c r="X4065" s="357"/>
      <c r="Y4065" s="357"/>
      <c r="Z4065" s="358"/>
      <c r="AA4065" s="359"/>
      <c r="AB4065" s="360"/>
    </row>
    <row r="4066" spans="1:36" s="361" customFormat="1" ht="15" hidden="1" customHeight="1">
      <c r="A4066" s="354"/>
      <c r="B4066" s="355"/>
      <c r="C4066" s="32"/>
      <c r="D4066" s="33"/>
      <c r="E4066" s="34"/>
      <c r="F4066" s="35"/>
      <c r="G4066" s="33"/>
      <c r="H4066" s="34"/>
      <c r="I4066" s="35"/>
      <c r="J4066" s="43"/>
      <c r="K4066" s="42"/>
      <c r="L4066" s="39"/>
      <c r="M4066" s="41"/>
      <c r="N4066" s="356"/>
      <c r="O4066" s="40"/>
      <c r="P4066" s="39"/>
      <c r="Q4066" s="45"/>
      <c r="R4066" s="362"/>
      <c r="S4066" s="363"/>
      <c r="T4066" s="46"/>
      <c r="U4066" s="44"/>
      <c r="V4066" s="1418">
        <f t="shared" si="409"/>
        <v>0</v>
      </c>
      <c r="W4066" s="357"/>
      <c r="X4066" s="357"/>
      <c r="Y4066" s="357"/>
      <c r="Z4066" s="358"/>
      <c r="AA4066" s="359"/>
      <c r="AB4066" s="360"/>
    </row>
    <row r="4067" spans="1:36" s="369" customFormat="1" ht="15" hidden="1">
      <c r="A4067" s="364"/>
      <c r="B4067" s="355"/>
      <c r="C4067" s="32"/>
      <c r="D4067" s="33"/>
      <c r="E4067" s="34"/>
      <c r="F4067" s="35"/>
      <c r="G4067" s="33"/>
      <c r="H4067" s="34"/>
      <c r="I4067" s="35"/>
      <c r="J4067" s="43"/>
      <c r="K4067" s="42"/>
      <c r="L4067" s="39"/>
      <c r="M4067" s="41"/>
      <c r="N4067" s="40"/>
      <c r="O4067" s="40"/>
      <c r="P4067" s="39"/>
      <c r="Q4067" s="38"/>
      <c r="R4067" s="365"/>
      <c r="S4067" s="366"/>
      <c r="T4067" s="46"/>
      <c r="U4067" s="44"/>
      <c r="V4067" s="1418">
        <f t="shared" si="409"/>
        <v>0</v>
      </c>
      <c r="W4067" s="367"/>
      <c r="X4067" s="367"/>
      <c r="Y4067" s="367"/>
      <c r="Z4067" s="368"/>
    </row>
    <row r="4068" spans="1:36" s="77" customFormat="1" ht="15" hidden="1">
      <c r="A4068" s="370"/>
      <c r="B4068" s="29"/>
      <c r="C4068" s="30"/>
      <c r="D4068" s="18"/>
      <c r="E4068" s="19"/>
      <c r="F4068" s="20"/>
      <c r="G4068" s="18"/>
      <c r="H4068" s="19"/>
      <c r="I4068" s="20"/>
      <c r="J4068" s="21"/>
      <c r="K4068" s="22"/>
      <c r="L4068" s="23"/>
      <c r="M4068" s="24"/>
      <c r="N4068" s="25"/>
      <c r="O4068" s="25"/>
      <c r="P4068" s="23"/>
      <c r="Q4068" s="26"/>
      <c r="R4068" s="371"/>
      <c r="S4068" s="27"/>
      <c r="T4068" s="372"/>
      <c r="U4068" s="31"/>
      <c r="V4068" s="1418">
        <f t="shared" si="409"/>
        <v>0</v>
      </c>
      <c r="AB4068" s="15"/>
    </row>
    <row r="4069" spans="1:36" s="77" customFormat="1" ht="15.6" hidden="1">
      <c r="A4069" s="370"/>
      <c r="B4069" s="499"/>
      <c r="C4069" s="37"/>
      <c r="D4069" s="1929" t="s">
        <v>1520</v>
      </c>
      <c r="E4069" s="1930"/>
      <c r="F4069" s="1930"/>
      <c r="G4069" s="1930"/>
      <c r="H4069" s="1930"/>
      <c r="I4069" s="1931"/>
      <c r="J4069" s="1932">
        <f>VLOOKUP(A4071,'11 - FINANCEIRA'!_xlnm.Print_Area,6,FALSE)</f>
        <v>20</v>
      </c>
      <c r="K4069" s="1933"/>
      <c r="L4069" s="1343" t="str">
        <f>VLOOKUP(A4071,'11 - FINANCEIRA'!_xlnm.Print_Area,4,FALSE)</f>
        <v>m</v>
      </c>
      <c r="M4069" s="1934" t="s">
        <v>1521</v>
      </c>
      <c r="N4069" s="1935"/>
      <c r="O4069" s="1935"/>
      <c r="P4069" s="1935"/>
      <c r="Q4069" s="1936"/>
      <c r="R4069" s="726">
        <f>SUM(R4065:R4068)</f>
        <v>20</v>
      </c>
      <c r="S4069" s="1344" t="str">
        <f>L4069</f>
        <v>m</v>
      </c>
      <c r="T4069" s="373"/>
      <c r="U4069" s="486"/>
      <c r="V4069" s="1418">
        <f t="shared" si="409"/>
        <v>0</v>
      </c>
      <c r="AB4069" s="15"/>
    </row>
    <row r="4070" spans="1:36" s="77" customFormat="1" ht="15.6" hidden="1">
      <c r="A4070" s="370"/>
      <c r="B4070" s="499"/>
      <c r="C4070" s="725"/>
      <c r="D4070" s="1937" t="s">
        <v>1522</v>
      </c>
      <c r="E4070" s="1938"/>
      <c r="F4070" s="1938"/>
      <c r="G4070" s="1938"/>
      <c r="H4070" s="1938"/>
      <c r="I4070" s="1939"/>
      <c r="J4070" s="1943">
        <f>R4069/J4069</f>
        <v>1</v>
      </c>
      <c r="K4070" s="1944"/>
      <c r="L4070" s="1947"/>
      <c r="M4070" s="1934" t="s">
        <v>1523</v>
      </c>
      <c r="N4070" s="1935"/>
      <c r="O4070" s="1935"/>
      <c r="P4070" s="1935"/>
      <c r="Q4070" s="1936"/>
      <c r="R4070" s="726">
        <f>VLOOKUP(A4071,'11 - FINANCEIRA'!_xlnm.Print_Area,8,FALSE)</f>
        <v>20</v>
      </c>
      <c r="S4070" s="727" t="str">
        <f>L4069</f>
        <v>m</v>
      </c>
      <c r="T4070" s="373"/>
      <c r="U4070" s="486"/>
      <c r="V4070" s="1418">
        <f t="shared" si="409"/>
        <v>0</v>
      </c>
      <c r="AB4070" s="15"/>
    </row>
    <row r="4071" spans="1:36" s="77" customFormat="1" ht="15.6" hidden="1">
      <c r="A4071" s="364" t="s">
        <v>722</v>
      </c>
      <c r="B4071" s="499"/>
      <c r="C4071" s="37"/>
      <c r="D4071" s="2013"/>
      <c r="E4071" s="2014"/>
      <c r="F4071" s="2014"/>
      <c r="G4071" s="2014"/>
      <c r="H4071" s="2014"/>
      <c r="I4071" s="2015"/>
      <c r="J4071" s="2016"/>
      <c r="K4071" s="2017"/>
      <c r="L4071" s="1962"/>
      <c r="M4071" s="2007" t="s">
        <v>1524</v>
      </c>
      <c r="N4071" s="2008"/>
      <c r="O4071" s="2008"/>
      <c r="P4071" s="2008"/>
      <c r="Q4071" s="2009"/>
      <c r="R4071" s="1345">
        <f>R4069-R4070</f>
        <v>0</v>
      </c>
      <c r="S4071" s="1346" t="str">
        <f>L4069</f>
        <v>m</v>
      </c>
      <c r="T4071" s="373"/>
      <c r="U4071" s="486"/>
      <c r="V4071" s="1418">
        <f>R4071</f>
        <v>0</v>
      </c>
      <c r="AB4071" s="15"/>
    </row>
    <row r="4072" spans="1:36" s="77" customFormat="1" ht="15.6" hidden="1">
      <c r="A4072" s="370"/>
      <c r="B4072" s="1347"/>
      <c r="C4072" s="1348"/>
      <c r="D4072" s="1349"/>
      <c r="E4072" s="1350"/>
      <c r="F4072" s="1349"/>
      <c r="G4072" s="1349"/>
      <c r="H4072" s="1349"/>
      <c r="I4072" s="1349"/>
      <c r="J4072" s="1351"/>
      <c r="K4072" s="1352"/>
      <c r="L4072" s="1353"/>
      <c r="M4072" s="1354"/>
      <c r="N4072" s="1354"/>
      <c r="O4072" s="1354"/>
      <c r="P4072" s="1354"/>
      <c r="Q4072" s="1354"/>
      <c r="R4072" s="1355"/>
      <c r="S4072" s="1356"/>
      <c r="T4072" s="1357"/>
      <c r="U4072" s="1358"/>
      <c r="V4072" s="1420">
        <f>SUM(V4063:V4071)</f>
        <v>0</v>
      </c>
      <c r="AB4072" s="15"/>
    </row>
    <row r="4073" spans="1:36" s="352" customFormat="1" ht="15.6" hidden="1">
      <c r="A4073" s="351"/>
      <c r="B4073" s="1963" t="str">
        <f>VLOOKUP(A4081,'11 - FINANCEIRA'!_xlnm.Print_Area,1,FALSE)</f>
        <v>2.5.5.28</v>
      </c>
      <c r="C4073" s="1965" t="str">
        <f>VLOOKUP(A4081,'11 - FINANCEIRA'!_xlnm.Print_Area,3,FALSE)</f>
        <v>Conector de medição em latão com 2 parafusos para cabos de 16 a 50 mm², ref. tel-562, termotécnica ou equivalente</v>
      </c>
      <c r="D4073" s="1967" t="s">
        <v>1503</v>
      </c>
      <c r="E4073" s="1968"/>
      <c r="F4073" s="1968"/>
      <c r="G4073" s="1968"/>
      <c r="H4073" s="1968"/>
      <c r="I4073" s="1969"/>
      <c r="J4073" s="1914" t="s">
        <v>1504</v>
      </c>
      <c r="K4073" s="1914" t="s">
        <v>1505</v>
      </c>
      <c r="L4073" s="1914" t="s">
        <v>1506</v>
      </c>
      <c r="M4073" s="1914" t="s">
        <v>1507</v>
      </c>
      <c r="N4073" s="1914" t="s">
        <v>1508</v>
      </c>
      <c r="O4073" s="1914" t="s">
        <v>1509</v>
      </c>
      <c r="P4073" s="1341" t="s">
        <v>1510</v>
      </c>
      <c r="Q4073" s="1914" t="s">
        <v>1493</v>
      </c>
      <c r="R4073" s="1916" t="s">
        <v>804</v>
      </c>
      <c r="S4073" s="1914" t="s">
        <v>1511</v>
      </c>
      <c r="T4073" s="1914" t="s">
        <v>1512</v>
      </c>
      <c r="U4073" s="1918" t="s">
        <v>1513</v>
      </c>
      <c r="V4073" s="1418">
        <f t="shared" ref="V4073:V4080" si="410">V4074</f>
        <v>0</v>
      </c>
      <c r="W4073" s="16"/>
      <c r="X4073" s="16"/>
      <c r="Y4073" s="16"/>
      <c r="Z4073" s="17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</row>
    <row r="4074" spans="1:36" s="352" customFormat="1" ht="15.6" hidden="1">
      <c r="A4074" s="351"/>
      <c r="B4074" s="1964" t="e">
        <f>LEFT(#REF!,5)</f>
        <v>#REF!</v>
      </c>
      <c r="C4074" s="1966" t="e">
        <f>VLOOKUP(LEFT(#REF!,5),'11 - FINANCEIRA'!_xlnm.Print_Area,2,FALSE)</f>
        <v>#REF!</v>
      </c>
      <c r="D4074" s="1920" t="s">
        <v>1514</v>
      </c>
      <c r="E4074" s="1921"/>
      <c r="F4074" s="1922"/>
      <c r="G4074" s="1923" t="s">
        <v>1515</v>
      </c>
      <c r="H4074" s="1924"/>
      <c r="I4074" s="1925"/>
      <c r="J4074" s="1915"/>
      <c r="K4074" s="1915"/>
      <c r="L4074" s="1915"/>
      <c r="M4074" s="1915"/>
      <c r="N4074" s="1915"/>
      <c r="O4074" s="1915"/>
      <c r="P4074" s="353" t="s">
        <v>1516</v>
      </c>
      <c r="Q4074" s="1915"/>
      <c r="R4074" s="1917"/>
      <c r="S4074" s="1915"/>
      <c r="T4074" s="1915"/>
      <c r="U4074" s="1919"/>
      <c r="V4074" s="1418">
        <f t="shared" si="410"/>
        <v>0</v>
      </c>
      <c r="W4074" s="16"/>
      <c r="X4074" s="16"/>
      <c r="Y4074" s="16"/>
      <c r="Z4074" s="17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</row>
    <row r="4075" spans="1:36" s="361" customFormat="1" ht="30" hidden="1">
      <c r="A4075" s="354"/>
      <c r="B4075" s="355"/>
      <c r="C4075" s="28" t="s">
        <v>1266</v>
      </c>
      <c r="D4075" s="18"/>
      <c r="E4075" s="19"/>
      <c r="F4075" s="20"/>
      <c r="G4075" s="18"/>
      <c r="H4075" s="19"/>
      <c r="I4075" s="20"/>
      <c r="J4075" s="21"/>
      <c r="K4075" s="22"/>
      <c r="L4075" s="23"/>
      <c r="M4075" s="24"/>
      <c r="N4075" s="728"/>
      <c r="O4075" s="25"/>
      <c r="P4075" s="23"/>
      <c r="Q4075" s="729"/>
      <c r="R4075" s="1109">
        <v>1</v>
      </c>
      <c r="S4075" s="730" t="s">
        <v>816</v>
      </c>
      <c r="T4075" s="446" t="s">
        <v>328</v>
      </c>
      <c r="U4075" s="44"/>
      <c r="V4075" s="1418">
        <f>V4076</f>
        <v>0</v>
      </c>
      <c r="W4075" s="357"/>
      <c r="X4075" s="357"/>
      <c r="Y4075" s="357"/>
      <c r="Z4075" s="358"/>
      <c r="AA4075" s="359"/>
      <c r="AB4075" s="360"/>
    </row>
    <row r="4076" spans="1:36" s="361" customFormat="1" ht="15" hidden="1" customHeight="1">
      <c r="A4076" s="354"/>
      <c r="B4076" s="355"/>
      <c r="C4076" s="32"/>
      <c r="D4076" s="33"/>
      <c r="E4076" s="34"/>
      <c r="F4076" s="35"/>
      <c r="G4076" s="33"/>
      <c r="H4076" s="34"/>
      <c r="I4076" s="35"/>
      <c r="J4076" s="43"/>
      <c r="K4076" s="42"/>
      <c r="L4076" s="39"/>
      <c r="M4076" s="41"/>
      <c r="N4076" s="356"/>
      <c r="O4076" s="40"/>
      <c r="P4076" s="39"/>
      <c r="Q4076" s="45"/>
      <c r="R4076" s="362"/>
      <c r="S4076" s="363"/>
      <c r="T4076" s="46"/>
      <c r="U4076" s="44"/>
      <c r="V4076" s="1418">
        <f t="shared" si="410"/>
        <v>0</v>
      </c>
      <c r="W4076" s="357"/>
      <c r="X4076" s="357"/>
      <c r="Y4076" s="357"/>
      <c r="Z4076" s="358"/>
      <c r="AA4076" s="359"/>
      <c r="AB4076" s="360"/>
    </row>
    <row r="4077" spans="1:36" s="369" customFormat="1" ht="15" hidden="1">
      <c r="A4077" s="364"/>
      <c r="B4077" s="355"/>
      <c r="C4077" s="32"/>
      <c r="D4077" s="33"/>
      <c r="E4077" s="34"/>
      <c r="F4077" s="35"/>
      <c r="G4077" s="33"/>
      <c r="H4077" s="34"/>
      <c r="I4077" s="35"/>
      <c r="J4077" s="43"/>
      <c r="K4077" s="42"/>
      <c r="L4077" s="39"/>
      <c r="M4077" s="41"/>
      <c r="N4077" s="40"/>
      <c r="O4077" s="40"/>
      <c r="P4077" s="39"/>
      <c r="Q4077" s="38"/>
      <c r="R4077" s="365"/>
      <c r="S4077" s="366"/>
      <c r="T4077" s="46"/>
      <c r="U4077" s="44"/>
      <c r="V4077" s="1418">
        <f t="shared" si="410"/>
        <v>0</v>
      </c>
      <c r="W4077" s="367"/>
      <c r="X4077" s="367"/>
      <c r="Y4077" s="367"/>
      <c r="Z4077" s="368"/>
    </row>
    <row r="4078" spans="1:36" s="77" customFormat="1" ht="15" hidden="1">
      <c r="A4078" s="370"/>
      <c r="B4078" s="29"/>
      <c r="C4078" s="30"/>
      <c r="D4078" s="18"/>
      <c r="E4078" s="19"/>
      <c r="F4078" s="20"/>
      <c r="G4078" s="18"/>
      <c r="H4078" s="19"/>
      <c r="I4078" s="20"/>
      <c r="J4078" s="21"/>
      <c r="K4078" s="22"/>
      <c r="L4078" s="23"/>
      <c r="M4078" s="24"/>
      <c r="N4078" s="25"/>
      <c r="O4078" s="25"/>
      <c r="P4078" s="23"/>
      <c r="Q4078" s="26"/>
      <c r="R4078" s="371"/>
      <c r="S4078" s="27"/>
      <c r="T4078" s="372"/>
      <c r="U4078" s="31"/>
      <c r="V4078" s="1418">
        <f t="shared" si="410"/>
        <v>0</v>
      </c>
      <c r="AB4078" s="15"/>
    </row>
    <row r="4079" spans="1:36" s="77" customFormat="1" ht="15.6" hidden="1">
      <c r="A4079" s="370"/>
      <c r="B4079" s="499"/>
      <c r="C4079" s="37"/>
      <c r="D4079" s="1929" t="s">
        <v>1520</v>
      </c>
      <c r="E4079" s="1930"/>
      <c r="F4079" s="1930"/>
      <c r="G4079" s="1930"/>
      <c r="H4079" s="1930"/>
      <c r="I4079" s="1931"/>
      <c r="J4079" s="1932">
        <f>VLOOKUP(A4081,'11 - FINANCEIRA'!_xlnm.Print_Area,6,FALSE)</f>
        <v>1</v>
      </c>
      <c r="K4079" s="1933"/>
      <c r="L4079" s="1343" t="str">
        <f>VLOOKUP(A4081,'11 - FINANCEIRA'!_xlnm.Print_Area,4,FALSE)</f>
        <v>und</v>
      </c>
      <c r="M4079" s="1934" t="s">
        <v>1521</v>
      </c>
      <c r="N4079" s="1935"/>
      <c r="O4079" s="1935"/>
      <c r="P4079" s="1935"/>
      <c r="Q4079" s="1936"/>
      <c r="R4079" s="726">
        <f>SUM(R4075:R4078)</f>
        <v>1</v>
      </c>
      <c r="S4079" s="1344" t="str">
        <f>L4079</f>
        <v>und</v>
      </c>
      <c r="T4079" s="373"/>
      <c r="U4079" s="486"/>
      <c r="V4079" s="1418">
        <f t="shared" si="410"/>
        <v>0</v>
      </c>
      <c r="AB4079" s="15"/>
    </row>
    <row r="4080" spans="1:36" s="77" customFormat="1" ht="15.6" hidden="1">
      <c r="A4080" s="370"/>
      <c r="B4080" s="499"/>
      <c r="C4080" s="725"/>
      <c r="D4080" s="1937" t="s">
        <v>1522</v>
      </c>
      <c r="E4080" s="1938"/>
      <c r="F4080" s="1938"/>
      <c r="G4080" s="1938"/>
      <c r="H4080" s="1938"/>
      <c r="I4080" s="1939"/>
      <c r="J4080" s="1943">
        <f>R4079/J4079</f>
        <v>1</v>
      </c>
      <c r="K4080" s="1944"/>
      <c r="L4080" s="1947"/>
      <c r="M4080" s="1934" t="s">
        <v>1523</v>
      </c>
      <c r="N4080" s="1935"/>
      <c r="O4080" s="1935"/>
      <c r="P4080" s="1935"/>
      <c r="Q4080" s="1936"/>
      <c r="R4080" s="726">
        <f>VLOOKUP(A4081,'11 - FINANCEIRA'!_xlnm.Print_Area,8,FALSE)</f>
        <v>1</v>
      </c>
      <c r="S4080" s="727" t="str">
        <f>L4079</f>
        <v>und</v>
      </c>
      <c r="T4080" s="373"/>
      <c r="U4080" s="486"/>
      <c r="V4080" s="1418">
        <f t="shared" si="410"/>
        <v>0</v>
      </c>
      <c r="AB4080" s="15"/>
    </row>
    <row r="4081" spans="1:36" s="77" customFormat="1" ht="15.6" hidden="1">
      <c r="A4081" s="364" t="s">
        <v>723</v>
      </c>
      <c r="B4081" s="499"/>
      <c r="C4081" s="37"/>
      <c r="D4081" s="2013"/>
      <c r="E4081" s="2014"/>
      <c r="F4081" s="2014"/>
      <c r="G4081" s="2014"/>
      <c r="H4081" s="2014"/>
      <c r="I4081" s="2015"/>
      <c r="J4081" s="2016"/>
      <c r="K4081" s="2017"/>
      <c r="L4081" s="1962"/>
      <c r="M4081" s="2007" t="s">
        <v>1524</v>
      </c>
      <c r="N4081" s="2008"/>
      <c r="O4081" s="2008"/>
      <c r="P4081" s="2008"/>
      <c r="Q4081" s="2009"/>
      <c r="R4081" s="1345">
        <f>R4079-R4080</f>
        <v>0</v>
      </c>
      <c r="S4081" s="1346" t="str">
        <f>L4079</f>
        <v>und</v>
      </c>
      <c r="T4081" s="373"/>
      <c r="U4081" s="486"/>
      <c r="V4081" s="1418">
        <f>R4081</f>
        <v>0</v>
      </c>
      <c r="AB4081" s="15"/>
    </row>
    <row r="4082" spans="1:36" s="77" customFormat="1" ht="15.6" hidden="1">
      <c r="A4082" s="370"/>
      <c r="B4082" s="1347"/>
      <c r="C4082" s="1348"/>
      <c r="D4082" s="1349"/>
      <c r="E4082" s="1350"/>
      <c r="F4082" s="1349"/>
      <c r="G4082" s="1349"/>
      <c r="H4082" s="1349"/>
      <c r="I4082" s="1349"/>
      <c r="J4082" s="1351"/>
      <c r="K4082" s="1352"/>
      <c r="L4082" s="1353"/>
      <c r="M4082" s="1354"/>
      <c r="N4082" s="1354"/>
      <c r="O4082" s="1354"/>
      <c r="P4082" s="1354"/>
      <c r="Q4082" s="1354"/>
      <c r="R4082" s="1355"/>
      <c r="S4082" s="1356"/>
      <c r="T4082" s="1357"/>
      <c r="U4082" s="1358"/>
      <c r="V4082" s="1420">
        <f>SUM(V4073:V4081)</f>
        <v>0</v>
      </c>
      <c r="AB4082" s="15"/>
    </row>
    <row r="4083" spans="1:36" s="352" customFormat="1" ht="15.6" hidden="1">
      <c r="A4083" s="351"/>
      <c r="B4083" s="1963" t="str">
        <f>VLOOKUP(A4091,'11 - FINANCEIRA'!_xlnm.Print_Area,1,FALSE)</f>
        <v>2.5.5.29</v>
      </c>
      <c r="C4083" s="1965" t="str">
        <f>VLOOKUP(A4091,'11 - FINANCEIRA'!_xlnm.Print_Area,3,FALSE)</f>
        <v>Câmera ip speed dome 2mp com 37x de zoom, resolução full hd, com análise inteligente de vídeo, mapa de calor e detecção de face, alimentação: 24 vac / 3 a, poe+ (ieee 802.3at), ip67 e ik10, ref: vip 7237 sd intelbras ou similar com suporte conforme projeto</v>
      </c>
      <c r="D4083" s="1967" t="s">
        <v>1503</v>
      </c>
      <c r="E4083" s="1968"/>
      <c r="F4083" s="1968"/>
      <c r="G4083" s="1968"/>
      <c r="H4083" s="1968"/>
      <c r="I4083" s="1969"/>
      <c r="J4083" s="1914" t="s">
        <v>1504</v>
      </c>
      <c r="K4083" s="1914" t="s">
        <v>1505</v>
      </c>
      <c r="L4083" s="1914" t="s">
        <v>1506</v>
      </c>
      <c r="M4083" s="1914" t="s">
        <v>1507</v>
      </c>
      <c r="N4083" s="1914" t="s">
        <v>1508</v>
      </c>
      <c r="O4083" s="1914" t="s">
        <v>1509</v>
      </c>
      <c r="P4083" s="1341" t="s">
        <v>1510</v>
      </c>
      <c r="Q4083" s="1914" t="s">
        <v>1493</v>
      </c>
      <c r="R4083" s="1916" t="s">
        <v>804</v>
      </c>
      <c r="S4083" s="1914" t="s">
        <v>1511</v>
      </c>
      <c r="T4083" s="1914" t="s">
        <v>1512</v>
      </c>
      <c r="U4083" s="1918" t="s">
        <v>1513</v>
      </c>
      <c r="V4083" s="1418">
        <f t="shared" ref="V4083:V4090" si="411">V4084</f>
        <v>0</v>
      </c>
      <c r="W4083" s="16"/>
      <c r="X4083" s="16"/>
      <c r="Y4083" s="16"/>
      <c r="Z4083" s="17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</row>
    <row r="4084" spans="1:36" s="352" customFormat="1" ht="15.6" hidden="1">
      <c r="A4084" s="351"/>
      <c r="B4084" s="1964" t="e">
        <f>LEFT(#REF!,5)</f>
        <v>#REF!</v>
      </c>
      <c r="C4084" s="1966" t="e">
        <f>VLOOKUP(LEFT(#REF!,5),'11 - FINANCEIRA'!_xlnm.Print_Area,2,FALSE)</f>
        <v>#REF!</v>
      </c>
      <c r="D4084" s="1920" t="s">
        <v>1514</v>
      </c>
      <c r="E4084" s="1921"/>
      <c r="F4084" s="1922"/>
      <c r="G4084" s="1923" t="s">
        <v>1515</v>
      </c>
      <c r="H4084" s="1924"/>
      <c r="I4084" s="1925"/>
      <c r="J4084" s="1915"/>
      <c r="K4084" s="1915"/>
      <c r="L4084" s="1915"/>
      <c r="M4084" s="1915"/>
      <c r="N4084" s="1915"/>
      <c r="O4084" s="1915"/>
      <c r="P4084" s="353" t="s">
        <v>1516</v>
      </c>
      <c r="Q4084" s="1915"/>
      <c r="R4084" s="1917"/>
      <c r="S4084" s="1915"/>
      <c r="T4084" s="1915"/>
      <c r="U4084" s="1919"/>
      <c r="V4084" s="1418">
        <f t="shared" si="411"/>
        <v>0</v>
      </c>
      <c r="W4084" s="16"/>
      <c r="X4084" s="16"/>
      <c r="Y4084" s="16"/>
      <c r="Z4084" s="17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</row>
    <row r="4085" spans="1:36" s="361" customFormat="1" ht="45" hidden="1">
      <c r="A4085" s="354"/>
      <c r="B4085" s="355"/>
      <c r="C4085" s="28" t="s">
        <v>1377</v>
      </c>
      <c r="D4085" s="18"/>
      <c r="E4085" s="19"/>
      <c r="F4085" s="20"/>
      <c r="G4085" s="18"/>
      <c r="H4085" s="19"/>
      <c r="I4085" s="20"/>
      <c r="J4085" s="21"/>
      <c r="K4085" s="22"/>
      <c r="L4085" s="23"/>
      <c r="M4085" s="24"/>
      <c r="N4085" s="728"/>
      <c r="O4085" s="25"/>
      <c r="P4085" s="23"/>
      <c r="Q4085" s="729"/>
      <c r="R4085" s="1109">
        <v>2</v>
      </c>
      <c r="S4085" s="730" t="s">
        <v>816</v>
      </c>
      <c r="T4085" s="446" t="s">
        <v>328</v>
      </c>
      <c r="U4085" s="44"/>
      <c r="V4085" s="1418">
        <f t="shared" si="411"/>
        <v>0</v>
      </c>
      <c r="W4085" s="357"/>
      <c r="X4085" s="357"/>
      <c r="Y4085" s="357"/>
      <c r="Z4085" s="358"/>
      <c r="AA4085" s="359"/>
      <c r="AB4085" s="360"/>
    </row>
    <row r="4086" spans="1:36" s="361" customFormat="1" ht="15" hidden="1" customHeight="1">
      <c r="A4086" s="354"/>
      <c r="B4086" s="355"/>
      <c r="C4086" s="32"/>
      <c r="D4086" s="33"/>
      <c r="E4086" s="34"/>
      <c r="F4086" s="35"/>
      <c r="G4086" s="33"/>
      <c r="H4086" s="34"/>
      <c r="I4086" s="35"/>
      <c r="J4086" s="43"/>
      <c r="K4086" s="42"/>
      <c r="L4086" s="39"/>
      <c r="M4086" s="41"/>
      <c r="N4086" s="356"/>
      <c r="O4086" s="40"/>
      <c r="P4086" s="39"/>
      <c r="Q4086" s="45"/>
      <c r="R4086" s="362"/>
      <c r="S4086" s="363"/>
      <c r="T4086" s="46"/>
      <c r="U4086" s="44"/>
      <c r="V4086" s="1418">
        <f t="shared" si="411"/>
        <v>0</v>
      </c>
      <c r="W4086" s="357"/>
      <c r="X4086" s="357"/>
      <c r="Y4086" s="357"/>
      <c r="Z4086" s="358"/>
      <c r="AA4086" s="359"/>
      <c r="AB4086" s="360"/>
    </row>
    <row r="4087" spans="1:36" s="369" customFormat="1" ht="15" hidden="1">
      <c r="A4087" s="364"/>
      <c r="B4087" s="355"/>
      <c r="C4087" s="32"/>
      <c r="D4087" s="33"/>
      <c r="E4087" s="34"/>
      <c r="F4087" s="35"/>
      <c r="G4087" s="33"/>
      <c r="H4087" s="34"/>
      <c r="I4087" s="35"/>
      <c r="J4087" s="43"/>
      <c r="K4087" s="42"/>
      <c r="L4087" s="39"/>
      <c r="M4087" s="41"/>
      <c r="N4087" s="40"/>
      <c r="O4087" s="40"/>
      <c r="P4087" s="39"/>
      <c r="Q4087" s="38"/>
      <c r="R4087" s="365"/>
      <c r="S4087" s="366"/>
      <c r="T4087" s="46"/>
      <c r="U4087" s="44"/>
      <c r="V4087" s="1418">
        <f t="shared" si="411"/>
        <v>0</v>
      </c>
      <c r="W4087" s="367"/>
      <c r="X4087" s="367"/>
      <c r="Y4087" s="367"/>
      <c r="Z4087" s="368"/>
    </row>
    <row r="4088" spans="1:36" s="77" customFormat="1" ht="15" hidden="1">
      <c r="A4088" s="370"/>
      <c r="B4088" s="29"/>
      <c r="C4088" s="30"/>
      <c r="D4088" s="18"/>
      <c r="E4088" s="19"/>
      <c r="F4088" s="20"/>
      <c r="G4088" s="18"/>
      <c r="H4088" s="19"/>
      <c r="I4088" s="20"/>
      <c r="J4088" s="21"/>
      <c r="K4088" s="22"/>
      <c r="L4088" s="23"/>
      <c r="M4088" s="24"/>
      <c r="N4088" s="25"/>
      <c r="O4088" s="25"/>
      <c r="P4088" s="23"/>
      <c r="Q4088" s="26"/>
      <c r="R4088" s="371"/>
      <c r="S4088" s="27"/>
      <c r="T4088" s="372"/>
      <c r="U4088" s="31"/>
      <c r="V4088" s="1418">
        <f t="shared" si="411"/>
        <v>0</v>
      </c>
      <c r="AB4088" s="15"/>
    </row>
    <row r="4089" spans="1:36" s="77" customFormat="1" ht="15.6" hidden="1">
      <c r="A4089" s="370"/>
      <c r="B4089" s="499"/>
      <c r="C4089" s="37"/>
      <c r="D4089" s="1929" t="s">
        <v>1520</v>
      </c>
      <c r="E4089" s="1930"/>
      <c r="F4089" s="1930"/>
      <c r="G4089" s="1930"/>
      <c r="H4089" s="1930"/>
      <c r="I4089" s="1931"/>
      <c r="J4089" s="1932">
        <f>VLOOKUP(A4091,'11 - FINANCEIRA'!_xlnm.Print_Area,6,FALSE)</f>
        <v>2</v>
      </c>
      <c r="K4089" s="1933"/>
      <c r="L4089" s="1343" t="str">
        <f>VLOOKUP(A4091,'11 - FINANCEIRA'!_xlnm.Print_Area,4,FALSE)</f>
        <v>und</v>
      </c>
      <c r="M4089" s="1934" t="s">
        <v>1521</v>
      </c>
      <c r="N4089" s="1935"/>
      <c r="O4089" s="1935"/>
      <c r="P4089" s="1935"/>
      <c r="Q4089" s="1936"/>
      <c r="R4089" s="726">
        <f>SUM(R4085:R4088)</f>
        <v>2</v>
      </c>
      <c r="S4089" s="1344" t="str">
        <f>L4089</f>
        <v>und</v>
      </c>
      <c r="T4089" s="373"/>
      <c r="U4089" s="486"/>
      <c r="V4089" s="1418">
        <f t="shared" si="411"/>
        <v>0</v>
      </c>
      <c r="AB4089" s="15"/>
    </row>
    <row r="4090" spans="1:36" s="77" customFormat="1" ht="15.6" hidden="1">
      <c r="A4090" s="370"/>
      <c r="B4090" s="499"/>
      <c r="C4090" s="725"/>
      <c r="D4090" s="1937" t="s">
        <v>1522</v>
      </c>
      <c r="E4090" s="1938"/>
      <c r="F4090" s="1938"/>
      <c r="G4090" s="1938"/>
      <c r="H4090" s="1938"/>
      <c r="I4090" s="1939"/>
      <c r="J4090" s="1943">
        <f>R4089/J4089</f>
        <v>1</v>
      </c>
      <c r="K4090" s="1944"/>
      <c r="L4090" s="1947"/>
      <c r="M4090" s="1934" t="s">
        <v>1523</v>
      </c>
      <c r="N4090" s="1935"/>
      <c r="O4090" s="1935"/>
      <c r="P4090" s="1935"/>
      <c r="Q4090" s="1936"/>
      <c r="R4090" s="726">
        <f>VLOOKUP(A4091,'11 - FINANCEIRA'!_xlnm.Print_Area,8,FALSE)</f>
        <v>2</v>
      </c>
      <c r="S4090" s="727" t="str">
        <f>L4089</f>
        <v>und</v>
      </c>
      <c r="T4090" s="373"/>
      <c r="U4090" s="486"/>
      <c r="V4090" s="1418">
        <f t="shared" si="411"/>
        <v>0</v>
      </c>
      <c r="AB4090" s="15"/>
    </row>
    <row r="4091" spans="1:36" s="77" customFormat="1" ht="15.6" hidden="1">
      <c r="A4091" s="364" t="s">
        <v>724</v>
      </c>
      <c r="B4091" s="499"/>
      <c r="C4091" s="37"/>
      <c r="D4091" s="2013"/>
      <c r="E4091" s="2014"/>
      <c r="F4091" s="2014"/>
      <c r="G4091" s="2014"/>
      <c r="H4091" s="2014"/>
      <c r="I4091" s="2015"/>
      <c r="J4091" s="2016"/>
      <c r="K4091" s="2017"/>
      <c r="L4091" s="1962"/>
      <c r="M4091" s="2007" t="s">
        <v>1524</v>
      </c>
      <c r="N4091" s="2008"/>
      <c r="O4091" s="2008"/>
      <c r="P4091" s="2008"/>
      <c r="Q4091" s="2009"/>
      <c r="R4091" s="1345">
        <f>R4089-R4090</f>
        <v>0</v>
      </c>
      <c r="S4091" s="1346" t="str">
        <f>L4089</f>
        <v>und</v>
      </c>
      <c r="T4091" s="373"/>
      <c r="U4091" s="486"/>
      <c r="V4091" s="1418">
        <f>R4091</f>
        <v>0</v>
      </c>
      <c r="AB4091" s="15"/>
    </row>
    <row r="4092" spans="1:36" s="77" customFormat="1" ht="15.6" hidden="1">
      <c r="A4092" s="370"/>
      <c r="B4092" s="1347"/>
      <c r="C4092" s="1348"/>
      <c r="D4092" s="1349"/>
      <c r="E4092" s="1350"/>
      <c r="F4092" s="1349"/>
      <c r="G4092" s="1349"/>
      <c r="H4092" s="1349"/>
      <c r="I4092" s="1349"/>
      <c r="J4092" s="1351"/>
      <c r="K4092" s="1352"/>
      <c r="L4092" s="1353"/>
      <c r="M4092" s="1354"/>
      <c r="N4092" s="1354"/>
      <c r="O4092" s="1354"/>
      <c r="P4092" s="1354"/>
      <c r="Q4092" s="1354"/>
      <c r="R4092" s="1355"/>
      <c r="S4092" s="1356"/>
      <c r="T4092" s="1357"/>
      <c r="U4092" s="1358"/>
      <c r="V4092" s="1420">
        <f>SUM(V4083:V4091)</f>
        <v>0</v>
      </c>
      <c r="AB4092" s="15"/>
    </row>
    <row r="4093" spans="1:36" s="352" customFormat="1" ht="15.6" hidden="1">
      <c r="A4093" s="351"/>
      <c r="B4093" s="1963" t="str">
        <f>VLOOKUP(A4101,'11 - FINANCEIRA'!_xlnm.Print_Area,1,FALSE)</f>
        <v>2.5.5.30</v>
      </c>
      <c r="C4093" s="1965" t="str">
        <f>VLOOKUP(A4101,'11 - FINANCEIRA'!_xlnm.Print_Area,3,FALSE)</f>
        <v>Câmera ip dome, resolução de 1 mp, lente fixa de 2,8 mm, ir inteligente com alcance de 20 metros, instalação interna ou externa, alimentação: 12 vdc/poe (802.3af), ref: vip s4020 g2 intelbras com suporte conforme projeto</v>
      </c>
      <c r="D4093" s="1967" t="s">
        <v>1503</v>
      </c>
      <c r="E4093" s="1968"/>
      <c r="F4093" s="1968"/>
      <c r="G4093" s="1968"/>
      <c r="H4093" s="1968"/>
      <c r="I4093" s="1969"/>
      <c r="J4093" s="1914" t="s">
        <v>1504</v>
      </c>
      <c r="K4093" s="1914" t="s">
        <v>1505</v>
      </c>
      <c r="L4093" s="1914" t="s">
        <v>1506</v>
      </c>
      <c r="M4093" s="1914" t="s">
        <v>1507</v>
      </c>
      <c r="N4093" s="1914" t="s">
        <v>1508</v>
      </c>
      <c r="O4093" s="1914" t="s">
        <v>1509</v>
      </c>
      <c r="P4093" s="1341" t="s">
        <v>1510</v>
      </c>
      <c r="Q4093" s="1914" t="s">
        <v>1493</v>
      </c>
      <c r="R4093" s="1916" t="s">
        <v>804</v>
      </c>
      <c r="S4093" s="1914" t="s">
        <v>1511</v>
      </c>
      <c r="T4093" s="1914" t="s">
        <v>1512</v>
      </c>
      <c r="U4093" s="1918" t="s">
        <v>1513</v>
      </c>
      <c r="V4093" s="1418">
        <f t="shared" ref="V4093:V4100" si="412">V4094</f>
        <v>0</v>
      </c>
      <c r="W4093" s="16"/>
      <c r="X4093" s="16"/>
      <c r="Y4093" s="16"/>
      <c r="Z4093" s="17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</row>
    <row r="4094" spans="1:36" s="352" customFormat="1" ht="15.6" hidden="1">
      <c r="A4094" s="351"/>
      <c r="B4094" s="1964" t="e">
        <f>LEFT(#REF!,5)</f>
        <v>#REF!</v>
      </c>
      <c r="C4094" s="1966" t="e">
        <f>VLOOKUP(LEFT(#REF!,5),'11 - FINANCEIRA'!_xlnm.Print_Area,2,FALSE)</f>
        <v>#REF!</v>
      </c>
      <c r="D4094" s="1920" t="s">
        <v>1514</v>
      </c>
      <c r="E4094" s="1921"/>
      <c r="F4094" s="1922"/>
      <c r="G4094" s="1923" t="s">
        <v>1515</v>
      </c>
      <c r="H4094" s="1924"/>
      <c r="I4094" s="1925"/>
      <c r="J4094" s="1915"/>
      <c r="K4094" s="1915"/>
      <c r="L4094" s="1915"/>
      <c r="M4094" s="1915"/>
      <c r="N4094" s="1915"/>
      <c r="O4094" s="1915"/>
      <c r="P4094" s="353" t="s">
        <v>1516</v>
      </c>
      <c r="Q4094" s="1915"/>
      <c r="R4094" s="1917"/>
      <c r="S4094" s="1915"/>
      <c r="T4094" s="1915"/>
      <c r="U4094" s="1919"/>
      <c r="V4094" s="1418">
        <f t="shared" si="412"/>
        <v>0</v>
      </c>
      <c r="W4094" s="16"/>
      <c r="X4094" s="16"/>
      <c r="Y4094" s="16"/>
      <c r="Z4094" s="17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</row>
    <row r="4095" spans="1:36" s="361" customFormat="1" ht="45" hidden="1">
      <c r="A4095" s="354"/>
      <c r="B4095" s="355"/>
      <c r="C4095" s="28" t="s">
        <v>165</v>
      </c>
      <c r="D4095" s="18"/>
      <c r="E4095" s="19"/>
      <c r="F4095" s="20"/>
      <c r="G4095" s="18"/>
      <c r="H4095" s="19"/>
      <c r="I4095" s="20"/>
      <c r="J4095" s="21"/>
      <c r="K4095" s="22"/>
      <c r="L4095" s="23"/>
      <c r="M4095" s="24"/>
      <c r="N4095" s="728"/>
      <c r="O4095" s="25"/>
      <c r="P4095" s="23"/>
      <c r="Q4095" s="729"/>
      <c r="R4095" s="1109">
        <v>5</v>
      </c>
      <c r="S4095" s="730" t="s">
        <v>816</v>
      </c>
      <c r="T4095" s="446" t="s">
        <v>328</v>
      </c>
      <c r="U4095" s="44"/>
      <c r="V4095" s="1418">
        <f t="shared" si="412"/>
        <v>0</v>
      </c>
      <c r="W4095" s="357"/>
      <c r="X4095" s="357"/>
      <c r="Y4095" s="357"/>
      <c r="Z4095" s="358"/>
      <c r="AA4095" s="359"/>
      <c r="AB4095" s="360"/>
    </row>
    <row r="4096" spans="1:36" s="361" customFormat="1" ht="15" hidden="1" customHeight="1">
      <c r="A4096" s="354"/>
      <c r="B4096" s="355"/>
      <c r="C4096" s="32" t="s">
        <v>165</v>
      </c>
      <c r="D4096" s="33"/>
      <c r="E4096" s="34"/>
      <c r="F4096" s="35"/>
      <c r="G4096" s="33"/>
      <c r="H4096" s="34"/>
      <c r="I4096" s="35"/>
      <c r="J4096" s="43"/>
      <c r="K4096" s="42"/>
      <c r="L4096" s="39"/>
      <c r="M4096" s="41"/>
      <c r="N4096" s="356"/>
      <c r="O4096" s="40"/>
      <c r="P4096" s="39"/>
      <c r="Q4096" s="45"/>
      <c r="R4096" s="362">
        <v>1</v>
      </c>
      <c r="S4096" s="363" t="s">
        <v>816</v>
      </c>
      <c r="T4096" s="46" t="s">
        <v>331</v>
      </c>
      <c r="U4096" s="44"/>
      <c r="V4096" s="1418">
        <f t="shared" si="412"/>
        <v>0</v>
      </c>
      <c r="W4096" s="357"/>
      <c r="X4096" s="357"/>
      <c r="Y4096" s="357"/>
      <c r="Z4096" s="358"/>
      <c r="AA4096" s="359"/>
      <c r="AB4096" s="360"/>
    </row>
    <row r="4097" spans="1:36" s="369" customFormat="1" ht="15" hidden="1">
      <c r="A4097" s="364"/>
      <c r="B4097" s="355"/>
      <c r="C4097" s="32"/>
      <c r="D4097" s="33"/>
      <c r="E4097" s="34"/>
      <c r="F4097" s="35"/>
      <c r="G4097" s="33"/>
      <c r="H4097" s="34"/>
      <c r="I4097" s="35"/>
      <c r="J4097" s="43"/>
      <c r="K4097" s="42"/>
      <c r="L4097" s="39"/>
      <c r="M4097" s="41"/>
      <c r="N4097" s="40"/>
      <c r="O4097" s="40"/>
      <c r="P4097" s="39"/>
      <c r="Q4097" s="38"/>
      <c r="R4097" s="365"/>
      <c r="S4097" s="366"/>
      <c r="T4097" s="46"/>
      <c r="U4097" s="44"/>
      <c r="V4097" s="1418">
        <f t="shared" si="412"/>
        <v>0</v>
      </c>
      <c r="W4097" s="367"/>
      <c r="X4097" s="367"/>
      <c r="Y4097" s="367"/>
      <c r="Z4097" s="368"/>
    </row>
    <row r="4098" spans="1:36" s="77" customFormat="1" ht="15" hidden="1">
      <c r="A4098" s="370"/>
      <c r="B4098" s="29"/>
      <c r="C4098" s="30"/>
      <c r="D4098" s="18"/>
      <c r="E4098" s="19"/>
      <c r="F4098" s="20"/>
      <c r="G4098" s="18"/>
      <c r="H4098" s="19"/>
      <c r="I4098" s="20"/>
      <c r="J4098" s="21"/>
      <c r="K4098" s="22"/>
      <c r="L4098" s="23"/>
      <c r="M4098" s="24"/>
      <c r="N4098" s="25"/>
      <c r="O4098" s="25"/>
      <c r="P4098" s="23"/>
      <c r="Q4098" s="26"/>
      <c r="R4098" s="371"/>
      <c r="S4098" s="27"/>
      <c r="T4098" s="372"/>
      <c r="U4098" s="31"/>
      <c r="V4098" s="1418">
        <f t="shared" si="412"/>
        <v>0</v>
      </c>
      <c r="AB4098" s="15"/>
    </row>
    <row r="4099" spans="1:36" s="77" customFormat="1" ht="15.6" hidden="1">
      <c r="A4099" s="370"/>
      <c r="B4099" s="499"/>
      <c r="C4099" s="37"/>
      <c r="D4099" s="1929" t="s">
        <v>1520</v>
      </c>
      <c r="E4099" s="1930"/>
      <c r="F4099" s="1930"/>
      <c r="G4099" s="1930"/>
      <c r="H4099" s="1930"/>
      <c r="I4099" s="1931"/>
      <c r="J4099" s="1932">
        <f>VLOOKUP(A4101,'11 - FINANCEIRA'!_xlnm.Print_Area,6,FALSE)</f>
        <v>6</v>
      </c>
      <c r="K4099" s="1933"/>
      <c r="L4099" s="1343" t="str">
        <f>VLOOKUP(A4101,'11 - FINANCEIRA'!_xlnm.Print_Area,4,FALSE)</f>
        <v>und</v>
      </c>
      <c r="M4099" s="1934" t="s">
        <v>1521</v>
      </c>
      <c r="N4099" s="1935"/>
      <c r="O4099" s="1935"/>
      <c r="P4099" s="1935"/>
      <c r="Q4099" s="1936"/>
      <c r="R4099" s="726">
        <f>SUM(R4095:R4098)</f>
        <v>6</v>
      </c>
      <c r="S4099" s="1344" t="str">
        <f>L4099</f>
        <v>und</v>
      </c>
      <c r="T4099" s="373"/>
      <c r="U4099" s="486"/>
      <c r="V4099" s="1418">
        <f t="shared" si="412"/>
        <v>0</v>
      </c>
      <c r="AB4099" s="15"/>
    </row>
    <row r="4100" spans="1:36" s="77" customFormat="1" ht="15.6" hidden="1">
      <c r="A4100" s="370"/>
      <c r="B4100" s="499"/>
      <c r="C4100" s="725"/>
      <c r="D4100" s="1937" t="s">
        <v>1522</v>
      </c>
      <c r="E4100" s="1938"/>
      <c r="F4100" s="1938"/>
      <c r="G4100" s="1938"/>
      <c r="H4100" s="1938"/>
      <c r="I4100" s="1939"/>
      <c r="J4100" s="1943">
        <f>R4099/J4099</f>
        <v>1</v>
      </c>
      <c r="K4100" s="1944"/>
      <c r="L4100" s="1947"/>
      <c r="M4100" s="1934" t="s">
        <v>1523</v>
      </c>
      <c r="N4100" s="1935"/>
      <c r="O4100" s="1935"/>
      <c r="P4100" s="1935"/>
      <c r="Q4100" s="1936"/>
      <c r="R4100" s="726">
        <f>VLOOKUP(A4101,'11 - FINANCEIRA'!_xlnm.Print_Area,8,FALSE)</f>
        <v>6</v>
      </c>
      <c r="S4100" s="727" t="str">
        <f>L4099</f>
        <v>und</v>
      </c>
      <c r="T4100" s="373"/>
      <c r="U4100" s="486"/>
      <c r="V4100" s="1418">
        <f t="shared" si="412"/>
        <v>0</v>
      </c>
      <c r="AB4100" s="15"/>
    </row>
    <row r="4101" spans="1:36" s="77" customFormat="1" ht="15.6" hidden="1">
      <c r="A4101" s="364" t="s">
        <v>725</v>
      </c>
      <c r="B4101" s="499"/>
      <c r="C4101" s="37"/>
      <c r="D4101" s="2013"/>
      <c r="E4101" s="2014"/>
      <c r="F4101" s="2014"/>
      <c r="G4101" s="2014"/>
      <c r="H4101" s="2014"/>
      <c r="I4101" s="2015"/>
      <c r="J4101" s="2016"/>
      <c r="K4101" s="2017"/>
      <c r="L4101" s="1962"/>
      <c r="M4101" s="2007" t="s">
        <v>1524</v>
      </c>
      <c r="N4101" s="2008"/>
      <c r="O4101" s="2008"/>
      <c r="P4101" s="2008"/>
      <c r="Q4101" s="2009"/>
      <c r="R4101" s="1345">
        <f>R4099-R4100</f>
        <v>0</v>
      </c>
      <c r="S4101" s="1346" t="str">
        <f>L4099</f>
        <v>und</v>
      </c>
      <c r="T4101" s="373"/>
      <c r="U4101" s="486"/>
      <c r="V4101" s="1418">
        <f>R4101</f>
        <v>0</v>
      </c>
      <c r="AB4101" s="15"/>
    </row>
    <row r="4102" spans="1:36" s="77" customFormat="1" ht="15.6" hidden="1">
      <c r="A4102" s="370"/>
      <c r="B4102" s="1347"/>
      <c r="C4102" s="1348"/>
      <c r="D4102" s="1349"/>
      <c r="E4102" s="1350"/>
      <c r="F4102" s="1349"/>
      <c r="G4102" s="1349"/>
      <c r="H4102" s="1349"/>
      <c r="I4102" s="1349"/>
      <c r="J4102" s="1351"/>
      <c r="K4102" s="1352"/>
      <c r="L4102" s="1353"/>
      <c r="M4102" s="1354"/>
      <c r="N4102" s="1354"/>
      <c r="O4102" s="1354"/>
      <c r="P4102" s="1354"/>
      <c r="Q4102" s="1354"/>
      <c r="R4102" s="1355"/>
      <c r="S4102" s="1356"/>
      <c r="T4102" s="1357"/>
      <c r="U4102" s="1358"/>
      <c r="V4102" s="1420">
        <f>SUM(V4093:V4101)</f>
        <v>0</v>
      </c>
      <c r="AB4102" s="15"/>
    </row>
    <row r="4103" spans="1:36" s="352" customFormat="1" ht="15.6" hidden="1">
      <c r="A4103" s="351"/>
      <c r="B4103" s="1963" t="str">
        <f>VLOOKUP(A4111,'11 - FINANCEIRA'!_xlnm.Print_Area,1,FALSE)</f>
        <v>2.5.5.31</v>
      </c>
      <c r="C4103" s="1965" t="str">
        <f>VLOOKUP(A4111,'11 - FINANCEIRA'!_xlnm.Print_Area,3,FALSE)</f>
        <v>Câmera ip bullet 12mp, zoom motorizado, inteligências de vídeo, entrada e saída de alarme, alimentação: 12 vdc ou, poe+ (ieee 802.3at), ip67 e ik10, ref: vip 71250 z intelbras ou similar com suporte conforme projeto</v>
      </c>
      <c r="D4103" s="1967" t="s">
        <v>1503</v>
      </c>
      <c r="E4103" s="1968"/>
      <c r="F4103" s="1968"/>
      <c r="G4103" s="1968"/>
      <c r="H4103" s="1968"/>
      <c r="I4103" s="1969"/>
      <c r="J4103" s="1914" t="s">
        <v>1504</v>
      </c>
      <c r="K4103" s="1914" t="s">
        <v>1505</v>
      </c>
      <c r="L4103" s="1914" t="s">
        <v>1506</v>
      </c>
      <c r="M4103" s="1914" t="s">
        <v>1507</v>
      </c>
      <c r="N4103" s="1914" t="s">
        <v>1508</v>
      </c>
      <c r="O4103" s="1914" t="s">
        <v>1509</v>
      </c>
      <c r="P4103" s="1341" t="s">
        <v>1510</v>
      </c>
      <c r="Q4103" s="1914" t="s">
        <v>1493</v>
      </c>
      <c r="R4103" s="1916" t="s">
        <v>804</v>
      </c>
      <c r="S4103" s="1914" t="s">
        <v>1511</v>
      </c>
      <c r="T4103" s="1914" t="s">
        <v>1512</v>
      </c>
      <c r="U4103" s="1918" t="s">
        <v>1513</v>
      </c>
      <c r="V4103" s="1418">
        <f t="shared" ref="V4103:V4110" si="413">V4104</f>
        <v>0</v>
      </c>
      <c r="W4103" s="16"/>
      <c r="X4103" s="16"/>
      <c r="Y4103" s="16"/>
      <c r="Z4103" s="17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</row>
    <row r="4104" spans="1:36" s="352" customFormat="1" ht="15.6" hidden="1">
      <c r="A4104" s="351"/>
      <c r="B4104" s="1964" t="e">
        <f>LEFT(#REF!,5)</f>
        <v>#REF!</v>
      </c>
      <c r="C4104" s="1966" t="e">
        <f>VLOOKUP(LEFT(#REF!,5),'11 - FINANCEIRA'!_xlnm.Print_Area,2,FALSE)</f>
        <v>#REF!</v>
      </c>
      <c r="D4104" s="1920" t="s">
        <v>1514</v>
      </c>
      <c r="E4104" s="1921"/>
      <c r="F4104" s="1922"/>
      <c r="G4104" s="1923" t="s">
        <v>1515</v>
      </c>
      <c r="H4104" s="1924"/>
      <c r="I4104" s="1925"/>
      <c r="J4104" s="1915"/>
      <c r="K4104" s="1915"/>
      <c r="L4104" s="1915"/>
      <c r="M4104" s="1915"/>
      <c r="N4104" s="1915"/>
      <c r="O4104" s="1915"/>
      <c r="P4104" s="353" t="s">
        <v>1516</v>
      </c>
      <c r="Q4104" s="1915"/>
      <c r="R4104" s="1917"/>
      <c r="S4104" s="1915"/>
      <c r="T4104" s="1915"/>
      <c r="U4104" s="1919"/>
      <c r="V4104" s="1418">
        <f t="shared" si="413"/>
        <v>0</v>
      </c>
      <c r="W4104" s="16"/>
      <c r="X4104" s="16"/>
      <c r="Y4104" s="16"/>
      <c r="Z4104" s="17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</row>
    <row r="4105" spans="1:36" s="361" customFormat="1" ht="45" hidden="1">
      <c r="A4105" s="354"/>
      <c r="B4105" s="355"/>
      <c r="C4105" s="32" t="s">
        <v>166</v>
      </c>
      <c r="D4105" s="33"/>
      <c r="E4105" s="34"/>
      <c r="F4105" s="35"/>
      <c r="G4105" s="33"/>
      <c r="H4105" s="34"/>
      <c r="I4105" s="35"/>
      <c r="J4105" s="43"/>
      <c r="K4105" s="42"/>
      <c r="L4105" s="39"/>
      <c r="M4105" s="41"/>
      <c r="N4105" s="356"/>
      <c r="O4105" s="40"/>
      <c r="P4105" s="39"/>
      <c r="Q4105" s="45"/>
      <c r="R4105" s="1359">
        <v>11</v>
      </c>
      <c r="S4105" s="1265" t="s">
        <v>816</v>
      </c>
      <c r="T4105" s="46" t="s">
        <v>331</v>
      </c>
      <c r="U4105" s="44"/>
      <c r="V4105" s="1418">
        <f t="shared" si="413"/>
        <v>0</v>
      </c>
      <c r="W4105" s="357"/>
      <c r="X4105" s="357"/>
      <c r="Y4105" s="357"/>
      <c r="Z4105" s="358"/>
      <c r="AA4105" s="359"/>
      <c r="AB4105" s="360"/>
    </row>
    <row r="4106" spans="1:36" s="361" customFormat="1" ht="15" hidden="1" customHeight="1">
      <c r="A4106" s="354"/>
      <c r="B4106" s="355"/>
      <c r="C4106" s="32"/>
      <c r="D4106" s="33"/>
      <c r="E4106" s="34"/>
      <c r="F4106" s="35"/>
      <c r="G4106" s="33"/>
      <c r="H4106" s="34"/>
      <c r="I4106" s="35"/>
      <c r="J4106" s="43"/>
      <c r="K4106" s="42"/>
      <c r="L4106" s="39"/>
      <c r="M4106" s="41"/>
      <c r="N4106" s="356"/>
      <c r="O4106" s="40"/>
      <c r="P4106" s="39"/>
      <c r="Q4106" s="45"/>
      <c r="R4106" s="362"/>
      <c r="S4106" s="363"/>
      <c r="T4106" s="46"/>
      <c r="U4106" s="44"/>
      <c r="V4106" s="1418">
        <f t="shared" si="413"/>
        <v>0</v>
      </c>
      <c r="W4106" s="357"/>
      <c r="X4106" s="357"/>
      <c r="Y4106" s="357"/>
      <c r="Z4106" s="358"/>
      <c r="AA4106" s="359"/>
      <c r="AB4106" s="360"/>
    </row>
    <row r="4107" spans="1:36" s="369" customFormat="1" ht="15" hidden="1">
      <c r="A4107" s="364"/>
      <c r="B4107" s="355"/>
      <c r="C4107" s="32"/>
      <c r="D4107" s="33"/>
      <c r="E4107" s="34"/>
      <c r="F4107" s="35"/>
      <c r="G4107" s="33"/>
      <c r="H4107" s="34"/>
      <c r="I4107" s="35"/>
      <c r="J4107" s="43"/>
      <c r="K4107" s="42"/>
      <c r="L4107" s="39"/>
      <c r="M4107" s="41"/>
      <c r="N4107" s="40"/>
      <c r="O4107" s="40"/>
      <c r="P4107" s="39"/>
      <c r="Q4107" s="38"/>
      <c r="R4107" s="365"/>
      <c r="S4107" s="366"/>
      <c r="T4107" s="46"/>
      <c r="U4107" s="44"/>
      <c r="V4107" s="1418">
        <f t="shared" si="413"/>
        <v>0</v>
      </c>
      <c r="W4107" s="367"/>
      <c r="X4107" s="367"/>
      <c r="Y4107" s="367"/>
      <c r="Z4107" s="368"/>
    </row>
    <row r="4108" spans="1:36" s="77" customFormat="1" ht="15" hidden="1">
      <c r="A4108" s="370"/>
      <c r="B4108" s="29"/>
      <c r="C4108" s="30"/>
      <c r="D4108" s="18"/>
      <c r="E4108" s="19"/>
      <c r="F4108" s="20"/>
      <c r="G4108" s="18"/>
      <c r="H4108" s="19"/>
      <c r="I4108" s="20"/>
      <c r="J4108" s="21"/>
      <c r="K4108" s="22"/>
      <c r="L4108" s="23"/>
      <c r="M4108" s="24"/>
      <c r="N4108" s="25"/>
      <c r="O4108" s="25"/>
      <c r="P4108" s="23"/>
      <c r="Q4108" s="26"/>
      <c r="R4108" s="371"/>
      <c r="S4108" s="27"/>
      <c r="T4108" s="372"/>
      <c r="U4108" s="31"/>
      <c r="V4108" s="1418">
        <f t="shared" si="413"/>
        <v>0</v>
      </c>
      <c r="AB4108" s="15"/>
    </row>
    <row r="4109" spans="1:36" s="77" customFormat="1" ht="15.6" hidden="1">
      <c r="A4109" s="370"/>
      <c r="B4109" s="499"/>
      <c r="C4109" s="37"/>
      <c r="D4109" s="1929" t="s">
        <v>1520</v>
      </c>
      <c r="E4109" s="1930"/>
      <c r="F4109" s="1930"/>
      <c r="G4109" s="1930"/>
      <c r="H4109" s="1930"/>
      <c r="I4109" s="1931"/>
      <c r="J4109" s="1932">
        <f>VLOOKUP(A4111,'11 - FINANCEIRA'!_xlnm.Print_Area,6,FALSE)</f>
        <v>11</v>
      </c>
      <c r="K4109" s="1933"/>
      <c r="L4109" s="1343" t="str">
        <f>VLOOKUP(A4111,'11 - FINANCEIRA'!_xlnm.Print_Area,4,FALSE)</f>
        <v>und</v>
      </c>
      <c r="M4109" s="1934" t="s">
        <v>1521</v>
      </c>
      <c r="N4109" s="1935"/>
      <c r="O4109" s="1935"/>
      <c r="P4109" s="1935"/>
      <c r="Q4109" s="1936"/>
      <c r="R4109" s="726">
        <f>SUM(R4105:R4108)</f>
        <v>11</v>
      </c>
      <c r="S4109" s="1344" t="str">
        <f>L4109</f>
        <v>und</v>
      </c>
      <c r="T4109" s="373"/>
      <c r="U4109" s="486"/>
      <c r="V4109" s="1418">
        <f t="shared" si="413"/>
        <v>0</v>
      </c>
      <c r="AB4109" s="15"/>
    </row>
    <row r="4110" spans="1:36" s="77" customFormat="1" ht="15.6" hidden="1">
      <c r="A4110" s="370"/>
      <c r="B4110" s="499"/>
      <c r="C4110" s="725"/>
      <c r="D4110" s="1937" t="s">
        <v>1522</v>
      </c>
      <c r="E4110" s="1938"/>
      <c r="F4110" s="1938"/>
      <c r="G4110" s="1938"/>
      <c r="H4110" s="1938"/>
      <c r="I4110" s="1939"/>
      <c r="J4110" s="1943">
        <f>R4109/J4109</f>
        <v>1</v>
      </c>
      <c r="K4110" s="1944"/>
      <c r="L4110" s="1947"/>
      <c r="M4110" s="1934" t="s">
        <v>1523</v>
      </c>
      <c r="N4110" s="1935"/>
      <c r="O4110" s="1935"/>
      <c r="P4110" s="1935"/>
      <c r="Q4110" s="1936"/>
      <c r="R4110" s="726">
        <f>VLOOKUP(A4111,'11 - FINANCEIRA'!_xlnm.Print_Area,8,FALSE)</f>
        <v>11</v>
      </c>
      <c r="S4110" s="727" t="str">
        <f>L4109</f>
        <v>und</v>
      </c>
      <c r="T4110" s="373"/>
      <c r="U4110" s="486"/>
      <c r="V4110" s="1418">
        <f t="shared" si="413"/>
        <v>0</v>
      </c>
      <c r="AB4110" s="15"/>
    </row>
    <row r="4111" spans="1:36" s="77" customFormat="1" ht="15.6" hidden="1">
      <c r="A4111" s="364" t="s">
        <v>726</v>
      </c>
      <c r="B4111" s="499"/>
      <c r="C4111" s="37"/>
      <c r="D4111" s="2013"/>
      <c r="E4111" s="2014"/>
      <c r="F4111" s="2014"/>
      <c r="G4111" s="2014"/>
      <c r="H4111" s="2014"/>
      <c r="I4111" s="2015"/>
      <c r="J4111" s="2016"/>
      <c r="K4111" s="2017"/>
      <c r="L4111" s="1962"/>
      <c r="M4111" s="2007" t="s">
        <v>1524</v>
      </c>
      <c r="N4111" s="2008"/>
      <c r="O4111" s="2008"/>
      <c r="P4111" s="2008"/>
      <c r="Q4111" s="2009"/>
      <c r="R4111" s="1345">
        <f>R4109-R4110</f>
        <v>0</v>
      </c>
      <c r="S4111" s="1346" t="str">
        <f>L4109</f>
        <v>und</v>
      </c>
      <c r="T4111" s="373"/>
      <c r="U4111" s="486"/>
      <c r="V4111" s="1418">
        <f>R4111</f>
        <v>0</v>
      </c>
      <c r="AB4111" s="15"/>
    </row>
    <row r="4112" spans="1:36" s="77" customFormat="1" ht="15.6" hidden="1">
      <c r="A4112" s="370"/>
      <c r="B4112" s="1347"/>
      <c r="C4112" s="1348"/>
      <c r="D4112" s="1349"/>
      <c r="E4112" s="1350"/>
      <c r="F4112" s="1349"/>
      <c r="G4112" s="1349"/>
      <c r="H4112" s="1349"/>
      <c r="I4112" s="1349"/>
      <c r="J4112" s="1351"/>
      <c r="K4112" s="1352"/>
      <c r="L4112" s="1353"/>
      <c r="M4112" s="1354"/>
      <c r="N4112" s="1354"/>
      <c r="O4112" s="1354"/>
      <c r="P4112" s="1354"/>
      <c r="Q4112" s="1354"/>
      <c r="R4112" s="1355"/>
      <c r="S4112" s="1356"/>
      <c r="T4112" s="1357"/>
      <c r="U4112" s="1358"/>
      <c r="V4112" s="1420">
        <f>SUM(V4103:V4111)</f>
        <v>0</v>
      </c>
      <c r="AB4112" s="15"/>
    </row>
    <row r="4113" spans="1:36" s="352" customFormat="1" ht="15.6" hidden="1">
      <c r="A4113" s="351"/>
      <c r="B4113" s="1963" t="str">
        <f>VLOOKUP(A4120,'11 - FINANCEIRA'!_xlnm.Print_Area,1,FALSE)</f>
        <v>2.5.5.32</v>
      </c>
      <c r="C4113" s="1965" t="str">
        <f>VLOOKUP(A4120,'11 - FINANCEIRA'!_xlnm.Print_Area,3,FALSE)</f>
        <v>"gravador digital de vídeo em rede para até 32 câmeras ip em full hd a 30 fps 2 interfaces de rede gigabit ethernet, 16 entradas de alarme, reconhecimento automático das câmeras ips, fonte interna, 100-240 vac. 50/60 hz, ref: nvd 7132 intelbras ou similar"</v>
      </c>
      <c r="D4113" s="1967" t="s">
        <v>1503</v>
      </c>
      <c r="E4113" s="1968"/>
      <c r="F4113" s="1968"/>
      <c r="G4113" s="1968"/>
      <c r="H4113" s="1968"/>
      <c r="I4113" s="1969"/>
      <c r="J4113" s="1914" t="s">
        <v>1504</v>
      </c>
      <c r="K4113" s="1914" t="s">
        <v>1505</v>
      </c>
      <c r="L4113" s="1914" t="s">
        <v>1506</v>
      </c>
      <c r="M4113" s="1914" t="s">
        <v>1507</v>
      </c>
      <c r="N4113" s="1914" t="s">
        <v>1508</v>
      </c>
      <c r="O4113" s="1914" t="s">
        <v>1509</v>
      </c>
      <c r="P4113" s="1341" t="s">
        <v>1510</v>
      </c>
      <c r="Q4113" s="1914" t="s">
        <v>1493</v>
      </c>
      <c r="R4113" s="1916" t="s">
        <v>804</v>
      </c>
      <c r="S4113" s="1914" t="s">
        <v>1511</v>
      </c>
      <c r="T4113" s="1914" t="s">
        <v>1512</v>
      </c>
      <c r="U4113" s="1918" t="s">
        <v>1513</v>
      </c>
      <c r="V4113" s="1418">
        <f t="shared" ref="V4113:V4119" si="414">V4114</f>
        <v>0</v>
      </c>
      <c r="W4113" s="16"/>
      <c r="X4113" s="16"/>
      <c r="Y4113" s="16"/>
      <c r="Z4113" s="17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</row>
    <row r="4114" spans="1:36" s="352" customFormat="1" ht="15.6" hidden="1">
      <c r="A4114" s="351"/>
      <c r="B4114" s="1964" t="e">
        <f>LEFT(#REF!,5)</f>
        <v>#REF!</v>
      </c>
      <c r="C4114" s="1966" t="e">
        <f>VLOOKUP(LEFT(#REF!,5),'11 - FINANCEIRA'!_xlnm.Print_Area,2,FALSE)</f>
        <v>#REF!</v>
      </c>
      <c r="D4114" s="1920" t="s">
        <v>1514</v>
      </c>
      <c r="E4114" s="1921"/>
      <c r="F4114" s="1922"/>
      <c r="G4114" s="1923" t="s">
        <v>1515</v>
      </c>
      <c r="H4114" s="1924"/>
      <c r="I4114" s="1925"/>
      <c r="J4114" s="1915"/>
      <c r="K4114" s="1915"/>
      <c r="L4114" s="1915"/>
      <c r="M4114" s="1915"/>
      <c r="N4114" s="1915"/>
      <c r="O4114" s="1915"/>
      <c r="P4114" s="353" t="s">
        <v>1516</v>
      </c>
      <c r="Q4114" s="1915"/>
      <c r="R4114" s="1917"/>
      <c r="S4114" s="1915"/>
      <c r="T4114" s="1915"/>
      <c r="U4114" s="1919"/>
      <c r="V4114" s="1418">
        <f t="shared" si="414"/>
        <v>0</v>
      </c>
      <c r="W4114" s="16"/>
      <c r="X4114" s="16"/>
      <c r="Y4114" s="16"/>
      <c r="Z4114" s="17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</row>
    <row r="4115" spans="1:36" s="361" customFormat="1" ht="45" hidden="1">
      <c r="A4115" s="354"/>
      <c r="B4115" s="355"/>
      <c r="C4115" s="28" t="s">
        <v>1381</v>
      </c>
      <c r="D4115" s="18"/>
      <c r="E4115" s="19"/>
      <c r="F4115" s="20"/>
      <c r="G4115" s="18"/>
      <c r="H4115" s="19"/>
      <c r="I4115" s="20"/>
      <c r="J4115" s="21"/>
      <c r="K4115" s="22"/>
      <c r="L4115" s="23"/>
      <c r="M4115" s="24"/>
      <c r="N4115" s="728"/>
      <c r="O4115" s="25"/>
      <c r="P4115" s="23"/>
      <c r="Q4115" s="729"/>
      <c r="R4115" s="1109">
        <v>2</v>
      </c>
      <c r="S4115" s="730" t="s">
        <v>816</v>
      </c>
      <c r="T4115" s="446" t="s">
        <v>328</v>
      </c>
      <c r="U4115" s="44"/>
      <c r="V4115" s="1418">
        <f t="shared" si="414"/>
        <v>0</v>
      </c>
      <c r="W4115" s="357"/>
      <c r="X4115" s="357"/>
      <c r="Y4115" s="357"/>
      <c r="Z4115" s="358"/>
      <c r="AA4115" s="359"/>
      <c r="AB4115" s="360"/>
    </row>
    <row r="4116" spans="1:36" s="369" customFormat="1" ht="15" hidden="1">
      <c r="A4116" s="364"/>
      <c r="B4116" s="355"/>
      <c r="C4116" s="32"/>
      <c r="D4116" s="33"/>
      <c r="E4116" s="34"/>
      <c r="F4116" s="35"/>
      <c r="G4116" s="33"/>
      <c r="H4116" s="34"/>
      <c r="I4116" s="35"/>
      <c r="J4116" s="43"/>
      <c r="K4116" s="42"/>
      <c r="L4116" s="39"/>
      <c r="M4116" s="41"/>
      <c r="N4116" s="40"/>
      <c r="O4116" s="40"/>
      <c r="P4116" s="39"/>
      <c r="Q4116" s="38"/>
      <c r="R4116" s="38"/>
      <c r="S4116" s="366"/>
      <c r="T4116" s="46"/>
      <c r="U4116" s="44"/>
      <c r="V4116" s="1418">
        <f t="shared" si="414"/>
        <v>0</v>
      </c>
      <c r="W4116" s="367"/>
      <c r="X4116" s="367"/>
      <c r="Y4116" s="367"/>
      <c r="Z4116" s="368"/>
    </row>
    <row r="4117" spans="1:36" s="77" customFormat="1" ht="15" hidden="1">
      <c r="A4117" s="370"/>
      <c r="B4117" s="29"/>
      <c r="C4117" s="30"/>
      <c r="D4117" s="18"/>
      <c r="E4117" s="19"/>
      <c r="F4117" s="20"/>
      <c r="G4117" s="18"/>
      <c r="H4117" s="19"/>
      <c r="I4117" s="20"/>
      <c r="J4117" s="21"/>
      <c r="K4117" s="22"/>
      <c r="L4117" s="23"/>
      <c r="M4117" s="24"/>
      <c r="N4117" s="25"/>
      <c r="O4117" s="25"/>
      <c r="P4117" s="23"/>
      <c r="Q4117" s="26"/>
      <c r="R4117" s="371"/>
      <c r="S4117" s="27"/>
      <c r="T4117" s="372"/>
      <c r="U4117" s="31"/>
      <c r="V4117" s="1418">
        <f t="shared" si="414"/>
        <v>0</v>
      </c>
      <c r="AB4117" s="15"/>
    </row>
    <row r="4118" spans="1:36" s="77" customFormat="1" ht="15.6" hidden="1">
      <c r="A4118" s="370"/>
      <c r="B4118" s="499"/>
      <c r="C4118" s="37"/>
      <c r="D4118" s="1929" t="s">
        <v>1520</v>
      </c>
      <c r="E4118" s="1930"/>
      <c r="F4118" s="1930"/>
      <c r="G4118" s="1930"/>
      <c r="H4118" s="1930"/>
      <c r="I4118" s="1931"/>
      <c r="J4118" s="1932">
        <f>VLOOKUP(A4120,'11 - FINANCEIRA'!_xlnm.Print_Area,6,FALSE)</f>
        <v>2</v>
      </c>
      <c r="K4118" s="1933"/>
      <c r="L4118" s="1343" t="str">
        <f>VLOOKUP(A4120,'11 - FINANCEIRA'!_xlnm.Print_Area,4,FALSE)</f>
        <v>und</v>
      </c>
      <c r="M4118" s="1934" t="s">
        <v>1521</v>
      </c>
      <c r="N4118" s="1935"/>
      <c r="O4118" s="1935"/>
      <c r="P4118" s="1935"/>
      <c r="Q4118" s="1936"/>
      <c r="R4118" s="726">
        <f>SUM(R4115:R4117)</f>
        <v>2</v>
      </c>
      <c r="S4118" s="1344" t="str">
        <f>L4118</f>
        <v>und</v>
      </c>
      <c r="T4118" s="373"/>
      <c r="U4118" s="486"/>
      <c r="V4118" s="1418">
        <f t="shared" si="414"/>
        <v>0</v>
      </c>
      <c r="AB4118" s="15"/>
    </row>
    <row r="4119" spans="1:36" s="77" customFormat="1" ht="15.6" hidden="1">
      <c r="A4119" s="370"/>
      <c r="B4119" s="499"/>
      <c r="C4119" s="725"/>
      <c r="D4119" s="1937" t="s">
        <v>1522</v>
      </c>
      <c r="E4119" s="1938"/>
      <c r="F4119" s="1938"/>
      <c r="G4119" s="1938"/>
      <c r="H4119" s="1938"/>
      <c r="I4119" s="1939"/>
      <c r="J4119" s="1943">
        <f>R4118/J4118</f>
        <v>1</v>
      </c>
      <c r="K4119" s="1944"/>
      <c r="L4119" s="1947"/>
      <c r="M4119" s="1934" t="s">
        <v>1523</v>
      </c>
      <c r="N4119" s="1935"/>
      <c r="O4119" s="1935"/>
      <c r="P4119" s="1935"/>
      <c r="Q4119" s="1936"/>
      <c r="R4119" s="726">
        <f>VLOOKUP(A4120,'11 - FINANCEIRA'!_xlnm.Print_Area,8,FALSE)</f>
        <v>2</v>
      </c>
      <c r="S4119" s="727" t="str">
        <f>L4118</f>
        <v>und</v>
      </c>
      <c r="T4119" s="373"/>
      <c r="U4119" s="486"/>
      <c r="V4119" s="1418">
        <f t="shared" si="414"/>
        <v>0</v>
      </c>
      <c r="AB4119" s="15"/>
    </row>
    <row r="4120" spans="1:36" s="77" customFormat="1" ht="15.6" hidden="1">
      <c r="A4120" s="364" t="s">
        <v>727</v>
      </c>
      <c r="B4120" s="499"/>
      <c r="C4120" s="37"/>
      <c r="D4120" s="2013"/>
      <c r="E4120" s="2014"/>
      <c r="F4120" s="2014"/>
      <c r="G4120" s="2014"/>
      <c r="H4120" s="2014"/>
      <c r="I4120" s="2015"/>
      <c r="J4120" s="2016"/>
      <c r="K4120" s="2017"/>
      <c r="L4120" s="1962"/>
      <c r="M4120" s="2007" t="s">
        <v>1524</v>
      </c>
      <c r="N4120" s="2008"/>
      <c r="O4120" s="2008"/>
      <c r="P4120" s="2008"/>
      <c r="Q4120" s="2009"/>
      <c r="R4120" s="1345">
        <f>R4118-R4119</f>
        <v>0</v>
      </c>
      <c r="S4120" s="1346" t="str">
        <f>L4118</f>
        <v>und</v>
      </c>
      <c r="T4120" s="373"/>
      <c r="U4120" s="486"/>
      <c r="V4120" s="1418">
        <f>R4120</f>
        <v>0</v>
      </c>
      <c r="AB4120" s="15"/>
    </row>
    <row r="4121" spans="1:36" s="77" customFormat="1" ht="15.6" hidden="1">
      <c r="A4121" s="370"/>
      <c r="B4121" s="1347"/>
      <c r="C4121" s="1348"/>
      <c r="D4121" s="1349"/>
      <c r="E4121" s="1350"/>
      <c r="F4121" s="1349"/>
      <c r="G4121" s="1349"/>
      <c r="H4121" s="1349"/>
      <c r="I4121" s="1349"/>
      <c r="J4121" s="1351"/>
      <c r="K4121" s="1352"/>
      <c r="L4121" s="1353"/>
      <c r="M4121" s="1354"/>
      <c r="N4121" s="1354"/>
      <c r="O4121" s="1354"/>
      <c r="P4121" s="1354"/>
      <c r="Q4121" s="1354"/>
      <c r="R4121" s="1355"/>
      <c r="S4121" s="1356"/>
      <c r="T4121" s="1357"/>
      <c r="U4121" s="1358"/>
      <c r="V4121" s="1420">
        <f>SUM(V4113:V4120)</f>
        <v>0</v>
      </c>
      <c r="AB4121" s="15"/>
    </row>
    <row r="4122" spans="1:36" s="352" customFormat="1" ht="15.6" hidden="1">
      <c r="A4122" s="351"/>
      <c r="B4122" s="1963" t="str">
        <f>VLOOKUP(A4129,'11 - FINANCEIRA'!_xlnm.Print_Area,1,FALSE)</f>
        <v>2.5.5.33</v>
      </c>
      <c r="C4122" s="1965" t="str">
        <f>VLOOKUP(A4129,'11 - FINANCEIRA'!_xlnm.Print_Area,3,FALSE)</f>
        <v>Conversor de midia poe 2 km 100 base-fx para 10/100 base-tx</v>
      </c>
      <c r="D4122" s="1967" t="s">
        <v>1503</v>
      </c>
      <c r="E4122" s="1968"/>
      <c r="F4122" s="1968"/>
      <c r="G4122" s="1968"/>
      <c r="H4122" s="1968"/>
      <c r="I4122" s="1969"/>
      <c r="J4122" s="1914" t="s">
        <v>1504</v>
      </c>
      <c r="K4122" s="1914" t="s">
        <v>1505</v>
      </c>
      <c r="L4122" s="1914" t="s">
        <v>1506</v>
      </c>
      <c r="M4122" s="1914" t="s">
        <v>1507</v>
      </c>
      <c r="N4122" s="1914" t="s">
        <v>1508</v>
      </c>
      <c r="O4122" s="1914" t="s">
        <v>1509</v>
      </c>
      <c r="P4122" s="1341" t="s">
        <v>1510</v>
      </c>
      <c r="Q4122" s="1914" t="s">
        <v>1493</v>
      </c>
      <c r="R4122" s="1916" t="s">
        <v>804</v>
      </c>
      <c r="S4122" s="1914" t="s">
        <v>1511</v>
      </c>
      <c r="T4122" s="1914" t="s">
        <v>1512</v>
      </c>
      <c r="U4122" s="1918" t="s">
        <v>1513</v>
      </c>
      <c r="V4122" s="1418">
        <f t="shared" ref="V4122:V4128" si="415">V4123</f>
        <v>0</v>
      </c>
      <c r="W4122" s="16"/>
      <c r="X4122" s="16"/>
      <c r="Y4122" s="16"/>
      <c r="Z4122" s="17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</row>
    <row r="4123" spans="1:36" s="352" customFormat="1" ht="15.6" hidden="1">
      <c r="A4123" s="351"/>
      <c r="B4123" s="1964" t="e">
        <f>LEFT(#REF!,5)</f>
        <v>#REF!</v>
      </c>
      <c r="C4123" s="1966" t="e">
        <f>VLOOKUP(LEFT(#REF!,5),'11 - FINANCEIRA'!_xlnm.Print_Area,2,FALSE)</f>
        <v>#REF!</v>
      </c>
      <c r="D4123" s="1920" t="s">
        <v>1514</v>
      </c>
      <c r="E4123" s="1921"/>
      <c r="F4123" s="1922"/>
      <c r="G4123" s="1923" t="s">
        <v>1515</v>
      </c>
      <c r="H4123" s="1924"/>
      <c r="I4123" s="1925"/>
      <c r="J4123" s="1915"/>
      <c r="K4123" s="1915"/>
      <c r="L4123" s="1915"/>
      <c r="M4123" s="1915"/>
      <c r="N4123" s="1915"/>
      <c r="O4123" s="1915"/>
      <c r="P4123" s="353" t="s">
        <v>1516</v>
      </c>
      <c r="Q4123" s="1915"/>
      <c r="R4123" s="1917"/>
      <c r="S4123" s="1915"/>
      <c r="T4123" s="1915"/>
      <c r="U4123" s="1919"/>
      <c r="V4123" s="1418">
        <f t="shared" si="415"/>
        <v>0</v>
      </c>
      <c r="W4123" s="16"/>
      <c r="X4123" s="16"/>
      <c r="Y4123" s="16"/>
      <c r="Z4123" s="17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</row>
    <row r="4124" spans="1:36" s="361" customFormat="1" ht="15" hidden="1">
      <c r="A4124" s="354"/>
      <c r="B4124" s="355"/>
      <c r="C4124" s="28" t="s">
        <v>1383</v>
      </c>
      <c r="D4124" s="18"/>
      <c r="E4124" s="19"/>
      <c r="F4124" s="20"/>
      <c r="G4124" s="18"/>
      <c r="H4124" s="19"/>
      <c r="I4124" s="20"/>
      <c r="J4124" s="21"/>
      <c r="K4124" s="22"/>
      <c r="L4124" s="23"/>
      <c r="M4124" s="24"/>
      <c r="N4124" s="728"/>
      <c r="O4124" s="25"/>
      <c r="P4124" s="23"/>
      <c r="Q4124" s="729"/>
      <c r="R4124" s="1109">
        <v>1</v>
      </c>
      <c r="S4124" s="730" t="s">
        <v>816</v>
      </c>
      <c r="T4124" s="446" t="s">
        <v>328</v>
      </c>
      <c r="U4124" s="44"/>
      <c r="V4124" s="1418">
        <f t="shared" si="415"/>
        <v>0</v>
      </c>
      <c r="W4124" s="357"/>
      <c r="X4124" s="357"/>
      <c r="Y4124" s="357"/>
      <c r="Z4124" s="358"/>
      <c r="AA4124" s="359"/>
      <c r="AB4124" s="360"/>
    </row>
    <row r="4125" spans="1:36" s="369" customFormat="1" ht="15" hidden="1">
      <c r="A4125" s="364"/>
      <c r="B4125" s="355"/>
      <c r="C4125" s="32"/>
      <c r="D4125" s="33"/>
      <c r="E4125" s="34"/>
      <c r="F4125" s="35"/>
      <c r="G4125" s="33"/>
      <c r="H4125" s="34"/>
      <c r="I4125" s="35"/>
      <c r="J4125" s="43"/>
      <c r="K4125" s="42"/>
      <c r="L4125" s="39"/>
      <c r="M4125" s="41"/>
      <c r="N4125" s="40"/>
      <c r="O4125" s="40"/>
      <c r="P4125" s="39"/>
      <c r="Q4125" s="38"/>
      <c r="R4125" s="365"/>
      <c r="S4125" s="366"/>
      <c r="T4125" s="46"/>
      <c r="U4125" s="44"/>
      <c r="V4125" s="1418">
        <f t="shared" si="415"/>
        <v>0</v>
      </c>
      <c r="W4125" s="367"/>
      <c r="X4125" s="367"/>
      <c r="Y4125" s="367"/>
      <c r="Z4125" s="368"/>
    </row>
    <row r="4126" spans="1:36" s="77" customFormat="1" ht="15" hidden="1">
      <c r="A4126" s="370"/>
      <c r="B4126" s="29"/>
      <c r="C4126" s="30"/>
      <c r="D4126" s="18"/>
      <c r="E4126" s="19"/>
      <c r="F4126" s="20"/>
      <c r="G4126" s="18"/>
      <c r="H4126" s="19"/>
      <c r="I4126" s="20"/>
      <c r="J4126" s="21"/>
      <c r="K4126" s="22"/>
      <c r="L4126" s="23"/>
      <c r="M4126" s="24"/>
      <c r="N4126" s="25"/>
      <c r="O4126" s="25"/>
      <c r="P4126" s="23"/>
      <c r="Q4126" s="26"/>
      <c r="R4126" s="371"/>
      <c r="S4126" s="27"/>
      <c r="T4126" s="372"/>
      <c r="U4126" s="31"/>
      <c r="V4126" s="1418">
        <f t="shared" si="415"/>
        <v>0</v>
      </c>
      <c r="AB4126" s="15"/>
    </row>
    <row r="4127" spans="1:36" s="77" customFormat="1" ht="15.6" hidden="1">
      <c r="A4127" s="370"/>
      <c r="B4127" s="499"/>
      <c r="C4127" s="37"/>
      <c r="D4127" s="1929" t="s">
        <v>1520</v>
      </c>
      <c r="E4127" s="1930"/>
      <c r="F4127" s="1930"/>
      <c r="G4127" s="1930"/>
      <c r="H4127" s="1930"/>
      <c r="I4127" s="1931"/>
      <c r="J4127" s="1932">
        <f>VLOOKUP(A4129,'11 - FINANCEIRA'!_xlnm.Print_Area,6,FALSE)</f>
        <v>1</v>
      </c>
      <c r="K4127" s="1933"/>
      <c r="L4127" s="1343" t="str">
        <f>VLOOKUP(A4129,'11 - FINANCEIRA'!_xlnm.Print_Area,4,FALSE)</f>
        <v>und</v>
      </c>
      <c r="M4127" s="1934" t="s">
        <v>1521</v>
      </c>
      <c r="N4127" s="1935"/>
      <c r="O4127" s="1935"/>
      <c r="P4127" s="1935"/>
      <c r="Q4127" s="1936"/>
      <c r="R4127" s="726">
        <f>SUM(R4124:R4126)</f>
        <v>1</v>
      </c>
      <c r="S4127" s="1344" t="str">
        <f>L4127</f>
        <v>und</v>
      </c>
      <c r="T4127" s="373"/>
      <c r="U4127" s="486"/>
      <c r="V4127" s="1418">
        <f t="shared" si="415"/>
        <v>0</v>
      </c>
      <c r="AB4127" s="15"/>
    </row>
    <row r="4128" spans="1:36" s="77" customFormat="1" ht="15.6" hidden="1">
      <c r="A4128" s="370"/>
      <c r="B4128" s="499"/>
      <c r="C4128" s="725"/>
      <c r="D4128" s="1937" t="s">
        <v>1522</v>
      </c>
      <c r="E4128" s="1938"/>
      <c r="F4128" s="1938"/>
      <c r="G4128" s="1938"/>
      <c r="H4128" s="1938"/>
      <c r="I4128" s="1939"/>
      <c r="J4128" s="1943">
        <f>R4127/J4127</f>
        <v>1</v>
      </c>
      <c r="K4128" s="1944"/>
      <c r="L4128" s="1947"/>
      <c r="M4128" s="1934" t="s">
        <v>1523</v>
      </c>
      <c r="N4128" s="1935"/>
      <c r="O4128" s="1935"/>
      <c r="P4128" s="1935"/>
      <c r="Q4128" s="1936"/>
      <c r="R4128" s="726">
        <f>VLOOKUP(A4129,'11 - FINANCEIRA'!_xlnm.Print_Area,8,FALSE)</f>
        <v>1</v>
      </c>
      <c r="S4128" s="727" t="str">
        <f>L4127</f>
        <v>und</v>
      </c>
      <c r="T4128" s="373"/>
      <c r="U4128" s="486"/>
      <c r="V4128" s="1418">
        <f t="shared" si="415"/>
        <v>0</v>
      </c>
      <c r="AB4128" s="15"/>
    </row>
    <row r="4129" spans="1:36" s="77" customFormat="1" ht="15.6" hidden="1">
      <c r="A4129" s="364" t="s">
        <v>728</v>
      </c>
      <c r="B4129" s="499"/>
      <c r="C4129" s="37"/>
      <c r="D4129" s="2013"/>
      <c r="E4129" s="2014"/>
      <c r="F4129" s="2014"/>
      <c r="G4129" s="2014"/>
      <c r="H4129" s="2014"/>
      <c r="I4129" s="2015"/>
      <c r="J4129" s="2016"/>
      <c r="K4129" s="2017"/>
      <c r="L4129" s="1962"/>
      <c r="M4129" s="2007" t="s">
        <v>1524</v>
      </c>
      <c r="N4129" s="2008"/>
      <c r="O4129" s="2008"/>
      <c r="P4129" s="2008"/>
      <c r="Q4129" s="2009"/>
      <c r="R4129" s="1345">
        <f>R4127-R4128</f>
        <v>0</v>
      </c>
      <c r="S4129" s="1346" t="str">
        <f>L4127</f>
        <v>und</v>
      </c>
      <c r="T4129" s="373"/>
      <c r="U4129" s="486"/>
      <c r="V4129" s="1418">
        <f>R4129</f>
        <v>0</v>
      </c>
      <c r="AB4129" s="15"/>
    </row>
    <row r="4130" spans="1:36" s="77" customFormat="1" ht="15.6" hidden="1">
      <c r="A4130" s="370"/>
      <c r="B4130" s="1347"/>
      <c r="C4130" s="1348"/>
      <c r="D4130" s="1349"/>
      <c r="E4130" s="1350"/>
      <c r="F4130" s="1349"/>
      <c r="G4130" s="1349"/>
      <c r="H4130" s="1349"/>
      <c r="I4130" s="1349"/>
      <c r="J4130" s="1351"/>
      <c r="K4130" s="1352"/>
      <c r="L4130" s="1353"/>
      <c r="M4130" s="1354"/>
      <c r="N4130" s="1354"/>
      <c r="O4130" s="1354"/>
      <c r="P4130" s="1354"/>
      <c r="Q4130" s="1354"/>
      <c r="R4130" s="1355"/>
      <c r="S4130" s="1356"/>
      <c r="T4130" s="1357"/>
      <c r="U4130" s="1358"/>
      <c r="V4130" s="1420">
        <f>SUM(V4122:V4129)</f>
        <v>0</v>
      </c>
      <c r="AB4130" s="15"/>
    </row>
    <row r="4131" spans="1:36" s="632" customFormat="1" ht="15.6" hidden="1">
      <c r="A4131" s="630"/>
      <c r="B4131" s="1333" t="str">
        <f>LEFT(A4141,3)</f>
        <v>2.6</v>
      </c>
      <c r="C4131" s="1334" t="str">
        <f>VLOOKUP(LEFT(A4141,3),'11 - FINANCEIRA'!_xlnm.Print_Area,2,FALSE)</f>
        <v>HIDROMECANICO</v>
      </c>
      <c r="D4131" s="1334"/>
      <c r="E4131" s="1335"/>
      <c r="F4131" s="1334"/>
      <c r="G4131" s="2071"/>
      <c r="H4131" s="2072"/>
      <c r="I4131" s="2072"/>
      <c r="J4131" s="2072"/>
      <c r="K4131" s="2072"/>
      <c r="L4131" s="2072"/>
      <c r="M4131" s="1338"/>
      <c r="N4131" s="1339"/>
      <c r="O4131" s="2072"/>
      <c r="P4131" s="2072"/>
      <c r="Q4131" s="2072"/>
      <c r="R4131" s="2082"/>
      <c r="S4131" s="633"/>
      <c r="V4131" s="631">
        <f>SUM(V4133:V4375)</f>
        <v>0</v>
      </c>
    </row>
    <row r="4132" spans="1:36" s="632" customFormat="1" ht="15.6" hidden="1">
      <c r="A4132" s="630"/>
      <c r="B4132" s="1333" t="str">
        <f>LEFT(A4141,5)</f>
        <v>2.6.1</v>
      </c>
      <c r="C4132" s="1334" t="str">
        <f>VLOOKUP(LEFT(A4141,5),'11 - FINANCEIRA'!_xlnm.Print_Area,2,FALSE)</f>
        <v>EQUIPAMENTOS (BDI = 14,02%)</v>
      </c>
      <c r="D4132" s="1334"/>
      <c r="E4132" s="1335"/>
      <c r="F4132" s="1334"/>
      <c r="G4132" s="2071"/>
      <c r="H4132" s="2072"/>
      <c r="I4132" s="2072"/>
      <c r="J4132" s="2072"/>
      <c r="K4132" s="2072"/>
      <c r="L4132" s="2072"/>
      <c r="M4132" s="1338"/>
      <c r="N4132" s="1339"/>
      <c r="O4132" s="2072"/>
      <c r="P4132" s="2072"/>
      <c r="Q4132" s="2072"/>
      <c r="R4132" s="2082"/>
      <c r="S4132" s="633"/>
      <c r="V4132" s="631">
        <f>SUM(V4134:V4192)</f>
        <v>0</v>
      </c>
    </row>
    <row r="4133" spans="1:36" s="352" customFormat="1" ht="15.6" hidden="1">
      <c r="A4133" s="351"/>
      <c r="B4133" s="1963" t="str">
        <f>VLOOKUP(A4141,'11 - FINANCEIRA'!_xlnm.Print_Area,1,FALSE)</f>
        <v>2.6.1.1</v>
      </c>
      <c r="C4133" s="1965" t="str">
        <f>VLOOKUP(A4141,'11 - FINANCEIRA'!_xlnm.Print_Area,3,FALSE)</f>
        <v>Comporta do poço de bomba com abertura livre de 2,10m x 2,5 m, fixação químico, com atuador elétrico e manual.  - BDI = 14,02</v>
      </c>
      <c r="D4133" s="1967" t="s">
        <v>1503</v>
      </c>
      <c r="E4133" s="1968"/>
      <c r="F4133" s="1968"/>
      <c r="G4133" s="1968"/>
      <c r="H4133" s="1968"/>
      <c r="I4133" s="1969"/>
      <c r="J4133" s="1914" t="s">
        <v>1504</v>
      </c>
      <c r="K4133" s="1914" t="s">
        <v>1505</v>
      </c>
      <c r="L4133" s="1914" t="s">
        <v>1506</v>
      </c>
      <c r="M4133" s="1914" t="s">
        <v>1507</v>
      </c>
      <c r="N4133" s="1914" t="s">
        <v>1508</v>
      </c>
      <c r="O4133" s="1914" t="s">
        <v>1509</v>
      </c>
      <c r="P4133" s="1341" t="s">
        <v>1510</v>
      </c>
      <c r="Q4133" s="1914" t="s">
        <v>1493</v>
      </c>
      <c r="R4133" s="1916" t="s">
        <v>804</v>
      </c>
      <c r="S4133" s="1914" t="s">
        <v>1511</v>
      </c>
      <c r="T4133" s="1914" t="s">
        <v>1512</v>
      </c>
      <c r="U4133" s="1918" t="s">
        <v>1513</v>
      </c>
      <c r="V4133" s="1418">
        <f t="shared" ref="V4133:V4140" si="416">V4134</f>
        <v>0</v>
      </c>
      <c r="W4133" s="16"/>
      <c r="X4133" s="16"/>
      <c r="Y4133" s="16"/>
      <c r="Z4133" s="17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</row>
    <row r="4134" spans="1:36" s="352" customFormat="1" ht="15.6" hidden="1">
      <c r="A4134" s="351"/>
      <c r="B4134" s="1964" t="e">
        <f>LEFT(#REF!,5)</f>
        <v>#REF!</v>
      </c>
      <c r="C4134" s="1966" t="e">
        <f>VLOOKUP(LEFT(#REF!,5),'11 - FINANCEIRA'!_xlnm.Print_Area,2,FALSE)</f>
        <v>#REF!</v>
      </c>
      <c r="D4134" s="1920" t="s">
        <v>1514</v>
      </c>
      <c r="E4134" s="1921"/>
      <c r="F4134" s="1922"/>
      <c r="G4134" s="1923" t="s">
        <v>1515</v>
      </c>
      <c r="H4134" s="1924"/>
      <c r="I4134" s="1925"/>
      <c r="J4134" s="1915"/>
      <c r="K4134" s="1915"/>
      <c r="L4134" s="1915"/>
      <c r="M4134" s="1915"/>
      <c r="N4134" s="1915"/>
      <c r="O4134" s="1915"/>
      <c r="P4134" s="353" t="s">
        <v>1516</v>
      </c>
      <c r="Q4134" s="1915"/>
      <c r="R4134" s="1917"/>
      <c r="S4134" s="1915"/>
      <c r="T4134" s="1915"/>
      <c r="U4134" s="1919"/>
      <c r="V4134" s="1418">
        <f t="shared" si="416"/>
        <v>0</v>
      </c>
      <c r="W4134" s="16"/>
      <c r="X4134" s="16"/>
      <c r="Y4134" s="16"/>
      <c r="Z4134" s="17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</row>
    <row r="4135" spans="1:36" s="361" customFormat="1" ht="30" hidden="1">
      <c r="A4135" s="354"/>
      <c r="B4135" s="355"/>
      <c r="C4135" s="28" t="s">
        <v>1386</v>
      </c>
      <c r="D4135" s="18"/>
      <c r="E4135" s="19"/>
      <c r="F4135" s="20"/>
      <c r="G4135" s="18"/>
      <c r="H4135" s="19"/>
      <c r="I4135" s="20"/>
      <c r="J4135" s="21"/>
      <c r="K4135" s="22"/>
      <c r="L4135" s="23"/>
      <c r="M4135" s="24"/>
      <c r="N4135" s="728"/>
      <c r="O4135" s="25"/>
      <c r="P4135" s="23"/>
      <c r="Q4135" s="729"/>
      <c r="R4135" s="1109">
        <v>10</v>
      </c>
      <c r="S4135" s="730" t="s">
        <v>816</v>
      </c>
      <c r="T4135" s="446" t="s">
        <v>322</v>
      </c>
      <c r="U4135" s="44"/>
      <c r="V4135" s="1418">
        <f t="shared" si="416"/>
        <v>0</v>
      </c>
      <c r="W4135" s="357"/>
      <c r="X4135" s="357"/>
      <c r="Y4135" s="357"/>
      <c r="Z4135" s="358"/>
      <c r="AA4135" s="359"/>
      <c r="AB4135" s="360"/>
    </row>
    <row r="4136" spans="1:36" s="361" customFormat="1" ht="15" hidden="1" customHeight="1">
      <c r="A4136" s="354"/>
      <c r="B4136" s="355"/>
      <c r="C4136" s="32"/>
      <c r="D4136" s="33"/>
      <c r="E4136" s="34"/>
      <c r="F4136" s="35"/>
      <c r="G4136" s="33"/>
      <c r="H4136" s="34"/>
      <c r="I4136" s="35"/>
      <c r="J4136" s="43"/>
      <c r="K4136" s="42"/>
      <c r="L4136" s="39"/>
      <c r="M4136" s="41"/>
      <c r="N4136" s="356"/>
      <c r="O4136" s="40"/>
      <c r="P4136" s="39"/>
      <c r="Q4136" s="45"/>
      <c r="R4136" s="362"/>
      <c r="S4136" s="363"/>
      <c r="T4136" s="46"/>
      <c r="U4136" s="44"/>
      <c r="V4136" s="1418">
        <f t="shared" si="416"/>
        <v>0</v>
      </c>
      <c r="W4136" s="357"/>
      <c r="X4136" s="357"/>
      <c r="Y4136" s="357"/>
      <c r="Z4136" s="358"/>
      <c r="AA4136" s="359"/>
      <c r="AB4136" s="360"/>
    </row>
    <row r="4137" spans="1:36" s="369" customFormat="1" ht="15" hidden="1">
      <c r="A4137" s="364"/>
      <c r="B4137" s="355"/>
      <c r="C4137" s="32"/>
      <c r="D4137" s="33"/>
      <c r="E4137" s="34"/>
      <c r="F4137" s="35"/>
      <c r="G4137" s="33"/>
      <c r="H4137" s="34"/>
      <c r="I4137" s="35"/>
      <c r="J4137" s="43"/>
      <c r="K4137" s="42"/>
      <c r="L4137" s="39"/>
      <c r="M4137" s="41"/>
      <c r="N4137" s="40"/>
      <c r="O4137" s="40"/>
      <c r="P4137" s="39"/>
      <c r="Q4137" s="38"/>
      <c r="R4137" s="365"/>
      <c r="S4137" s="366"/>
      <c r="T4137" s="46"/>
      <c r="U4137" s="44"/>
      <c r="V4137" s="1418">
        <f t="shared" si="416"/>
        <v>0</v>
      </c>
      <c r="W4137" s="367"/>
      <c r="X4137" s="367"/>
      <c r="Y4137" s="367"/>
      <c r="Z4137" s="368"/>
    </row>
    <row r="4138" spans="1:36" s="77" customFormat="1" ht="15" hidden="1">
      <c r="A4138" s="370"/>
      <c r="B4138" s="29"/>
      <c r="C4138" s="30"/>
      <c r="D4138" s="18"/>
      <c r="E4138" s="19"/>
      <c r="F4138" s="20"/>
      <c r="G4138" s="18"/>
      <c r="H4138" s="19"/>
      <c r="I4138" s="20"/>
      <c r="J4138" s="21"/>
      <c r="K4138" s="22"/>
      <c r="L4138" s="23"/>
      <c r="M4138" s="24"/>
      <c r="N4138" s="25"/>
      <c r="O4138" s="25"/>
      <c r="P4138" s="23"/>
      <c r="Q4138" s="26"/>
      <c r="R4138" s="371"/>
      <c r="S4138" s="27"/>
      <c r="T4138" s="372"/>
      <c r="U4138" s="31"/>
      <c r="V4138" s="1418">
        <f t="shared" si="416"/>
        <v>0</v>
      </c>
      <c r="AB4138" s="15"/>
    </row>
    <row r="4139" spans="1:36" s="77" customFormat="1" ht="15.6" hidden="1">
      <c r="A4139" s="370"/>
      <c r="B4139" s="499"/>
      <c r="C4139" s="37"/>
      <c r="D4139" s="1929" t="s">
        <v>1520</v>
      </c>
      <c r="E4139" s="1930"/>
      <c r="F4139" s="1930"/>
      <c r="G4139" s="1930"/>
      <c r="H4139" s="1930"/>
      <c r="I4139" s="1931"/>
      <c r="J4139" s="1932">
        <f>VLOOKUP(A4141,'11 - FINANCEIRA'!_xlnm.Print_Area,6,FALSE)</f>
        <v>10</v>
      </c>
      <c r="K4139" s="1933"/>
      <c r="L4139" s="1343" t="str">
        <f>VLOOKUP(A4141,'11 - FINANCEIRA'!_xlnm.Print_Area,4,FALSE)</f>
        <v>und</v>
      </c>
      <c r="M4139" s="1934" t="s">
        <v>1521</v>
      </c>
      <c r="N4139" s="1935"/>
      <c r="O4139" s="1935"/>
      <c r="P4139" s="1935"/>
      <c r="Q4139" s="1936"/>
      <c r="R4139" s="726">
        <f>SUM(R4135:R4138)</f>
        <v>10</v>
      </c>
      <c r="S4139" s="1344" t="str">
        <f>L4139</f>
        <v>und</v>
      </c>
      <c r="T4139" s="373"/>
      <c r="U4139" s="486"/>
      <c r="V4139" s="1418">
        <f t="shared" si="416"/>
        <v>0</v>
      </c>
      <c r="AB4139" s="15"/>
    </row>
    <row r="4140" spans="1:36" s="77" customFormat="1" ht="15.6" hidden="1">
      <c r="A4140" s="370"/>
      <c r="B4140" s="499"/>
      <c r="C4140" s="725"/>
      <c r="D4140" s="1937" t="s">
        <v>1522</v>
      </c>
      <c r="E4140" s="1938"/>
      <c r="F4140" s="1938"/>
      <c r="G4140" s="1938"/>
      <c r="H4140" s="1938"/>
      <c r="I4140" s="1939"/>
      <c r="J4140" s="1943">
        <f>R4139/J4139</f>
        <v>1</v>
      </c>
      <c r="K4140" s="1944"/>
      <c r="L4140" s="1947"/>
      <c r="M4140" s="1934" t="s">
        <v>1523</v>
      </c>
      <c r="N4140" s="1935"/>
      <c r="O4140" s="1935"/>
      <c r="P4140" s="1935"/>
      <c r="Q4140" s="1936"/>
      <c r="R4140" s="726">
        <f>VLOOKUP(A4141,'11 - FINANCEIRA'!_xlnm.Print_Area,8,FALSE)</f>
        <v>10</v>
      </c>
      <c r="S4140" s="727" t="str">
        <f>L4139</f>
        <v>und</v>
      </c>
      <c r="T4140" s="373"/>
      <c r="U4140" s="486"/>
      <c r="V4140" s="1418">
        <f t="shared" si="416"/>
        <v>0</v>
      </c>
      <c r="AB4140" s="15"/>
    </row>
    <row r="4141" spans="1:36" s="77" customFormat="1" ht="15.6" hidden="1">
      <c r="A4141" s="364" t="s">
        <v>730</v>
      </c>
      <c r="B4141" s="499"/>
      <c r="C4141" s="37"/>
      <c r="D4141" s="2013"/>
      <c r="E4141" s="2014"/>
      <c r="F4141" s="2014"/>
      <c r="G4141" s="2014"/>
      <c r="H4141" s="2014"/>
      <c r="I4141" s="2015"/>
      <c r="J4141" s="2016"/>
      <c r="K4141" s="2017"/>
      <c r="L4141" s="1962"/>
      <c r="M4141" s="2007" t="s">
        <v>1524</v>
      </c>
      <c r="N4141" s="2008"/>
      <c r="O4141" s="2008"/>
      <c r="P4141" s="2008"/>
      <c r="Q4141" s="2009"/>
      <c r="R4141" s="1345">
        <f>R4139-R4140</f>
        <v>0</v>
      </c>
      <c r="S4141" s="1346" t="str">
        <f>L4139</f>
        <v>und</v>
      </c>
      <c r="T4141" s="373"/>
      <c r="U4141" s="486"/>
      <c r="V4141" s="1418">
        <f>R4141</f>
        <v>0</v>
      </c>
      <c r="AB4141" s="15"/>
    </row>
    <row r="4142" spans="1:36" s="77" customFormat="1" ht="15.6" hidden="1">
      <c r="A4142" s="370"/>
      <c r="B4142" s="1347"/>
      <c r="C4142" s="1348"/>
      <c r="D4142" s="1349"/>
      <c r="E4142" s="1350"/>
      <c r="F4142" s="1349"/>
      <c r="G4142" s="1349"/>
      <c r="H4142" s="1349"/>
      <c r="I4142" s="1349"/>
      <c r="J4142" s="1351"/>
      <c r="K4142" s="1352"/>
      <c r="L4142" s="1353"/>
      <c r="M4142" s="1354"/>
      <c r="N4142" s="1354"/>
      <c r="O4142" s="1354"/>
      <c r="P4142" s="1354"/>
      <c r="Q4142" s="1354"/>
      <c r="R4142" s="1355"/>
      <c r="S4142" s="1356"/>
      <c r="T4142" s="1357"/>
      <c r="U4142" s="1358"/>
      <c r="V4142" s="1420">
        <f>SUM(V4133:V4141)</f>
        <v>0</v>
      </c>
      <c r="AB4142" s="15"/>
    </row>
    <row r="4143" spans="1:36" s="352" customFormat="1" ht="15.6" hidden="1">
      <c r="A4143" s="351"/>
      <c r="B4143" s="1963" t="str">
        <f>VLOOKUP(A4151,'11 - FINANCEIRA'!_xlnm.Print_Area,1,FALSE)</f>
        <v>2.6.1.2</v>
      </c>
      <c r="C4143" s="1965" t="str">
        <f>VLOOKUP(A4151,'11 - FINANCEIRA'!_xlnm.Print_Area,3,FALSE)</f>
        <v>Grade mecanizada e automatizada, retenção sólido grosseiro igual ou maior que 50 mm, 2,0 m largura e 3,5 m altura, inclinação 75° - BDI = 14,02</v>
      </c>
      <c r="D4143" s="1967" t="s">
        <v>1503</v>
      </c>
      <c r="E4143" s="1968"/>
      <c r="F4143" s="1968"/>
      <c r="G4143" s="1968"/>
      <c r="H4143" s="1968"/>
      <c r="I4143" s="1969"/>
      <c r="J4143" s="1914" t="s">
        <v>1504</v>
      </c>
      <c r="K4143" s="1914" t="s">
        <v>1505</v>
      </c>
      <c r="L4143" s="1914" t="s">
        <v>1506</v>
      </c>
      <c r="M4143" s="1914" t="s">
        <v>1507</v>
      </c>
      <c r="N4143" s="1914" t="s">
        <v>1508</v>
      </c>
      <c r="O4143" s="1914" t="s">
        <v>1509</v>
      </c>
      <c r="P4143" s="1341" t="s">
        <v>1510</v>
      </c>
      <c r="Q4143" s="1914" t="s">
        <v>1493</v>
      </c>
      <c r="R4143" s="1916" t="s">
        <v>804</v>
      </c>
      <c r="S4143" s="1914" t="s">
        <v>1511</v>
      </c>
      <c r="T4143" s="1914" t="s">
        <v>1512</v>
      </c>
      <c r="U4143" s="1918" t="s">
        <v>1513</v>
      </c>
      <c r="V4143" s="1418">
        <f t="shared" ref="V4143:V4150" si="417">V4144</f>
        <v>0</v>
      </c>
      <c r="W4143" s="16"/>
      <c r="X4143" s="16"/>
      <c r="Y4143" s="16"/>
      <c r="Z4143" s="17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</row>
    <row r="4144" spans="1:36" s="352" customFormat="1" ht="15.6" hidden="1">
      <c r="A4144" s="351"/>
      <c r="B4144" s="1964" t="e">
        <f>LEFT(#REF!,5)</f>
        <v>#REF!</v>
      </c>
      <c r="C4144" s="1966" t="e">
        <f>VLOOKUP(LEFT(#REF!,5),'11 - FINANCEIRA'!_xlnm.Print_Area,2,FALSE)</f>
        <v>#REF!</v>
      </c>
      <c r="D4144" s="1920" t="s">
        <v>1514</v>
      </c>
      <c r="E4144" s="1921"/>
      <c r="F4144" s="1922"/>
      <c r="G4144" s="1923" t="s">
        <v>1515</v>
      </c>
      <c r="H4144" s="1924"/>
      <c r="I4144" s="1925"/>
      <c r="J4144" s="1915"/>
      <c r="K4144" s="1915"/>
      <c r="L4144" s="1915"/>
      <c r="M4144" s="1915"/>
      <c r="N4144" s="1915"/>
      <c r="O4144" s="1915"/>
      <c r="P4144" s="353" t="s">
        <v>1516</v>
      </c>
      <c r="Q4144" s="1915"/>
      <c r="R4144" s="1917"/>
      <c r="S4144" s="1915"/>
      <c r="T4144" s="1915"/>
      <c r="U4144" s="1919"/>
      <c r="V4144" s="1418">
        <f t="shared" si="417"/>
        <v>0</v>
      </c>
      <c r="W4144" s="16"/>
      <c r="X4144" s="16"/>
      <c r="Y4144" s="16"/>
      <c r="Z4144" s="17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</row>
    <row r="4145" spans="1:36" s="361" customFormat="1" ht="30" hidden="1">
      <c r="A4145" s="354"/>
      <c r="B4145" s="355"/>
      <c r="C4145" s="28" t="s">
        <v>1388</v>
      </c>
      <c r="D4145" s="18"/>
      <c r="E4145" s="19"/>
      <c r="F4145" s="20"/>
      <c r="G4145" s="18"/>
      <c r="H4145" s="19"/>
      <c r="I4145" s="20"/>
      <c r="J4145" s="21"/>
      <c r="K4145" s="22"/>
      <c r="L4145" s="23"/>
      <c r="M4145" s="24"/>
      <c r="N4145" s="728"/>
      <c r="O4145" s="25"/>
      <c r="P4145" s="23"/>
      <c r="Q4145" s="729"/>
      <c r="R4145" s="1109">
        <v>8</v>
      </c>
      <c r="S4145" s="730" t="s">
        <v>816</v>
      </c>
      <c r="T4145" s="446" t="s">
        <v>322</v>
      </c>
      <c r="U4145" s="44"/>
      <c r="V4145" s="1418">
        <f t="shared" si="417"/>
        <v>0</v>
      </c>
      <c r="W4145" s="357"/>
      <c r="X4145" s="357"/>
      <c r="Y4145" s="357"/>
      <c r="Z4145" s="358"/>
      <c r="AA4145" s="359"/>
      <c r="AB4145" s="360"/>
    </row>
    <row r="4146" spans="1:36" s="361" customFormat="1" ht="15" hidden="1">
      <c r="A4146" s="354"/>
      <c r="B4146" s="355"/>
      <c r="C4146" s="32"/>
      <c r="D4146" s="33"/>
      <c r="E4146" s="34"/>
      <c r="F4146" s="35"/>
      <c r="G4146" s="33"/>
      <c r="H4146" s="34"/>
      <c r="I4146" s="35"/>
      <c r="J4146" s="43"/>
      <c r="K4146" s="42"/>
      <c r="L4146" s="39"/>
      <c r="M4146" s="41"/>
      <c r="N4146" s="356"/>
      <c r="O4146" s="40"/>
      <c r="P4146" s="39"/>
      <c r="Q4146" s="45"/>
      <c r="R4146" s="362"/>
      <c r="S4146" s="363"/>
      <c r="T4146" s="46"/>
      <c r="U4146" s="44"/>
      <c r="V4146" s="1418">
        <f t="shared" si="417"/>
        <v>0</v>
      </c>
      <c r="W4146" s="357"/>
      <c r="X4146" s="357"/>
      <c r="Y4146" s="357"/>
      <c r="Z4146" s="358"/>
      <c r="AA4146" s="359"/>
      <c r="AB4146" s="360"/>
    </row>
    <row r="4147" spans="1:36" s="369" customFormat="1" ht="15" hidden="1">
      <c r="A4147" s="364"/>
      <c r="B4147" s="355"/>
      <c r="C4147" s="32"/>
      <c r="D4147" s="33"/>
      <c r="E4147" s="34"/>
      <c r="F4147" s="35"/>
      <c r="G4147" s="33"/>
      <c r="H4147" s="34"/>
      <c r="I4147" s="35"/>
      <c r="J4147" s="43"/>
      <c r="K4147" s="42"/>
      <c r="L4147" s="39"/>
      <c r="M4147" s="41"/>
      <c r="N4147" s="40"/>
      <c r="O4147" s="40"/>
      <c r="P4147" s="39"/>
      <c r="Q4147" s="38"/>
      <c r="R4147" s="365"/>
      <c r="S4147" s="366"/>
      <c r="T4147" s="46"/>
      <c r="U4147" s="44"/>
      <c r="V4147" s="1418">
        <f t="shared" si="417"/>
        <v>0</v>
      </c>
      <c r="W4147" s="367"/>
      <c r="X4147" s="367"/>
      <c r="Y4147" s="367"/>
      <c r="Z4147" s="368"/>
    </row>
    <row r="4148" spans="1:36" s="77" customFormat="1" ht="15" hidden="1">
      <c r="A4148" s="370"/>
      <c r="B4148" s="29"/>
      <c r="C4148" s="30"/>
      <c r="D4148" s="18"/>
      <c r="E4148" s="19"/>
      <c r="F4148" s="20"/>
      <c r="G4148" s="18"/>
      <c r="H4148" s="19"/>
      <c r="I4148" s="20"/>
      <c r="J4148" s="21"/>
      <c r="K4148" s="22"/>
      <c r="L4148" s="23"/>
      <c r="M4148" s="24"/>
      <c r="N4148" s="25"/>
      <c r="O4148" s="25"/>
      <c r="P4148" s="23"/>
      <c r="Q4148" s="26"/>
      <c r="R4148" s="371"/>
      <c r="S4148" s="27"/>
      <c r="T4148" s="372"/>
      <c r="U4148" s="31"/>
      <c r="V4148" s="1418">
        <f t="shared" si="417"/>
        <v>0</v>
      </c>
      <c r="AB4148" s="15"/>
    </row>
    <row r="4149" spans="1:36" s="77" customFormat="1" ht="15.6" hidden="1">
      <c r="A4149" s="370"/>
      <c r="B4149" s="499"/>
      <c r="C4149" s="37"/>
      <c r="D4149" s="1929" t="s">
        <v>1520</v>
      </c>
      <c r="E4149" s="1930"/>
      <c r="F4149" s="1930"/>
      <c r="G4149" s="1930"/>
      <c r="H4149" s="1930"/>
      <c r="I4149" s="1931"/>
      <c r="J4149" s="1932">
        <f>VLOOKUP(A4151,'11 - FINANCEIRA'!_xlnm.Print_Area,6,FALSE)</f>
        <v>8</v>
      </c>
      <c r="K4149" s="1933"/>
      <c r="L4149" s="1343" t="str">
        <f>VLOOKUP(A4151,'11 - FINANCEIRA'!_xlnm.Print_Area,4,FALSE)</f>
        <v>und</v>
      </c>
      <c r="M4149" s="1934" t="s">
        <v>1521</v>
      </c>
      <c r="N4149" s="1935"/>
      <c r="O4149" s="1935"/>
      <c r="P4149" s="1935"/>
      <c r="Q4149" s="1936"/>
      <c r="R4149" s="726">
        <f>SUM(R4145:R4148)</f>
        <v>8</v>
      </c>
      <c r="S4149" s="1344" t="str">
        <f>L4149</f>
        <v>und</v>
      </c>
      <c r="T4149" s="373"/>
      <c r="U4149" s="486"/>
      <c r="V4149" s="1418">
        <f t="shared" si="417"/>
        <v>0</v>
      </c>
      <c r="AB4149" s="15"/>
    </row>
    <row r="4150" spans="1:36" s="77" customFormat="1" ht="15.6" hidden="1">
      <c r="A4150" s="370"/>
      <c r="B4150" s="499"/>
      <c r="C4150" s="725"/>
      <c r="D4150" s="1937" t="s">
        <v>1522</v>
      </c>
      <c r="E4150" s="1938"/>
      <c r="F4150" s="1938"/>
      <c r="G4150" s="1938"/>
      <c r="H4150" s="1938"/>
      <c r="I4150" s="1939"/>
      <c r="J4150" s="1943">
        <f>R4149/J4149</f>
        <v>1</v>
      </c>
      <c r="K4150" s="1944"/>
      <c r="L4150" s="1947"/>
      <c r="M4150" s="1934" t="s">
        <v>1523</v>
      </c>
      <c r="N4150" s="1935"/>
      <c r="O4150" s="1935"/>
      <c r="P4150" s="1935"/>
      <c r="Q4150" s="1936"/>
      <c r="R4150" s="726">
        <f>VLOOKUP(A4151,'11 - FINANCEIRA'!_xlnm.Print_Area,8,FALSE)</f>
        <v>8</v>
      </c>
      <c r="S4150" s="727" t="str">
        <f>L4149</f>
        <v>und</v>
      </c>
      <c r="T4150" s="373"/>
      <c r="U4150" s="486"/>
      <c r="V4150" s="1418">
        <f t="shared" si="417"/>
        <v>0</v>
      </c>
      <c r="AB4150" s="15"/>
    </row>
    <row r="4151" spans="1:36" s="77" customFormat="1" ht="15.6" hidden="1">
      <c r="A4151" s="364" t="s">
        <v>731</v>
      </c>
      <c r="B4151" s="499"/>
      <c r="C4151" s="37"/>
      <c r="D4151" s="2013"/>
      <c r="E4151" s="2014"/>
      <c r="F4151" s="2014"/>
      <c r="G4151" s="2014"/>
      <c r="H4151" s="2014"/>
      <c r="I4151" s="2015"/>
      <c r="J4151" s="2016"/>
      <c r="K4151" s="2017"/>
      <c r="L4151" s="1962"/>
      <c r="M4151" s="2007" t="s">
        <v>1524</v>
      </c>
      <c r="N4151" s="2008"/>
      <c r="O4151" s="2008"/>
      <c r="P4151" s="2008"/>
      <c r="Q4151" s="2009"/>
      <c r="R4151" s="1345">
        <f>R4149-R4150</f>
        <v>0</v>
      </c>
      <c r="S4151" s="1346" t="str">
        <f>L4149</f>
        <v>und</v>
      </c>
      <c r="T4151" s="373"/>
      <c r="U4151" s="486"/>
      <c r="V4151" s="1418">
        <f>R4151</f>
        <v>0</v>
      </c>
      <c r="AB4151" s="15"/>
    </row>
    <row r="4152" spans="1:36" s="77" customFormat="1" ht="15.6" hidden="1">
      <c r="A4152" s="370"/>
      <c r="B4152" s="1347"/>
      <c r="C4152" s="1348"/>
      <c r="D4152" s="1349"/>
      <c r="E4152" s="1350"/>
      <c r="F4152" s="1349"/>
      <c r="G4152" s="1349"/>
      <c r="H4152" s="1349"/>
      <c r="I4152" s="1349"/>
      <c r="J4152" s="1351"/>
      <c r="K4152" s="1352"/>
      <c r="L4152" s="1353"/>
      <c r="M4152" s="1354"/>
      <c r="N4152" s="1354"/>
      <c r="O4152" s="1354"/>
      <c r="P4152" s="1354"/>
      <c r="Q4152" s="1354"/>
      <c r="R4152" s="1355"/>
      <c r="S4152" s="1356"/>
      <c r="T4152" s="1357"/>
      <c r="U4152" s="1358"/>
      <c r="V4152" s="1420">
        <f>SUM(V4143:V4151)</f>
        <v>0</v>
      </c>
      <c r="AB4152" s="15"/>
    </row>
    <row r="4153" spans="1:36" s="352" customFormat="1" ht="15.6" hidden="1">
      <c r="A4153" s="351"/>
      <c r="B4153" s="1963" t="str">
        <f>VLOOKUP(A4161,'11 - FINANCEIRA'!_xlnm.Print_Area,1,FALSE)</f>
        <v>2.6.1.3</v>
      </c>
      <c r="C4153" s="1965" t="str">
        <f>VLOOKUP(A4161,'11 - FINANCEIRA'!_xlnm.Print_Area,3,FALSE)</f>
        <v>Válvula de retenção portinhola simples, tipo wafer, pn 10  - BDI = 14,02</v>
      </c>
      <c r="D4153" s="1967" t="s">
        <v>1503</v>
      </c>
      <c r="E4153" s="1968"/>
      <c r="F4153" s="1968"/>
      <c r="G4153" s="1968"/>
      <c r="H4153" s="1968"/>
      <c r="I4153" s="1969"/>
      <c r="J4153" s="1914" t="s">
        <v>1504</v>
      </c>
      <c r="K4153" s="1914" t="s">
        <v>1505</v>
      </c>
      <c r="L4153" s="1914" t="s">
        <v>1506</v>
      </c>
      <c r="M4153" s="1914" t="s">
        <v>1507</v>
      </c>
      <c r="N4153" s="1914" t="s">
        <v>1508</v>
      </c>
      <c r="O4153" s="1914" t="s">
        <v>1509</v>
      </c>
      <c r="P4153" s="1341" t="s">
        <v>1510</v>
      </c>
      <c r="Q4153" s="1914" t="s">
        <v>1493</v>
      </c>
      <c r="R4153" s="1916" t="s">
        <v>804</v>
      </c>
      <c r="S4153" s="1914" t="s">
        <v>1511</v>
      </c>
      <c r="T4153" s="1914" t="s">
        <v>1512</v>
      </c>
      <c r="U4153" s="1918" t="s">
        <v>1513</v>
      </c>
      <c r="V4153" s="1418">
        <f t="shared" ref="V4153:V4160" si="418">V4154</f>
        <v>0</v>
      </c>
      <c r="W4153" s="16"/>
      <c r="X4153" s="16"/>
      <c r="Y4153" s="16"/>
      <c r="Z4153" s="17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</row>
    <row r="4154" spans="1:36" s="352" customFormat="1" ht="15.6" hidden="1">
      <c r="A4154" s="351"/>
      <c r="B4154" s="1964" t="e">
        <f>LEFT(#REF!,5)</f>
        <v>#REF!</v>
      </c>
      <c r="C4154" s="1966" t="e">
        <f>VLOOKUP(LEFT(#REF!,5),'11 - FINANCEIRA'!_xlnm.Print_Area,2,FALSE)</f>
        <v>#REF!</v>
      </c>
      <c r="D4154" s="1920" t="s">
        <v>1514</v>
      </c>
      <c r="E4154" s="1921"/>
      <c r="F4154" s="1922"/>
      <c r="G4154" s="1923" t="s">
        <v>1515</v>
      </c>
      <c r="H4154" s="1924"/>
      <c r="I4154" s="1925"/>
      <c r="J4154" s="1915"/>
      <c r="K4154" s="1915"/>
      <c r="L4154" s="1915"/>
      <c r="M4154" s="1915"/>
      <c r="N4154" s="1915"/>
      <c r="O4154" s="1915"/>
      <c r="P4154" s="353" t="s">
        <v>1516</v>
      </c>
      <c r="Q4154" s="1915"/>
      <c r="R4154" s="1917"/>
      <c r="S4154" s="1915"/>
      <c r="T4154" s="1915"/>
      <c r="U4154" s="1919"/>
      <c r="V4154" s="1418">
        <f t="shared" si="418"/>
        <v>0</v>
      </c>
      <c r="W4154" s="16"/>
      <c r="X4154" s="16"/>
      <c r="Y4154" s="16"/>
      <c r="Z4154" s="17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</row>
    <row r="4155" spans="1:36" s="361" customFormat="1" ht="15" hidden="1">
      <c r="A4155" s="354"/>
      <c r="B4155" s="355"/>
      <c r="C4155" s="28" t="s">
        <v>1950</v>
      </c>
      <c r="D4155" s="18"/>
      <c r="E4155" s="19"/>
      <c r="F4155" s="20"/>
      <c r="G4155" s="18"/>
      <c r="H4155" s="19"/>
      <c r="I4155" s="20"/>
      <c r="J4155" s="21"/>
      <c r="K4155" s="22"/>
      <c r="L4155" s="23"/>
      <c r="M4155" s="24"/>
      <c r="N4155" s="728"/>
      <c r="O4155" s="25"/>
      <c r="P4155" s="23"/>
      <c r="Q4155" s="729"/>
      <c r="R4155" s="1109">
        <v>10</v>
      </c>
      <c r="S4155" s="730" t="s">
        <v>816</v>
      </c>
      <c r="T4155" s="446" t="s">
        <v>318</v>
      </c>
      <c r="U4155" s="793" t="s">
        <v>1951</v>
      </c>
      <c r="V4155" s="1418">
        <f t="shared" si="418"/>
        <v>0</v>
      </c>
      <c r="W4155" s="357"/>
      <c r="X4155" s="357"/>
      <c r="Y4155" s="357"/>
      <c r="Z4155" s="358"/>
      <c r="AA4155" s="359"/>
      <c r="AB4155" s="360"/>
    </row>
    <row r="4156" spans="1:36" s="361" customFormat="1" ht="15" hidden="1">
      <c r="A4156" s="354"/>
      <c r="B4156" s="355"/>
      <c r="C4156" s="32"/>
      <c r="D4156" s="33"/>
      <c r="E4156" s="34"/>
      <c r="F4156" s="35"/>
      <c r="G4156" s="33"/>
      <c r="H4156" s="34"/>
      <c r="I4156" s="35"/>
      <c r="J4156" s="43"/>
      <c r="K4156" s="42"/>
      <c r="L4156" s="39"/>
      <c r="M4156" s="41"/>
      <c r="N4156" s="356"/>
      <c r="O4156" s="40"/>
      <c r="P4156" s="39"/>
      <c r="Q4156" s="45"/>
      <c r="R4156" s="362"/>
      <c r="S4156" s="363"/>
      <c r="T4156" s="46"/>
      <c r="U4156" s="44"/>
      <c r="V4156" s="1418">
        <f t="shared" si="418"/>
        <v>0</v>
      </c>
      <c r="W4156" s="357"/>
      <c r="X4156" s="357"/>
      <c r="Y4156" s="357"/>
      <c r="Z4156" s="358"/>
      <c r="AA4156" s="359"/>
      <c r="AB4156" s="360"/>
    </row>
    <row r="4157" spans="1:36" s="369" customFormat="1" ht="15" hidden="1">
      <c r="A4157" s="364"/>
      <c r="B4157" s="355"/>
      <c r="C4157" s="32"/>
      <c r="D4157" s="33"/>
      <c r="E4157" s="34"/>
      <c r="F4157" s="35"/>
      <c r="G4157" s="33"/>
      <c r="H4157" s="34"/>
      <c r="I4157" s="35"/>
      <c r="J4157" s="43"/>
      <c r="K4157" s="42"/>
      <c r="L4157" s="39"/>
      <c r="M4157" s="41"/>
      <c r="N4157" s="40"/>
      <c r="O4157" s="40"/>
      <c r="P4157" s="39"/>
      <c r="Q4157" s="38"/>
      <c r="R4157" s="365"/>
      <c r="S4157" s="366"/>
      <c r="T4157" s="46"/>
      <c r="U4157" s="44"/>
      <c r="V4157" s="1418">
        <f t="shared" si="418"/>
        <v>0</v>
      </c>
      <c r="W4157" s="367"/>
      <c r="X4157" s="367"/>
      <c r="Y4157" s="367"/>
      <c r="Z4157" s="368"/>
    </row>
    <row r="4158" spans="1:36" s="77" customFormat="1" ht="15" hidden="1">
      <c r="A4158" s="370"/>
      <c r="B4158" s="29"/>
      <c r="C4158" s="30"/>
      <c r="D4158" s="18"/>
      <c r="E4158" s="19"/>
      <c r="F4158" s="20"/>
      <c r="G4158" s="18"/>
      <c r="H4158" s="19"/>
      <c r="I4158" s="20"/>
      <c r="J4158" s="21"/>
      <c r="K4158" s="22"/>
      <c r="L4158" s="23"/>
      <c r="M4158" s="24"/>
      <c r="N4158" s="25"/>
      <c r="O4158" s="25"/>
      <c r="P4158" s="23"/>
      <c r="Q4158" s="26"/>
      <c r="R4158" s="371"/>
      <c r="S4158" s="27"/>
      <c r="T4158" s="372"/>
      <c r="U4158" s="31"/>
      <c r="V4158" s="1418">
        <f t="shared" si="418"/>
        <v>0</v>
      </c>
      <c r="AB4158" s="15"/>
    </row>
    <row r="4159" spans="1:36" s="77" customFormat="1" ht="15.6" hidden="1">
      <c r="A4159" s="370"/>
      <c r="B4159" s="499"/>
      <c r="C4159" s="37"/>
      <c r="D4159" s="1929" t="s">
        <v>1520</v>
      </c>
      <c r="E4159" s="1930"/>
      <c r="F4159" s="1930"/>
      <c r="G4159" s="1930"/>
      <c r="H4159" s="1930"/>
      <c r="I4159" s="1931"/>
      <c r="J4159" s="1932">
        <f>VLOOKUP(A4161,'11 - FINANCEIRA'!_xlnm.Print_Area,6,FALSE)</f>
        <v>10</v>
      </c>
      <c r="K4159" s="1933"/>
      <c r="L4159" s="1343" t="str">
        <f>VLOOKUP(A4161,'11 - FINANCEIRA'!_xlnm.Print_Area,4,FALSE)</f>
        <v>und</v>
      </c>
      <c r="M4159" s="1934" t="s">
        <v>1521</v>
      </c>
      <c r="N4159" s="1935"/>
      <c r="O4159" s="1935"/>
      <c r="P4159" s="1935"/>
      <c r="Q4159" s="1936"/>
      <c r="R4159" s="726">
        <f>SUM(R4155:R4158)</f>
        <v>10</v>
      </c>
      <c r="S4159" s="1344" t="str">
        <f>L4159</f>
        <v>und</v>
      </c>
      <c r="T4159" s="373"/>
      <c r="U4159" s="486"/>
      <c r="V4159" s="1418">
        <f t="shared" si="418"/>
        <v>0</v>
      </c>
      <c r="AB4159" s="15"/>
    </row>
    <row r="4160" spans="1:36" s="77" customFormat="1" ht="15.6" hidden="1">
      <c r="A4160" s="370"/>
      <c r="B4160" s="499"/>
      <c r="C4160" s="725"/>
      <c r="D4160" s="1937" t="s">
        <v>1522</v>
      </c>
      <c r="E4160" s="1938"/>
      <c r="F4160" s="1938"/>
      <c r="G4160" s="1938"/>
      <c r="H4160" s="1938"/>
      <c r="I4160" s="1939"/>
      <c r="J4160" s="1943">
        <f>R4159/J4159</f>
        <v>1</v>
      </c>
      <c r="K4160" s="1944"/>
      <c r="L4160" s="1947"/>
      <c r="M4160" s="1934" t="s">
        <v>1523</v>
      </c>
      <c r="N4160" s="1935"/>
      <c r="O4160" s="1935"/>
      <c r="P4160" s="1935"/>
      <c r="Q4160" s="1936"/>
      <c r="R4160" s="726">
        <f>VLOOKUP(A4161,'11 - FINANCEIRA'!_xlnm.Print_Area,8,FALSE)</f>
        <v>10</v>
      </c>
      <c r="S4160" s="727" t="str">
        <f>L4159</f>
        <v>und</v>
      </c>
      <c r="T4160" s="373"/>
      <c r="U4160" s="486"/>
      <c r="V4160" s="1418">
        <f t="shared" si="418"/>
        <v>0</v>
      </c>
      <c r="AB4160" s="15"/>
    </row>
    <row r="4161" spans="1:36" s="77" customFormat="1" ht="15.6" hidden="1">
      <c r="A4161" s="364" t="s">
        <v>732</v>
      </c>
      <c r="B4161" s="499"/>
      <c r="C4161" s="37"/>
      <c r="D4161" s="2013"/>
      <c r="E4161" s="2014"/>
      <c r="F4161" s="2014"/>
      <c r="G4161" s="2014"/>
      <c r="H4161" s="2014"/>
      <c r="I4161" s="2015"/>
      <c r="J4161" s="2016"/>
      <c r="K4161" s="2017"/>
      <c r="L4161" s="1962"/>
      <c r="M4161" s="2007" t="s">
        <v>1524</v>
      </c>
      <c r="N4161" s="2008"/>
      <c r="O4161" s="2008"/>
      <c r="P4161" s="2008"/>
      <c r="Q4161" s="2009"/>
      <c r="R4161" s="1345">
        <f>R4159-R4160</f>
        <v>0</v>
      </c>
      <c r="S4161" s="1346" t="str">
        <f>L4159</f>
        <v>und</v>
      </c>
      <c r="T4161" s="373"/>
      <c r="U4161" s="486"/>
      <c r="V4161" s="1418">
        <f>R4161</f>
        <v>0</v>
      </c>
      <c r="AB4161" s="15"/>
    </row>
    <row r="4162" spans="1:36" s="77" customFormat="1" ht="15.6" hidden="1">
      <c r="A4162" s="370"/>
      <c r="B4162" s="1347"/>
      <c r="C4162" s="1348"/>
      <c r="D4162" s="1349"/>
      <c r="E4162" s="1350"/>
      <c r="F4162" s="1349"/>
      <c r="G4162" s="1349"/>
      <c r="H4162" s="1349"/>
      <c r="I4162" s="1349"/>
      <c r="J4162" s="1351"/>
      <c r="K4162" s="1352"/>
      <c r="L4162" s="1353"/>
      <c r="M4162" s="1354"/>
      <c r="N4162" s="1354"/>
      <c r="O4162" s="1354"/>
      <c r="P4162" s="1354"/>
      <c r="Q4162" s="1354"/>
      <c r="R4162" s="1355"/>
      <c r="S4162" s="1356"/>
      <c r="T4162" s="1357"/>
      <c r="U4162" s="1358"/>
      <c r="V4162" s="1420">
        <f>SUM(V4153:V4161)</f>
        <v>0</v>
      </c>
      <c r="AB4162" s="15"/>
    </row>
    <row r="4163" spans="1:36" s="352" customFormat="1" ht="15.6" hidden="1">
      <c r="A4163" s="351"/>
      <c r="B4163" s="1963" t="str">
        <f>VLOOKUP(A4171,'11 - FINANCEIRA'!_xlnm.Print_Area,1,FALSE)</f>
        <v>2.6.1.4</v>
      </c>
      <c r="C4163" s="1965" t="str">
        <f>VLOOKUP(A4171,'11 - FINANCEIRA'!_xlnm.Print_Area,3,FALSE)</f>
        <v>Válvula flap – pn 10, flange na classe k7, pn 10, nbr 7675. - BDI = 14,02</v>
      </c>
      <c r="D4163" s="1967" t="s">
        <v>1503</v>
      </c>
      <c r="E4163" s="1968"/>
      <c r="F4163" s="1968"/>
      <c r="G4163" s="1968"/>
      <c r="H4163" s="1968"/>
      <c r="I4163" s="1969"/>
      <c r="J4163" s="1914" t="s">
        <v>1504</v>
      </c>
      <c r="K4163" s="1914" t="s">
        <v>1505</v>
      </c>
      <c r="L4163" s="1914" t="s">
        <v>1506</v>
      </c>
      <c r="M4163" s="1914" t="s">
        <v>1507</v>
      </c>
      <c r="N4163" s="1914" t="s">
        <v>1508</v>
      </c>
      <c r="O4163" s="1914" t="s">
        <v>1509</v>
      </c>
      <c r="P4163" s="1341" t="s">
        <v>1510</v>
      </c>
      <c r="Q4163" s="1914" t="s">
        <v>1493</v>
      </c>
      <c r="R4163" s="1916" t="s">
        <v>804</v>
      </c>
      <c r="S4163" s="1914" t="s">
        <v>1511</v>
      </c>
      <c r="T4163" s="1914" t="s">
        <v>1512</v>
      </c>
      <c r="U4163" s="1918" t="s">
        <v>1513</v>
      </c>
      <c r="V4163" s="1418">
        <f t="shared" ref="V4163:V4170" si="419">V4164</f>
        <v>0</v>
      </c>
      <c r="W4163" s="16"/>
      <c r="X4163" s="16"/>
      <c r="Y4163" s="16"/>
      <c r="Z4163" s="17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</row>
    <row r="4164" spans="1:36" s="352" customFormat="1" ht="15.6" hidden="1">
      <c r="A4164" s="351"/>
      <c r="B4164" s="1964" t="e">
        <f>LEFT(#REF!,5)</f>
        <v>#REF!</v>
      </c>
      <c r="C4164" s="1966" t="e">
        <f>VLOOKUP(LEFT(#REF!,5),'11 - FINANCEIRA'!_xlnm.Print_Area,2,FALSE)</f>
        <v>#REF!</v>
      </c>
      <c r="D4164" s="1920" t="s">
        <v>1514</v>
      </c>
      <c r="E4164" s="1921"/>
      <c r="F4164" s="1922"/>
      <c r="G4164" s="1923" t="s">
        <v>1515</v>
      </c>
      <c r="H4164" s="1924"/>
      <c r="I4164" s="1925"/>
      <c r="J4164" s="1915"/>
      <c r="K4164" s="1915"/>
      <c r="L4164" s="1915"/>
      <c r="M4164" s="1915"/>
      <c r="N4164" s="1915"/>
      <c r="O4164" s="1915"/>
      <c r="P4164" s="353" t="s">
        <v>1516</v>
      </c>
      <c r="Q4164" s="1915"/>
      <c r="R4164" s="1917"/>
      <c r="S4164" s="1915"/>
      <c r="T4164" s="1915"/>
      <c r="U4164" s="1919"/>
      <c r="V4164" s="1418">
        <f t="shared" si="419"/>
        <v>0</v>
      </c>
      <c r="W4164" s="16"/>
      <c r="X4164" s="16"/>
      <c r="Y4164" s="16"/>
      <c r="Z4164" s="17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</row>
    <row r="4165" spans="1:36" s="361" customFormat="1" ht="15" hidden="1" customHeight="1">
      <c r="A4165" s="354"/>
      <c r="B4165" s="355"/>
      <c r="C4165" s="28" t="s">
        <v>1392</v>
      </c>
      <c r="D4165" s="18"/>
      <c r="E4165" s="19"/>
      <c r="F4165" s="20"/>
      <c r="G4165" s="18"/>
      <c r="H4165" s="19"/>
      <c r="I4165" s="20"/>
      <c r="J4165" s="21"/>
      <c r="K4165" s="22"/>
      <c r="L4165" s="23"/>
      <c r="M4165" s="24"/>
      <c r="N4165" s="728"/>
      <c r="O4165" s="25"/>
      <c r="P4165" s="23"/>
      <c r="Q4165" s="729"/>
      <c r="R4165" s="1109">
        <v>10</v>
      </c>
      <c r="S4165" s="730" t="s">
        <v>816</v>
      </c>
      <c r="T4165" s="446" t="s">
        <v>322</v>
      </c>
      <c r="U4165" s="793"/>
      <c r="V4165" s="1418">
        <f t="shared" si="419"/>
        <v>0</v>
      </c>
      <c r="W4165" s="357"/>
      <c r="X4165" s="357"/>
      <c r="Y4165" s="357"/>
      <c r="Z4165" s="358"/>
      <c r="AA4165" s="359"/>
      <c r="AB4165" s="360"/>
    </row>
    <row r="4166" spans="1:36" s="361" customFormat="1" ht="15" hidden="1" customHeight="1">
      <c r="A4166" s="354"/>
      <c r="B4166" s="355"/>
      <c r="C4166" s="32"/>
      <c r="D4166" s="33"/>
      <c r="E4166" s="34"/>
      <c r="F4166" s="35"/>
      <c r="G4166" s="33"/>
      <c r="H4166" s="34"/>
      <c r="I4166" s="35"/>
      <c r="J4166" s="43"/>
      <c r="K4166" s="42"/>
      <c r="L4166" s="39"/>
      <c r="M4166" s="41"/>
      <c r="N4166" s="356"/>
      <c r="O4166" s="40"/>
      <c r="P4166" s="39"/>
      <c r="Q4166" s="45"/>
      <c r="R4166" s="362"/>
      <c r="S4166" s="363"/>
      <c r="T4166" s="46"/>
      <c r="U4166" s="44"/>
      <c r="V4166" s="1418">
        <f t="shared" si="419"/>
        <v>0</v>
      </c>
      <c r="W4166" s="357"/>
      <c r="X4166" s="357"/>
      <c r="Y4166" s="357"/>
      <c r="Z4166" s="358"/>
      <c r="AA4166" s="359"/>
      <c r="AB4166" s="360"/>
    </row>
    <row r="4167" spans="1:36" s="369" customFormat="1" ht="15" hidden="1">
      <c r="A4167" s="364"/>
      <c r="B4167" s="355"/>
      <c r="C4167" s="32"/>
      <c r="D4167" s="33"/>
      <c r="E4167" s="34"/>
      <c r="F4167" s="35"/>
      <c r="G4167" s="33"/>
      <c r="H4167" s="34"/>
      <c r="I4167" s="35"/>
      <c r="J4167" s="43"/>
      <c r="K4167" s="42"/>
      <c r="L4167" s="39"/>
      <c r="M4167" s="41"/>
      <c r="N4167" s="40"/>
      <c r="O4167" s="40"/>
      <c r="P4167" s="39"/>
      <c r="Q4167" s="38"/>
      <c r="R4167" s="365"/>
      <c r="S4167" s="366"/>
      <c r="T4167" s="46"/>
      <c r="U4167" s="44"/>
      <c r="V4167" s="1418">
        <f t="shared" si="419"/>
        <v>0</v>
      </c>
      <c r="W4167" s="367"/>
      <c r="X4167" s="367"/>
      <c r="Y4167" s="367"/>
      <c r="Z4167" s="368"/>
    </row>
    <row r="4168" spans="1:36" s="77" customFormat="1" ht="15" hidden="1">
      <c r="A4168" s="370"/>
      <c r="B4168" s="29"/>
      <c r="C4168" s="30"/>
      <c r="D4168" s="18"/>
      <c r="E4168" s="19"/>
      <c r="F4168" s="20"/>
      <c r="G4168" s="18"/>
      <c r="H4168" s="19"/>
      <c r="I4168" s="20"/>
      <c r="J4168" s="21"/>
      <c r="K4168" s="22"/>
      <c r="L4168" s="23"/>
      <c r="M4168" s="24"/>
      <c r="N4168" s="25"/>
      <c r="O4168" s="25"/>
      <c r="P4168" s="23"/>
      <c r="Q4168" s="26"/>
      <c r="R4168" s="371"/>
      <c r="S4168" s="27"/>
      <c r="T4168" s="372"/>
      <c r="U4168" s="31"/>
      <c r="V4168" s="1418">
        <f t="shared" si="419"/>
        <v>0</v>
      </c>
      <c r="AB4168" s="15"/>
    </row>
    <row r="4169" spans="1:36" s="77" customFormat="1" ht="15.6" hidden="1">
      <c r="A4169" s="370"/>
      <c r="B4169" s="499"/>
      <c r="C4169" s="37"/>
      <c r="D4169" s="1929" t="s">
        <v>1520</v>
      </c>
      <c r="E4169" s="1930"/>
      <c r="F4169" s="1930"/>
      <c r="G4169" s="1930"/>
      <c r="H4169" s="1930"/>
      <c r="I4169" s="1931"/>
      <c r="J4169" s="1932">
        <f>VLOOKUP(A4171,'11 - FINANCEIRA'!_xlnm.Print_Area,6,FALSE)</f>
        <v>10</v>
      </c>
      <c r="K4169" s="1933"/>
      <c r="L4169" s="1343" t="str">
        <f>VLOOKUP(A4171,'11 - FINANCEIRA'!_xlnm.Print_Area,4,FALSE)</f>
        <v>und</v>
      </c>
      <c r="M4169" s="1934" t="s">
        <v>1521</v>
      </c>
      <c r="N4169" s="1935"/>
      <c r="O4169" s="1935"/>
      <c r="P4169" s="1935"/>
      <c r="Q4169" s="1936"/>
      <c r="R4169" s="726">
        <f>SUM(R4165:R4168)</f>
        <v>10</v>
      </c>
      <c r="S4169" s="1344" t="str">
        <f>L4169</f>
        <v>und</v>
      </c>
      <c r="T4169" s="373"/>
      <c r="U4169" s="486"/>
      <c r="V4169" s="1418">
        <f t="shared" si="419"/>
        <v>0</v>
      </c>
      <c r="AB4169" s="15"/>
    </row>
    <row r="4170" spans="1:36" s="77" customFormat="1" ht="15.6" hidden="1">
      <c r="A4170" s="370"/>
      <c r="B4170" s="499"/>
      <c r="C4170" s="725"/>
      <c r="D4170" s="1937" t="s">
        <v>1522</v>
      </c>
      <c r="E4170" s="1938"/>
      <c r="F4170" s="1938"/>
      <c r="G4170" s="1938"/>
      <c r="H4170" s="1938"/>
      <c r="I4170" s="1939"/>
      <c r="J4170" s="1943">
        <f>R4169/J4169</f>
        <v>1</v>
      </c>
      <c r="K4170" s="1944"/>
      <c r="L4170" s="1947"/>
      <c r="M4170" s="1934" t="s">
        <v>1523</v>
      </c>
      <c r="N4170" s="1935"/>
      <c r="O4170" s="1935"/>
      <c r="P4170" s="1935"/>
      <c r="Q4170" s="1936"/>
      <c r="R4170" s="726">
        <f>VLOOKUP(A4171,'11 - FINANCEIRA'!_xlnm.Print_Area,8,FALSE)</f>
        <v>10</v>
      </c>
      <c r="S4170" s="727" t="str">
        <f>L4169</f>
        <v>und</v>
      </c>
      <c r="T4170" s="373"/>
      <c r="U4170" s="486"/>
      <c r="V4170" s="1418">
        <f t="shared" si="419"/>
        <v>0</v>
      </c>
      <c r="AB4170" s="15"/>
    </row>
    <row r="4171" spans="1:36" s="77" customFormat="1" ht="15.6" hidden="1">
      <c r="A4171" s="364" t="s">
        <v>733</v>
      </c>
      <c r="B4171" s="499"/>
      <c r="C4171" s="37"/>
      <c r="D4171" s="2013"/>
      <c r="E4171" s="2014"/>
      <c r="F4171" s="2014"/>
      <c r="G4171" s="2014"/>
      <c r="H4171" s="2014"/>
      <c r="I4171" s="2015"/>
      <c r="J4171" s="2016"/>
      <c r="K4171" s="2017"/>
      <c r="L4171" s="1962"/>
      <c r="M4171" s="2007" t="s">
        <v>1524</v>
      </c>
      <c r="N4171" s="2008"/>
      <c r="O4171" s="2008"/>
      <c r="P4171" s="2008"/>
      <c r="Q4171" s="2009"/>
      <c r="R4171" s="1345">
        <f>R4169-R4170</f>
        <v>0</v>
      </c>
      <c r="S4171" s="1346" t="str">
        <f>L4169</f>
        <v>und</v>
      </c>
      <c r="T4171" s="373"/>
      <c r="U4171" s="486"/>
      <c r="V4171" s="1418">
        <f>R4171</f>
        <v>0</v>
      </c>
      <c r="AB4171" s="15"/>
    </row>
    <row r="4172" spans="1:36" s="77" customFormat="1" ht="15.6" hidden="1">
      <c r="A4172" s="370"/>
      <c r="B4172" s="1347"/>
      <c r="C4172" s="1348"/>
      <c r="D4172" s="1349"/>
      <c r="E4172" s="1350"/>
      <c r="F4172" s="1349"/>
      <c r="G4172" s="1349"/>
      <c r="H4172" s="1349"/>
      <c r="I4172" s="1349"/>
      <c r="J4172" s="1351"/>
      <c r="K4172" s="1352"/>
      <c r="L4172" s="1353"/>
      <c r="M4172" s="1354"/>
      <c r="N4172" s="1354"/>
      <c r="O4172" s="1354"/>
      <c r="P4172" s="1354"/>
      <c r="Q4172" s="1354"/>
      <c r="R4172" s="1355"/>
      <c r="S4172" s="1356"/>
      <c r="T4172" s="1357"/>
      <c r="U4172" s="1358"/>
      <c r="V4172" s="1420">
        <f>SUM(V4163:V4171)</f>
        <v>0</v>
      </c>
      <c r="AB4172" s="15"/>
    </row>
    <row r="4173" spans="1:36" s="352" customFormat="1" ht="15.6" hidden="1">
      <c r="A4173" s="351"/>
      <c r="B4173" s="1963" t="str">
        <f>VLOOKUP(A4181,'11 - FINANCEIRA'!_xlnm.Print_Area,1,FALSE)</f>
        <v>2.6.1.5</v>
      </c>
      <c r="C4173" s="1965" t="str">
        <f>VLOOKUP(A4181,'11 - FINANCEIRA'!_xlnm.Print_Area,3,FALSE)</f>
        <v>Bomba submersível, q=2,5m³/s, com descarga entre flanges, coluna de descarga vertical com dn 1200mm e flange de saída para linha de recalque na classe k7, pn 10, nbr 7675 (frete incluso) - BDI = 14,02</v>
      </c>
      <c r="D4173" s="1967" t="s">
        <v>1503</v>
      </c>
      <c r="E4173" s="1968"/>
      <c r="F4173" s="1968"/>
      <c r="G4173" s="1968"/>
      <c r="H4173" s="1968"/>
      <c r="I4173" s="1969"/>
      <c r="J4173" s="1914" t="s">
        <v>804</v>
      </c>
      <c r="K4173" s="1914" t="s">
        <v>1505</v>
      </c>
      <c r="L4173" s="1914" t="s">
        <v>1506</v>
      </c>
      <c r="M4173" s="1914" t="s">
        <v>1507</v>
      </c>
      <c r="N4173" s="1914" t="s">
        <v>1508</v>
      </c>
      <c r="O4173" s="1914" t="s">
        <v>1509</v>
      </c>
      <c r="P4173" s="1341" t="s">
        <v>1510</v>
      </c>
      <c r="Q4173" s="1914" t="s">
        <v>1493</v>
      </c>
      <c r="R4173" s="1916" t="s">
        <v>804</v>
      </c>
      <c r="S4173" s="1914" t="s">
        <v>1511</v>
      </c>
      <c r="T4173" s="1914" t="s">
        <v>1512</v>
      </c>
      <c r="U4173" s="1918" t="s">
        <v>1513</v>
      </c>
      <c r="V4173" s="1418">
        <f t="shared" ref="V4173:V4180" si="420">V4174</f>
        <v>0</v>
      </c>
      <c r="W4173" s="16"/>
      <c r="X4173" s="16"/>
      <c r="Y4173" s="16"/>
      <c r="Z4173" s="17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</row>
    <row r="4174" spans="1:36" s="352" customFormat="1" ht="15.6" hidden="1">
      <c r="A4174" s="351"/>
      <c r="B4174" s="1964" t="e">
        <f>LEFT(#REF!,5)</f>
        <v>#REF!</v>
      </c>
      <c r="C4174" s="1966" t="e">
        <f>VLOOKUP(LEFT(#REF!,5),'11 - FINANCEIRA'!_xlnm.Print_Area,2,FALSE)</f>
        <v>#REF!</v>
      </c>
      <c r="D4174" s="1920" t="s">
        <v>1514</v>
      </c>
      <c r="E4174" s="1921"/>
      <c r="F4174" s="1922"/>
      <c r="G4174" s="1923" t="s">
        <v>1515</v>
      </c>
      <c r="H4174" s="1924"/>
      <c r="I4174" s="1925"/>
      <c r="J4174" s="1915"/>
      <c r="K4174" s="1915"/>
      <c r="L4174" s="1915"/>
      <c r="M4174" s="1915"/>
      <c r="N4174" s="1915"/>
      <c r="O4174" s="1915"/>
      <c r="P4174" s="353" t="s">
        <v>1516</v>
      </c>
      <c r="Q4174" s="1915"/>
      <c r="R4174" s="1917"/>
      <c r="S4174" s="1915"/>
      <c r="T4174" s="1915"/>
      <c r="U4174" s="1919"/>
      <c r="V4174" s="1418">
        <f t="shared" si="420"/>
        <v>0</v>
      </c>
      <c r="W4174" s="16"/>
      <c r="X4174" s="16"/>
      <c r="Y4174" s="16"/>
      <c r="Z4174" s="17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</row>
    <row r="4175" spans="1:36" s="361" customFormat="1" ht="15" hidden="1">
      <c r="A4175" s="354"/>
      <c r="B4175" s="755" t="s">
        <v>1952</v>
      </c>
      <c r="C4175" s="28" t="s">
        <v>1953</v>
      </c>
      <c r="D4175" s="18"/>
      <c r="E4175" s="19"/>
      <c r="F4175" s="20"/>
      <c r="G4175" s="18"/>
      <c r="H4175" s="19"/>
      <c r="I4175" s="20"/>
      <c r="J4175" s="21">
        <v>8</v>
      </c>
      <c r="K4175" s="22"/>
      <c r="L4175" s="23"/>
      <c r="M4175" s="24"/>
      <c r="N4175" s="728"/>
      <c r="O4175" s="25"/>
      <c r="P4175" s="23"/>
      <c r="Q4175" s="848">
        <v>0.2</v>
      </c>
      <c r="R4175" s="1109">
        <f>J4175*Q4175</f>
        <v>1.6</v>
      </c>
      <c r="S4175" s="730" t="s">
        <v>816</v>
      </c>
      <c r="T4175" s="446" t="s">
        <v>302</v>
      </c>
      <c r="U4175" s="44"/>
      <c r="V4175" s="1418">
        <f t="shared" si="420"/>
        <v>0</v>
      </c>
      <c r="W4175" s="357"/>
      <c r="X4175" s="357"/>
      <c r="Y4175" s="357"/>
      <c r="Z4175" s="358"/>
      <c r="AA4175" s="359"/>
      <c r="AB4175" s="360"/>
    </row>
    <row r="4176" spans="1:36" s="361" customFormat="1" ht="15" hidden="1">
      <c r="A4176" s="354"/>
      <c r="B4176" s="863" t="s">
        <v>1954</v>
      </c>
      <c r="C4176" s="710" t="s">
        <v>1953</v>
      </c>
      <c r="D4176" s="891"/>
      <c r="E4176" s="865"/>
      <c r="F4176" s="892"/>
      <c r="G4176" s="891"/>
      <c r="H4176" s="865"/>
      <c r="I4176" s="892"/>
      <c r="J4176" s="867">
        <v>4</v>
      </c>
      <c r="K4176" s="868"/>
      <c r="L4176" s="869"/>
      <c r="M4176" s="870"/>
      <c r="N4176" s="874"/>
      <c r="O4176" s="875"/>
      <c r="P4176" s="869"/>
      <c r="Q4176" s="893">
        <v>0.6</v>
      </c>
      <c r="R4176" s="445">
        <f>J4176*Q4176</f>
        <v>2.4</v>
      </c>
      <c r="S4176" s="894" t="s">
        <v>816</v>
      </c>
      <c r="T4176" s="872" t="s">
        <v>56</v>
      </c>
      <c r="U4176" s="846" t="s">
        <v>1955</v>
      </c>
      <c r="V4176" s="1418">
        <f t="shared" si="420"/>
        <v>0</v>
      </c>
      <c r="W4176" s="357"/>
      <c r="X4176" s="357"/>
      <c r="Y4176" s="357"/>
      <c r="Z4176" s="358"/>
      <c r="AA4176" s="359"/>
      <c r="AB4176" s="360"/>
    </row>
    <row r="4177" spans="1:36" s="369" customFormat="1" ht="15" hidden="1">
      <c r="A4177" s="364"/>
      <c r="B4177" s="755" t="s">
        <v>1956</v>
      </c>
      <c r="C4177" s="28" t="s">
        <v>1953</v>
      </c>
      <c r="D4177" s="18"/>
      <c r="E4177" s="19"/>
      <c r="F4177" s="20"/>
      <c r="G4177" s="18"/>
      <c r="H4177" s="19"/>
      <c r="I4177" s="20"/>
      <c r="J4177" s="21">
        <v>4</v>
      </c>
      <c r="K4177" s="22" t="s">
        <v>1957</v>
      </c>
      <c r="L4177" s="23"/>
      <c r="M4177" s="24"/>
      <c r="N4177" s="25"/>
      <c r="O4177" s="25"/>
      <c r="P4177" s="23"/>
      <c r="Q4177" s="893">
        <v>0.6</v>
      </c>
      <c r="R4177" s="445">
        <f>J4177*Q4177</f>
        <v>2.4</v>
      </c>
      <c r="S4177" s="894" t="s">
        <v>816</v>
      </c>
      <c r="T4177" s="872" t="s">
        <v>306</v>
      </c>
      <c r="U4177" s="846" t="s">
        <v>1955</v>
      </c>
      <c r="V4177" s="1418">
        <f t="shared" si="420"/>
        <v>0</v>
      </c>
      <c r="W4177" s="367"/>
      <c r="X4177" s="367"/>
      <c r="Y4177" s="367"/>
      <c r="Z4177" s="368"/>
    </row>
    <row r="4178" spans="1:36" s="77" customFormat="1" ht="15" hidden="1">
      <c r="A4178" s="370"/>
      <c r="B4178" s="1266"/>
      <c r="C4178" s="453"/>
      <c r="D4178" s="33"/>
      <c r="E4178" s="34"/>
      <c r="F4178" s="35"/>
      <c r="G4178" s="33"/>
      <c r="H4178" s="34"/>
      <c r="I4178" s="35"/>
      <c r="J4178" s="43"/>
      <c r="K4178" s="42"/>
      <c r="L4178" s="39"/>
      <c r="M4178" s="41"/>
      <c r="N4178" s="40"/>
      <c r="O4178" s="40"/>
      <c r="P4178" s="39"/>
      <c r="Q4178" s="1195"/>
      <c r="R4178" s="1267"/>
      <c r="S4178" s="1194"/>
      <c r="T4178" s="1147"/>
      <c r="U4178" s="1031"/>
      <c r="V4178" s="1418">
        <f t="shared" si="420"/>
        <v>0</v>
      </c>
      <c r="AB4178" s="15"/>
    </row>
    <row r="4179" spans="1:36" s="77" customFormat="1" ht="15.6" hidden="1">
      <c r="A4179" s="370"/>
      <c r="B4179" s="499"/>
      <c r="C4179" s="37"/>
      <c r="D4179" s="1929" t="s">
        <v>1520</v>
      </c>
      <c r="E4179" s="1930"/>
      <c r="F4179" s="1930"/>
      <c r="G4179" s="1930"/>
      <c r="H4179" s="1930"/>
      <c r="I4179" s="1931"/>
      <c r="J4179" s="1932">
        <f>VLOOKUP(A4181,'11 - FINANCEIRA'!_xlnm.Print_Area,6,FALSE)</f>
        <v>8</v>
      </c>
      <c r="K4179" s="1933"/>
      <c r="L4179" s="1343" t="str">
        <f>VLOOKUP(A4181,'11 - FINANCEIRA'!_xlnm.Print_Area,4,FALSE)</f>
        <v>und</v>
      </c>
      <c r="M4179" s="1934" t="s">
        <v>1521</v>
      </c>
      <c r="N4179" s="1935"/>
      <c r="O4179" s="1935"/>
      <c r="P4179" s="1935"/>
      <c r="Q4179" s="1936"/>
      <c r="R4179" s="726">
        <f>SUM(R4175:R4178)</f>
        <v>6.4</v>
      </c>
      <c r="S4179" s="1344" t="str">
        <f>L4179</f>
        <v>und</v>
      </c>
      <c r="T4179" s="373"/>
      <c r="U4179" s="486"/>
      <c r="V4179" s="1418">
        <f t="shared" si="420"/>
        <v>0</v>
      </c>
      <c r="AB4179" s="15"/>
    </row>
    <row r="4180" spans="1:36" s="77" customFormat="1" ht="15.6" hidden="1">
      <c r="A4180" s="370"/>
      <c r="B4180" s="499"/>
      <c r="C4180" s="725"/>
      <c r="D4180" s="1937" t="s">
        <v>1522</v>
      </c>
      <c r="E4180" s="1938"/>
      <c r="F4180" s="1938"/>
      <c r="G4180" s="1938"/>
      <c r="H4180" s="1938"/>
      <c r="I4180" s="1939"/>
      <c r="J4180" s="1943">
        <f>R4179/J4179</f>
        <v>0.8</v>
      </c>
      <c r="K4180" s="1944"/>
      <c r="L4180" s="1947"/>
      <c r="M4180" s="1934" t="s">
        <v>1523</v>
      </c>
      <c r="N4180" s="1935"/>
      <c r="O4180" s="1935"/>
      <c r="P4180" s="1935"/>
      <c r="Q4180" s="1936"/>
      <c r="R4180" s="726">
        <f>VLOOKUP(A4181,'11 - FINANCEIRA'!_xlnm.Print_Area,8,FALSE)</f>
        <v>6.4</v>
      </c>
      <c r="S4180" s="727" t="str">
        <f>L4179</f>
        <v>und</v>
      </c>
      <c r="T4180" s="373"/>
      <c r="U4180" s="486"/>
      <c r="V4180" s="1418">
        <f t="shared" si="420"/>
        <v>0</v>
      </c>
      <c r="AB4180" s="15"/>
    </row>
    <row r="4181" spans="1:36" s="77" customFormat="1" ht="15.6" hidden="1">
      <c r="A4181" s="364" t="s">
        <v>734</v>
      </c>
      <c r="B4181" s="499"/>
      <c r="C4181" s="37"/>
      <c r="D4181" s="2013"/>
      <c r="E4181" s="2014"/>
      <c r="F4181" s="2014"/>
      <c r="G4181" s="2014"/>
      <c r="H4181" s="2014"/>
      <c r="I4181" s="2015"/>
      <c r="J4181" s="2016"/>
      <c r="K4181" s="2017"/>
      <c r="L4181" s="1962"/>
      <c r="M4181" s="2007" t="s">
        <v>1524</v>
      </c>
      <c r="N4181" s="2008"/>
      <c r="O4181" s="2008"/>
      <c r="P4181" s="2008"/>
      <c r="Q4181" s="2009"/>
      <c r="R4181" s="1345">
        <f>R4179-R4180</f>
        <v>0</v>
      </c>
      <c r="S4181" s="1346" t="str">
        <f>L4179</f>
        <v>und</v>
      </c>
      <c r="T4181" s="373"/>
      <c r="U4181" s="486"/>
      <c r="V4181" s="1418">
        <f>R4181</f>
        <v>0</v>
      </c>
      <c r="AB4181" s="15"/>
    </row>
    <row r="4182" spans="1:36" s="77" customFormat="1" ht="15.6" hidden="1">
      <c r="A4182" s="370"/>
      <c r="B4182" s="1347"/>
      <c r="C4182" s="1348"/>
      <c r="D4182" s="1349"/>
      <c r="E4182" s="1350"/>
      <c r="F4182" s="1349"/>
      <c r="G4182" s="1349"/>
      <c r="H4182" s="1349"/>
      <c r="I4182" s="1349"/>
      <c r="J4182" s="1351"/>
      <c r="K4182" s="1352"/>
      <c r="L4182" s="1353"/>
      <c r="M4182" s="1354"/>
      <c r="N4182" s="1354"/>
      <c r="O4182" s="1354"/>
      <c r="P4182" s="1354"/>
      <c r="Q4182" s="1354"/>
      <c r="R4182" s="1355"/>
      <c r="S4182" s="1356"/>
      <c r="T4182" s="1357"/>
      <c r="U4182" s="1358"/>
      <c r="V4182" s="1420">
        <f>SUM(V4173:V4181)</f>
        <v>0</v>
      </c>
      <c r="AB4182" s="15"/>
    </row>
    <row r="4183" spans="1:36" s="352" customFormat="1" ht="15.6" hidden="1">
      <c r="A4183" s="351"/>
      <c r="B4183" s="1963" t="str">
        <f>VLOOKUP(A4191,'11 - FINANCEIRA'!_xlnm.Print_Area,1,FALSE)</f>
        <v>2.6.1.6</v>
      </c>
      <c r="C4183" s="1965" t="str">
        <f>VLOOKUP(A4191,'11 - FINANCEIRA'!_xlnm.Print_Area,3,FALSE)</f>
        <v>Equipamento de içamento: monovia em perfil metálico com talha elétrica com trole elétrico, carga = 5.000 kg laranja bdi=14,02% - BDI = 14,02</v>
      </c>
      <c r="D4183" s="1967" t="s">
        <v>1503</v>
      </c>
      <c r="E4183" s="1968"/>
      <c r="F4183" s="1968"/>
      <c r="G4183" s="1968"/>
      <c r="H4183" s="1968"/>
      <c r="I4183" s="1969"/>
      <c r="J4183" s="1914" t="s">
        <v>1504</v>
      </c>
      <c r="K4183" s="1914" t="s">
        <v>1505</v>
      </c>
      <c r="L4183" s="1914" t="s">
        <v>1506</v>
      </c>
      <c r="M4183" s="1914" t="s">
        <v>1507</v>
      </c>
      <c r="N4183" s="1914" t="s">
        <v>1508</v>
      </c>
      <c r="O4183" s="1914" t="s">
        <v>1509</v>
      </c>
      <c r="P4183" s="1341" t="s">
        <v>1510</v>
      </c>
      <c r="Q4183" s="1914" t="s">
        <v>1493</v>
      </c>
      <c r="R4183" s="1916" t="s">
        <v>804</v>
      </c>
      <c r="S4183" s="1914" t="s">
        <v>1511</v>
      </c>
      <c r="T4183" s="1914" t="s">
        <v>1512</v>
      </c>
      <c r="U4183" s="1918" t="s">
        <v>1513</v>
      </c>
      <c r="V4183" s="1418">
        <f t="shared" ref="V4183:V4190" si="421">V4184</f>
        <v>0</v>
      </c>
      <c r="W4183" s="16"/>
      <c r="X4183" s="16"/>
      <c r="Y4183" s="16"/>
      <c r="Z4183" s="17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</row>
    <row r="4184" spans="1:36" s="352" customFormat="1" ht="15.6" hidden="1">
      <c r="A4184" s="351"/>
      <c r="B4184" s="1964" t="e">
        <f>LEFT(#REF!,5)</f>
        <v>#REF!</v>
      </c>
      <c r="C4184" s="1966" t="e">
        <f>VLOOKUP(LEFT(#REF!,5),'11 - FINANCEIRA'!_xlnm.Print_Area,2,FALSE)</f>
        <v>#REF!</v>
      </c>
      <c r="D4184" s="1920" t="s">
        <v>1514</v>
      </c>
      <c r="E4184" s="1921"/>
      <c r="F4184" s="1922"/>
      <c r="G4184" s="1923" t="s">
        <v>1515</v>
      </c>
      <c r="H4184" s="1924"/>
      <c r="I4184" s="1925"/>
      <c r="J4184" s="1915"/>
      <c r="K4184" s="1915"/>
      <c r="L4184" s="1915"/>
      <c r="M4184" s="1915"/>
      <c r="N4184" s="1915"/>
      <c r="O4184" s="1915"/>
      <c r="P4184" s="353" t="s">
        <v>1516</v>
      </c>
      <c r="Q4184" s="1915"/>
      <c r="R4184" s="1917"/>
      <c r="S4184" s="1915"/>
      <c r="T4184" s="1915"/>
      <c r="U4184" s="1919"/>
      <c r="V4184" s="1418">
        <f t="shared" si="421"/>
        <v>0</v>
      </c>
      <c r="W4184" s="16"/>
      <c r="X4184" s="16"/>
      <c r="Y4184" s="16"/>
      <c r="Z4184" s="17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</row>
    <row r="4185" spans="1:36" s="361" customFormat="1" ht="15" hidden="1" customHeight="1">
      <c r="A4185" s="354"/>
      <c r="B4185" s="355"/>
      <c r="C4185" s="28" t="s">
        <v>1396</v>
      </c>
      <c r="D4185" s="18"/>
      <c r="E4185" s="19"/>
      <c r="F4185" s="20"/>
      <c r="G4185" s="18"/>
      <c r="H4185" s="19"/>
      <c r="I4185" s="20"/>
      <c r="J4185" s="21"/>
      <c r="K4185" s="22"/>
      <c r="L4185" s="23"/>
      <c r="M4185" s="24"/>
      <c r="N4185" s="728"/>
      <c r="O4185" s="25"/>
      <c r="P4185" s="23"/>
      <c r="Q4185" s="729"/>
      <c r="R4185" s="1109">
        <v>1</v>
      </c>
      <c r="S4185" s="730" t="s">
        <v>816</v>
      </c>
      <c r="T4185" s="446" t="s">
        <v>325</v>
      </c>
      <c r="U4185" s="44"/>
      <c r="V4185" s="1418">
        <f t="shared" si="421"/>
        <v>0</v>
      </c>
      <c r="W4185" s="357"/>
      <c r="X4185" s="357"/>
      <c r="Y4185" s="357"/>
      <c r="Z4185" s="358"/>
      <c r="AA4185" s="359"/>
      <c r="AB4185" s="360"/>
    </row>
    <row r="4186" spans="1:36" s="361" customFormat="1" ht="15" hidden="1" customHeight="1">
      <c r="A4186" s="354"/>
      <c r="B4186" s="355"/>
      <c r="C4186" s="32"/>
      <c r="D4186" s="33"/>
      <c r="E4186" s="34"/>
      <c r="F4186" s="35"/>
      <c r="G4186" s="33"/>
      <c r="H4186" s="34"/>
      <c r="I4186" s="35"/>
      <c r="J4186" s="43"/>
      <c r="K4186" s="42"/>
      <c r="L4186" s="39"/>
      <c r="M4186" s="41"/>
      <c r="N4186" s="356"/>
      <c r="O4186" s="40"/>
      <c r="P4186" s="39"/>
      <c r="Q4186" s="45"/>
      <c r="R4186" s="362"/>
      <c r="S4186" s="363"/>
      <c r="T4186" s="46"/>
      <c r="U4186" s="44"/>
      <c r="V4186" s="1418">
        <f t="shared" si="421"/>
        <v>0</v>
      </c>
      <c r="W4186" s="357"/>
      <c r="X4186" s="357"/>
      <c r="Y4186" s="357"/>
      <c r="Z4186" s="358"/>
      <c r="AA4186" s="359"/>
      <c r="AB4186" s="360"/>
    </row>
    <row r="4187" spans="1:36" s="369" customFormat="1" ht="15" hidden="1">
      <c r="A4187" s="364"/>
      <c r="B4187" s="355"/>
      <c r="C4187" s="32"/>
      <c r="D4187" s="33"/>
      <c r="E4187" s="34"/>
      <c r="F4187" s="35"/>
      <c r="G4187" s="33"/>
      <c r="H4187" s="34"/>
      <c r="I4187" s="35"/>
      <c r="J4187" s="43"/>
      <c r="K4187" s="42"/>
      <c r="L4187" s="39"/>
      <c r="M4187" s="41"/>
      <c r="N4187" s="40"/>
      <c r="O4187" s="40"/>
      <c r="P4187" s="39"/>
      <c r="Q4187" s="38"/>
      <c r="R4187" s="365"/>
      <c r="S4187" s="366"/>
      <c r="T4187" s="46"/>
      <c r="U4187" s="44"/>
      <c r="V4187" s="1418">
        <f t="shared" si="421"/>
        <v>0</v>
      </c>
      <c r="W4187" s="367"/>
      <c r="X4187" s="367"/>
      <c r="Y4187" s="367"/>
      <c r="Z4187" s="368"/>
    </row>
    <row r="4188" spans="1:36" s="77" customFormat="1" ht="15" hidden="1">
      <c r="A4188" s="370"/>
      <c r="B4188" s="29"/>
      <c r="C4188" s="30"/>
      <c r="D4188" s="18"/>
      <c r="E4188" s="19"/>
      <c r="F4188" s="20"/>
      <c r="G4188" s="18"/>
      <c r="H4188" s="19"/>
      <c r="I4188" s="20"/>
      <c r="J4188" s="21"/>
      <c r="K4188" s="22"/>
      <c r="L4188" s="23"/>
      <c r="M4188" s="24"/>
      <c r="N4188" s="25"/>
      <c r="O4188" s="25"/>
      <c r="P4188" s="23"/>
      <c r="Q4188" s="26"/>
      <c r="R4188" s="371"/>
      <c r="S4188" s="27"/>
      <c r="T4188" s="372"/>
      <c r="U4188" s="31"/>
      <c r="V4188" s="1418">
        <f t="shared" si="421"/>
        <v>0</v>
      </c>
      <c r="AB4188" s="15"/>
    </row>
    <row r="4189" spans="1:36" s="77" customFormat="1" ht="15.6" hidden="1">
      <c r="A4189" s="370"/>
      <c r="B4189" s="499"/>
      <c r="C4189" s="37"/>
      <c r="D4189" s="1929" t="s">
        <v>1520</v>
      </c>
      <c r="E4189" s="1930"/>
      <c r="F4189" s="1930"/>
      <c r="G4189" s="1930"/>
      <c r="H4189" s="1930"/>
      <c r="I4189" s="1931"/>
      <c r="J4189" s="1932">
        <f>VLOOKUP(A4191,'11 - FINANCEIRA'!_xlnm.Print_Area,6,FALSE)</f>
        <v>1</v>
      </c>
      <c r="K4189" s="1933"/>
      <c r="L4189" s="1343" t="str">
        <f>VLOOKUP(A4191,'11 - FINANCEIRA'!_xlnm.Print_Area,4,FALSE)</f>
        <v>und</v>
      </c>
      <c r="M4189" s="1934" t="s">
        <v>1521</v>
      </c>
      <c r="N4189" s="1935"/>
      <c r="O4189" s="1935"/>
      <c r="P4189" s="1935"/>
      <c r="Q4189" s="1936"/>
      <c r="R4189" s="726">
        <f>SUM(R4185:R4188)</f>
        <v>1</v>
      </c>
      <c r="S4189" s="1344" t="str">
        <f>L4189</f>
        <v>und</v>
      </c>
      <c r="T4189" s="373"/>
      <c r="U4189" s="486"/>
      <c r="V4189" s="1418">
        <f t="shared" si="421"/>
        <v>0</v>
      </c>
      <c r="AB4189" s="15"/>
    </row>
    <row r="4190" spans="1:36" s="77" customFormat="1" ht="15.6" hidden="1">
      <c r="A4190" s="370"/>
      <c r="B4190" s="499"/>
      <c r="C4190" s="725"/>
      <c r="D4190" s="1937" t="s">
        <v>1522</v>
      </c>
      <c r="E4190" s="1938"/>
      <c r="F4190" s="1938"/>
      <c r="G4190" s="1938"/>
      <c r="H4190" s="1938"/>
      <c r="I4190" s="1939"/>
      <c r="J4190" s="1943">
        <f>R4189/J4189</f>
        <v>1</v>
      </c>
      <c r="K4190" s="1944"/>
      <c r="L4190" s="1947"/>
      <c r="M4190" s="1934" t="s">
        <v>1523</v>
      </c>
      <c r="N4190" s="1935"/>
      <c r="O4190" s="1935"/>
      <c r="P4190" s="1935"/>
      <c r="Q4190" s="1936"/>
      <c r="R4190" s="726">
        <f>VLOOKUP(A4191,'11 - FINANCEIRA'!_xlnm.Print_Area,8,FALSE)</f>
        <v>1</v>
      </c>
      <c r="S4190" s="727" t="str">
        <f>L4189</f>
        <v>und</v>
      </c>
      <c r="T4190" s="373"/>
      <c r="U4190" s="486"/>
      <c r="V4190" s="1418">
        <f t="shared" si="421"/>
        <v>0</v>
      </c>
      <c r="AB4190" s="15"/>
    </row>
    <row r="4191" spans="1:36" s="77" customFormat="1" ht="15.6" hidden="1">
      <c r="A4191" s="364" t="s">
        <v>735</v>
      </c>
      <c r="B4191" s="499"/>
      <c r="C4191" s="37"/>
      <c r="D4191" s="2013"/>
      <c r="E4191" s="2014"/>
      <c r="F4191" s="2014"/>
      <c r="G4191" s="2014"/>
      <c r="H4191" s="2014"/>
      <c r="I4191" s="2015"/>
      <c r="J4191" s="2016"/>
      <c r="K4191" s="2017"/>
      <c r="L4191" s="1962"/>
      <c r="M4191" s="2007" t="s">
        <v>1524</v>
      </c>
      <c r="N4191" s="2008"/>
      <c r="O4191" s="2008"/>
      <c r="P4191" s="2008"/>
      <c r="Q4191" s="2009"/>
      <c r="R4191" s="1345">
        <f>R4189-R4190</f>
        <v>0</v>
      </c>
      <c r="S4191" s="1346" t="str">
        <f>L4189</f>
        <v>und</v>
      </c>
      <c r="T4191" s="373"/>
      <c r="U4191" s="486"/>
      <c r="V4191" s="1418">
        <f>R4191</f>
        <v>0</v>
      </c>
      <c r="AB4191" s="15"/>
    </row>
    <row r="4192" spans="1:36" s="77" customFormat="1" ht="15.6" hidden="1">
      <c r="A4192" s="370"/>
      <c r="B4192" s="1347"/>
      <c r="C4192" s="1348"/>
      <c r="D4192" s="1349"/>
      <c r="E4192" s="1350"/>
      <c r="F4192" s="1349"/>
      <c r="G4192" s="1349"/>
      <c r="H4192" s="1349"/>
      <c r="I4192" s="1349"/>
      <c r="J4192" s="1351"/>
      <c r="K4192" s="1352"/>
      <c r="L4192" s="1353"/>
      <c r="M4192" s="1354"/>
      <c r="N4192" s="1354"/>
      <c r="O4192" s="1354"/>
      <c r="P4192" s="1354"/>
      <c r="Q4192" s="1354"/>
      <c r="R4192" s="1355"/>
      <c r="S4192" s="1356"/>
      <c r="T4192" s="1357"/>
      <c r="U4192" s="1358"/>
      <c r="V4192" s="1420">
        <f>SUM(V4183:V4191)</f>
        <v>0</v>
      </c>
      <c r="AB4192" s="15"/>
    </row>
    <row r="4193" spans="1:36" s="632" customFormat="1" ht="15.6" hidden="1">
      <c r="A4193" s="630"/>
      <c r="B4193" s="1333" t="str">
        <f>LEFT(A4202,5)</f>
        <v>2.6.2</v>
      </c>
      <c r="C4193" s="1334" t="str">
        <f>VLOOKUP(LEFT(A4202,5),'11 - FINANCEIRA'!_xlnm.Print_Area,2,FALSE)</f>
        <v>INSTALAÇÃO DE EQUIPAMENTOS</v>
      </c>
      <c r="D4193" s="1334"/>
      <c r="E4193" s="1335"/>
      <c r="F4193" s="1334"/>
      <c r="G4193" s="2071"/>
      <c r="H4193" s="2072"/>
      <c r="I4193" s="2072"/>
      <c r="J4193" s="2072"/>
      <c r="K4193" s="2072"/>
      <c r="L4193" s="2072"/>
      <c r="M4193" s="1338"/>
      <c r="N4193" s="1339"/>
      <c r="O4193" s="2072"/>
      <c r="P4193" s="2072"/>
      <c r="Q4193" s="2072"/>
      <c r="R4193" s="2082"/>
      <c r="S4193" s="633"/>
      <c r="V4193" s="631">
        <f>SUM(V4194:V4263)</f>
        <v>0</v>
      </c>
    </row>
    <row r="4194" spans="1:36" s="352" customFormat="1" ht="15.6" hidden="1">
      <c r="A4194" s="351"/>
      <c r="B4194" s="1963" t="str">
        <f>VLOOKUP(A4202,'11 - FINANCEIRA'!_xlnm.Print_Area,1,FALSE)</f>
        <v>2.6.2.1</v>
      </c>
      <c r="C4194" s="1965" t="str">
        <f>VLOOKUP(A4202,'11 - FINANCEIRA'!_xlnm.Print_Area,3,FALSE)</f>
        <v>Transporte e montagem de comportas de poço de bomba</v>
      </c>
      <c r="D4194" s="1967" t="s">
        <v>1503</v>
      </c>
      <c r="E4194" s="1968"/>
      <c r="F4194" s="1968"/>
      <c r="G4194" s="1968"/>
      <c r="H4194" s="1968"/>
      <c r="I4194" s="1969"/>
      <c r="J4194" s="1914" t="s">
        <v>1504</v>
      </c>
      <c r="K4194" s="1914" t="s">
        <v>1505</v>
      </c>
      <c r="L4194" s="1914" t="s">
        <v>1506</v>
      </c>
      <c r="M4194" s="1914" t="s">
        <v>1507</v>
      </c>
      <c r="N4194" s="1914" t="s">
        <v>1508</v>
      </c>
      <c r="O4194" s="1914" t="s">
        <v>1509</v>
      </c>
      <c r="P4194" s="1341" t="s">
        <v>1510</v>
      </c>
      <c r="Q4194" s="1914" t="s">
        <v>1493</v>
      </c>
      <c r="R4194" s="1916" t="s">
        <v>804</v>
      </c>
      <c r="S4194" s="1914" t="s">
        <v>1511</v>
      </c>
      <c r="T4194" s="1914" t="s">
        <v>1512</v>
      </c>
      <c r="U4194" s="1918" t="s">
        <v>1513</v>
      </c>
      <c r="V4194" s="1418">
        <f t="shared" ref="V4194:V4201" si="422">V4195</f>
        <v>0</v>
      </c>
      <c r="W4194" s="16"/>
      <c r="X4194" s="16"/>
      <c r="Y4194" s="16"/>
      <c r="Z4194" s="17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</row>
    <row r="4195" spans="1:36" s="352" customFormat="1" ht="15.6" hidden="1">
      <c r="A4195" s="351"/>
      <c r="B4195" s="1964" t="e">
        <f>LEFT(#REF!,5)</f>
        <v>#REF!</v>
      </c>
      <c r="C4195" s="1966" t="e">
        <f>VLOOKUP(LEFT(#REF!,5),'11 - FINANCEIRA'!_xlnm.Print_Area,2,FALSE)</f>
        <v>#REF!</v>
      </c>
      <c r="D4195" s="1920" t="s">
        <v>1514</v>
      </c>
      <c r="E4195" s="1921"/>
      <c r="F4195" s="1922"/>
      <c r="G4195" s="1923" t="s">
        <v>1515</v>
      </c>
      <c r="H4195" s="1924"/>
      <c r="I4195" s="1925"/>
      <c r="J4195" s="1915"/>
      <c r="K4195" s="1915"/>
      <c r="L4195" s="1915"/>
      <c r="M4195" s="1915"/>
      <c r="N4195" s="1915"/>
      <c r="O4195" s="1915"/>
      <c r="P4195" s="353" t="s">
        <v>1516</v>
      </c>
      <c r="Q4195" s="1915"/>
      <c r="R4195" s="1917"/>
      <c r="S4195" s="1915"/>
      <c r="T4195" s="1915"/>
      <c r="U4195" s="1919"/>
      <c r="V4195" s="1418">
        <f t="shared" si="422"/>
        <v>0</v>
      </c>
      <c r="W4195" s="16"/>
      <c r="X4195" s="16"/>
      <c r="Y4195" s="16"/>
      <c r="Z4195" s="17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</row>
    <row r="4196" spans="1:36" s="361" customFormat="1" ht="15" hidden="1" customHeight="1">
      <c r="A4196" s="354"/>
      <c r="B4196" s="355"/>
      <c r="C4196" s="28" t="s">
        <v>1399</v>
      </c>
      <c r="D4196" s="18"/>
      <c r="E4196" s="19"/>
      <c r="F4196" s="20"/>
      <c r="G4196" s="18"/>
      <c r="H4196" s="19"/>
      <c r="I4196" s="20"/>
      <c r="J4196" s="21"/>
      <c r="K4196" s="22"/>
      <c r="L4196" s="23"/>
      <c r="M4196" s="24"/>
      <c r="N4196" s="728"/>
      <c r="O4196" s="25"/>
      <c r="P4196" s="23"/>
      <c r="Q4196" s="729"/>
      <c r="R4196" s="1109">
        <v>10</v>
      </c>
      <c r="S4196" s="730" t="s">
        <v>816</v>
      </c>
      <c r="T4196" s="446" t="s">
        <v>324</v>
      </c>
      <c r="U4196" s="44"/>
      <c r="V4196" s="1418">
        <f t="shared" si="422"/>
        <v>0</v>
      </c>
      <c r="W4196" s="357"/>
      <c r="X4196" s="357"/>
      <c r="Y4196" s="357"/>
      <c r="Z4196" s="358"/>
      <c r="AA4196" s="359"/>
      <c r="AB4196" s="360"/>
    </row>
    <row r="4197" spans="1:36" s="361" customFormat="1" ht="15" hidden="1" customHeight="1">
      <c r="A4197" s="354"/>
      <c r="B4197" s="355"/>
      <c r="C4197" s="32"/>
      <c r="D4197" s="33"/>
      <c r="E4197" s="34"/>
      <c r="F4197" s="35"/>
      <c r="G4197" s="33"/>
      <c r="H4197" s="34"/>
      <c r="I4197" s="35"/>
      <c r="J4197" s="43"/>
      <c r="K4197" s="42"/>
      <c r="L4197" s="39"/>
      <c r="M4197" s="41"/>
      <c r="N4197" s="356"/>
      <c r="O4197" s="40"/>
      <c r="P4197" s="39"/>
      <c r="Q4197" s="45"/>
      <c r="R4197" s="362"/>
      <c r="S4197" s="363"/>
      <c r="T4197" s="46"/>
      <c r="U4197" s="44"/>
      <c r="V4197" s="1418">
        <f t="shared" si="422"/>
        <v>0</v>
      </c>
      <c r="W4197" s="357"/>
      <c r="X4197" s="357"/>
      <c r="Y4197" s="357"/>
      <c r="Z4197" s="358"/>
      <c r="AA4197" s="359"/>
      <c r="AB4197" s="360"/>
    </row>
    <row r="4198" spans="1:36" s="369" customFormat="1" ht="15" hidden="1">
      <c r="A4198" s="364"/>
      <c r="B4198" s="355"/>
      <c r="C4198" s="32"/>
      <c r="D4198" s="33"/>
      <c r="E4198" s="34"/>
      <c r="F4198" s="35"/>
      <c r="G4198" s="33"/>
      <c r="H4198" s="34"/>
      <c r="I4198" s="35"/>
      <c r="J4198" s="43"/>
      <c r="K4198" s="42"/>
      <c r="L4198" s="39"/>
      <c r="M4198" s="41"/>
      <c r="N4198" s="40"/>
      <c r="O4198" s="40"/>
      <c r="P4198" s="39"/>
      <c r="Q4198" s="38"/>
      <c r="R4198" s="365"/>
      <c r="S4198" s="366"/>
      <c r="T4198" s="46"/>
      <c r="U4198" s="44"/>
      <c r="V4198" s="1418">
        <f t="shared" si="422"/>
        <v>0</v>
      </c>
      <c r="W4198" s="367"/>
      <c r="X4198" s="367"/>
      <c r="Y4198" s="367"/>
      <c r="Z4198" s="368"/>
    </row>
    <row r="4199" spans="1:36" s="77" customFormat="1" ht="15" hidden="1">
      <c r="A4199" s="370"/>
      <c r="B4199" s="29"/>
      <c r="C4199" s="30"/>
      <c r="D4199" s="18"/>
      <c r="E4199" s="19"/>
      <c r="F4199" s="20"/>
      <c r="G4199" s="18"/>
      <c r="H4199" s="19"/>
      <c r="I4199" s="20"/>
      <c r="J4199" s="21"/>
      <c r="K4199" s="22"/>
      <c r="L4199" s="23"/>
      <c r="M4199" s="24"/>
      <c r="N4199" s="25"/>
      <c r="O4199" s="25"/>
      <c r="P4199" s="23"/>
      <c r="Q4199" s="26"/>
      <c r="R4199" s="371"/>
      <c r="S4199" s="27"/>
      <c r="T4199" s="372"/>
      <c r="U4199" s="31"/>
      <c r="V4199" s="1418">
        <f t="shared" si="422"/>
        <v>0</v>
      </c>
      <c r="AB4199" s="15"/>
    </row>
    <row r="4200" spans="1:36" s="77" customFormat="1" ht="15.6" hidden="1">
      <c r="A4200" s="370"/>
      <c r="B4200" s="499"/>
      <c r="C4200" s="37"/>
      <c r="D4200" s="1929" t="s">
        <v>1520</v>
      </c>
      <c r="E4200" s="1930"/>
      <c r="F4200" s="1930"/>
      <c r="G4200" s="1930"/>
      <c r="H4200" s="1930"/>
      <c r="I4200" s="1931"/>
      <c r="J4200" s="1932">
        <f>VLOOKUP(A4202,'11 - FINANCEIRA'!_xlnm.Print_Area,6,FALSE)</f>
        <v>10</v>
      </c>
      <c r="K4200" s="1933"/>
      <c r="L4200" s="1343" t="str">
        <f>VLOOKUP(A4202,'11 - FINANCEIRA'!_xlnm.Print_Area,4,FALSE)</f>
        <v>und</v>
      </c>
      <c r="M4200" s="1934" t="s">
        <v>1521</v>
      </c>
      <c r="N4200" s="1935"/>
      <c r="O4200" s="1935"/>
      <c r="P4200" s="1935"/>
      <c r="Q4200" s="1936"/>
      <c r="R4200" s="726">
        <f>SUM(R4196:R4199)</f>
        <v>10</v>
      </c>
      <c r="S4200" s="1344" t="str">
        <f>L4200</f>
        <v>und</v>
      </c>
      <c r="T4200" s="373"/>
      <c r="U4200" s="486"/>
      <c r="V4200" s="1418">
        <f t="shared" si="422"/>
        <v>0</v>
      </c>
      <c r="AB4200" s="15"/>
    </row>
    <row r="4201" spans="1:36" s="77" customFormat="1" ht="15.6" hidden="1">
      <c r="A4201" s="370"/>
      <c r="B4201" s="499"/>
      <c r="C4201" s="725"/>
      <c r="D4201" s="1937" t="s">
        <v>1522</v>
      </c>
      <c r="E4201" s="1938"/>
      <c r="F4201" s="1938"/>
      <c r="G4201" s="1938"/>
      <c r="H4201" s="1938"/>
      <c r="I4201" s="1939"/>
      <c r="J4201" s="1943">
        <f>R4200/J4200</f>
        <v>1</v>
      </c>
      <c r="K4201" s="1944"/>
      <c r="L4201" s="1947"/>
      <c r="M4201" s="1934" t="s">
        <v>1523</v>
      </c>
      <c r="N4201" s="1935"/>
      <c r="O4201" s="1935"/>
      <c r="P4201" s="1935"/>
      <c r="Q4201" s="1936"/>
      <c r="R4201" s="726">
        <f>VLOOKUP(A4202,'11 - FINANCEIRA'!_xlnm.Print_Area,8,FALSE)</f>
        <v>10</v>
      </c>
      <c r="S4201" s="727" t="str">
        <f>L4200</f>
        <v>und</v>
      </c>
      <c r="T4201" s="373"/>
      <c r="U4201" s="486"/>
      <c r="V4201" s="1418">
        <f t="shared" si="422"/>
        <v>0</v>
      </c>
      <c r="AB4201" s="15"/>
    </row>
    <row r="4202" spans="1:36" s="77" customFormat="1" ht="15.6" hidden="1">
      <c r="A4202" s="364" t="s">
        <v>737</v>
      </c>
      <c r="B4202" s="499"/>
      <c r="C4202" s="37"/>
      <c r="D4202" s="2013"/>
      <c r="E4202" s="2014"/>
      <c r="F4202" s="2014"/>
      <c r="G4202" s="2014"/>
      <c r="H4202" s="2014"/>
      <c r="I4202" s="2015"/>
      <c r="J4202" s="2016"/>
      <c r="K4202" s="2017"/>
      <c r="L4202" s="1962"/>
      <c r="M4202" s="2007" t="s">
        <v>1524</v>
      </c>
      <c r="N4202" s="2008"/>
      <c r="O4202" s="2008"/>
      <c r="P4202" s="2008"/>
      <c r="Q4202" s="2009"/>
      <c r="R4202" s="1345">
        <f>R4200-R4201</f>
        <v>0</v>
      </c>
      <c r="S4202" s="1346" t="str">
        <f>L4200</f>
        <v>und</v>
      </c>
      <c r="T4202" s="373"/>
      <c r="U4202" s="486"/>
      <c r="V4202" s="1418">
        <f>R4202</f>
        <v>0</v>
      </c>
      <c r="AB4202" s="15"/>
    </row>
    <row r="4203" spans="1:36" s="77" customFormat="1" ht="15.6" hidden="1">
      <c r="A4203" s="370"/>
      <c r="B4203" s="1347"/>
      <c r="C4203" s="1348"/>
      <c r="D4203" s="1349"/>
      <c r="E4203" s="1350"/>
      <c r="F4203" s="1349"/>
      <c r="G4203" s="1349"/>
      <c r="H4203" s="1349"/>
      <c r="I4203" s="1349"/>
      <c r="J4203" s="1351"/>
      <c r="K4203" s="1352"/>
      <c r="L4203" s="1353"/>
      <c r="M4203" s="1354"/>
      <c r="N4203" s="1354"/>
      <c r="O4203" s="1354"/>
      <c r="P4203" s="1354"/>
      <c r="Q4203" s="1354"/>
      <c r="R4203" s="1355"/>
      <c r="S4203" s="1356"/>
      <c r="T4203" s="1357"/>
      <c r="U4203" s="1358"/>
      <c r="V4203" s="1420">
        <f>SUM(V4194:V4202)</f>
        <v>0</v>
      </c>
      <c r="AB4203" s="15"/>
    </row>
    <row r="4204" spans="1:36" s="352" customFormat="1" ht="15.6" hidden="1">
      <c r="A4204" s="351"/>
      <c r="B4204" s="1963" t="str">
        <f>VLOOKUP(A4212,'11 - FINANCEIRA'!_xlnm.Print_Area,1,FALSE)</f>
        <v>2.6.2.2</v>
      </c>
      <c r="C4204" s="1965" t="str">
        <f>VLOOKUP(A4212,'11 - FINANCEIRA'!_xlnm.Print_Area,3,FALSE)</f>
        <v>Transporte e instalação de grade mecanizada e automatizada, retenção sólido grosseiro igual ou maior que 50 mm, 2,0 m largura e 3,5 m altura, inclinação 75°</v>
      </c>
      <c r="D4204" s="1967" t="s">
        <v>1503</v>
      </c>
      <c r="E4204" s="1968"/>
      <c r="F4204" s="1968"/>
      <c r="G4204" s="1968"/>
      <c r="H4204" s="1968"/>
      <c r="I4204" s="1969"/>
      <c r="J4204" s="1914" t="s">
        <v>1504</v>
      </c>
      <c r="K4204" s="1914" t="s">
        <v>1505</v>
      </c>
      <c r="L4204" s="1914" t="s">
        <v>1506</v>
      </c>
      <c r="M4204" s="1914" t="s">
        <v>1507</v>
      </c>
      <c r="N4204" s="1914" t="s">
        <v>1508</v>
      </c>
      <c r="O4204" s="1914" t="s">
        <v>1509</v>
      </c>
      <c r="P4204" s="1341" t="s">
        <v>1510</v>
      </c>
      <c r="Q4204" s="1914" t="s">
        <v>1493</v>
      </c>
      <c r="R4204" s="1916" t="s">
        <v>804</v>
      </c>
      <c r="S4204" s="1914" t="s">
        <v>1511</v>
      </c>
      <c r="T4204" s="1914" t="s">
        <v>1512</v>
      </c>
      <c r="U4204" s="1918" t="s">
        <v>1513</v>
      </c>
      <c r="V4204" s="1418">
        <f t="shared" ref="V4204:V4211" si="423">V4205</f>
        <v>0</v>
      </c>
      <c r="W4204" s="16"/>
      <c r="X4204" s="16"/>
      <c r="Y4204" s="16"/>
      <c r="Z4204" s="17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</row>
    <row r="4205" spans="1:36" s="352" customFormat="1" ht="15.6" hidden="1">
      <c r="A4205" s="351"/>
      <c r="B4205" s="1964" t="e">
        <f>LEFT(#REF!,5)</f>
        <v>#REF!</v>
      </c>
      <c r="C4205" s="1966" t="e">
        <f>VLOOKUP(LEFT(#REF!,5),'11 - FINANCEIRA'!_xlnm.Print_Area,2,FALSE)</f>
        <v>#REF!</v>
      </c>
      <c r="D4205" s="1920" t="s">
        <v>1514</v>
      </c>
      <c r="E4205" s="1921"/>
      <c r="F4205" s="1922"/>
      <c r="G4205" s="1923" t="s">
        <v>1515</v>
      </c>
      <c r="H4205" s="1924"/>
      <c r="I4205" s="1925"/>
      <c r="J4205" s="1915"/>
      <c r="K4205" s="1915"/>
      <c r="L4205" s="1915"/>
      <c r="M4205" s="1915"/>
      <c r="N4205" s="1915"/>
      <c r="O4205" s="1915"/>
      <c r="P4205" s="353" t="s">
        <v>1516</v>
      </c>
      <c r="Q4205" s="1915"/>
      <c r="R4205" s="1917"/>
      <c r="S4205" s="1915"/>
      <c r="T4205" s="1915"/>
      <c r="U4205" s="1919"/>
      <c r="V4205" s="1418">
        <f t="shared" si="423"/>
        <v>0</v>
      </c>
      <c r="W4205" s="16"/>
      <c r="X4205" s="16"/>
      <c r="Y4205" s="16"/>
      <c r="Z4205" s="17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</row>
    <row r="4206" spans="1:36" s="361" customFormat="1" ht="30" hidden="1">
      <c r="A4206" s="354"/>
      <c r="B4206" s="355"/>
      <c r="C4206" s="28" t="s">
        <v>1401</v>
      </c>
      <c r="D4206" s="18"/>
      <c r="E4206" s="19"/>
      <c r="F4206" s="20"/>
      <c r="G4206" s="18"/>
      <c r="H4206" s="19"/>
      <c r="I4206" s="20"/>
      <c r="J4206" s="21"/>
      <c r="K4206" s="22"/>
      <c r="L4206" s="23"/>
      <c r="M4206" s="24"/>
      <c r="N4206" s="728"/>
      <c r="O4206" s="25"/>
      <c r="P4206" s="23"/>
      <c r="Q4206" s="729"/>
      <c r="R4206" s="1109">
        <v>8</v>
      </c>
      <c r="S4206" s="730" t="s">
        <v>1958</v>
      </c>
      <c r="T4206" s="446" t="s">
        <v>322</v>
      </c>
      <c r="U4206" s="793"/>
      <c r="V4206" s="1418">
        <f t="shared" si="423"/>
        <v>0</v>
      </c>
      <c r="W4206" s="357"/>
      <c r="X4206" s="357"/>
      <c r="Y4206" s="357"/>
      <c r="Z4206" s="358"/>
      <c r="AA4206" s="359"/>
      <c r="AB4206" s="360"/>
    </row>
    <row r="4207" spans="1:36" s="361" customFormat="1" ht="15" hidden="1" customHeight="1">
      <c r="A4207" s="354"/>
      <c r="B4207" s="355"/>
      <c r="C4207" s="28"/>
      <c r="D4207" s="18"/>
      <c r="E4207" s="19"/>
      <c r="F4207" s="20"/>
      <c r="G4207" s="18"/>
      <c r="H4207" s="19"/>
      <c r="I4207" s="20"/>
      <c r="J4207" s="21"/>
      <c r="K4207" s="22"/>
      <c r="L4207" s="23"/>
      <c r="M4207" s="24"/>
      <c r="N4207" s="728"/>
      <c r="O4207" s="25"/>
      <c r="P4207" s="23"/>
      <c r="Q4207" s="729"/>
      <c r="R4207" s="445"/>
      <c r="S4207" s="792"/>
      <c r="T4207" s="446"/>
      <c r="U4207" s="793"/>
      <c r="V4207" s="1418">
        <f t="shared" si="423"/>
        <v>0</v>
      </c>
      <c r="W4207" s="357"/>
      <c r="X4207" s="357"/>
      <c r="Y4207" s="357"/>
      <c r="Z4207" s="358"/>
      <c r="AA4207" s="359"/>
      <c r="AB4207" s="360"/>
    </row>
    <row r="4208" spans="1:36" s="369" customFormat="1" ht="15" hidden="1">
      <c r="A4208" s="364"/>
      <c r="B4208" s="355"/>
      <c r="C4208" s="32"/>
      <c r="D4208" s="33"/>
      <c r="E4208" s="34"/>
      <c r="F4208" s="35"/>
      <c r="G4208" s="33"/>
      <c r="H4208" s="34"/>
      <c r="I4208" s="35"/>
      <c r="J4208" s="43"/>
      <c r="K4208" s="42"/>
      <c r="L4208" s="39"/>
      <c r="M4208" s="41"/>
      <c r="N4208" s="40"/>
      <c r="O4208" s="40"/>
      <c r="P4208" s="39"/>
      <c r="Q4208" s="38"/>
      <c r="R4208" s="365"/>
      <c r="S4208" s="366"/>
      <c r="T4208" s="46"/>
      <c r="U4208" s="44"/>
      <c r="V4208" s="1418">
        <f t="shared" si="423"/>
        <v>0</v>
      </c>
      <c r="W4208" s="367"/>
      <c r="X4208" s="367"/>
      <c r="Y4208" s="367"/>
      <c r="Z4208" s="368"/>
    </row>
    <row r="4209" spans="1:36" s="77" customFormat="1" ht="15" hidden="1">
      <c r="A4209" s="370"/>
      <c r="B4209" s="29"/>
      <c r="C4209" s="30"/>
      <c r="D4209" s="18"/>
      <c r="E4209" s="19"/>
      <c r="F4209" s="20"/>
      <c r="G4209" s="18"/>
      <c r="H4209" s="19"/>
      <c r="I4209" s="20"/>
      <c r="J4209" s="21"/>
      <c r="K4209" s="22"/>
      <c r="L4209" s="23"/>
      <c r="M4209" s="24"/>
      <c r="N4209" s="25"/>
      <c r="O4209" s="25"/>
      <c r="P4209" s="23"/>
      <c r="Q4209" s="26"/>
      <c r="R4209" s="371"/>
      <c r="S4209" s="27"/>
      <c r="T4209" s="372"/>
      <c r="U4209" s="31"/>
      <c r="V4209" s="1418">
        <f t="shared" si="423"/>
        <v>0</v>
      </c>
      <c r="AB4209" s="15"/>
    </row>
    <row r="4210" spans="1:36" s="77" customFormat="1" ht="15.6" hidden="1">
      <c r="A4210" s="370"/>
      <c r="B4210" s="499"/>
      <c r="C4210" s="37"/>
      <c r="D4210" s="1929" t="s">
        <v>1520</v>
      </c>
      <c r="E4210" s="1930"/>
      <c r="F4210" s="1930"/>
      <c r="G4210" s="1930"/>
      <c r="H4210" s="1930"/>
      <c r="I4210" s="1931"/>
      <c r="J4210" s="1932">
        <f>VLOOKUP(A4212,'11 - FINANCEIRA'!_xlnm.Print_Area,6,FALSE)</f>
        <v>8</v>
      </c>
      <c r="K4210" s="1933"/>
      <c r="L4210" s="1343" t="str">
        <f>VLOOKUP(A4212,'11 - FINANCEIRA'!_xlnm.Print_Area,4,FALSE)</f>
        <v>und</v>
      </c>
      <c r="M4210" s="1934" t="s">
        <v>1521</v>
      </c>
      <c r="N4210" s="1935"/>
      <c r="O4210" s="1935"/>
      <c r="P4210" s="1935"/>
      <c r="Q4210" s="1936"/>
      <c r="R4210" s="726">
        <f>SUM(R4206:R4209)</f>
        <v>8</v>
      </c>
      <c r="S4210" s="1344" t="str">
        <f>L4210</f>
        <v>und</v>
      </c>
      <c r="T4210" s="373"/>
      <c r="U4210" s="486"/>
      <c r="V4210" s="1418">
        <f t="shared" si="423"/>
        <v>0</v>
      </c>
      <c r="AB4210" s="15"/>
    </row>
    <row r="4211" spans="1:36" s="77" customFormat="1" ht="15.6" hidden="1">
      <c r="A4211" s="370"/>
      <c r="B4211" s="499"/>
      <c r="C4211" s="725"/>
      <c r="D4211" s="1937" t="s">
        <v>1522</v>
      </c>
      <c r="E4211" s="1938"/>
      <c r="F4211" s="1938"/>
      <c r="G4211" s="1938"/>
      <c r="H4211" s="1938"/>
      <c r="I4211" s="1939"/>
      <c r="J4211" s="1943">
        <f>R4210/J4210</f>
        <v>1</v>
      </c>
      <c r="K4211" s="1944"/>
      <c r="L4211" s="1947"/>
      <c r="M4211" s="1934" t="s">
        <v>1523</v>
      </c>
      <c r="N4211" s="1935"/>
      <c r="O4211" s="1935"/>
      <c r="P4211" s="1935"/>
      <c r="Q4211" s="1936"/>
      <c r="R4211" s="726">
        <f>VLOOKUP(A4212,'11 - FINANCEIRA'!_xlnm.Print_Area,8,FALSE)</f>
        <v>8</v>
      </c>
      <c r="S4211" s="727" t="str">
        <f>L4210</f>
        <v>und</v>
      </c>
      <c r="T4211" s="373"/>
      <c r="U4211" s="486"/>
      <c r="V4211" s="1418">
        <f t="shared" si="423"/>
        <v>0</v>
      </c>
      <c r="AB4211" s="15"/>
    </row>
    <row r="4212" spans="1:36" s="77" customFormat="1" ht="15.6" hidden="1">
      <c r="A4212" s="364" t="s">
        <v>738</v>
      </c>
      <c r="B4212" s="499"/>
      <c r="C4212" s="37"/>
      <c r="D4212" s="2013"/>
      <c r="E4212" s="2014"/>
      <c r="F4212" s="2014"/>
      <c r="G4212" s="2014"/>
      <c r="H4212" s="2014"/>
      <c r="I4212" s="2015"/>
      <c r="J4212" s="2016"/>
      <c r="K4212" s="2017"/>
      <c r="L4212" s="1962"/>
      <c r="M4212" s="2007" t="s">
        <v>1524</v>
      </c>
      <c r="N4212" s="2008"/>
      <c r="O4212" s="2008"/>
      <c r="P4212" s="2008"/>
      <c r="Q4212" s="2009"/>
      <c r="R4212" s="1345">
        <f>R4210-R4211</f>
        <v>0</v>
      </c>
      <c r="S4212" s="1346" t="str">
        <f>L4210</f>
        <v>und</v>
      </c>
      <c r="T4212" s="373"/>
      <c r="U4212" s="486"/>
      <c r="V4212" s="1418">
        <f>R4212</f>
        <v>0</v>
      </c>
      <c r="AB4212" s="15"/>
    </row>
    <row r="4213" spans="1:36" s="77" customFormat="1" ht="15.6" hidden="1">
      <c r="A4213" s="370"/>
      <c r="B4213" s="1347"/>
      <c r="C4213" s="1348"/>
      <c r="D4213" s="1349"/>
      <c r="E4213" s="1350"/>
      <c r="F4213" s="1349"/>
      <c r="G4213" s="1349"/>
      <c r="H4213" s="1349"/>
      <c r="I4213" s="1349"/>
      <c r="J4213" s="1351"/>
      <c r="K4213" s="1352"/>
      <c r="L4213" s="1353"/>
      <c r="M4213" s="1354"/>
      <c r="N4213" s="1354"/>
      <c r="O4213" s="1354"/>
      <c r="P4213" s="1354"/>
      <c r="Q4213" s="1354"/>
      <c r="R4213" s="1355"/>
      <c r="S4213" s="1356"/>
      <c r="T4213" s="1357"/>
      <c r="U4213" s="1358"/>
      <c r="V4213" s="1420">
        <f>SUM(V4204:V4212)</f>
        <v>0</v>
      </c>
      <c r="AB4213" s="15"/>
    </row>
    <row r="4214" spans="1:36" s="352" customFormat="1" ht="15.6" hidden="1">
      <c r="A4214" s="351"/>
      <c r="B4214" s="1963" t="str">
        <f>VLOOKUP(A4222,'11 - FINANCEIRA'!_xlnm.Print_Area,1,FALSE)</f>
        <v>2.6.2.3</v>
      </c>
      <c r="C4214" s="1965" t="str">
        <f>VLOOKUP(A4222,'11 - FINANCEIRA'!_xlnm.Print_Area,3,FALSE)</f>
        <v xml:space="preserve">Transporte e instalação de válvula de retenção portinhola simples, tipo wafer, pn 10 </v>
      </c>
      <c r="D4214" s="1967" t="s">
        <v>1503</v>
      </c>
      <c r="E4214" s="1968"/>
      <c r="F4214" s="1968"/>
      <c r="G4214" s="1968"/>
      <c r="H4214" s="1968"/>
      <c r="I4214" s="1969"/>
      <c r="J4214" s="1914" t="s">
        <v>1504</v>
      </c>
      <c r="K4214" s="1914" t="s">
        <v>1505</v>
      </c>
      <c r="L4214" s="1914" t="s">
        <v>1506</v>
      </c>
      <c r="M4214" s="1914" t="s">
        <v>1507</v>
      </c>
      <c r="N4214" s="1914" t="s">
        <v>1508</v>
      </c>
      <c r="O4214" s="1914" t="s">
        <v>1509</v>
      </c>
      <c r="P4214" s="1341" t="s">
        <v>1510</v>
      </c>
      <c r="Q4214" s="1914" t="s">
        <v>1493</v>
      </c>
      <c r="R4214" s="1916" t="s">
        <v>804</v>
      </c>
      <c r="S4214" s="1914" t="s">
        <v>1511</v>
      </c>
      <c r="T4214" s="1914" t="s">
        <v>1512</v>
      </c>
      <c r="U4214" s="1918" t="s">
        <v>1513</v>
      </c>
      <c r="V4214" s="1418">
        <f t="shared" ref="V4214:V4221" si="424">V4215</f>
        <v>0</v>
      </c>
      <c r="W4214" s="16"/>
      <c r="X4214" s="16"/>
      <c r="Y4214" s="16"/>
      <c r="Z4214" s="17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</row>
    <row r="4215" spans="1:36" s="352" customFormat="1" ht="15.6" hidden="1">
      <c r="A4215" s="351"/>
      <c r="B4215" s="1964" t="e">
        <f>LEFT(#REF!,5)</f>
        <v>#REF!</v>
      </c>
      <c r="C4215" s="1966" t="e">
        <f>VLOOKUP(LEFT(#REF!,5),'11 - FINANCEIRA'!_xlnm.Print_Area,2,FALSE)</f>
        <v>#REF!</v>
      </c>
      <c r="D4215" s="1920" t="s">
        <v>1514</v>
      </c>
      <c r="E4215" s="1921"/>
      <c r="F4215" s="1922"/>
      <c r="G4215" s="1923" t="s">
        <v>1515</v>
      </c>
      <c r="H4215" s="1924"/>
      <c r="I4215" s="1925"/>
      <c r="J4215" s="1915"/>
      <c r="K4215" s="1915"/>
      <c r="L4215" s="1915"/>
      <c r="M4215" s="1915"/>
      <c r="N4215" s="1915"/>
      <c r="O4215" s="1915"/>
      <c r="P4215" s="353" t="s">
        <v>1516</v>
      </c>
      <c r="Q4215" s="1915"/>
      <c r="R4215" s="1917"/>
      <c r="S4215" s="1915"/>
      <c r="T4215" s="1915"/>
      <c r="U4215" s="1919"/>
      <c r="V4215" s="1418">
        <f t="shared" si="424"/>
        <v>0</v>
      </c>
      <c r="W4215" s="16"/>
      <c r="X4215" s="16"/>
      <c r="Y4215" s="16"/>
      <c r="Z4215" s="17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</row>
    <row r="4216" spans="1:36" s="361" customFormat="1" ht="15" hidden="1">
      <c r="A4216" s="354"/>
      <c r="B4216" s="355"/>
      <c r="C4216" s="28" t="s">
        <v>1950</v>
      </c>
      <c r="D4216" s="18"/>
      <c r="E4216" s="19"/>
      <c r="F4216" s="20"/>
      <c r="G4216" s="18"/>
      <c r="H4216" s="19"/>
      <c r="I4216" s="20"/>
      <c r="J4216" s="21"/>
      <c r="K4216" s="22"/>
      <c r="L4216" s="23"/>
      <c r="M4216" s="24"/>
      <c r="N4216" s="728"/>
      <c r="O4216" s="25"/>
      <c r="P4216" s="23"/>
      <c r="Q4216" s="729"/>
      <c r="R4216" s="1109">
        <v>10</v>
      </c>
      <c r="S4216" s="730" t="s">
        <v>816</v>
      </c>
      <c r="T4216" s="446" t="s">
        <v>322</v>
      </c>
      <c r="U4216" s="44"/>
      <c r="V4216" s="1418">
        <f t="shared" si="424"/>
        <v>0</v>
      </c>
      <c r="W4216" s="357"/>
      <c r="X4216" s="357"/>
      <c r="Y4216" s="357"/>
      <c r="Z4216" s="358"/>
      <c r="AA4216" s="359"/>
      <c r="AB4216" s="360"/>
    </row>
    <row r="4217" spans="1:36" s="361" customFormat="1" ht="15" hidden="1">
      <c r="A4217" s="354"/>
      <c r="B4217" s="355"/>
      <c r="C4217" s="32"/>
      <c r="D4217" s="33"/>
      <c r="E4217" s="34"/>
      <c r="F4217" s="35"/>
      <c r="G4217" s="33"/>
      <c r="H4217" s="34"/>
      <c r="I4217" s="35"/>
      <c r="J4217" s="43"/>
      <c r="K4217" s="42"/>
      <c r="L4217" s="39"/>
      <c r="M4217" s="41"/>
      <c r="N4217" s="356"/>
      <c r="O4217" s="40"/>
      <c r="P4217" s="39"/>
      <c r="Q4217" s="45"/>
      <c r="R4217" s="362"/>
      <c r="S4217" s="363"/>
      <c r="T4217" s="46"/>
      <c r="U4217" s="44"/>
      <c r="V4217" s="1418">
        <f t="shared" si="424"/>
        <v>0</v>
      </c>
      <c r="W4217" s="357"/>
      <c r="X4217" s="357"/>
      <c r="Y4217" s="357"/>
      <c r="Z4217" s="358"/>
      <c r="AA4217" s="359"/>
      <c r="AB4217" s="360"/>
    </row>
    <row r="4218" spans="1:36" s="369" customFormat="1" ht="15" hidden="1">
      <c r="A4218" s="364"/>
      <c r="B4218" s="355"/>
      <c r="C4218" s="32"/>
      <c r="D4218" s="33"/>
      <c r="E4218" s="34"/>
      <c r="F4218" s="35"/>
      <c r="G4218" s="33"/>
      <c r="H4218" s="34"/>
      <c r="I4218" s="35"/>
      <c r="J4218" s="43"/>
      <c r="K4218" s="42"/>
      <c r="L4218" s="39"/>
      <c r="M4218" s="41"/>
      <c r="N4218" s="40"/>
      <c r="O4218" s="40"/>
      <c r="P4218" s="39"/>
      <c r="Q4218" s="38"/>
      <c r="R4218" s="365"/>
      <c r="S4218" s="366"/>
      <c r="T4218" s="46"/>
      <c r="U4218" s="44"/>
      <c r="V4218" s="1418">
        <f t="shared" si="424"/>
        <v>0</v>
      </c>
      <c r="W4218" s="367"/>
      <c r="X4218" s="367"/>
      <c r="Y4218" s="367"/>
      <c r="Z4218" s="368"/>
    </row>
    <row r="4219" spans="1:36" s="77" customFormat="1" ht="15" hidden="1">
      <c r="A4219" s="370"/>
      <c r="B4219" s="29"/>
      <c r="C4219" s="30"/>
      <c r="D4219" s="18"/>
      <c r="E4219" s="19"/>
      <c r="F4219" s="20"/>
      <c r="G4219" s="18"/>
      <c r="H4219" s="19"/>
      <c r="I4219" s="20"/>
      <c r="J4219" s="21"/>
      <c r="K4219" s="22"/>
      <c r="L4219" s="23"/>
      <c r="M4219" s="24"/>
      <c r="N4219" s="25"/>
      <c r="O4219" s="25"/>
      <c r="P4219" s="23"/>
      <c r="Q4219" s="26"/>
      <c r="R4219" s="371"/>
      <c r="S4219" s="27"/>
      <c r="T4219" s="372"/>
      <c r="U4219" s="31"/>
      <c r="V4219" s="1418">
        <f t="shared" si="424"/>
        <v>0</v>
      </c>
      <c r="AB4219" s="15"/>
    </row>
    <row r="4220" spans="1:36" s="77" customFormat="1" ht="15.6" hidden="1">
      <c r="A4220" s="370"/>
      <c r="B4220" s="499"/>
      <c r="C4220" s="37"/>
      <c r="D4220" s="1929" t="s">
        <v>1520</v>
      </c>
      <c r="E4220" s="1930"/>
      <c r="F4220" s="1930"/>
      <c r="G4220" s="1930"/>
      <c r="H4220" s="1930"/>
      <c r="I4220" s="1931"/>
      <c r="J4220" s="1932">
        <f>VLOOKUP(A4222,'11 - FINANCEIRA'!_xlnm.Print_Area,6,FALSE)</f>
        <v>10</v>
      </c>
      <c r="K4220" s="1933"/>
      <c r="L4220" s="1343" t="str">
        <f>VLOOKUP(A4222,'11 - FINANCEIRA'!_xlnm.Print_Area,4,FALSE)</f>
        <v>und</v>
      </c>
      <c r="M4220" s="1934" t="s">
        <v>1521</v>
      </c>
      <c r="N4220" s="1935"/>
      <c r="O4220" s="1935"/>
      <c r="P4220" s="1935"/>
      <c r="Q4220" s="1936"/>
      <c r="R4220" s="726">
        <f>SUM(R4216:R4219)</f>
        <v>10</v>
      </c>
      <c r="S4220" s="1344" t="str">
        <f>L4220</f>
        <v>und</v>
      </c>
      <c r="T4220" s="373"/>
      <c r="U4220" s="486"/>
      <c r="V4220" s="1418">
        <f t="shared" si="424"/>
        <v>0</v>
      </c>
      <c r="AB4220" s="15"/>
    </row>
    <row r="4221" spans="1:36" s="77" customFormat="1" ht="15.6" hidden="1">
      <c r="A4221" s="370"/>
      <c r="B4221" s="499"/>
      <c r="C4221" s="725"/>
      <c r="D4221" s="1937" t="s">
        <v>1522</v>
      </c>
      <c r="E4221" s="1938"/>
      <c r="F4221" s="1938"/>
      <c r="G4221" s="1938"/>
      <c r="H4221" s="1938"/>
      <c r="I4221" s="1939"/>
      <c r="J4221" s="1943">
        <f>R4220/J4220</f>
        <v>1</v>
      </c>
      <c r="K4221" s="1944"/>
      <c r="L4221" s="1947"/>
      <c r="M4221" s="1934" t="s">
        <v>1523</v>
      </c>
      <c r="N4221" s="1935"/>
      <c r="O4221" s="1935"/>
      <c r="P4221" s="1935"/>
      <c r="Q4221" s="1936"/>
      <c r="R4221" s="726">
        <f>VLOOKUP(A4222,'11 - FINANCEIRA'!_xlnm.Print_Area,8,FALSE)</f>
        <v>10</v>
      </c>
      <c r="S4221" s="727" t="str">
        <f>L4220</f>
        <v>und</v>
      </c>
      <c r="T4221" s="373"/>
      <c r="U4221" s="486"/>
      <c r="V4221" s="1418">
        <f t="shared" si="424"/>
        <v>0</v>
      </c>
      <c r="AB4221" s="15"/>
    </row>
    <row r="4222" spans="1:36" s="77" customFormat="1" ht="15.6" hidden="1">
      <c r="A4222" s="364" t="s">
        <v>739</v>
      </c>
      <c r="B4222" s="499"/>
      <c r="C4222" s="37"/>
      <c r="D4222" s="2013"/>
      <c r="E4222" s="2014"/>
      <c r="F4222" s="2014"/>
      <c r="G4222" s="2014"/>
      <c r="H4222" s="2014"/>
      <c r="I4222" s="2015"/>
      <c r="J4222" s="2016"/>
      <c r="K4222" s="2017"/>
      <c r="L4222" s="1962"/>
      <c r="M4222" s="2007" t="s">
        <v>1524</v>
      </c>
      <c r="N4222" s="2008"/>
      <c r="O4222" s="2008"/>
      <c r="P4222" s="2008"/>
      <c r="Q4222" s="2009"/>
      <c r="R4222" s="1345">
        <f>R4220-R4221</f>
        <v>0</v>
      </c>
      <c r="S4222" s="1346" t="str">
        <f>L4220</f>
        <v>und</v>
      </c>
      <c r="T4222" s="373"/>
      <c r="U4222" s="486"/>
      <c r="V4222" s="1418">
        <f>R4222</f>
        <v>0</v>
      </c>
      <c r="AB4222" s="15"/>
    </row>
    <row r="4223" spans="1:36" s="77" customFormat="1" ht="15.6" hidden="1">
      <c r="A4223" s="370"/>
      <c r="B4223" s="1347"/>
      <c r="C4223" s="1348"/>
      <c r="D4223" s="1349"/>
      <c r="E4223" s="1350"/>
      <c r="F4223" s="1349"/>
      <c r="G4223" s="1349"/>
      <c r="H4223" s="1349"/>
      <c r="I4223" s="1349"/>
      <c r="J4223" s="1351"/>
      <c r="K4223" s="1352"/>
      <c r="L4223" s="1353"/>
      <c r="M4223" s="1354"/>
      <c r="N4223" s="1354"/>
      <c r="O4223" s="1354"/>
      <c r="P4223" s="1354"/>
      <c r="Q4223" s="1354"/>
      <c r="R4223" s="1355"/>
      <c r="S4223" s="1356"/>
      <c r="T4223" s="1357"/>
      <c r="U4223" s="1358"/>
      <c r="V4223" s="1420">
        <f>SUM(V4214:V4222)</f>
        <v>0</v>
      </c>
      <c r="AB4223" s="15"/>
    </row>
    <row r="4224" spans="1:36" s="352" customFormat="1" ht="15.6" hidden="1">
      <c r="A4224" s="351"/>
      <c r="B4224" s="1963" t="str">
        <f>VLOOKUP(A4232,'11 - FINANCEIRA'!_xlnm.Print_Area,1,FALSE)</f>
        <v>2.6.2.4</v>
      </c>
      <c r="C4224" s="1965" t="str">
        <f>VLOOKUP(A4232,'11 - FINANCEIRA'!_xlnm.Print_Area,3,FALSE)</f>
        <v>Transporte e instalação de válvula flap – pn 10, flange na classe k7, pn 10, nbr 7675.</v>
      </c>
      <c r="D4224" s="1967" t="s">
        <v>1503</v>
      </c>
      <c r="E4224" s="1968"/>
      <c r="F4224" s="1968"/>
      <c r="G4224" s="1968"/>
      <c r="H4224" s="1968"/>
      <c r="I4224" s="1969"/>
      <c r="J4224" s="1914" t="s">
        <v>1504</v>
      </c>
      <c r="K4224" s="1914" t="s">
        <v>1505</v>
      </c>
      <c r="L4224" s="1914" t="s">
        <v>1506</v>
      </c>
      <c r="M4224" s="1914" t="s">
        <v>1507</v>
      </c>
      <c r="N4224" s="1914" t="s">
        <v>1508</v>
      </c>
      <c r="O4224" s="1914" t="s">
        <v>1509</v>
      </c>
      <c r="P4224" s="1341" t="s">
        <v>1510</v>
      </c>
      <c r="Q4224" s="1914" t="s">
        <v>1493</v>
      </c>
      <c r="R4224" s="1916" t="s">
        <v>804</v>
      </c>
      <c r="S4224" s="1914" t="s">
        <v>1511</v>
      </c>
      <c r="T4224" s="1914" t="s">
        <v>1512</v>
      </c>
      <c r="U4224" s="1918" t="s">
        <v>1513</v>
      </c>
      <c r="V4224" s="1418">
        <f t="shared" ref="V4224:V4231" si="425">V4225</f>
        <v>0</v>
      </c>
      <c r="W4224" s="16"/>
      <c r="X4224" s="16"/>
      <c r="Y4224" s="16"/>
      <c r="Z4224" s="17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</row>
    <row r="4225" spans="1:36" s="352" customFormat="1" ht="15.6" hidden="1">
      <c r="A4225" s="351"/>
      <c r="B4225" s="1964" t="e">
        <f>LEFT(#REF!,5)</f>
        <v>#REF!</v>
      </c>
      <c r="C4225" s="1966" t="e">
        <f>VLOOKUP(LEFT(#REF!,5),'11 - FINANCEIRA'!_xlnm.Print_Area,2,FALSE)</f>
        <v>#REF!</v>
      </c>
      <c r="D4225" s="1920" t="s">
        <v>1514</v>
      </c>
      <c r="E4225" s="1921"/>
      <c r="F4225" s="1922"/>
      <c r="G4225" s="1923" t="s">
        <v>1515</v>
      </c>
      <c r="H4225" s="1924"/>
      <c r="I4225" s="1925"/>
      <c r="J4225" s="1915"/>
      <c r="K4225" s="1915"/>
      <c r="L4225" s="1915"/>
      <c r="M4225" s="1915"/>
      <c r="N4225" s="1915"/>
      <c r="O4225" s="1915"/>
      <c r="P4225" s="353" t="s">
        <v>1516</v>
      </c>
      <c r="Q4225" s="1915"/>
      <c r="R4225" s="1917"/>
      <c r="S4225" s="1915"/>
      <c r="T4225" s="1915"/>
      <c r="U4225" s="1919"/>
      <c r="V4225" s="1418">
        <f t="shared" si="425"/>
        <v>0</v>
      </c>
      <c r="W4225" s="16"/>
      <c r="X4225" s="16"/>
      <c r="Y4225" s="16"/>
      <c r="Z4225" s="17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</row>
    <row r="4226" spans="1:36" s="361" customFormat="1" ht="15" hidden="1" customHeight="1">
      <c r="A4226" s="354"/>
      <c r="B4226" s="355"/>
      <c r="C4226" s="28" t="s">
        <v>1405</v>
      </c>
      <c r="D4226" s="18"/>
      <c r="E4226" s="19"/>
      <c r="F4226" s="20"/>
      <c r="G4226" s="18"/>
      <c r="H4226" s="19"/>
      <c r="I4226" s="20"/>
      <c r="J4226" s="21"/>
      <c r="K4226" s="22"/>
      <c r="L4226" s="23"/>
      <c r="M4226" s="24"/>
      <c r="N4226" s="728"/>
      <c r="O4226" s="25"/>
      <c r="P4226" s="23"/>
      <c r="Q4226" s="729"/>
      <c r="R4226" s="1109">
        <v>10</v>
      </c>
      <c r="S4226" s="730" t="s">
        <v>816</v>
      </c>
      <c r="T4226" s="446" t="s">
        <v>323</v>
      </c>
      <c r="U4226" s="44"/>
      <c r="V4226" s="1418">
        <f t="shared" si="425"/>
        <v>0</v>
      </c>
      <c r="W4226" s="357"/>
      <c r="X4226" s="357"/>
      <c r="Y4226" s="357"/>
      <c r="Z4226" s="358"/>
      <c r="AA4226" s="359"/>
      <c r="AB4226" s="360"/>
    </row>
    <row r="4227" spans="1:36" s="361" customFormat="1" ht="15" hidden="1" customHeight="1">
      <c r="A4227" s="354"/>
      <c r="B4227" s="355"/>
      <c r="C4227" s="32"/>
      <c r="D4227" s="33"/>
      <c r="E4227" s="34"/>
      <c r="F4227" s="35"/>
      <c r="G4227" s="33"/>
      <c r="H4227" s="34"/>
      <c r="I4227" s="35"/>
      <c r="J4227" s="43"/>
      <c r="K4227" s="42"/>
      <c r="L4227" s="39"/>
      <c r="M4227" s="41"/>
      <c r="N4227" s="356"/>
      <c r="O4227" s="40"/>
      <c r="P4227" s="39"/>
      <c r="Q4227" s="45"/>
      <c r="R4227" s="362"/>
      <c r="S4227" s="363"/>
      <c r="T4227" s="46"/>
      <c r="U4227" s="44"/>
      <c r="V4227" s="1418">
        <f t="shared" si="425"/>
        <v>0</v>
      </c>
      <c r="W4227" s="357"/>
      <c r="X4227" s="357"/>
      <c r="Y4227" s="357"/>
      <c r="Z4227" s="358"/>
      <c r="AA4227" s="359"/>
      <c r="AB4227" s="360"/>
    </row>
    <row r="4228" spans="1:36" s="369" customFormat="1" ht="15" hidden="1">
      <c r="A4228" s="364"/>
      <c r="B4228" s="355"/>
      <c r="C4228" s="32"/>
      <c r="D4228" s="33"/>
      <c r="E4228" s="34"/>
      <c r="F4228" s="35"/>
      <c r="G4228" s="33"/>
      <c r="H4228" s="34"/>
      <c r="I4228" s="35"/>
      <c r="J4228" s="43"/>
      <c r="K4228" s="42"/>
      <c r="L4228" s="39"/>
      <c r="M4228" s="41"/>
      <c r="N4228" s="40"/>
      <c r="O4228" s="40"/>
      <c r="P4228" s="39"/>
      <c r="Q4228" s="38"/>
      <c r="R4228" s="365"/>
      <c r="S4228" s="366"/>
      <c r="T4228" s="46"/>
      <c r="U4228" s="44"/>
      <c r="V4228" s="1418">
        <f t="shared" si="425"/>
        <v>0</v>
      </c>
      <c r="W4228" s="367"/>
      <c r="X4228" s="367"/>
      <c r="Y4228" s="367"/>
      <c r="Z4228" s="368"/>
    </row>
    <row r="4229" spans="1:36" s="77" customFormat="1" ht="15" hidden="1">
      <c r="A4229" s="370"/>
      <c r="B4229" s="29"/>
      <c r="C4229" s="30"/>
      <c r="D4229" s="18"/>
      <c r="E4229" s="19"/>
      <c r="F4229" s="20"/>
      <c r="G4229" s="18"/>
      <c r="H4229" s="19"/>
      <c r="I4229" s="20"/>
      <c r="J4229" s="21"/>
      <c r="K4229" s="22"/>
      <c r="L4229" s="23"/>
      <c r="M4229" s="24"/>
      <c r="N4229" s="25"/>
      <c r="O4229" s="25"/>
      <c r="P4229" s="23"/>
      <c r="Q4229" s="26"/>
      <c r="R4229" s="371"/>
      <c r="S4229" s="27"/>
      <c r="T4229" s="372"/>
      <c r="U4229" s="31"/>
      <c r="V4229" s="1418">
        <f t="shared" si="425"/>
        <v>0</v>
      </c>
      <c r="AB4229" s="15"/>
    </row>
    <row r="4230" spans="1:36" s="77" customFormat="1" ht="15.6" hidden="1">
      <c r="A4230" s="370"/>
      <c r="B4230" s="499"/>
      <c r="C4230" s="37"/>
      <c r="D4230" s="1929" t="s">
        <v>1520</v>
      </c>
      <c r="E4230" s="1930"/>
      <c r="F4230" s="1930"/>
      <c r="G4230" s="1930"/>
      <c r="H4230" s="1930"/>
      <c r="I4230" s="1931"/>
      <c r="J4230" s="1932">
        <f>VLOOKUP(A4232,'11 - FINANCEIRA'!_xlnm.Print_Area,6,FALSE)</f>
        <v>10</v>
      </c>
      <c r="K4230" s="1933"/>
      <c r="L4230" s="1343" t="str">
        <f>VLOOKUP(A4232,'11 - FINANCEIRA'!_xlnm.Print_Area,4,FALSE)</f>
        <v>und</v>
      </c>
      <c r="M4230" s="1934" t="s">
        <v>1521</v>
      </c>
      <c r="N4230" s="1935"/>
      <c r="O4230" s="1935"/>
      <c r="P4230" s="1935"/>
      <c r="Q4230" s="1936"/>
      <c r="R4230" s="726">
        <f>SUM(R4226:R4229)</f>
        <v>10</v>
      </c>
      <c r="S4230" s="1344" t="str">
        <f>L4230</f>
        <v>und</v>
      </c>
      <c r="T4230" s="373"/>
      <c r="U4230" s="486"/>
      <c r="V4230" s="1418">
        <f t="shared" si="425"/>
        <v>0</v>
      </c>
      <c r="AB4230" s="15"/>
    </row>
    <row r="4231" spans="1:36" s="77" customFormat="1" ht="15.6" hidden="1">
      <c r="A4231" s="370"/>
      <c r="B4231" s="499"/>
      <c r="C4231" s="725"/>
      <c r="D4231" s="1937" t="s">
        <v>1522</v>
      </c>
      <c r="E4231" s="1938"/>
      <c r="F4231" s="1938"/>
      <c r="G4231" s="1938"/>
      <c r="H4231" s="1938"/>
      <c r="I4231" s="1939"/>
      <c r="J4231" s="1943">
        <f>R4230/J4230</f>
        <v>1</v>
      </c>
      <c r="K4231" s="1944"/>
      <c r="L4231" s="1947"/>
      <c r="M4231" s="1934" t="s">
        <v>1523</v>
      </c>
      <c r="N4231" s="1935"/>
      <c r="O4231" s="1935"/>
      <c r="P4231" s="1935"/>
      <c r="Q4231" s="1936"/>
      <c r="R4231" s="726">
        <f>VLOOKUP(A4232,'11 - FINANCEIRA'!_xlnm.Print_Area,8,FALSE)</f>
        <v>10</v>
      </c>
      <c r="S4231" s="727" t="str">
        <f>L4230</f>
        <v>und</v>
      </c>
      <c r="T4231" s="373"/>
      <c r="U4231" s="486"/>
      <c r="V4231" s="1418">
        <f t="shared" si="425"/>
        <v>0</v>
      </c>
      <c r="AB4231" s="15"/>
    </row>
    <row r="4232" spans="1:36" s="77" customFormat="1" ht="15.6" hidden="1">
      <c r="A4232" s="364" t="s">
        <v>740</v>
      </c>
      <c r="B4232" s="499"/>
      <c r="C4232" s="37"/>
      <c r="D4232" s="2013"/>
      <c r="E4232" s="2014"/>
      <c r="F4232" s="2014"/>
      <c r="G4232" s="2014"/>
      <c r="H4232" s="2014"/>
      <c r="I4232" s="2015"/>
      <c r="J4232" s="2016"/>
      <c r="K4232" s="2017"/>
      <c r="L4232" s="1962"/>
      <c r="M4232" s="2007" t="s">
        <v>1524</v>
      </c>
      <c r="N4232" s="2008"/>
      <c r="O4232" s="2008"/>
      <c r="P4232" s="2008"/>
      <c r="Q4232" s="2009"/>
      <c r="R4232" s="1345">
        <f>R4230-R4231</f>
        <v>0</v>
      </c>
      <c r="S4232" s="1346" t="str">
        <f>L4230</f>
        <v>und</v>
      </c>
      <c r="T4232" s="373"/>
      <c r="U4232" s="486"/>
      <c r="V4232" s="1418">
        <f>R4232</f>
        <v>0</v>
      </c>
      <c r="AB4232" s="15"/>
    </row>
    <row r="4233" spans="1:36" s="77" customFormat="1" ht="15.6" hidden="1">
      <c r="A4233" s="370"/>
      <c r="B4233" s="1347"/>
      <c r="C4233" s="1348"/>
      <c r="D4233" s="1349"/>
      <c r="E4233" s="1350"/>
      <c r="F4233" s="1349"/>
      <c r="G4233" s="1349"/>
      <c r="H4233" s="1349"/>
      <c r="I4233" s="1349"/>
      <c r="J4233" s="1351"/>
      <c r="K4233" s="1352"/>
      <c r="L4233" s="1353"/>
      <c r="M4233" s="1354"/>
      <c r="N4233" s="1354"/>
      <c r="O4233" s="1354"/>
      <c r="P4233" s="1354"/>
      <c r="Q4233" s="1354"/>
      <c r="R4233" s="1355"/>
      <c r="S4233" s="1356"/>
      <c r="T4233" s="1357"/>
      <c r="U4233" s="1358"/>
      <c r="V4233" s="1420">
        <f>SUM(V4224:V4232)</f>
        <v>0</v>
      </c>
      <c r="AB4233" s="15"/>
    </row>
    <row r="4234" spans="1:36" s="352" customFormat="1" ht="15.6" hidden="1">
      <c r="A4234" s="351"/>
      <c r="B4234" s="1963" t="str">
        <f>VLOOKUP(A4242,'11 - FINANCEIRA'!_xlnm.Print_Area,1,FALSE)</f>
        <v>2.6.2.5</v>
      </c>
      <c r="C4234" s="1965" t="str">
        <f>VLOOKUP(A4242,'11 - FINANCEIRA'!_xlnm.Print_Area,3,FALSE)</f>
        <v xml:space="preserve">Instalação de bomba submersível, q=2,5m³/s, com descarga entre flanges, coluna de descarga vertical com dn 1200mm e flange de saída para linha de recalque na classe k7, pn 10, nbr 7675 </v>
      </c>
      <c r="D4234" s="1967" t="s">
        <v>1503</v>
      </c>
      <c r="E4234" s="1968"/>
      <c r="F4234" s="1968"/>
      <c r="G4234" s="1968"/>
      <c r="H4234" s="1968"/>
      <c r="I4234" s="1969"/>
      <c r="J4234" s="1914" t="s">
        <v>1504</v>
      </c>
      <c r="K4234" s="1914" t="s">
        <v>1505</v>
      </c>
      <c r="L4234" s="1914" t="s">
        <v>1506</v>
      </c>
      <c r="M4234" s="1914" t="s">
        <v>1507</v>
      </c>
      <c r="N4234" s="1914" t="s">
        <v>1508</v>
      </c>
      <c r="O4234" s="1914" t="s">
        <v>1509</v>
      </c>
      <c r="P4234" s="1341" t="s">
        <v>1510</v>
      </c>
      <c r="Q4234" s="1914" t="s">
        <v>1493</v>
      </c>
      <c r="R4234" s="1916" t="s">
        <v>804</v>
      </c>
      <c r="S4234" s="1914" t="s">
        <v>1511</v>
      </c>
      <c r="T4234" s="1914" t="s">
        <v>1512</v>
      </c>
      <c r="U4234" s="1918" t="s">
        <v>1513</v>
      </c>
      <c r="V4234" s="1418">
        <f t="shared" ref="V4234:V4241" si="426">V4235</f>
        <v>0</v>
      </c>
      <c r="W4234" s="16"/>
      <c r="X4234" s="16"/>
      <c r="Y4234" s="16"/>
      <c r="Z4234" s="17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</row>
    <row r="4235" spans="1:36" s="352" customFormat="1" ht="15.6" hidden="1">
      <c r="A4235" s="351"/>
      <c r="B4235" s="1964" t="e">
        <f>LEFT(#REF!,5)</f>
        <v>#REF!</v>
      </c>
      <c r="C4235" s="1966" t="e">
        <f>VLOOKUP(LEFT(#REF!,5),'11 - FINANCEIRA'!_xlnm.Print_Area,2,FALSE)</f>
        <v>#REF!</v>
      </c>
      <c r="D4235" s="1920" t="s">
        <v>1514</v>
      </c>
      <c r="E4235" s="1921"/>
      <c r="F4235" s="1922"/>
      <c r="G4235" s="1923" t="s">
        <v>1515</v>
      </c>
      <c r="H4235" s="1924"/>
      <c r="I4235" s="1925"/>
      <c r="J4235" s="1915"/>
      <c r="K4235" s="1915"/>
      <c r="L4235" s="1915"/>
      <c r="M4235" s="1915"/>
      <c r="N4235" s="1915"/>
      <c r="O4235" s="1915"/>
      <c r="P4235" s="353" t="s">
        <v>1516</v>
      </c>
      <c r="Q4235" s="1915"/>
      <c r="R4235" s="1917"/>
      <c r="S4235" s="1915"/>
      <c r="T4235" s="1915"/>
      <c r="U4235" s="1919"/>
      <c r="V4235" s="1418">
        <f t="shared" si="426"/>
        <v>0</v>
      </c>
      <c r="W4235" s="16"/>
      <c r="X4235" s="16"/>
      <c r="Y4235" s="16"/>
      <c r="Z4235" s="17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</row>
    <row r="4236" spans="1:36" s="361" customFormat="1" ht="45" hidden="1">
      <c r="A4236" s="354"/>
      <c r="B4236" s="355"/>
      <c r="C4236" s="28" t="s">
        <v>1407</v>
      </c>
      <c r="D4236" s="18"/>
      <c r="E4236" s="19"/>
      <c r="F4236" s="20"/>
      <c r="G4236" s="18"/>
      <c r="H4236" s="19"/>
      <c r="I4236" s="20"/>
      <c r="J4236" s="21"/>
      <c r="K4236" s="22"/>
      <c r="L4236" s="23"/>
      <c r="M4236" s="24"/>
      <c r="N4236" s="728"/>
      <c r="O4236" s="25"/>
      <c r="P4236" s="23"/>
      <c r="Q4236" s="729"/>
      <c r="R4236" s="1109">
        <v>8</v>
      </c>
      <c r="S4236" s="730" t="s">
        <v>816</v>
      </c>
      <c r="T4236" s="446" t="s">
        <v>324</v>
      </c>
      <c r="U4236" s="44"/>
      <c r="V4236" s="1418">
        <f t="shared" si="426"/>
        <v>0</v>
      </c>
      <c r="W4236" s="357"/>
      <c r="X4236" s="357"/>
      <c r="Y4236" s="357"/>
      <c r="Z4236" s="358"/>
      <c r="AA4236" s="359"/>
      <c r="AB4236" s="360"/>
    </row>
    <row r="4237" spans="1:36" s="361" customFormat="1" ht="15" hidden="1" customHeight="1">
      <c r="A4237" s="354"/>
      <c r="B4237" s="355"/>
      <c r="C4237" s="32"/>
      <c r="D4237" s="33"/>
      <c r="E4237" s="34"/>
      <c r="F4237" s="35"/>
      <c r="G4237" s="33"/>
      <c r="H4237" s="34"/>
      <c r="I4237" s="35"/>
      <c r="J4237" s="43"/>
      <c r="K4237" s="42"/>
      <c r="L4237" s="39"/>
      <c r="M4237" s="41"/>
      <c r="N4237" s="356"/>
      <c r="O4237" s="40"/>
      <c r="P4237" s="39"/>
      <c r="Q4237" s="45"/>
      <c r="R4237" s="362"/>
      <c r="S4237" s="363"/>
      <c r="T4237" s="46"/>
      <c r="U4237" s="44"/>
      <c r="V4237" s="1418">
        <f t="shared" si="426"/>
        <v>0</v>
      </c>
      <c r="W4237" s="357"/>
      <c r="X4237" s="357"/>
      <c r="Y4237" s="357"/>
      <c r="Z4237" s="358"/>
      <c r="AA4237" s="359"/>
      <c r="AB4237" s="360"/>
    </row>
    <row r="4238" spans="1:36" s="369" customFormat="1" ht="15" hidden="1">
      <c r="A4238" s="364"/>
      <c r="B4238" s="355"/>
      <c r="C4238" s="32"/>
      <c r="D4238" s="33"/>
      <c r="E4238" s="34"/>
      <c r="F4238" s="35"/>
      <c r="G4238" s="33"/>
      <c r="H4238" s="34"/>
      <c r="I4238" s="35"/>
      <c r="J4238" s="43"/>
      <c r="K4238" s="42"/>
      <c r="L4238" s="39"/>
      <c r="M4238" s="41"/>
      <c r="N4238" s="40"/>
      <c r="O4238" s="40"/>
      <c r="P4238" s="39"/>
      <c r="Q4238" s="38"/>
      <c r="R4238" s="365"/>
      <c r="S4238" s="366"/>
      <c r="T4238" s="46"/>
      <c r="U4238" s="44"/>
      <c r="V4238" s="1418">
        <f t="shared" si="426"/>
        <v>0</v>
      </c>
      <c r="W4238" s="367"/>
      <c r="X4238" s="367"/>
      <c r="Y4238" s="367"/>
      <c r="Z4238" s="368"/>
    </row>
    <row r="4239" spans="1:36" s="77" customFormat="1" ht="15" hidden="1">
      <c r="A4239" s="370"/>
      <c r="B4239" s="29"/>
      <c r="C4239" s="30"/>
      <c r="D4239" s="18"/>
      <c r="E4239" s="19"/>
      <c r="F4239" s="20"/>
      <c r="G4239" s="18"/>
      <c r="H4239" s="19"/>
      <c r="I4239" s="20"/>
      <c r="J4239" s="21"/>
      <c r="K4239" s="22"/>
      <c r="L4239" s="23"/>
      <c r="M4239" s="24"/>
      <c r="N4239" s="25"/>
      <c r="O4239" s="25"/>
      <c r="P4239" s="23"/>
      <c r="Q4239" s="26"/>
      <c r="R4239" s="371"/>
      <c r="S4239" s="27"/>
      <c r="T4239" s="372"/>
      <c r="U4239" s="31"/>
      <c r="V4239" s="1418">
        <f t="shared" si="426"/>
        <v>0</v>
      </c>
      <c r="AB4239" s="15"/>
    </row>
    <row r="4240" spans="1:36" s="77" customFormat="1" ht="15.6" hidden="1">
      <c r="A4240" s="370"/>
      <c r="B4240" s="499"/>
      <c r="C4240" s="37"/>
      <c r="D4240" s="1929" t="s">
        <v>1520</v>
      </c>
      <c r="E4240" s="1930"/>
      <c r="F4240" s="1930"/>
      <c r="G4240" s="1930"/>
      <c r="H4240" s="1930"/>
      <c r="I4240" s="1931"/>
      <c r="J4240" s="1932">
        <f>VLOOKUP(A4242,'11 - FINANCEIRA'!_xlnm.Print_Area,6,FALSE)</f>
        <v>8</v>
      </c>
      <c r="K4240" s="1933"/>
      <c r="L4240" s="1343" t="str">
        <f>VLOOKUP(A4242,'11 - FINANCEIRA'!_xlnm.Print_Area,4,FALSE)</f>
        <v>und</v>
      </c>
      <c r="M4240" s="1934" t="s">
        <v>1521</v>
      </c>
      <c r="N4240" s="1935"/>
      <c r="O4240" s="1935"/>
      <c r="P4240" s="1935"/>
      <c r="Q4240" s="1936"/>
      <c r="R4240" s="726">
        <f>SUM(R4236:R4239)</f>
        <v>8</v>
      </c>
      <c r="S4240" s="1344" t="str">
        <f>L4240</f>
        <v>und</v>
      </c>
      <c r="T4240" s="373"/>
      <c r="U4240" s="486"/>
      <c r="V4240" s="1418">
        <f t="shared" si="426"/>
        <v>0</v>
      </c>
      <c r="AB4240" s="15"/>
    </row>
    <row r="4241" spans="1:36" s="77" customFormat="1" ht="15.6" hidden="1">
      <c r="A4241" s="370"/>
      <c r="B4241" s="499"/>
      <c r="C4241" s="725"/>
      <c r="D4241" s="1937" t="s">
        <v>1522</v>
      </c>
      <c r="E4241" s="1938"/>
      <c r="F4241" s="1938"/>
      <c r="G4241" s="1938"/>
      <c r="H4241" s="1938"/>
      <c r="I4241" s="1939"/>
      <c r="J4241" s="1943">
        <f>R4240/J4240</f>
        <v>1</v>
      </c>
      <c r="K4241" s="1944"/>
      <c r="L4241" s="1947"/>
      <c r="M4241" s="1934" t="s">
        <v>1523</v>
      </c>
      <c r="N4241" s="1935"/>
      <c r="O4241" s="1935"/>
      <c r="P4241" s="1935"/>
      <c r="Q4241" s="1936"/>
      <c r="R4241" s="726">
        <f>VLOOKUP(A4242,'11 - FINANCEIRA'!_xlnm.Print_Area,8,FALSE)</f>
        <v>8</v>
      </c>
      <c r="S4241" s="727" t="str">
        <f>L4240</f>
        <v>und</v>
      </c>
      <c r="T4241" s="373"/>
      <c r="U4241" s="486"/>
      <c r="V4241" s="1418">
        <f t="shared" si="426"/>
        <v>0</v>
      </c>
      <c r="AB4241" s="15"/>
    </row>
    <row r="4242" spans="1:36" s="77" customFormat="1" ht="15.6" hidden="1">
      <c r="A4242" s="364" t="s">
        <v>741</v>
      </c>
      <c r="B4242" s="499"/>
      <c r="C4242" s="37"/>
      <c r="D4242" s="2013"/>
      <c r="E4242" s="2014"/>
      <c r="F4242" s="2014"/>
      <c r="G4242" s="2014"/>
      <c r="H4242" s="2014"/>
      <c r="I4242" s="2015"/>
      <c r="J4242" s="2016"/>
      <c r="K4242" s="2017"/>
      <c r="L4242" s="1962"/>
      <c r="M4242" s="2007" t="s">
        <v>1524</v>
      </c>
      <c r="N4242" s="2008"/>
      <c r="O4242" s="2008"/>
      <c r="P4242" s="2008"/>
      <c r="Q4242" s="2009"/>
      <c r="R4242" s="1345">
        <f>R4240-R4241</f>
        <v>0</v>
      </c>
      <c r="S4242" s="1346" t="str">
        <f>L4240</f>
        <v>und</v>
      </c>
      <c r="T4242" s="373"/>
      <c r="U4242" s="486"/>
      <c r="V4242" s="1418">
        <f>R4242</f>
        <v>0</v>
      </c>
      <c r="AB4242" s="15"/>
    </row>
    <row r="4243" spans="1:36" s="77" customFormat="1" ht="15.6" hidden="1">
      <c r="A4243" s="370"/>
      <c r="B4243" s="1347"/>
      <c r="C4243" s="1348"/>
      <c r="D4243" s="1349"/>
      <c r="E4243" s="1350"/>
      <c r="F4243" s="1349"/>
      <c r="G4243" s="1349"/>
      <c r="H4243" s="1349"/>
      <c r="I4243" s="1349"/>
      <c r="J4243" s="1351"/>
      <c r="K4243" s="1352"/>
      <c r="L4243" s="1353"/>
      <c r="M4243" s="1354"/>
      <c r="N4243" s="1354"/>
      <c r="O4243" s="1354"/>
      <c r="P4243" s="1354"/>
      <c r="Q4243" s="1354"/>
      <c r="R4243" s="1355"/>
      <c r="S4243" s="1356"/>
      <c r="T4243" s="1357"/>
      <c r="U4243" s="1358"/>
      <c r="V4243" s="1420">
        <f>SUM(V4234:V4242)</f>
        <v>0</v>
      </c>
      <c r="AB4243" s="15"/>
    </row>
    <row r="4244" spans="1:36" s="352" customFormat="1" ht="15.6" hidden="1">
      <c r="A4244" s="351"/>
      <c r="B4244" s="1963" t="str">
        <f>VLOOKUP(A4252,'11 - FINANCEIRA'!_xlnm.Print_Area,1,FALSE)</f>
        <v>2.6.2.6</v>
      </c>
      <c r="C4244" s="1965" t="str">
        <f>VLOOKUP(A4252,'11 - FINANCEIRA'!_xlnm.Print_Area,3,FALSE)</f>
        <v>Transporte e montagem de equipamento de içamento: monovia em perfil metálico com talha elétrica com trole elétrico, carga = 5.000 kg - BDI = 14,02</v>
      </c>
      <c r="D4244" s="1967" t="s">
        <v>1503</v>
      </c>
      <c r="E4244" s="1968"/>
      <c r="F4244" s="1968"/>
      <c r="G4244" s="1968"/>
      <c r="H4244" s="1968"/>
      <c r="I4244" s="1969"/>
      <c r="J4244" s="1914" t="s">
        <v>1504</v>
      </c>
      <c r="K4244" s="1914" t="s">
        <v>1505</v>
      </c>
      <c r="L4244" s="1914" t="s">
        <v>1506</v>
      </c>
      <c r="M4244" s="1914" t="s">
        <v>1507</v>
      </c>
      <c r="N4244" s="1914" t="s">
        <v>1508</v>
      </c>
      <c r="O4244" s="1914" t="s">
        <v>1509</v>
      </c>
      <c r="P4244" s="1341" t="s">
        <v>1510</v>
      </c>
      <c r="Q4244" s="1914" t="s">
        <v>1493</v>
      </c>
      <c r="R4244" s="1916" t="s">
        <v>804</v>
      </c>
      <c r="S4244" s="1914" t="s">
        <v>1511</v>
      </c>
      <c r="T4244" s="1914" t="s">
        <v>1512</v>
      </c>
      <c r="U4244" s="1918" t="s">
        <v>1513</v>
      </c>
      <c r="V4244" s="1418">
        <f t="shared" ref="V4244:V4251" si="427">V4245</f>
        <v>0</v>
      </c>
      <c r="W4244" s="16"/>
      <c r="X4244" s="16"/>
      <c r="Y4244" s="16"/>
      <c r="Z4244" s="17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</row>
    <row r="4245" spans="1:36" s="352" customFormat="1" ht="15.6" hidden="1">
      <c r="A4245" s="351"/>
      <c r="B4245" s="1964" t="e">
        <f>LEFT(#REF!,5)</f>
        <v>#REF!</v>
      </c>
      <c r="C4245" s="1966" t="e">
        <f>VLOOKUP(LEFT(#REF!,5),'11 - FINANCEIRA'!_xlnm.Print_Area,2,FALSE)</f>
        <v>#REF!</v>
      </c>
      <c r="D4245" s="1920" t="s">
        <v>1514</v>
      </c>
      <c r="E4245" s="1921"/>
      <c r="F4245" s="1922"/>
      <c r="G4245" s="1923" t="s">
        <v>1515</v>
      </c>
      <c r="H4245" s="1924"/>
      <c r="I4245" s="1925"/>
      <c r="J4245" s="1915"/>
      <c r="K4245" s="1915"/>
      <c r="L4245" s="1915"/>
      <c r="M4245" s="1915"/>
      <c r="N4245" s="1915"/>
      <c r="O4245" s="1915"/>
      <c r="P4245" s="353" t="s">
        <v>1516</v>
      </c>
      <c r="Q4245" s="1915"/>
      <c r="R4245" s="1917"/>
      <c r="S4245" s="1915"/>
      <c r="T4245" s="1915"/>
      <c r="U4245" s="1919"/>
      <c r="V4245" s="1418">
        <f t="shared" si="427"/>
        <v>0</v>
      </c>
      <c r="W4245" s="16"/>
      <c r="X4245" s="16"/>
      <c r="Y4245" s="16"/>
      <c r="Z4245" s="17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</row>
    <row r="4246" spans="1:36" s="361" customFormat="1" ht="30" hidden="1">
      <c r="A4246" s="354"/>
      <c r="B4246" s="355"/>
      <c r="C4246" s="28" t="s">
        <v>1409</v>
      </c>
      <c r="D4246" s="18"/>
      <c r="E4246" s="19"/>
      <c r="F4246" s="20"/>
      <c r="G4246" s="18"/>
      <c r="H4246" s="19"/>
      <c r="I4246" s="20"/>
      <c r="J4246" s="21"/>
      <c r="K4246" s="22"/>
      <c r="L4246" s="23"/>
      <c r="M4246" s="24"/>
      <c r="N4246" s="728"/>
      <c r="O4246" s="25"/>
      <c r="P4246" s="23"/>
      <c r="Q4246" s="729"/>
      <c r="R4246" s="1109">
        <v>1</v>
      </c>
      <c r="S4246" s="730" t="s">
        <v>816</v>
      </c>
      <c r="T4246" s="446" t="s">
        <v>327</v>
      </c>
      <c r="U4246" s="44"/>
      <c r="V4246" s="1418">
        <f t="shared" si="427"/>
        <v>0</v>
      </c>
      <c r="W4246" s="357"/>
      <c r="X4246" s="357"/>
      <c r="Y4246" s="357"/>
      <c r="Z4246" s="358"/>
      <c r="AA4246" s="359"/>
      <c r="AB4246" s="360"/>
    </row>
    <row r="4247" spans="1:36" s="361" customFormat="1" ht="15" hidden="1" customHeight="1">
      <c r="A4247" s="354"/>
      <c r="B4247" s="355"/>
      <c r="C4247" s="32"/>
      <c r="D4247" s="33"/>
      <c r="E4247" s="34"/>
      <c r="F4247" s="35"/>
      <c r="G4247" s="33"/>
      <c r="H4247" s="34"/>
      <c r="I4247" s="35"/>
      <c r="J4247" s="43"/>
      <c r="K4247" s="42"/>
      <c r="L4247" s="39"/>
      <c r="M4247" s="41"/>
      <c r="N4247" s="356"/>
      <c r="O4247" s="40"/>
      <c r="P4247" s="39"/>
      <c r="Q4247" s="45"/>
      <c r="R4247" s="362"/>
      <c r="S4247" s="363"/>
      <c r="T4247" s="46"/>
      <c r="U4247" s="44"/>
      <c r="V4247" s="1418">
        <f t="shared" si="427"/>
        <v>0</v>
      </c>
      <c r="W4247" s="357"/>
      <c r="X4247" s="357"/>
      <c r="Y4247" s="357"/>
      <c r="Z4247" s="358"/>
      <c r="AA4247" s="359"/>
      <c r="AB4247" s="360"/>
    </row>
    <row r="4248" spans="1:36" s="369" customFormat="1" ht="15" hidden="1">
      <c r="A4248" s="364"/>
      <c r="B4248" s="355"/>
      <c r="C4248" s="32"/>
      <c r="D4248" s="33"/>
      <c r="E4248" s="34"/>
      <c r="F4248" s="35"/>
      <c r="G4248" s="33"/>
      <c r="H4248" s="34"/>
      <c r="I4248" s="35"/>
      <c r="J4248" s="43"/>
      <c r="K4248" s="42"/>
      <c r="L4248" s="39"/>
      <c r="M4248" s="41"/>
      <c r="N4248" s="40"/>
      <c r="O4248" s="40"/>
      <c r="P4248" s="39"/>
      <c r="Q4248" s="38"/>
      <c r="R4248" s="365"/>
      <c r="S4248" s="366"/>
      <c r="T4248" s="46"/>
      <c r="U4248" s="44"/>
      <c r="V4248" s="1418">
        <f t="shared" si="427"/>
        <v>0</v>
      </c>
      <c r="W4248" s="367"/>
      <c r="X4248" s="367"/>
      <c r="Y4248" s="367"/>
      <c r="Z4248" s="368"/>
    </row>
    <row r="4249" spans="1:36" s="77" customFormat="1" ht="15" hidden="1">
      <c r="A4249" s="370"/>
      <c r="B4249" s="29"/>
      <c r="C4249" s="30"/>
      <c r="D4249" s="18"/>
      <c r="E4249" s="19"/>
      <c r="F4249" s="20"/>
      <c r="G4249" s="18"/>
      <c r="H4249" s="19"/>
      <c r="I4249" s="20"/>
      <c r="J4249" s="21"/>
      <c r="K4249" s="22"/>
      <c r="L4249" s="23"/>
      <c r="M4249" s="24"/>
      <c r="N4249" s="25"/>
      <c r="O4249" s="25"/>
      <c r="P4249" s="23"/>
      <c r="Q4249" s="26"/>
      <c r="R4249" s="371"/>
      <c r="S4249" s="27"/>
      <c r="T4249" s="372"/>
      <c r="U4249" s="31"/>
      <c r="V4249" s="1418">
        <f t="shared" si="427"/>
        <v>0</v>
      </c>
      <c r="AB4249" s="15"/>
    </row>
    <row r="4250" spans="1:36" s="77" customFormat="1" ht="15.6" hidden="1">
      <c r="A4250" s="370"/>
      <c r="B4250" s="499"/>
      <c r="C4250" s="37"/>
      <c r="D4250" s="1929" t="s">
        <v>1520</v>
      </c>
      <c r="E4250" s="1930"/>
      <c r="F4250" s="1930"/>
      <c r="G4250" s="1930"/>
      <c r="H4250" s="1930"/>
      <c r="I4250" s="1931"/>
      <c r="J4250" s="1932">
        <f>VLOOKUP(A4252,'11 - FINANCEIRA'!_xlnm.Print_Area,6,FALSE)</f>
        <v>1</v>
      </c>
      <c r="K4250" s="1933"/>
      <c r="L4250" s="1343" t="str">
        <f>VLOOKUP(A4252,'11 - FINANCEIRA'!_xlnm.Print_Area,4,FALSE)</f>
        <v>und</v>
      </c>
      <c r="M4250" s="1934" t="s">
        <v>1521</v>
      </c>
      <c r="N4250" s="1935"/>
      <c r="O4250" s="1935"/>
      <c r="P4250" s="1935"/>
      <c r="Q4250" s="1936"/>
      <c r="R4250" s="726">
        <f>SUM(R4246:R4249)</f>
        <v>1</v>
      </c>
      <c r="S4250" s="1344" t="str">
        <f>L4250</f>
        <v>und</v>
      </c>
      <c r="T4250" s="373"/>
      <c r="U4250" s="486"/>
      <c r="V4250" s="1418">
        <f t="shared" si="427"/>
        <v>0</v>
      </c>
      <c r="AB4250" s="15"/>
    </row>
    <row r="4251" spans="1:36" s="77" customFormat="1" ht="15.6" hidden="1">
      <c r="A4251" s="370"/>
      <c r="B4251" s="499"/>
      <c r="C4251" s="725"/>
      <c r="D4251" s="1937" t="s">
        <v>1522</v>
      </c>
      <c r="E4251" s="1938"/>
      <c r="F4251" s="1938"/>
      <c r="G4251" s="1938"/>
      <c r="H4251" s="1938"/>
      <c r="I4251" s="1939"/>
      <c r="J4251" s="1943">
        <f>R4250/J4250</f>
        <v>1</v>
      </c>
      <c r="K4251" s="1944"/>
      <c r="L4251" s="1947"/>
      <c r="M4251" s="1934" t="s">
        <v>1523</v>
      </c>
      <c r="N4251" s="1935"/>
      <c r="O4251" s="1935"/>
      <c r="P4251" s="1935"/>
      <c r="Q4251" s="1936"/>
      <c r="R4251" s="726">
        <f>VLOOKUP(A4252,'11 - FINANCEIRA'!_xlnm.Print_Area,8,FALSE)</f>
        <v>1</v>
      </c>
      <c r="S4251" s="727" t="str">
        <f>L4250</f>
        <v>und</v>
      </c>
      <c r="T4251" s="373"/>
      <c r="U4251" s="486"/>
      <c r="V4251" s="1418">
        <f t="shared" si="427"/>
        <v>0</v>
      </c>
      <c r="AB4251" s="15"/>
    </row>
    <row r="4252" spans="1:36" s="77" customFormat="1" ht="15.6" hidden="1">
      <c r="A4252" s="364" t="s">
        <v>742</v>
      </c>
      <c r="B4252" s="499"/>
      <c r="C4252" s="37"/>
      <c r="D4252" s="2013"/>
      <c r="E4252" s="2014"/>
      <c r="F4252" s="2014"/>
      <c r="G4252" s="2014"/>
      <c r="H4252" s="2014"/>
      <c r="I4252" s="2015"/>
      <c r="J4252" s="2016"/>
      <c r="K4252" s="2017"/>
      <c r="L4252" s="1962"/>
      <c r="M4252" s="2007" t="s">
        <v>1524</v>
      </c>
      <c r="N4252" s="2008"/>
      <c r="O4252" s="2008"/>
      <c r="P4252" s="2008"/>
      <c r="Q4252" s="2009"/>
      <c r="R4252" s="1345">
        <f>R4250-R4251</f>
        <v>0</v>
      </c>
      <c r="S4252" s="1346" t="str">
        <f>L4250</f>
        <v>und</v>
      </c>
      <c r="T4252" s="373"/>
      <c r="U4252" s="486"/>
      <c r="V4252" s="1418">
        <f>R4252</f>
        <v>0</v>
      </c>
      <c r="AB4252" s="15"/>
    </row>
    <row r="4253" spans="1:36" s="77" customFormat="1" ht="15.6" hidden="1">
      <c r="A4253" s="370"/>
      <c r="B4253" s="1347"/>
      <c r="C4253" s="1348"/>
      <c r="D4253" s="1349"/>
      <c r="E4253" s="1350"/>
      <c r="F4253" s="1349"/>
      <c r="G4253" s="1349"/>
      <c r="H4253" s="1349"/>
      <c r="I4253" s="1349"/>
      <c r="J4253" s="1351"/>
      <c r="K4253" s="1352"/>
      <c r="L4253" s="1353"/>
      <c r="M4253" s="1354"/>
      <c r="N4253" s="1354"/>
      <c r="O4253" s="1354"/>
      <c r="P4253" s="1354"/>
      <c r="Q4253" s="1354"/>
      <c r="R4253" s="1355"/>
      <c r="S4253" s="1356"/>
      <c r="T4253" s="1357"/>
      <c r="U4253" s="1358"/>
      <c r="V4253" s="1420">
        <f>SUM(V4244:V4252)</f>
        <v>0</v>
      </c>
      <c r="AB4253" s="15"/>
    </row>
    <row r="4254" spans="1:36" s="352" customFormat="1" ht="15.6" hidden="1">
      <c r="A4254" s="351"/>
      <c r="B4254" s="1963" t="str">
        <f>VLOOKUP(A4262,'11 - FINANCEIRA'!_xlnm.Print_Area,1,FALSE)</f>
        <v>2.6.2.7</v>
      </c>
      <c r="C4254" s="1965" t="str">
        <f>VLOOKUP(A4262,'11 - FINANCEIRA'!_xlnm.Print_Area,3,FALSE)</f>
        <v>Montagem e fornecimento de haste de prolongamento com extremidades rosqueadas, diâmetro 1.1/6”, l=6000mm em pedestais de comando ou manobra</v>
      </c>
      <c r="D4254" s="1967" t="s">
        <v>1503</v>
      </c>
      <c r="E4254" s="1968"/>
      <c r="F4254" s="1968"/>
      <c r="G4254" s="1968"/>
      <c r="H4254" s="1968"/>
      <c r="I4254" s="1969"/>
      <c r="J4254" s="1914" t="s">
        <v>1504</v>
      </c>
      <c r="K4254" s="1914" t="s">
        <v>1505</v>
      </c>
      <c r="L4254" s="1914" t="s">
        <v>1506</v>
      </c>
      <c r="M4254" s="1914" t="s">
        <v>1507</v>
      </c>
      <c r="N4254" s="1914" t="s">
        <v>1508</v>
      </c>
      <c r="O4254" s="1914" t="s">
        <v>1509</v>
      </c>
      <c r="P4254" s="1341" t="s">
        <v>1510</v>
      </c>
      <c r="Q4254" s="1914" t="s">
        <v>1493</v>
      </c>
      <c r="R4254" s="1916" t="s">
        <v>804</v>
      </c>
      <c r="S4254" s="1914" t="s">
        <v>1511</v>
      </c>
      <c r="T4254" s="1914" t="s">
        <v>1512</v>
      </c>
      <c r="U4254" s="1918" t="s">
        <v>1513</v>
      </c>
      <c r="V4254" s="1418">
        <f t="shared" ref="V4254:V4261" si="428">V4255</f>
        <v>0</v>
      </c>
      <c r="W4254" s="16"/>
      <c r="X4254" s="16"/>
      <c r="Y4254" s="16"/>
      <c r="Z4254" s="17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</row>
    <row r="4255" spans="1:36" s="352" customFormat="1" ht="15.6" hidden="1">
      <c r="A4255" s="351"/>
      <c r="B4255" s="1964" t="e">
        <f>LEFT(#REF!,5)</f>
        <v>#REF!</v>
      </c>
      <c r="C4255" s="1966" t="e">
        <f>VLOOKUP(LEFT(#REF!,5),'11 - FINANCEIRA'!_xlnm.Print_Area,2,FALSE)</f>
        <v>#REF!</v>
      </c>
      <c r="D4255" s="1920" t="s">
        <v>1514</v>
      </c>
      <c r="E4255" s="1921"/>
      <c r="F4255" s="1922"/>
      <c r="G4255" s="1923" t="s">
        <v>1515</v>
      </c>
      <c r="H4255" s="1924"/>
      <c r="I4255" s="1925"/>
      <c r="J4255" s="1915"/>
      <c r="K4255" s="1915"/>
      <c r="L4255" s="1915"/>
      <c r="M4255" s="1915"/>
      <c r="N4255" s="1915"/>
      <c r="O4255" s="1915"/>
      <c r="P4255" s="353" t="s">
        <v>1516</v>
      </c>
      <c r="Q4255" s="1915"/>
      <c r="R4255" s="1917"/>
      <c r="S4255" s="1915"/>
      <c r="T4255" s="1915"/>
      <c r="U4255" s="1919"/>
      <c r="V4255" s="1418">
        <f t="shared" si="428"/>
        <v>0</v>
      </c>
      <c r="W4255" s="16"/>
      <c r="X4255" s="16"/>
      <c r="Y4255" s="16"/>
      <c r="Z4255" s="17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</row>
    <row r="4256" spans="1:36" s="361" customFormat="1" ht="30" hidden="1">
      <c r="A4256" s="354"/>
      <c r="B4256" s="355"/>
      <c r="C4256" s="28" t="s">
        <v>1411</v>
      </c>
      <c r="D4256" s="18"/>
      <c r="E4256" s="19"/>
      <c r="F4256" s="20"/>
      <c r="G4256" s="18"/>
      <c r="H4256" s="19"/>
      <c r="I4256" s="20"/>
      <c r="J4256" s="21"/>
      <c r="K4256" s="22"/>
      <c r="L4256" s="23"/>
      <c r="M4256" s="24"/>
      <c r="N4256" s="728"/>
      <c r="O4256" s="25"/>
      <c r="P4256" s="23"/>
      <c r="Q4256" s="729"/>
      <c r="R4256" s="1109">
        <v>10</v>
      </c>
      <c r="S4256" s="730" t="s">
        <v>816</v>
      </c>
      <c r="T4256" s="446" t="s">
        <v>327</v>
      </c>
      <c r="U4256" s="44"/>
      <c r="V4256" s="1418">
        <f t="shared" si="428"/>
        <v>0</v>
      </c>
      <c r="W4256" s="357"/>
      <c r="X4256" s="357"/>
      <c r="Y4256" s="357"/>
      <c r="Z4256" s="358"/>
      <c r="AA4256" s="359"/>
      <c r="AB4256" s="360"/>
    </row>
    <row r="4257" spans="1:36" s="361" customFormat="1" ht="15" hidden="1" customHeight="1">
      <c r="A4257" s="354"/>
      <c r="B4257" s="355"/>
      <c r="C4257" s="32"/>
      <c r="D4257" s="33"/>
      <c r="E4257" s="34"/>
      <c r="F4257" s="35"/>
      <c r="G4257" s="33"/>
      <c r="H4257" s="34"/>
      <c r="I4257" s="35"/>
      <c r="J4257" s="43"/>
      <c r="K4257" s="42"/>
      <c r="L4257" s="39"/>
      <c r="M4257" s="41"/>
      <c r="N4257" s="356"/>
      <c r="O4257" s="40"/>
      <c r="P4257" s="39"/>
      <c r="Q4257" s="45"/>
      <c r="R4257" s="362"/>
      <c r="S4257" s="363"/>
      <c r="T4257" s="46"/>
      <c r="U4257" s="44"/>
      <c r="V4257" s="1418">
        <f t="shared" si="428"/>
        <v>0</v>
      </c>
      <c r="W4257" s="357"/>
      <c r="X4257" s="357"/>
      <c r="Y4257" s="357"/>
      <c r="Z4257" s="358"/>
      <c r="AA4257" s="359"/>
      <c r="AB4257" s="360"/>
    </row>
    <row r="4258" spans="1:36" s="369" customFormat="1" ht="15" hidden="1">
      <c r="A4258" s="364"/>
      <c r="B4258" s="355"/>
      <c r="C4258" s="32"/>
      <c r="D4258" s="33"/>
      <c r="E4258" s="34"/>
      <c r="F4258" s="35"/>
      <c r="G4258" s="33"/>
      <c r="H4258" s="34"/>
      <c r="I4258" s="35"/>
      <c r="J4258" s="43"/>
      <c r="K4258" s="42"/>
      <c r="L4258" s="39"/>
      <c r="M4258" s="41"/>
      <c r="N4258" s="40"/>
      <c r="O4258" s="40"/>
      <c r="P4258" s="39"/>
      <c r="Q4258" s="38"/>
      <c r="R4258" s="365"/>
      <c r="S4258" s="366"/>
      <c r="T4258" s="46"/>
      <c r="U4258" s="44"/>
      <c r="V4258" s="1418">
        <f t="shared" si="428"/>
        <v>0</v>
      </c>
      <c r="W4258" s="367"/>
      <c r="X4258" s="367"/>
      <c r="Y4258" s="367"/>
      <c r="Z4258" s="368"/>
    </row>
    <row r="4259" spans="1:36" s="77" customFormat="1" ht="15" hidden="1">
      <c r="A4259" s="370"/>
      <c r="B4259" s="29"/>
      <c r="C4259" s="30"/>
      <c r="D4259" s="18"/>
      <c r="E4259" s="19"/>
      <c r="F4259" s="20"/>
      <c r="G4259" s="18"/>
      <c r="H4259" s="19"/>
      <c r="I4259" s="20"/>
      <c r="J4259" s="21"/>
      <c r="K4259" s="22"/>
      <c r="L4259" s="23"/>
      <c r="M4259" s="24"/>
      <c r="N4259" s="25"/>
      <c r="O4259" s="25"/>
      <c r="P4259" s="23"/>
      <c r="Q4259" s="26"/>
      <c r="R4259" s="371"/>
      <c r="S4259" s="27"/>
      <c r="T4259" s="372"/>
      <c r="U4259" s="31"/>
      <c r="V4259" s="1418">
        <f t="shared" si="428"/>
        <v>0</v>
      </c>
      <c r="AB4259" s="15"/>
    </row>
    <row r="4260" spans="1:36" s="77" customFormat="1" ht="15.6" hidden="1">
      <c r="A4260" s="370"/>
      <c r="B4260" s="499"/>
      <c r="C4260" s="37"/>
      <c r="D4260" s="1929" t="s">
        <v>1520</v>
      </c>
      <c r="E4260" s="1930"/>
      <c r="F4260" s="1930"/>
      <c r="G4260" s="1930"/>
      <c r="H4260" s="1930"/>
      <c r="I4260" s="1931"/>
      <c r="J4260" s="1932">
        <f>VLOOKUP(A4262,'11 - FINANCEIRA'!_xlnm.Print_Area,6,FALSE)</f>
        <v>10</v>
      </c>
      <c r="K4260" s="1933"/>
      <c r="L4260" s="1343" t="str">
        <f>VLOOKUP(A4262,'11 - FINANCEIRA'!_xlnm.Print_Area,4,FALSE)</f>
        <v>und</v>
      </c>
      <c r="M4260" s="1934" t="s">
        <v>1521</v>
      </c>
      <c r="N4260" s="1935"/>
      <c r="O4260" s="1935"/>
      <c r="P4260" s="1935"/>
      <c r="Q4260" s="1936"/>
      <c r="R4260" s="726">
        <f>SUM(R4256:R4259)</f>
        <v>10</v>
      </c>
      <c r="S4260" s="1344" t="str">
        <f>L4260</f>
        <v>und</v>
      </c>
      <c r="T4260" s="373"/>
      <c r="U4260" s="486"/>
      <c r="V4260" s="1418">
        <f t="shared" si="428"/>
        <v>0</v>
      </c>
      <c r="AB4260" s="15"/>
    </row>
    <row r="4261" spans="1:36" s="77" customFormat="1" ht="15.6" hidden="1">
      <c r="A4261" s="370"/>
      <c r="B4261" s="499"/>
      <c r="C4261" s="725"/>
      <c r="D4261" s="1937" t="s">
        <v>1522</v>
      </c>
      <c r="E4261" s="1938"/>
      <c r="F4261" s="1938"/>
      <c r="G4261" s="1938"/>
      <c r="H4261" s="1938"/>
      <c r="I4261" s="1939"/>
      <c r="J4261" s="1943">
        <f>R4260/J4260</f>
        <v>1</v>
      </c>
      <c r="K4261" s="1944"/>
      <c r="L4261" s="1947"/>
      <c r="M4261" s="1934" t="s">
        <v>1523</v>
      </c>
      <c r="N4261" s="1935"/>
      <c r="O4261" s="1935"/>
      <c r="P4261" s="1935"/>
      <c r="Q4261" s="1936"/>
      <c r="R4261" s="726">
        <f>VLOOKUP(A4262,'11 - FINANCEIRA'!_xlnm.Print_Area,8,FALSE)</f>
        <v>10</v>
      </c>
      <c r="S4261" s="727" t="str">
        <f>L4260</f>
        <v>und</v>
      </c>
      <c r="T4261" s="373"/>
      <c r="U4261" s="486"/>
      <c r="V4261" s="1418">
        <f t="shared" si="428"/>
        <v>0</v>
      </c>
      <c r="AB4261" s="15"/>
    </row>
    <row r="4262" spans="1:36" s="77" customFormat="1" ht="15.6" hidden="1">
      <c r="A4262" s="364" t="s">
        <v>743</v>
      </c>
      <c r="B4262" s="499"/>
      <c r="C4262" s="37"/>
      <c r="D4262" s="2013"/>
      <c r="E4262" s="2014"/>
      <c r="F4262" s="2014"/>
      <c r="G4262" s="2014"/>
      <c r="H4262" s="2014"/>
      <c r="I4262" s="2015"/>
      <c r="J4262" s="2016"/>
      <c r="K4262" s="2017"/>
      <c r="L4262" s="1962"/>
      <c r="M4262" s="2007" t="s">
        <v>1524</v>
      </c>
      <c r="N4262" s="2008"/>
      <c r="O4262" s="2008"/>
      <c r="P4262" s="2008"/>
      <c r="Q4262" s="2009"/>
      <c r="R4262" s="1345">
        <f>R4260-R4261</f>
        <v>0</v>
      </c>
      <c r="S4262" s="1346" t="str">
        <f>L4260</f>
        <v>und</v>
      </c>
      <c r="T4262" s="373"/>
      <c r="U4262" s="486"/>
      <c r="V4262" s="1418">
        <f>R4262</f>
        <v>0</v>
      </c>
      <c r="AB4262" s="15"/>
    </row>
    <row r="4263" spans="1:36" s="77" customFormat="1" ht="15.6" hidden="1">
      <c r="A4263" s="15"/>
      <c r="B4263" s="1347"/>
      <c r="C4263" s="1348"/>
      <c r="D4263" s="1349"/>
      <c r="E4263" s="1350"/>
      <c r="F4263" s="1349"/>
      <c r="G4263" s="1349"/>
      <c r="H4263" s="1349"/>
      <c r="I4263" s="1349"/>
      <c r="J4263" s="1351"/>
      <c r="K4263" s="1352"/>
      <c r="L4263" s="1353"/>
      <c r="M4263" s="1354"/>
      <c r="N4263" s="1354"/>
      <c r="O4263" s="1354"/>
      <c r="P4263" s="1354"/>
      <c r="Q4263" s="1354"/>
      <c r="R4263" s="1355"/>
      <c r="S4263" s="1356"/>
      <c r="T4263" s="1357"/>
      <c r="U4263" s="1358"/>
      <c r="V4263" s="1420">
        <f>SUM(V4254:V4262)</f>
        <v>0</v>
      </c>
      <c r="AB4263" s="15"/>
    </row>
    <row r="4264" spans="1:36" s="632" customFormat="1" ht="15.6" hidden="1">
      <c r="A4264" s="630"/>
      <c r="B4264" s="1333" t="str">
        <f>LEFT(A4274,5)</f>
        <v>2.6.3</v>
      </c>
      <c r="C4264" s="1334" t="str">
        <f>VLOOKUP(LEFT(A4274,5),'11 - FINANCEIRA'!_xlnm.Print_Area,2,FALSE)</f>
        <v>TUBULAÇÃO</v>
      </c>
      <c r="D4264" s="1334"/>
      <c r="E4264" s="1335"/>
      <c r="F4264" s="1334"/>
      <c r="G4264" s="2071"/>
      <c r="H4264" s="2072"/>
      <c r="I4264" s="2072"/>
      <c r="J4264" s="2072"/>
      <c r="K4264" s="2072"/>
      <c r="L4264" s="2072"/>
      <c r="M4264" s="1338"/>
      <c r="N4264" s="1339"/>
      <c r="O4264" s="2072"/>
      <c r="P4264" s="2072"/>
      <c r="Q4264" s="2072"/>
      <c r="R4264" s="2082"/>
      <c r="S4264" s="633"/>
      <c r="V4264" s="631">
        <f>SUM(V4265:V4376)</f>
        <v>0</v>
      </c>
    </row>
    <row r="4265" spans="1:36" s="632" customFormat="1" ht="15.6" hidden="1">
      <c r="A4265" s="630"/>
      <c r="B4265" s="1333" t="str">
        <f>LEFT(A4274,7)</f>
        <v>2.6.3.1</v>
      </c>
      <c r="C4265" s="1334" t="str">
        <f>VLOOKUP(LEFT(A4274,7),'11 - FINANCEIRA'!_xlnm.Print_Area,2,FALSE)</f>
        <v xml:space="preserve">Fornecimento (BDI = 14,02%) </v>
      </c>
      <c r="D4265" s="1334"/>
      <c r="E4265" s="1335"/>
      <c r="F4265" s="1334"/>
      <c r="G4265" s="2071"/>
      <c r="H4265" s="2072"/>
      <c r="I4265" s="2072"/>
      <c r="J4265" s="2072"/>
      <c r="K4265" s="2072"/>
      <c r="L4265" s="2072"/>
      <c r="M4265" s="1338"/>
      <c r="N4265" s="1339"/>
      <c r="O4265" s="2072"/>
      <c r="P4265" s="2072"/>
      <c r="Q4265" s="2072"/>
      <c r="R4265" s="2082"/>
      <c r="S4265" s="633"/>
      <c r="V4265" s="631">
        <f>SUM(V4266:V4364)</f>
        <v>0</v>
      </c>
    </row>
    <row r="4266" spans="1:36" s="352" customFormat="1" ht="15.6" hidden="1">
      <c r="A4266" s="376"/>
      <c r="B4266" s="1963" t="str">
        <f>VLOOKUP(A4274,'11 - FINANCEIRA'!_xlnm.Print_Area,1,FALSE)</f>
        <v>2.6.3.1.1</v>
      </c>
      <c r="C4266" s="1965" t="str">
        <f>VLOOKUP(A4274,'11 - FINANCEIRA'!_xlnm.Print_Area,3,FALSE)</f>
        <v>Tubo fofo c/ flanges dn 1200 pn10 - l=800 - BDI = 14,02</v>
      </c>
      <c r="D4266" s="1967" t="s">
        <v>1503</v>
      </c>
      <c r="E4266" s="1968"/>
      <c r="F4266" s="1968"/>
      <c r="G4266" s="1968"/>
      <c r="H4266" s="1968"/>
      <c r="I4266" s="1969"/>
      <c r="J4266" s="1914" t="s">
        <v>1504</v>
      </c>
      <c r="K4266" s="1914" t="s">
        <v>1505</v>
      </c>
      <c r="L4266" s="1914" t="s">
        <v>1506</v>
      </c>
      <c r="M4266" s="1914" t="s">
        <v>1507</v>
      </c>
      <c r="N4266" s="1914" t="s">
        <v>1508</v>
      </c>
      <c r="O4266" s="1914" t="s">
        <v>1509</v>
      </c>
      <c r="P4266" s="1341" t="s">
        <v>1510</v>
      </c>
      <c r="Q4266" s="1914" t="s">
        <v>1493</v>
      </c>
      <c r="R4266" s="1916" t="s">
        <v>804</v>
      </c>
      <c r="S4266" s="1914" t="s">
        <v>1511</v>
      </c>
      <c r="T4266" s="1914" t="s">
        <v>1512</v>
      </c>
      <c r="U4266" s="1918" t="s">
        <v>1513</v>
      </c>
      <c r="V4266" s="1418">
        <f t="shared" ref="V4266:V4273" si="429">V4267</f>
        <v>0</v>
      </c>
      <c r="W4266" s="16"/>
      <c r="X4266" s="16"/>
      <c r="Y4266" s="16"/>
      <c r="Z4266" s="17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</row>
    <row r="4267" spans="1:36" s="352" customFormat="1" ht="15.6" hidden="1">
      <c r="A4267" s="376"/>
      <c r="B4267" s="1964" t="e">
        <f>LEFT(#REF!,5)</f>
        <v>#REF!</v>
      </c>
      <c r="C4267" s="1966" t="e">
        <f>VLOOKUP(LEFT(#REF!,5),'11 - FINANCEIRA'!_xlnm.Print_Area,2,FALSE)</f>
        <v>#REF!</v>
      </c>
      <c r="D4267" s="1920" t="s">
        <v>1514</v>
      </c>
      <c r="E4267" s="1921"/>
      <c r="F4267" s="1922"/>
      <c r="G4267" s="1923" t="s">
        <v>1515</v>
      </c>
      <c r="H4267" s="1924"/>
      <c r="I4267" s="1925"/>
      <c r="J4267" s="1915"/>
      <c r="K4267" s="1915"/>
      <c r="L4267" s="1915"/>
      <c r="M4267" s="1915"/>
      <c r="N4267" s="1915"/>
      <c r="O4267" s="1915"/>
      <c r="P4267" s="353" t="s">
        <v>1516</v>
      </c>
      <c r="Q4267" s="1915"/>
      <c r="R4267" s="1917"/>
      <c r="S4267" s="1915"/>
      <c r="T4267" s="1915"/>
      <c r="U4267" s="1919"/>
      <c r="V4267" s="1418">
        <f t="shared" si="429"/>
        <v>0</v>
      </c>
      <c r="W4267" s="16"/>
      <c r="X4267" s="16"/>
      <c r="Y4267" s="16"/>
      <c r="Z4267" s="17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</row>
    <row r="4268" spans="1:36" s="361" customFormat="1" ht="15" hidden="1">
      <c r="A4268" s="360"/>
      <c r="B4268" s="355"/>
      <c r="C4268" s="32"/>
      <c r="D4268" s="33"/>
      <c r="E4268" s="34"/>
      <c r="F4268" s="35"/>
      <c r="G4268" s="33"/>
      <c r="H4268" s="34"/>
      <c r="I4268" s="35"/>
      <c r="J4268" s="43"/>
      <c r="K4268" s="42"/>
      <c r="L4268" s="39"/>
      <c r="M4268" s="41"/>
      <c r="N4268" s="356"/>
      <c r="O4268" s="40"/>
      <c r="P4268" s="39"/>
      <c r="Q4268" s="45"/>
      <c r="R4268" s="1359"/>
      <c r="S4268" s="1265"/>
      <c r="T4268" s="46"/>
      <c r="U4268" s="44"/>
      <c r="V4268" s="1418">
        <f t="shared" si="429"/>
        <v>0</v>
      </c>
      <c r="W4268" s="357"/>
      <c r="X4268" s="357"/>
      <c r="Y4268" s="357"/>
      <c r="Z4268" s="358"/>
      <c r="AA4268" s="359"/>
      <c r="AB4268" s="360"/>
    </row>
    <row r="4269" spans="1:36" s="361" customFormat="1" ht="15" hidden="1">
      <c r="A4269" s="360"/>
      <c r="B4269" s="355"/>
      <c r="C4269" s="32"/>
      <c r="D4269" s="33"/>
      <c r="E4269" s="34"/>
      <c r="F4269" s="35"/>
      <c r="G4269" s="33"/>
      <c r="H4269" s="34"/>
      <c r="I4269" s="35"/>
      <c r="J4269" s="43"/>
      <c r="K4269" s="42"/>
      <c r="L4269" s="39"/>
      <c r="M4269" s="41"/>
      <c r="N4269" s="356"/>
      <c r="O4269" s="40"/>
      <c r="P4269" s="39"/>
      <c r="Q4269" s="45"/>
      <c r="R4269" s="362"/>
      <c r="S4269" s="363"/>
      <c r="T4269" s="46"/>
      <c r="U4269" s="44"/>
      <c r="V4269" s="1418">
        <f t="shared" si="429"/>
        <v>0</v>
      </c>
      <c r="W4269" s="357"/>
      <c r="X4269" s="357"/>
      <c r="Y4269" s="357"/>
      <c r="Z4269" s="358"/>
      <c r="AA4269" s="359"/>
      <c r="AB4269" s="360"/>
    </row>
    <row r="4270" spans="1:36" s="369" customFormat="1" ht="15" hidden="1">
      <c r="A4270" s="377"/>
      <c r="B4270" s="355"/>
      <c r="C4270" s="32"/>
      <c r="D4270" s="33"/>
      <c r="E4270" s="34"/>
      <c r="F4270" s="35"/>
      <c r="G4270" s="33"/>
      <c r="H4270" s="34"/>
      <c r="I4270" s="35"/>
      <c r="J4270" s="43"/>
      <c r="K4270" s="42"/>
      <c r="L4270" s="39"/>
      <c r="M4270" s="41"/>
      <c r="N4270" s="40"/>
      <c r="O4270" s="40"/>
      <c r="P4270" s="39"/>
      <c r="Q4270" s="38"/>
      <c r="R4270" s="365"/>
      <c r="S4270" s="366"/>
      <c r="T4270" s="46"/>
      <c r="U4270" s="44"/>
      <c r="V4270" s="1418">
        <f t="shared" si="429"/>
        <v>0</v>
      </c>
      <c r="W4270" s="367"/>
      <c r="X4270" s="367"/>
      <c r="Y4270" s="367"/>
      <c r="Z4270" s="368"/>
    </row>
    <row r="4271" spans="1:36" s="77" customFormat="1" ht="15" hidden="1">
      <c r="A4271" s="15"/>
      <c r="B4271" s="29"/>
      <c r="C4271" s="30"/>
      <c r="D4271" s="18"/>
      <c r="E4271" s="19"/>
      <c r="F4271" s="20"/>
      <c r="G4271" s="18"/>
      <c r="H4271" s="19"/>
      <c r="I4271" s="20"/>
      <c r="J4271" s="21"/>
      <c r="K4271" s="22"/>
      <c r="L4271" s="23"/>
      <c r="M4271" s="24"/>
      <c r="N4271" s="25"/>
      <c r="O4271" s="25"/>
      <c r="P4271" s="23"/>
      <c r="Q4271" s="26"/>
      <c r="R4271" s="371"/>
      <c r="S4271" s="27"/>
      <c r="T4271" s="372"/>
      <c r="U4271" s="31"/>
      <c r="V4271" s="1418">
        <f t="shared" si="429"/>
        <v>0</v>
      </c>
      <c r="AB4271" s="15"/>
    </row>
    <row r="4272" spans="1:36" s="77" customFormat="1" ht="15.6" hidden="1">
      <c r="A4272" s="15"/>
      <c r="B4272" s="499"/>
      <c r="C4272" s="37"/>
      <c r="D4272" s="1929" t="s">
        <v>1520</v>
      </c>
      <c r="E4272" s="1930"/>
      <c r="F4272" s="1930"/>
      <c r="G4272" s="1930"/>
      <c r="H4272" s="1930"/>
      <c r="I4272" s="1931"/>
      <c r="J4272" s="1932">
        <f>VLOOKUP(A4274,'11 - FINANCEIRA'!_xlnm.Print_Area,6,FALSE)</f>
        <v>0</v>
      </c>
      <c r="K4272" s="1933"/>
      <c r="L4272" s="1343" t="str">
        <f>VLOOKUP(A4274,'11 - FINANCEIRA'!_xlnm.Print_Area,4,FALSE)</f>
        <v>und</v>
      </c>
      <c r="M4272" s="1934" t="s">
        <v>1521</v>
      </c>
      <c r="N4272" s="1935"/>
      <c r="O4272" s="1935"/>
      <c r="P4272" s="1935"/>
      <c r="Q4272" s="1936"/>
      <c r="R4272" s="726">
        <f>SUM(R4268:R4271)</f>
        <v>0</v>
      </c>
      <c r="S4272" s="1344" t="str">
        <f>L4272</f>
        <v>und</v>
      </c>
      <c r="T4272" s="373"/>
      <c r="U4272" s="486"/>
      <c r="V4272" s="1418">
        <f t="shared" si="429"/>
        <v>0</v>
      </c>
      <c r="AB4272" s="15"/>
    </row>
    <row r="4273" spans="1:36" s="77" customFormat="1" ht="15.6" hidden="1">
      <c r="A4273" s="15"/>
      <c r="B4273" s="499"/>
      <c r="C4273" s="725"/>
      <c r="D4273" s="1937" t="s">
        <v>1522</v>
      </c>
      <c r="E4273" s="1938"/>
      <c r="F4273" s="1938"/>
      <c r="G4273" s="1938"/>
      <c r="H4273" s="1938"/>
      <c r="I4273" s="1939"/>
      <c r="J4273" s="1943" t="e">
        <f>R4272/J4272</f>
        <v>#DIV/0!</v>
      </c>
      <c r="K4273" s="1944"/>
      <c r="L4273" s="1947"/>
      <c r="M4273" s="1934" t="s">
        <v>1523</v>
      </c>
      <c r="N4273" s="1935"/>
      <c r="O4273" s="1935"/>
      <c r="P4273" s="1935"/>
      <c r="Q4273" s="1936"/>
      <c r="R4273" s="726">
        <f>VLOOKUP(A4274,'11 - FINANCEIRA'!_xlnm.Print_Area,8,FALSE)</f>
        <v>0</v>
      </c>
      <c r="S4273" s="727" t="str">
        <f>L4272</f>
        <v>und</v>
      </c>
      <c r="T4273" s="373"/>
      <c r="U4273" s="486"/>
      <c r="V4273" s="1418">
        <f t="shared" si="429"/>
        <v>0</v>
      </c>
      <c r="AB4273" s="15"/>
    </row>
    <row r="4274" spans="1:36" s="77" customFormat="1" ht="15.6" hidden="1">
      <c r="A4274" s="364" t="s">
        <v>746</v>
      </c>
      <c r="B4274" s="499"/>
      <c r="C4274" s="37"/>
      <c r="D4274" s="2013"/>
      <c r="E4274" s="2014"/>
      <c r="F4274" s="2014"/>
      <c r="G4274" s="2014"/>
      <c r="H4274" s="2014"/>
      <c r="I4274" s="2015"/>
      <c r="J4274" s="2016"/>
      <c r="K4274" s="2017"/>
      <c r="L4274" s="1962"/>
      <c r="M4274" s="2007" t="s">
        <v>1524</v>
      </c>
      <c r="N4274" s="2008"/>
      <c r="O4274" s="2008"/>
      <c r="P4274" s="2008"/>
      <c r="Q4274" s="2009"/>
      <c r="R4274" s="1345">
        <f>R4272-R4273</f>
        <v>0</v>
      </c>
      <c r="S4274" s="1346" t="str">
        <f>L4272</f>
        <v>und</v>
      </c>
      <c r="T4274" s="373"/>
      <c r="U4274" s="486"/>
      <c r="V4274" s="1418">
        <f>R4274</f>
        <v>0</v>
      </c>
      <c r="AB4274" s="15"/>
    </row>
    <row r="4275" spans="1:36" s="77" customFormat="1" ht="15.6" hidden="1">
      <c r="A4275" s="370"/>
      <c r="B4275" s="1347"/>
      <c r="C4275" s="1348"/>
      <c r="D4275" s="1349"/>
      <c r="E4275" s="1350"/>
      <c r="F4275" s="1349"/>
      <c r="G4275" s="1349"/>
      <c r="H4275" s="1349"/>
      <c r="I4275" s="1349"/>
      <c r="J4275" s="1351"/>
      <c r="K4275" s="1352"/>
      <c r="L4275" s="1353"/>
      <c r="M4275" s="1354"/>
      <c r="N4275" s="1354"/>
      <c r="O4275" s="1354"/>
      <c r="P4275" s="1354"/>
      <c r="Q4275" s="1354"/>
      <c r="R4275" s="1355"/>
      <c r="S4275" s="1356"/>
      <c r="T4275" s="1357"/>
      <c r="U4275" s="1358"/>
      <c r="V4275" s="1420">
        <f>SUM(V4266:V4274)</f>
        <v>0</v>
      </c>
      <c r="AB4275" s="15"/>
    </row>
    <row r="4276" spans="1:36" s="352" customFormat="1" ht="15.6" hidden="1">
      <c r="A4276" s="351"/>
      <c r="B4276" s="1963" t="str">
        <f>VLOOKUP(A4284,'11 - FINANCEIRA'!_xlnm.Print_Area,1,FALSE)</f>
        <v>2.6.3.1.2</v>
      </c>
      <c r="C4276" s="1965" t="str">
        <f>VLOOKUP(A4284,'11 - FINANCEIRA'!_xlnm.Print_Area,3,FALSE)</f>
        <v>Tubo fofo c/flange e ponta dn 1200 pn10 - l=3900 - BDI = 14,02</v>
      </c>
      <c r="D4276" s="1967" t="s">
        <v>1503</v>
      </c>
      <c r="E4276" s="1968"/>
      <c r="F4276" s="1968"/>
      <c r="G4276" s="1968"/>
      <c r="H4276" s="1968"/>
      <c r="I4276" s="1969"/>
      <c r="J4276" s="1914" t="s">
        <v>1504</v>
      </c>
      <c r="K4276" s="1914" t="s">
        <v>1505</v>
      </c>
      <c r="L4276" s="1914" t="s">
        <v>1506</v>
      </c>
      <c r="M4276" s="1914" t="s">
        <v>1507</v>
      </c>
      <c r="N4276" s="1914" t="s">
        <v>1508</v>
      </c>
      <c r="O4276" s="1914" t="s">
        <v>1509</v>
      </c>
      <c r="P4276" s="1341" t="s">
        <v>1510</v>
      </c>
      <c r="Q4276" s="1914" t="s">
        <v>1493</v>
      </c>
      <c r="R4276" s="1916" t="s">
        <v>804</v>
      </c>
      <c r="S4276" s="1914" t="s">
        <v>1511</v>
      </c>
      <c r="T4276" s="1914" t="s">
        <v>1512</v>
      </c>
      <c r="U4276" s="1918" t="s">
        <v>1513</v>
      </c>
      <c r="V4276" s="1418">
        <f t="shared" ref="V4276:V4283" si="430">V4277</f>
        <v>0</v>
      </c>
      <c r="W4276" s="16"/>
      <c r="X4276" s="16"/>
      <c r="Y4276" s="16"/>
      <c r="Z4276" s="17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</row>
    <row r="4277" spans="1:36" s="352" customFormat="1" ht="15.6" hidden="1">
      <c r="A4277" s="351"/>
      <c r="B4277" s="1964" t="e">
        <f>LEFT(#REF!,5)</f>
        <v>#REF!</v>
      </c>
      <c r="C4277" s="1966" t="e">
        <f>VLOOKUP(LEFT(#REF!,5),'11 - FINANCEIRA'!_xlnm.Print_Area,2,FALSE)</f>
        <v>#REF!</v>
      </c>
      <c r="D4277" s="1920" t="s">
        <v>1514</v>
      </c>
      <c r="E4277" s="1921"/>
      <c r="F4277" s="1922"/>
      <c r="G4277" s="1923" t="s">
        <v>1515</v>
      </c>
      <c r="H4277" s="1924"/>
      <c r="I4277" s="1925"/>
      <c r="J4277" s="1915"/>
      <c r="K4277" s="1915"/>
      <c r="L4277" s="1915"/>
      <c r="M4277" s="1915"/>
      <c r="N4277" s="1915"/>
      <c r="O4277" s="1915"/>
      <c r="P4277" s="353" t="s">
        <v>1516</v>
      </c>
      <c r="Q4277" s="1915"/>
      <c r="R4277" s="1917"/>
      <c r="S4277" s="1915"/>
      <c r="T4277" s="1915"/>
      <c r="U4277" s="1919"/>
      <c r="V4277" s="1418">
        <f t="shared" si="430"/>
        <v>0</v>
      </c>
      <c r="W4277" s="16"/>
      <c r="X4277" s="16"/>
      <c r="Y4277" s="16"/>
      <c r="Z4277" s="17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</row>
    <row r="4278" spans="1:36" s="361" customFormat="1" ht="15" hidden="1">
      <c r="A4278" s="354"/>
      <c r="B4278" s="355"/>
      <c r="C4278" s="32"/>
      <c r="D4278" s="33"/>
      <c r="E4278" s="34"/>
      <c r="F4278" s="35"/>
      <c r="G4278" s="33"/>
      <c r="H4278" s="34"/>
      <c r="I4278" s="35"/>
      <c r="J4278" s="43"/>
      <c r="K4278" s="42"/>
      <c r="L4278" s="39"/>
      <c r="M4278" s="41"/>
      <c r="N4278" s="356"/>
      <c r="O4278" s="40"/>
      <c r="P4278" s="39"/>
      <c r="Q4278" s="45"/>
      <c r="R4278" s="1359"/>
      <c r="S4278" s="1265"/>
      <c r="T4278" s="46"/>
      <c r="U4278" s="44"/>
      <c r="V4278" s="1418">
        <f t="shared" si="430"/>
        <v>0</v>
      </c>
      <c r="W4278" s="357"/>
      <c r="X4278" s="357"/>
      <c r="Y4278" s="357"/>
      <c r="Z4278" s="358"/>
      <c r="AA4278" s="359"/>
      <c r="AB4278" s="360"/>
    </row>
    <row r="4279" spans="1:36" s="361" customFormat="1" ht="15" hidden="1">
      <c r="A4279" s="354"/>
      <c r="B4279" s="355"/>
      <c r="C4279" s="32"/>
      <c r="D4279" s="33"/>
      <c r="E4279" s="34"/>
      <c r="F4279" s="35"/>
      <c r="G4279" s="33"/>
      <c r="H4279" s="34"/>
      <c r="I4279" s="35"/>
      <c r="J4279" s="43"/>
      <c r="K4279" s="42"/>
      <c r="L4279" s="39"/>
      <c r="M4279" s="41"/>
      <c r="N4279" s="356"/>
      <c r="O4279" s="40"/>
      <c r="P4279" s="39"/>
      <c r="Q4279" s="45"/>
      <c r="R4279" s="362"/>
      <c r="S4279" s="363"/>
      <c r="T4279" s="46"/>
      <c r="U4279" s="44"/>
      <c r="V4279" s="1418">
        <f t="shared" si="430"/>
        <v>0</v>
      </c>
      <c r="W4279" s="357"/>
      <c r="X4279" s="357"/>
      <c r="Y4279" s="357"/>
      <c r="Z4279" s="358"/>
      <c r="AA4279" s="359"/>
      <c r="AB4279" s="360"/>
    </row>
    <row r="4280" spans="1:36" s="369" customFormat="1" ht="15" hidden="1">
      <c r="A4280" s="364"/>
      <c r="B4280" s="355"/>
      <c r="C4280" s="32"/>
      <c r="D4280" s="33"/>
      <c r="E4280" s="34"/>
      <c r="F4280" s="35"/>
      <c r="G4280" s="33"/>
      <c r="H4280" s="34"/>
      <c r="I4280" s="35"/>
      <c r="J4280" s="43"/>
      <c r="K4280" s="42"/>
      <c r="L4280" s="39"/>
      <c r="M4280" s="41"/>
      <c r="N4280" s="40"/>
      <c r="O4280" s="40"/>
      <c r="P4280" s="39"/>
      <c r="Q4280" s="38"/>
      <c r="R4280" s="365"/>
      <c r="S4280" s="366"/>
      <c r="T4280" s="46"/>
      <c r="U4280" s="44"/>
      <c r="V4280" s="1418">
        <f t="shared" si="430"/>
        <v>0</v>
      </c>
      <c r="W4280" s="367"/>
      <c r="X4280" s="367"/>
      <c r="Y4280" s="367"/>
      <c r="Z4280" s="368"/>
    </row>
    <row r="4281" spans="1:36" s="77" customFormat="1" ht="15" hidden="1">
      <c r="A4281" s="370"/>
      <c r="B4281" s="29"/>
      <c r="C4281" s="30"/>
      <c r="D4281" s="18"/>
      <c r="E4281" s="19"/>
      <c r="F4281" s="20"/>
      <c r="G4281" s="18"/>
      <c r="H4281" s="19"/>
      <c r="I4281" s="20"/>
      <c r="J4281" s="21"/>
      <c r="K4281" s="22"/>
      <c r="L4281" s="23"/>
      <c r="M4281" s="24"/>
      <c r="N4281" s="25"/>
      <c r="O4281" s="25"/>
      <c r="P4281" s="23"/>
      <c r="Q4281" s="26"/>
      <c r="R4281" s="371"/>
      <c r="S4281" s="27"/>
      <c r="T4281" s="372"/>
      <c r="U4281" s="31"/>
      <c r="V4281" s="1418">
        <f t="shared" si="430"/>
        <v>0</v>
      </c>
      <c r="AB4281" s="15"/>
    </row>
    <row r="4282" spans="1:36" s="77" customFormat="1" ht="15.6" hidden="1">
      <c r="A4282" s="370"/>
      <c r="B4282" s="499"/>
      <c r="C4282" s="37"/>
      <c r="D4282" s="1929" t="s">
        <v>1520</v>
      </c>
      <c r="E4282" s="1930"/>
      <c r="F4282" s="1930"/>
      <c r="G4282" s="1930"/>
      <c r="H4282" s="1930"/>
      <c r="I4282" s="1931"/>
      <c r="J4282" s="1932">
        <f>VLOOKUP(A4284,'11 - FINANCEIRA'!_xlnm.Print_Area,6,FALSE)</f>
        <v>0</v>
      </c>
      <c r="K4282" s="1933"/>
      <c r="L4282" s="1343" t="str">
        <f>VLOOKUP(A4284,'11 - FINANCEIRA'!_xlnm.Print_Area,4,FALSE)</f>
        <v>und</v>
      </c>
      <c r="M4282" s="1934" t="s">
        <v>1521</v>
      </c>
      <c r="N4282" s="1935"/>
      <c r="O4282" s="1935"/>
      <c r="P4282" s="1935"/>
      <c r="Q4282" s="1936"/>
      <c r="R4282" s="726">
        <f>SUM(R4278:R4281)</f>
        <v>0</v>
      </c>
      <c r="S4282" s="1344" t="str">
        <f>L4282</f>
        <v>und</v>
      </c>
      <c r="T4282" s="373"/>
      <c r="U4282" s="486"/>
      <c r="V4282" s="1418">
        <f t="shared" si="430"/>
        <v>0</v>
      </c>
      <c r="AB4282" s="15"/>
    </row>
    <row r="4283" spans="1:36" s="77" customFormat="1" ht="15.6" hidden="1">
      <c r="A4283" s="370"/>
      <c r="B4283" s="499"/>
      <c r="C4283" s="725"/>
      <c r="D4283" s="1937" t="s">
        <v>1522</v>
      </c>
      <c r="E4283" s="1938"/>
      <c r="F4283" s="1938"/>
      <c r="G4283" s="1938"/>
      <c r="H4283" s="1938"/>
      <c r="I4283" s="1939"/>
      <c r="J4283" s="1943" t="e">
        <f>R4282/J4282</f>
        <v>#DIV/0!</v>
      </c>
      <c r="K4283" s="1944"/>
      <c r="L4283" s="1947"/>
      <c r="M4283" s="1934" t="s">
        <v>1523</v>
      </c>
      <c r="N4283" s="1935"/>
      <c r="O4283" s="1935"/>
      <c r="P4283" s="1935"/>
      <c r="Q4283" s="1936"/>
      <c r="R4283" s="726">
        <f>VLOOKUP(A4284,'11 - FINANCEIRA'!_xlnm.Print_Area,8,FALSE)</f>
        <v>0</v>
      </c>
      <c r="S4283" s="727" t="str">
        <f>L4282</f>
        <v>und</v>
      </c>
      <c r="T4283" s="373"/>
      <c r="U4283" s="486"/>
      <c r="V4283" s="1418">
        <f t="shared" si="430"/>
        <v>0</v>
      </c>
      <c r="AB4283" s="15"/>
    </row>
    <row r="4284" spans="1:36" s="77" customFormat="1" ht="15.6" hidden="1">
      <c r="A4284" s="364" t="s">
        <v>747</v>
      </c>
      <c r="B4284" s="499"/>
      <c r="C4284" s="37"/>
      <c r="D4284" s="2013"/>
      <c r="E4284" s="2014"/>
      <c r="F4284" s="2014"/>
      <c r="G4284" s="2014"/>
      <c r="H4284" s="2014"/>
      <c r="I4284" s="2015"/>
      <c r="J4284" s="2016"/>
      <c r="K4284" s="2017"/>
      <c r="L4284" s="1962"/>
      <c r="M4284" s="2007" t="s">
        <v>1524</v>
      </c>
      <c r="N4284" s="2008"/>
      <c r="O4284" s="2008"/>
      <c r="P4284" s="2008"/>
      <c r="Q4284" s="2009"/>
      <c r="R4284" s="1345">
        <f>R4282-R4283</f>
        <v>0</v>
      </c>
      <c r="S4284" s="1346" t="str">
        <f>L4282</f>
        <v>und</v>
      </c>
      <c r="T4284" s="373"/>
      <c r="U4284" s="486"/>
      <c r="V4284" s="1418">
        <f>R4284</f>
        <v>0</v>
      </c>
      <c r="AB4284" s="15"/>
    </row>
    <row r="4285" spans="1:36" s="77" customFormat="1" ht="15.6" hidden="1">
      <c r="A4285" s="370"/>
      <c r="B4285" s="1347"/>
      <c r="C4285" s="1348"/>
      <c r="D4285" s="1349"/>
      <c r="E4285" s="1350"/>
      <c r="F4285" s="1349"/>
      <c r="G4285" s="1349"/>
      <c r="H4285" s="1349"/>
      <c r="I4285" s="1349"/>
      <c r="J4285" s="1351"/>
      <c r="K4285" s="1352"/>
      <c r="L4285" s="1353"/>
      <c r="M4285" s="1354"/>
      <c r="N4285" s="1354"/>
      <c r="O4285" s="1354"/>
      <c r="P4285" s="1354"/>
      <c r="Q4285" s="1354"/>
      <c r="R4285" s="1355"/>
      <c r="S4285" s="1356"/>
      <c r="T4285" s="1357"/>
      <c r="U4285" s="1358"/>
      <c r="V4285" s="1420">
        <f>SUM(V4276:V4284)</f>
        <v>0</v>
      </c>
      <c r="AB4285" s="15"/>
    </row>
    <row r="4286" spans="1:36" s="352" customFormat="1" ht="15.6" hidden="1">
      <c r="A4286" s="351"/>
      <c r="B4286" s="1963" t="str">
        <f>VLOOKUP(A4294,'11 - FINANCEIRA'!_xlnm.Print_Area,1,FALSE)</f>
        <v>2.6.3.1.3</v>
      </c>
      <c r="C4286" s="1965" t="str">
        <f>VLOOKUP(A4294,'11 - FINANCEIRA'!_xlnm.Print_Area,3,FALSE)</f>
        <v>Tubo ponta e bolsa 1200 - JTE, classe k9 - l= 6000  - BDI = 14,02</v>
      </c>
      <c r="D4286" s="1967" t="s">
        <v>1503</v>
      </c>
      <c r="E4286" s="1968"/>
      <c r="F4286" s="1968"/>
      <c r="G4286" s="1968"/>
      <c r="H4286" s="1968"/>
      <c r="I4286" s="1969"/>
      <c r="J4286" s="1914" t="s">
        <v>1504</v>
      </c>
      <c r="K4286" s="1914" t="s">
        <v>1505</v>
      </c>
      <c r="L4286" s="1914" t="s">
        <v>1506</v>
      </c>
      <c r="M4286" s="1914" t="s">
        <v>1507</v>
      </c>
      <c r="N4286" s="1914" t="s">
        <v>1508</v>
      </c>
      <c r="O4286" s="1914" t="s">
        <v>1509</v>
      </c>
      <c r="P4286" s="1341" t="s">
        <v>1510</v>
      </c>
      <c r="Q4286" s="1914" t="s">
        <v>1493</v>
      </c>
      <c r="R4286" s="1916" t="s">
        <v>804</v>
      </c>
      <c r="S4286" s="1914" t="s">
        <v>1511</v>
      </c>
      <c r="T4286" s="1914" t="s">
        <v>1512</v>
      </c>
      <c r="U4286" s="1918" t="s">
        <v>1513</v>
      </c>
      <c r="V4286" s="1418">
        <f t="shared" ref="V4286:V4293" si="431">V4287</f>
        <v>0</v>
      </c>
      <c r="W4286" s="16"/>
      <c r="X4286" s="16"/>
      <c r="Y4286" s="16"/>
      <c r="Z4286" s="17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</row>
    <row r="4287" spans="1:36" s="352" customFormat="1" ht="15.6" hidden="1">
      <c r="A4287" s="351"/>
      <c r="B4287" s="1964" t="e">
        <f>LEFT(#REF!,5)</f>
        <v>#REF!</v>
      </c>
      <c r="C4287" s="1966" t="e">
        <f>VLOOKUP(LEFT(#REF!,5),'11 - FINANCEIRA'!_xlnm.Print_Area,2,FALSE)</f>
        <v>#REF!</v>
      </c>
      <c r="D4287" s="1920" t="s">
        <v>1514</v>
      </c>
      <c r="E4287" s="1921"/>
      <c r="F4287" s="1922"/>
      <c r="G4287" s="1923" t="s">
        <v>1515</v>
      </c>
      <c r="H4287" s="1924"/>
      <c r="I4287" s="1925"/>
      <c r="J4287" s="1915"/>
      <c r="K4287" s="1915"/>
      <c r="L4287" s="1915"/>
      <c r="M4287" s="1915"/>
      <c r="N4287" s="1915"/>
      <c r="O4287" s="1915"/>
      <c r="P4287" s="353" t="s">
        <v>1516</v>
      </c>
      <c r="Q4287" s="1915"/>
      <c r="R4287" s="1917"/>
      <c r="S4287" s="1915"/>
      <c r="T4287" s="1915"/>
      <c r="U4287" s="1919"/>
      <c r="V4287" s="1418">
        <f t="shared" si="431"/>
        <v>0</v>
      </c>
      <c r="W4287" s="16"/>
      <c r="X4287" s="16"/>
      <c r="Y4287" s="16"/>
      <c r="Z4287" s="17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</row>
    <row r="4288" spans="1:36" s="361" customFormat="1" ht="15" hidden="1">
      <c r="A4288" s="354"/>
      <c r="B4288" s="355"/>
      <c r="C4288" s="32"/>
      <c r="D4288" s="33"/>
      <c r="E4288" s="34"/>
      <c r="F4288" s="35"/>
      <c r="G4288" s="33"/>
      <c r="H4288" s="34"/>
      <c r="I4288" s="35"/>
      <c r="J4288" s="43"/>
      <c r="K4288" s="42"/>
      <c r="L4288" s="39"/>
      <c r="M4288" s="41"/>
      <c r="N4288" s="356"/>
      <c r="O4288" s="40"/>
      <c r="P4288" s="39"/>
      <c r="Q4288" s="45"/>
      <c r="R4288" s="1359"/>
      <c r="S4288" s="1265"/>
      <c r="T4288" s="46"/>
      <c r="U4288" s="44"/>
      <c r="V4288" s="1418">
        <f t="shared" si="431"/>
        <v>0</v>
      </c>
      <c r="W4288" s="357"/>
      <c r="X4288" s="357"/>
      <c r="Y4288" s="357"/>
      <c r="Z4288" s="358"/>
      <c r="AA4288" s="359"/>
      <c r="AB4288" s="360"/>
    </row>
    <row r="4289" spans="1:36" s="361" customFormat="1" ht="15" hidden="1">
      <c r="A4289" s="354"/>
      <c r="B4289" s="355"/>
      <c r="C4289" s="32"/>
      <c r="D4289" s="33"/>
      <c r="E4289" s="34"/>
      <c r="F4289" s="35"/>
      <c r="G4289" s="33"/>
      <c r="H4289" s="34"/>
      <c r="I4289" s="35"/>
      <c r="J4289" s="43"/>
      <c r="K4289" s="42"/>
      <c r="L4289" s="39"/>
      <c r="M4289" s="41"/>
      <c r="N4289" s="356"/>
      <c r="O4289" s="40"/>
      <c r="P4289" s="39"/>
      <c r="Q4289" s="45"/>
      <c r="R4289" s="362"/>
      <c r="S4289" s="363"/>
      <c r="T4289" s="46"/>
      <c r="U4289" s="44"/>
      <c r="V4289" s="1418">
        <f t="shared" si="431"/>
        <v>0</v>
      </c>
      <c r="W4289" s="357"/>
      <c r="X4289" s="357"/>
      <c r="Y4289" s="357"/>
      <c r="Z4289" s="358"/>
      <c r="AA4289" s="359"/>
      <c r="AB4289" s="360"/>
    </row>
    <row r="4290" spans="1:36" s="369" customFormat="1" ht="15" hidden="1">
      <c r="A4290" s="364"/>
      <c r="B4290" s="355"/>
      <c r="C4290" s="32"/>
      <c r="D4290" s="33"/>
      <c r="E4290" s="34"/>
      <c r="F4290" s="35"/>
      <c r="G4290" s="33"/>
      <c r="H4290" s="34"/>
      <c r="I4290" s="35"/>
      <c r="J4290" s="43"/>
      <c r="K4290" s="42"/>
      <c r="L4290" s="39"/>
      <c r="M4290" s="41"/>
      <c r="N4290" s="40"/>
      <c r="O4290" s="40"/>
      <c r="P4290" s="39"/>
      <c r="Q4290" s="38"/>
      <c r="R4290" s="365"/>
      <c r="S4290" s="366"/>
      <c r="T4290" s="46"/>
      <c r="U4290" s="44"/>
      <c r="V4290" s="1418">
        <f t="shared" si="431"/>
        <v>0</v>
      </c>
      <c r="W4290" s="367"/>
      <c r="X4290" s="367"/>
      <c r="Y4290" s="367"/>
      <c r="Z4290" s="368"/>
    </row>
    <row r="4291" spans="1:36" s="77" customFormat="1" ht="15" hidden="1">
      <c r="A4291" s="370"/>
      <c r="B4291" s="29"/>
      <c r="C4291" s="30"/>
      <c r="D4291" s="18"/>
      <c r="E4291" s="19"/>
      <c r="F4291" s="20"/>
      <c r="G4291" s="18"/>
      <c r="H4291" s="19"/>
      <c r="I4291" s="20"/>
      <c r="J4291" s="21"/>
      <c r="K4291" s="22"/>
      <c r="L4291" s="23"/>
      <c r="M4291" s="24"/>
      <c r="N4291" s="25"/>
      <c r="O4291" s="25"/>
      <c r="P4291" s="23"/>
      <c r="Q4291" s="26"/>
      <c r="R4291" s="371"/>
      <c r="S4291" s="27"/>
      <c r="T4291" s="372"/>
      <c r="U4291" s="31"/>
      <c r="V4291" s="1418">
        <f t="shared" si="431"/>
        <v>0</v>
      </c>
      <c r="AB4291" s="15"/>
    </row>
    <row r="4292" spans="1:36" s="77" customFormat="1" ht="15.6" hidden="1">
      <c r="A4292" s="370"/>
      <c r="B4292" s="499"/>
      <c r="C4292" s="37"/>
      <c r="D4292" s="1929" t="s">
        <v>1520</v>
      </c>
      <c r="E4292" s="1930"/>
      <c r="F4292" s="1930"/>
      <c r="G4292" s="1930"/>
      <c r="H4292" s="1930"/>
      <c r="I4292" s="1931"/>
      <c r="J4292" s="1932">
        <f>VLOOKUP(A4294,'11 - FINANCEIRA'!_xlnm.Print_Area,6,FALSE)</f>
        <v>0</v>
      </c>
      <c r="K4292" s="1933"/>
      <c r="L4292" s="1343" t="str">
        <f>VLOOKUP(A4294,'11 - FINANCEIRA'!_xlnm.Print_Area,4,FALSE)</f>
        <v>und</v>
      </c>
      <c r="M4292" s="1934" t="s">
        <v>1521</v>
      </c>
      <c r="N4292" s="1935"/>
      <c r="O4292" s="1935"/>
      <c r="P4292" s="1935"/>
      <c r="Q4292" s="1936"/>
      <c r="R4292" s="726">
        <f>SUM(R4288:R4291)</f>
        <v>0</v>
      </c>
      <c r="S4292" s="1344" t="str">
        <f>L4292</f>
        <v>und</v>
      </c>
      <c r="T4292" s="373"/>
      <c r="U4292" s="486"/>
      <c r="V4292" s="1418">
        <f t="shared" si="431"/>
        <v>0</v>
      </c>
      <c r="AB4292" s="15"/>
    </row>
    <row r="4293" spans="1:36" s="77" customFormat="1" ht="15.6" hidden="1">
      <c r="A4293" s="370"/>
      <c r="B4293" s="499"/>
      <c r="C4293" s="725"/>
      <c r="D4293" s="1937" t="s">
        <v>1522</v>
      </c>
      <c r="E4293" s="1938"/>
      <c r="F4293" s="1938"/>
      <c r="G4293" s="1938"/>
      <c r="H4293" s="1938"/>
      <c r="I4293" s="1939"/>
      <c r="J4293" s="1943" t="e">
        <f>R4292/J4292</f>
        <v>#DIV/0!</v>
      </c>
      <c r="K4293" s="1944"/>
      <c r="L4293" s="1947"/>
      <c r="M4293" s="1934" t="s">
        <v>1523</v>
      </c>
      <c r="N4293" s="1935"/>
      <c r="O4293" s="1935"/>
      <c r="P4293" s="1935"/>
      <c r="Q4293" s="1936"/>
      <c r="R4293" s="726">
        <f>VLOOKUP(A4294,'11 - FINANCEIRA'!_xlnm.Print_Area,8,FALSE)</f>
        <v>0</v>
      </c>
      <c r="S4293" s="727" t="str">
        <f>L4292</f>
        <v>und</v>
      </c>
      <c r="T4293" s="373"/>
      <c r="U4293" s="486"/>
      <c r="V4293" s="1418">
        <f t="shared" si="431"/>
        <v>0</v>
      </c>
      <c r="AB4293" s="15"/>
    </row>
    <row r="4294" spans="1:36" s="77" customFormat="1" ht="15.6" hidden="1">
      <c r="A4294" s="364" t="s">
        <v>748</v>
      </c>
      <c r="B4294" s="499"/>
      <c r="C4294" s="37"/>
      <c r="D4294" s="2013"/>
      <c r="E4294" s="2014"/>
      <c r="F4294" s="2014"/>
      <c r="G4294" s="2014"/>
      <c r="H4294" s="2014"/>
      <c r="I4294" s="2015"/>
      <c r="J4294" s="2016"/>
      <c r="K4294" s="2017"/>
      <c r="L4294" s="1962"/>
      <c r="M4294" s="2007" t="s">
        <v>1524</v>
      </c>
      <c r="N4294" s="2008"/>
      <c r="O4294" s="2008"/>
      <c r="P4294" s="2008"/>
      <c r="Q4294" s="2009"/>
      <c r="R4294" s="1345">
        <f>R4292-R4293</f>
        <v>0</v>
      </c>
      <c r="S4294" s="1346" t="str">
        <f>L4292</f>
        <v>und</v>
      </c>
      <c r="T4294" s="373"/>
      <c r="U4294" s="486"/>
      <c r="V4294" s="1418">
        <f>R4294</f>
        <v>0</v>
      </c>
      <c r="AB4294" s="15"/>
    </row>
    <row r="4295" spans="1:36" s="77" customFormat="1" ht="15.6" hidden="1">
      <c r="A4295" s="370"/>
      <c r="B4295" s="1347"/>
      <c r="C4295" s="1348"/>
      <c r="D4295" s="1349"/>
      <c r="E4295" s="1350"/>
      <c r="F4295" s="1349"/>
      <c r="G4295" s="1349"/>
      <c r="H4295" s="1349"/>
      <c r="I4295" s="1349"/>
      <c r="J4295" s="1351"/>
      <c r="K4295" s="1352"/>
      <c r="L4295" s="1353"/>
      <c r="M4295" s="1354"/>
      <c r="N4295" s="1354"/>
      <c r="O4295" s="1354"/>
      <c r="P4295" s="1354"/>
      <c r="Q4295" s="1354"/>
      <c r="R4295" s="1355"/>
      <c r="S4295" s="1356"/>
      <c r="T4295" s="1357"/>
      <c r="U4295" s="1358"/>
      <c r="V4295" s="1420">
        <f>SUM(V4286:V4294)</f>
        <v>0</v>
      </c>
      <c r="AB4295" s="15"/>
    </row>
    <row r="4296" spans="1:36" s="352" customFormat="1" ht="15.6" hidden="1">
      <c r="A4296" s="351"/>
      <c r="B4296" s="1963" t="str">
        <f>VLOOKUP(A4304,'11 - FINANCEIRA'!_xlnm.Print_Area,1,FALSE)</f>
        <v>2.6.3.1.4</v>
      </c>
      <c r="C4296" s="1965" t="str">
        <f>VLOOKUP(A4304,'11 - FINANCEIRA'!_xlnm.Print_Area,3,FALSE)</f>
        <v>Tubo ponta e bolsa 1200 - JTE, classe k9 l= 7000  - BDI = 14,02</v>
      </c>
      <c r="D4296" s="1967" t="s">
        <v>1503</v>
      </c>
      <c r="E4296" s="1968"/>
      <c r="F4296" s="1968"/>
      <c r="G4296" s="1968"/>
      <c r="H4296" s="1968"/>
      <c r="I4296" s="1969"/>
      <c r="J4296" s="1914" t="s">
        <v>1504</v>
      </c>
      <c r="K4296" s="1914" t="s">
        <v>1505</v>
      </c>
      <c r="L4296" s="1914" t="s">
        <v>1506</v>
      </c>
      <c r="M4296" s="1914" t="s">
        <v>1507</v>
      </c>
      <c r="N4296" s="1914" t="s">
        <v>1508</v>
      </c>
      <c r="O4296" s="1914" t="s">
        <v>1509</v>
      </c>
      <c r="P4296" s="1341" t="s">
        <v>1510</v>
      </c>
      <c r="Q4296" s="1914" t="s">
        <v>1493</v>
      </c>
      <c r="R4296" s="1916" t="s">
        <v>804</v>
      </c>
      <c r="S4296" s="1914" t="s">
        <v>1511</v>
      </c>
      <c r="T4296" s="1914" t="s">
        <v>1512</v>
      </c>
      <c r="U4296" s="1918" t="s">
        <v>1513</v>
      </c>
      <c r="V4296" s="1418">
        <f t="shared" ref="V4296:V4303" si="432">V4297</f>
        <v>0</v>
      </c>
      <c r="W4296" s="16"/>
      <c r="X4296" s="16"/>
      <c r="Y4296" s="16"/>
      <c r="Z4296" s="17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</row>
    <row r="4297" spans="1:36" s="352" customFormat="1" ht="15.6" hidden="1">
      <c r="A4297" s="351"/>
      <c r="B4297" s="1964" t="e">
        <f>LEFT(#REF!,5)</f>
        <v>#REF!</v>
      </c>
      <c r="C4297" s="1966" t="e">
        <f>VLOOKUP(LEFT(#REF!,5),'11 - FINANCEIRA'!_xlnm.Print_Area,2,FALSE)</f>
        <v>#REF!</v>
      </c>
      <c r="D4297" s="1920" t="s">
        <v>1514</v>
      </c>
      <c r="E4297" s="1921"/>
      <c r="F4297" s="1922"/>
      <c r="G4297" s="1923" t="s">
        <v>1515</v>
      </c>
      <c r="H4297" s="1924"/>
      <c r="I4297" s="1925"/>
      <c r="J4297" s="1915"/>
      <c r="K4297" s="1915"/>
      <c r="L4297" s="1915"/>
      <c r="M4297" s="1915"/>
      <c r="N4297" s="1915"/>
      <c r="O4297" s="1915"/>
      <c r="P4297" s="353" t="s">
        <v>1516</v>
      </c>
      <c r="Q4297" s="1915"/>
      <c r="R4297" s="1917"/>
      <c r="S4297" s="1915"/>
      <c r="T4297" s="1915"/>
      <c r="U4297" s="1919"/>
      <c r="V4297" s="1418">
        <f t="shared" si="432"/>
        <v>0</v>
      </c>
      <c r="W4297" s="16"/>
      <c r="X4297" s="16"/>
      <c r="Y4297" s="16"/>
      <c r="Z4297" s="17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</row>
    <row r="4298" spans="1:36" s="361" customFormat="1" ht="30.6" hidden="1">
      <c r="A4298" s="354"/>
      <c r="B4298" s="755" t="s">
        <v>1959</v>
      </c>
      <c r="C4298" s="28" t="s">
        <v>1960</v>
      </c>
      <c r="D4298" s="18"/>
      <c r="E4298" s="19"/>
      <c r="F4298" s="20"/>
      <c r="G4298" s="18"/>
      <c r="H4298" s="19"/>
      <c r="I4298" s="20"/>
      <c r="J4298" s="21"/>
      <c r="K4298" s="22"/>
      <c r="L4298" s="23"/>
      <c r="M4298" s="24"/>
      <c r="N4298" s="728"/>
      <c r="O4298" s="25"/>
      <c r="P4298" s="23"/>
      <c r="Q4298" s="729"/>
      <c r="R4298" s="1109">
        <v>20</v>
      </c>
      <c r="S4298" s="730" t="s">
        <v>809</v>
      </c>
      <c r="T4298" s="446" t="s">
        <v>318</v>
      </c>
      <c r="U4298" s="793" t="s">
        <v>1961</v>
      </c>
      <c r="V4298" s="1418">
        <f t="shared" si="432"/>
        <v>0</v>
      </c>
      <c r="W4298" s="357"/>
      <c r="X4298" s="357"/>
      <c r="Y4298" s="357"/>
      <c r="Z4298" s="358"/>
      <c r="AA4298" s="359"/>
      <c r="AB4298" s="360"/>
    </row>
    <row r="4299" spans="1:36" s="361" customFormat="1" ht="30" hidden="1">
      <c r="A4299" s="354"/>
      <c r="B4299" s="755" t="s">
        <v>1962</v>
      </c>
      <c r="C4299" s="28" t="s">
        <v>1960</v>
      </c>
      <c r="D4299" s="18"/>
      <c r="E4299" s="19"/>
      <c r="F4299" s="20"/>
      <c r="G4299" s="18"/>
      <c r="H4299" s="19"/>
      <c r="I4299" s="20"/>
      <c r="J4299" s="21"/>
      <c r="K4299" s="22"/>
      <c r="L4299" s="23"/>
      <c r="M4299" s="24"/>
      <c r="N4299" s="728"/>
      <c r="O4299" s="25"/>
      <c r="P4299" s="23"/>
      <c r="Q4299" s="729"/>
      <c r="R4299" s="445">
        <v>10</v>
      </c>
      <c r="S4299" s="792" t="s">
        <v>809</v>
      </c>
      <c r="T4299" s="446" t="s">
        <v>324</v>
      </c>
      <c r="U4299" s="793" t="s">
        <v>1963</v>
      </c>
      <c r="V4299" s="1418">
        <f t="shared" si="432"/>
        <v>0</v>
      </c>
      <c r="W4299" s="357"/>
      <c r="X4299" s="357"/>
      <c r="Y4299" s="357"/>
      <c r="Z4299" s="358"/>
      <c r="AA4299" s="359"/>
      <c r="AB4299" s="360"/>
    </row>
    <row r="4300" spans="1:36" s="369" customFormat="1" ht="15" hidden="1">
      <c r="A4300" s="364"/>
      <c r="B4300" s="355"/>
      <c r="C4300" s="32"/>
      <c r="D4300" s="33"/>
      <c r="E4300" s="34"/>
      <c r="F4300" s="35"/>
      <c r="G4300" s="33"/>
      <c r="H4300" s="34"/>
      <c r="I4300" s="35"/>
      <c r="J4300" s="43"/>
      <c r="K4300" s="42"/>
      <c r="L4300" s="39"/>
      <c r="M4300" s="41"/>
      <c r="N4300" s="40"/>
      <c r="O4300" s="40"/>
      <c r="P4300" s="39"/>
      <c r="Q4300" s="38"/>
      <c r="R4300" s="365"/>
      <c r="S4300" s="366"/>
      <c r="T4300" s="46"/>
      <c r="U4300" s="44"/>
      <c r="V4300" s="1418">
        <f t="shared" si="432"/>
        <v>0</v>
      </c>
      <c r="W4300" s="367"/>
      <c r="X4300" s="367"/>
      <c r="Y4300" s="367"/>
      <c r="Z4300" s="368"/>
    </row>
    <row r="4301" spans="1:36" s="77" customFormat="1" ht="15" hidden="1">
      <c r="A4301" s="370"/>
      <c r="B4301" s="29"/>
      <c r="C4301" s="30"/>
      <c r="D4301" s="18"/>
      <c r="E4301" s="19"/>
      <c r="F4301" s="20"/>
      <c r="G4301" s="18"/>
      <c r="H4301" s="19"/>
      <c r="I4301" s="20"/>
      <c r="J4301" s="21"/>
      <c r="K4301" s="22"/>
      <c r="L4301" s="23"/>
      <c r="M4301" s="24"/>
      <c r="N4301" s="25"/>
      <c r="O4301" s="25"/>
      <c r="P4301" s="23"/>
      <c r="Q4301" s="26"/>
      <c r="R4301" s="371"/>
      <c r="S4301" s="27"/>
      <c r="T4301" s="372"/>
      <c r="U4301" s="31"/>
      <c r="V4301" s="1418">
        <f t="shared" si="432"/>
        <v>0</v>
      </c>
      <c r="AB4301" s="15"/>
    </row>
    <row r="4302" spans="1:36" s="77" customFormat="1" ht="15.6" hidden="1">
      <c r="A4302" s="370"/>
      <c r="B4302" s="499"/>
      <c r="C4302" s="37"/>
      <c r="D4302" s="1929" t="s">
        <v>1520</v>
      </c>
      <c r="E4302" s="1930"/>
      <c r="F4302" s="1930"/>
      <c r="G4302" s="1930"/>
      <c r="H4302" s="1930"/>
      <c r="I4302" s="1931"/>
      <c r="J4302" s="1932">
        <f>VLOOKUP(A4304,'11 - FINANCEIRA'!_xlnm.Print_Area,6,FALSE)</f>
        <v>30</v>
      </c>
      <c r="K4302" s="1933"/>
      <c r="L4302" s="1343" t="str">
        <f>VLOOKUP(A4304,'11 - FINANCEIRA'!_xlnm.Print_Area,4,FALSE)</f>
        <v>m</v>
      </c>
      <c r="M4302" s="1934" t="s">
        <v>1521</v>
      </c>
      <c r="N4302" s="1935"/>
      <c r="O4302" s="1935"/>
      <c r="P4302" s="1935"/>
      <c r="Q4302" s="1936"/>
      <c r="R4302" s="726">
        <f>SUM(R4298:R4301)</f>
        <v>30</v>
      </c>
      <c r="S4302" s="1344" t="str">
        <f>L4302</f>
        <v>m</v>
      </c>
      <c r="T4302" s="373"/>
      <c r="U4302" s="486"/>
      <c r="V4302" s="1418">
        <f t="shared" si="432"/>
        <v>0</v>
      </c>
      <c r="AB4302" s="15"/>
    </row>
    <row r="4303" spans="1:36" s="77" customFormat="1" ht="15.6" hidden="1">
      <c r="A4303" s="370"/>
      <c r="B4303" s="499"/>
      <c r="C4303" s="725"/>
      <c r="D4303" s="1937" t="s">
        <v>1522</v>
      </c>
      <c r="E4303" s="1938"/>
      <c r="F4303" s="1938"/>
      <c r="G4303" s="1938"/>
      <c r="H4303" s="1938"/>
      <c r="I4303" s="1939"/>
      <c r="J4303" s="1943">
        <f>R4302/J4302</f>
        <v>1</v>
      </c>
      <c r="K4303" s="1944"/>
      <c r="L4303" s="1947"/>
      <c r="M4303" s="1934" t="s">
        <v>1523</v>
      </c>
      <c r="N4303" s="1935"/>
      <c r="O4303" s="1935"/>
      <c r="P4303" s="1935"/>
      <c r="Q4303" s="1936"/>
      <c r="R4303" s="726">
        <f>VLOOKUP(A4304,'11 - FINANCEIRA'!_xlnm.Print_Area,8,FALSE)</f>
        <v>30</v>
      </c>
      <c r="S4303" s="727" t="str">
        <f>L4302</f>
        <v>m</v>
      </c>
      <c r="T4303" s="373"/>
      <c r="U4303" s="486"/>
      <c r="V4303" s="1418">
        <f t="shared" si="432"/>
        <v>0</v>
      </c>
      <c r="AB4303" s="15"/>
    </row>
    <row r="4304" spans="1:36" s="77" customFormat="1" ht="15.6" hidden="1">
      <c r="A4304" s="364" t="s">
        <v>749</v>
      </c>
      <c r="B4304" s="499"/>
      <c r="C4304" s="37"/>
      <c r="D4304" s="2013"/>
      <c r="E4304" s="2014"/>
      <c r="F4304" s="2014"/>
      <c r="G4304" s="2014"/>
      <c r="H4304" s="2014"/>
      <c r="I4304" s="2015"/>
      <c r="J4304" s="2016"/>
      <c r="K4304" s="2017"/>
      <c r="L4304" s="1962"/>
      <c r="M4304" s="2007" t="s">
        <v>1524</v>
      </c>
      <c r="N4304" s="2008"/>
      <c r="O4304" s="2008"/>
      <c r="P4304" s="2008"/>
      <c r="Q4304" s="2009"/>
      <c r="R4304" s="1345">
        <f>R4302-R4303</f>
        <v>0</v>
      </c>
      <c r="S4304" s="1346" t="str">
        <f>L4302</f>
        <v>m</v>
      </c>
      <c r="T4304" s="373"/>
      <c r="U4304" s="486"/>
      <c r="V4304" s="1418">
        <f>R4304</f>
        <v>0</v>
      </c>
      <c r="AB4304" s="15"/>
    </row>
    <row r="4305" spans="1:36" s="77" customFormat="1" ht="15.6" hidden="1">
      <c r="A4305" s="370"/>
      <c r="B4305" s="1347"/>
      <c r="C4305" s="1348"/>
      <c r="D4305" s="1349"/>
      <c r="E4305" s="1350"/>
      <c r="F4305" s="1349"/>
      <c r="G4305" s="1349"/>
      <c r="H4305" s="1349"/>
      <c r="I4305" s="1349"/>
      <c r="J4305" s="1351"/>
      <c r="K4305" s="1352"/>
      <c r="L4305" s="1353"/>
      <c r="M4305" s="1354"/>
      <c r="N4305" s="1354"/>
      <c r="O4305" s="1354"/>
      <c r="P4305" s="1354"/>
      <c r="Q4305" s="1354"/>
      <c r="R4305" s="1355"/>
      <c r="S4305" s="1356"/>
      <c r="T4305" s="1357"/>
      <c r="U4305" s="1358"/>
      <c r="V4305" s="1420">
        <f>SUM(V4296:V4304)</f>
        <v>0</v>
      </c>
      <c r="AB4305" s="15"/>
    </row>
    <row r="4306" spans="1:36" s="352" customFormat="1" ht="15.6" hidden="1">
      <c r="A4306" s="351"/>
      <c r="B4306" s="1963" t="str">
        <f>VLOOKUP(A4314,'11 - FINANCEIRA'!_xlnm.Print_Area,1,FALSE)</f>
        <v>2.6.3.1.5</v>
      </c>
      <c r="C4306" s="1965" t="str">
        <f>VLOOKUP(A4314,'11 - FINANCEIRA'!_xlnm.Print_Area,3,FALSE)</f>
        <v>Tubo cilíndrico 1200 para junta travada externa-JTE l = 1800mm - BDI = 14,02</v>
      </c>
      <c r="D4306" s="1967" t="s">
        <v>1503</v>
      </c>
      <c r="E4306" s="1968"/>
      <c r="F4306" s="1968"/>
      <c r="G4306" s="1968"/>
      <c r="H4306" s="1968"/>
      <c r="I4306" s="1969"/>
      <c r="J4306" s="1914" t="s">
        <v>1504</v>
      </c>
      <c r="K4306" s="1914" t="s">
        <v>1505</v>
      </c>
      <c r="L4306" s="1914" t="s">
        <v>1506</v>
      </c>
      <c r="M4306" s="1914" t="s">
        <v>1507</v>
      </c>
      <c r="N4306" s="1914" t="s">
        <v>1508</v>
      </c>
      <c r="O4306" s="1914" t="s">
        <v>1509</v>
      </c>
      <c r="P4306" s="1341" t="s">
        <v>1510</v>
      </c>
      <c r="Q4306" s="1914" t="s">
        <v>1493</v>
      </c>
      <c r="R4306" s="1916" t="s">
        <v>804</v>
      </c>
      <c r="S4306" s="1914" t="s">
        <v>1511</v>
      </c>
      <c r="T4306" s="1914" t="s">
        <v>1512</v>
      </c>
      <c r="U4306" s="1918" t="s">
        <v>1513</v>
      </c>
      <c r="V4306" s="1418">
        <f t="shared" ref="V4306:V4313" si="433">V4307</f>
        <v>0</v>
      </c>
      <c r="W4306" s="16"/>
      <c r="X4306" s="16"/>
      <c r="Y4306" s="16"/>
      <c r="Z4306" s="17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</row>
    <row r="4307" spans="1:36" s="352" customFormat="1" ht="15.6" hidden="1">
      <c r="A4307" s="351"/>
      <c r="B4307" s="1964" t="e">
        <f>LEFT(#REF!,5)</f>
        <v>#REF!</v>
      </c>
      <c r="C4307" s="1966" t="e">
        <f>VLOOKUP(LEFT(#REF!,5),'11 - FINANCEIRA'!_xlnm.Print_Area,2,FALSE)</f>
        <v>#REF!</v>
      </c>
      <c r="D4307" s="1920" t="s">
        <v>1514</v>
      </c>
      <c r="E4307" s="1921"/>
      <c r="F4307" s="1922"/>
      <c r="G4307" s="1923" t="s">
        <v>1515</v>
      </c>
      <c r="H4307" s="1924"/>
      <c r="I4307" s="1925"/>
      <c r="J4307" s="1915"/>
      <c r="K4307" s="1915"/>
      <c r="L4307" s="1915"/>
      <c r="M4307" s="1915"/>
      <c r="N4307" s="1915"/>
      <c r="O4307" s="1915"/>
      <c r="P4307" s="353" t="s">
        <v>1516</v>
      </c>
      <c r="Q4307" s="1915"/>
      <c r="R4307" s="1917"/>
      <c r="S4307" s="1915"/>
      <c r="T4307" s="1915"/>
      <c r="U4307" s="1919"/>
      <c r="V4307" s="1418">
        <f t="shared" si="433"/>
        <v>0</v>
      </c>
      <c r="W4307" s="16"/>
      <c r="X4307" s="16"/>
      <c r="Y4307" s="16"/>
      <c r="Z4307" s="17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</row>
    <row r="4308" spans="1:36" s="361" customFormat="1" ht="15" hidden="1">
      <c r="A4308" s="354"/>
      <c r="B4308" s="355"/>
      <c r="C4308" s="32"/>
      <c r="D4308" s="33"/>
      <c r="E4308" s="34"/>
      <c r="F4308" s="35"/>
      <c r="G4308" s="33"/>
      <c r="H4308" s="34"/>
      <c r="I4308" s="35"/>
      <c r="J4308" s="43"/>
      <c r="K4308" s="42"/>
      <c r="L4308" s="39"/>
      <c r="M4308" s="41"/>
      <c r="N4308" s="356"/>
      <c r="O4308" s="40"/>
      <c r="P4308" s="39"/>
      <c r="Q4308" s="45"/>
      <c r="R4308" s="1359"/>
      <c r="S4308" s="1265" t="s">
        <v>1958</v>
      </c>
      <c r="T4308" s="46" t="s">
        <v>298</v>
      </c>
      <c r="U4308" s="44"/>
      <c r="V4308" s="1418">
        <f t="shared" si="433"/>
        <v>0</v>
      </c>
      <c r="W4308" s="357"/>
      <c r="X4308" s="357"/>
      <c r="Y4308" s="357"/>
      <c r="Z4308" s="358"/>
      <c r="AA4308" s="359"/>
      <c r="AB4308" s="360"/>
    </row>
    <row r="4309" spans="1:36" s="361" customFormat="1" ht="15" hidden="1">
      <c r="A4309" s="354"/>
      <c r="B4309" s="355"/>
      <c r="C4309" s="32"/>
      <c r="D4309" s="33"/>
      <c r="E4309" s="34"/>
      <c r="F4309" s="35"/>
      <c r="G4309" s="33"/>
      <c r="H4309" s="34"/>
      <c r="I4309" s="35"/>
      <c r="J4309" s="43"/>
      <c r="K4309" s="42"/>
      <c r="L4309" s="39"/>
      <c r="M4309" s="41"/>
      <c r="N4309" s="356"/>
      <c r="O4309" s="40"/>
      <c r="P4309" s="39"/>
      <c r="Q4309" s="45"/>
      <c r="R4309" s="362"/>
      <c r="S4309" s="363" t="s">
        <v>1958</v>
      </c>
      <c r="T4309" s="46" t="s">
        <v>298</v>
      </c>
      <c r="U4309" s="44"/>
      <c r="V4309" s="1418">
        <f t="shared" si="433"/>
        <v>0</v>
      </c>
      <c r="W4309" s="357"/>
      <c r="X4309" s="357"/>
      <c r="Y4309" s="357"/>
      <c r="Z4309" s="358"/>
      <c r="AA4309" s="359"/>
      <c r="AB4309" s="360"/>
    </row>
    <row r="4310" spans="1:36" s="369" customFormat="1" ht="15" hidden="1">
      <c r="A4310" s="364"/>
      <c r="B4310" s="355"/>
      <c r="C4310" s="32"/>
      <c r="D4310" s="33"/>
      <c r="E4310" s="34"/>
      <c r="F4310" s="35"/>
      <c r="G4310" s="33"/>
      <c r="H4310" s="34"/>
      <c r="I4310" s="35"/>
      <c r="J4310" s="43"/>
      <c r="K4310" s="42"/>
      <c r="L4310" s="39"/>
      <c r="M4310" s="41"/>
      <c r="N4310" s="40"/>
      <c r="O4310" s="40"/>
      <c r="P4310" s="39"/>
      <c r="Q4310" s="38"/>
      <c r="R4310" s="365"/>
      <c r="S4310" s="366" t="s">
        <v>1958</v>
      </c>
      <c r="T4310" s="46" t="s">
        <v>298</v>
      </c>
      <c r="U4310" s="44"/>
      <c r="V4310" s="1418">
        <f t="shared" si="433"/>
        <v>0</v>
      </c>
      <c r="W4310" s="367"/>
      <c r="X4310" s="367"/>
      <c r="Y4310" s="367"/>
      <c r="Z4310" s="368"/>
    </row>
    <row r="4311" spans="1:36" s="77" customFormat="1" ht="15" hidden="1">
      <c r="A4311" s="370"/>
      <c r="B4311" s="29"/>
      <c r="C4311" s="30"/>
      <c r="D4311" s="18"/>
      <c r="E4311" s="19"/>
      <c r="F4311" s="20"/>
      <c r="G4311" s="18"/>
      <c r="H4311" s="19"/>
      <c r="I4311" s="20"/>
      <c r="J4311" s="21"/>
      <c r="K4311" s="22"/>
      <c r="L4311" s="23"/>
      <c r="M4311" s="24"/>
      <c r="N4311" s="25"/>
      <c r="O4311" s="25"/>
      <c r="P4311" s="23"/>
      <c r="Q4311" s="26"/>
      <c r="R4311" s="371"/>
      <c r="S4311" s="27"/>
      <c r="T4311" s="372"/>
      <c r="U4311" s="31"/>
      <c r="V4311" s="1418">
        <f t="shared" si="433"/>
        <v>0</v>
      </c>
      <c r="AB4311" s="15"/>
    </row>
    <row r="4312" spans="1:36" s="77" customFormat="1" ht="15.6" hidden="1">
      <c r="A4312" s="370"/>
      <c r="B4312" s="499"/>
      <c r="C4312" s="37"/>
      <c r="D4312" s="1929" t="s">
        <v>1520</v>
      </c>
      <c r="E4312" s="1930"/>
      <c r="F4312" s="1930"/>
      <c r="G4312" s="1930"/>
      <c r="H4312" s="1930"/>
      <c r="I4312" s="1931"/>
      <c r="J4312" s="1932">
        <f>VLOOKUP(A4314,'11 - FINANCEIRA'!_xlnm.Print_Area,6,FALSE)</f>
        <v>0</v>
      </c>
      <c r="K4312" s="1933"/>
      <c r="L4312" s="1343" t="str">
        <f>VLOOKUP(A4314,'11 - FINANCEIRA'!_xlnm.Print_Area,4,FALSE)</f>
        <v>und</v>
      </c>
      <c r="M4312" s="1934" t="s">
        <v>1521</v>
      </c>
      <c r="N4312" s="1935"/>
      <c r="O4312" s="1935"/>
      <c r="P4312" s="1935"/>
      <c r="Q4312" s="1936"/>
      <c r="R4312" s="726">
        <f>SUM(R4308:R4311)</f>
        <v>0</v>
      </c>
      <c r="S4312" s="1344" t="str">
        <f>L4312</f>
        <v>und</v>
      </c>
      <c r="T4312" s="373"/>
      <c r="U4312" s="486"/>
      <c r="V4312" s="1418">
        <f t="shared" si="433"/>
        <v>0</v>
      </c>
      <c r="AB4312" s="15"/>
    </row>
    <row r="4313" spans="1:36" s="77" customFormat="1" ht="15.6" hidden="1">
      <c r="A4313" s="370"/>
      <c r="B4313" s="499"/>
      <c r="C4313" s="725"/>
      <c r="D4313" s="1937" t="s">
        <v>1522</v>
      </c>
      <c r="E4313" s="1938"/>
      <c r="F4313" s="1938"/>
      <c r="G4313" s="1938"/>
      <c r="H4313" s="1938"/>
      <c r="I4313" s="1939"/>
      <c r="J4313" s="1943" t="e">
        <f>R4312/J4312</f>
        <v>#DIV/0!</v>
      </c>
      <c r="K4313" s="1944"/>
      <c r="L4313" s="1947"/>
      <c r="M4313" s="1934" t="s">
        <v>1523</v>
      </c>
      <c r="N4313" s="1935"/>
      <c r="O4313" s="1935"/>
      <c r="P4313" s="1935"/>
      <c r="Q4313" s="1936"/>
      <c r="R4313" s="726">
        <f>VLOOKUP(A4314,'11 - FINANCEIRA'!_xlnm.Print_Area,8,FALSE)</f>
        <v>0</v>
      </c>
      <c r="S4313" s="727" t="str">
        <f>L4312</f>
        <v>und</v>
      </c>
      <c r="T4313" s="373"/>
      <c r="U4313" s="486"/>
      <c r="V4313" s="1418">
        <f t="shared" si="433"/>
        <v>0</v>
      </c>
      <c r="AB4313" s="15"/>
    </row>
    <row r="4314" spans="1:36" s="77" customFormat="1" ht="15.6" hidden="1">
      <c r="A4314" s="364" t="s">
        <v>750</v>
      </c>
      <c r="B4314" s="499"/>
      <c r="C4314" s="37"/>
      <c r="D4314" s="2013"/>
      <c r="E4314" s="2014"/>
      <c r="F4314" s="2014"/>
      <c r="G4314" s="2014"/>
      <c r="H4314" s="2014"/>
      <c r="I4314" s="2015"/>
      <c r="J4314" s="2016"/>
      <c r="K4314" s="2017"/>
      <c r="L4314" s="1962"/>
      <c r="M4314" s="2007" t="s">
        <v>1524</v>
      </c>
      <c r="N4314" s="2008"/>
      <c r="O4314" s="2008"/>
      <c r="P4314" s="2008"/>
      <c r="Q4314" s="2009"/>
      <c r="R4314" s="1345">
        <f>R4312-R4313</f>
        <v>0</v>
      </c>
      <c r="S4314" s="1346" t="str">
        <f>L4312</f>
        <v>und</v>
      </c>
      <c r="T4314" s="373"/>
      <c r="U4314" s="486"/>
      <c r="V4314" s="1418">
        <f>R4314</f>
        <v>0</v>
      </c>
      <c r="AB4314" s="15"/>
    </row>
    <row r="4315" spans="1:36" s="77" customFormat="1" ht="15.6" hidden="1">
      <c r="A4315" s="370"/>
      <c r="B4315" s="1347"/>
      <c r="C4315" s="1348"/>
      <c r="D4315" s="1349"/>
      <c r="E4315" s="1350"/>
      <c r="F4315" s="1349"/>
      <c r="G4315" s="1349"/>
      <c r="H4315" s="1349"/>
      <c r="I4315" s="1349"/>
      <c r="J4315" s="1351"/>
      <c r="K4315" s="1352"/>
      <c r="L4315" s="1353"/>
      <c r="M4315" s="1354"/>
      <c r="N4315" s="1354"/>
      <c r="O4315" s="1354"/>
      <c r="P4315" s="1354"/>
      <c r="Q4315" s="1354"/>
      <c r="R4315" s="1355"/>
      <c r="S4315" s="1356"/>
      <c r="T4315" s="1357"/>
      <c r="U4315" s="1358"/>
      <c r="V4315" s="1420">
        <f>SUM(V4306:V4314)</f>
        <v>0</v>
      </c>
      <c r="AB4315" s="15"/>
    </row>
    <row r="4316" spans="1:36" s="352" customFormat="1" ht="15.6" hidden="1">
      <c r="A4316" s="351"/>
      <c r="B4316" s="1963" t="str">
        <f>VLOOKUP(A4324,'11 - FINANCEIRA'!_xlnm.Print_Area,1,FALSE)</f>
        <v>2.6.3.1.6</v>
      </c>
      <c r="C4316" s="1965" t="str">
        <f>VLOOKUP(A4324,'11 - FINANCEIRA'!_xlnm.Print_Area,3,FALSE)</f>
        <v>Tubo fofo c/flange e bolsa je dn 1200 pn10 - l=4600 - BDI = 14,02</v>
      </c>
      <c r="D4316" s="1967" t="s">
        <v>1503</v>
      </c>
      <c r="E4316" s="1968"/>
      <c r="F4316" s="1968"/>
      <c r="G4316" s="1968"/>
      <c r="H4316" s="1968"/>
      <c r="I4316" s="1969"/>
      <c r="J4316" s="1914" t="s">
        <v>1504</v>
      </c>
      <c r="K4316" s="1914" t="s">
        <v>1505</v>
      </c>
      <c r="L4316" s="1914" t="s">
        <v>1506</v>
      </c>
      <c r="M4316" s="1914" t="s">
        <v>1507</v>
      </c>
      <c r="N4316" s="1914" t="s">
        <v>1508</v>
      </c>
      <c r="O4316" s="1914" t="s">
        <v>1509</v>
      </c>
      <c r="P4316" s="1341" t="s">
        <v>1510</v>
      </c>
      <c r="Q4316" s="1914" t="s">
        <v>1493</v>
      </c>
      <c r="R4316" s="1916" t="s">
        <v>804</v>
      </c>
      <c r="S4316" s="1914" t="s">
        <v>1511</v>
      </c>
      <c r="T4316" s="1914" t="s">
        <v>1512</v>
      </c>
      <c r="U4316" s="1918" t="s">
        <v>1513</v>
      </c>
      <c r="V4316" s="1418">
        <f t="shared" ref="V4316:V4323" si="434">V4317</f>
        <v>0</v>
      </c>
      <c r="W4316" s="16"/>
      <c r="X4316" s="16"/>
      <c r="Y4316" s="16"/>
      <c r="Z4316" s="17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</row>
    <row r="4317" spans="1:36" s="352" customFormat="1" ht="15.6" hidden="1">
      <c r="A4317" s="351"/>
      <c r="B4317" s="1964" t="e">
        <f>LEFT(#REF!,5)</f>
        <v>#REF!</v>
      </c>
      <c r="C4317" s="1966" t="e">
        <f>VLOOKUP(LEFT(#REF!,5),'11 - FINANCEIRA'!_xlnm.Print_Area,2,FALSE)</f>
        <v>#REF!</v>
      </c>
      <c r="D4317" s="1920" t="s">
        <v>1514</v>
      </c>
      <c r="E4317" s="1921"/>
      <c r="F4317" s="1922"/>
      <c r="G4317" s="1923" t="s">
        <v>1515</v>
      </c>
      <c r="H4317" s="1924"/>
      <c r="I4317" s="1925"/>
      <c r="J4317" s="1915"/>
      <c r="K4317" s="1915"/>
      <c r="L4317" s="1915"/>
      <c r="M4317" s="1915"/>
      <c r="N4317" s="1915"/>
      <c r="O4317" s="1915"/>
      <c r="P4317" s="353" t="s">
        <v>1516</v>
      </c>
      <c r="Q4317" s="1915"/>
      <c r="R4317" s="1917"/>
      <c r="S4317" s="1915"/>
      <c r="T4317" s="1915"/>
      <c r="U4317" s="1919"/>
      <c r="V4317" s="1418">
        <f t="shared" si="434"/>
        <v>0</v>
      </c>
      <c r="W4317" s="16"/>
      <c r="X4317" s="16"/>
      <c r="Y4317" s="16"/>
      <c r="Z4317" s="17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</row>
    <row r="4318" spans="1:36" s="361" customFormat="1" ht="15" hidden="1">
      <c r="A4318" s="354"/>
      <c r="B4318" s="355"/>
      <c r="C4318" s="32"/>
      <c r="D4318" s="33"/>
      <c r="E4318" s="34"/>
      <c r="F4318" s="35"/>
      <c r="G4318" s="33"/>
      <c r="H4318" s="34"/>
      <c r="I4318" s="35"/>
      <c r="J4318" s="43"/>
      <c r="K4318" s="42"/>
      <c r="L4318" s="39"/>
      <c r="M4318" s="41"/>
      <c r="N4318" s="356"/>
      <c r="O4318" s="40"/>
      <c r="P4318" s="39"/>
      <c r="Q4318" s="45"/>
      <c r="R4318" s="1359"/>
      <c r="S4318" s="1265"/>
      <c r="T4318" s="46"/>
      <c r="U4318" s="44"/>
      <c r="V4318" s="1418">
        <f t="shared" si="434"/>
        <v>0</v>
      </c>
      <c r="W4318" s="357"/>
      <c r="X4318" s="357"/>
      <c r="Y4318" s="357"/>
      <c r="Z4318" s="358"/>
      <c r="AA4318" s="359"/>
      <c r="AB4318" s="360"/>
    </row>
    <row r="4319" spans="1:36" s="361" customFormat="1" ht="15" hidden="1">
      <c r="A4319" s="354"/>
      <c r="B4319" s="355"/>
      <c r="C4319" s="32"/>
      <c r="D4319" s="33"/>
      <c r="E4319" s="34"/>
      <c r="F4319" s="35"/>
      <c r="G4319" s="33"/>
      <c r="H4319" s="34"/>
      <c r="I4319" s="35"/>
      <c r="J4319" s="43"/>
      <c r="K4319" s="42"/>
      <c r="L4319" s="39"/>
      <c r="M4319" s="41"/>
      <c r="N4319" s="356"/>
      <c r="O4319" s="40"/>
      <c r="P4319" s="39"/>
      <c r="Q4319" s="45"/>
      <c r="R4319" s="362"/>
      <c r="S4319" s="363"/>
      <c r="T4319" s="46"/>
      <c r="U4319" s="44"/>
      <c r="V4319" s="1418">
        <f t="shared" si="434"/>
        <v>0</v>
      </c>
      <c r="W4319" s="357"/>
      <c r="X4319" s="357"/>
      <c r="Y4319" s="357"/>
      <c r="Z4319" s="358"/>
      <c r="AA4319" s="359"/>
      <c r="AB4319" s="360"/>
    </row>
    <row r="4320" spans="1:36" s="369" customFormat="1" ht="15" hidden="1">
      <c r="A4320" s="364"/>
      <c r="B4320" s="355"/>
      <c r="C4320" s="32"/>
      <c r="D4320" s="33"/>
      <c r="E4320" s="34"/>
      <c r="F4320" s="35"/>
      <c r="G4320" s="33"/>
      <c r="H4320" s="34"/>
      <c r="I4320" s="35"/>
      <c r="J4320" s="43"/>
      <c r="K4320" s="42"/>
      <c r="L4320" s="39"/>
      <c r="M4320" s="41"/>
      <c r="N4320" s="40"/>
      <c r="O4320" s="40"/>
      <c r="P4320" s="39"/>
      <c r="Q4320" s="38"/>
      <c r="R4320" s="365"/>
      <c r="S4320" s="366"/>
      <c r="T4320" s="46"/>
      <c r="U4320" s="44"/>
      <c r="V4320" s="1418">
        <f t="shared" si="434"/>
        <v>0</v>
      </c>
      <c r="W4320" s="367"/>
      <c r="X4320" s="367"/>
      <c r="Y4320" s="367"/>
      <c r="Z4320" s="368"/>
    </row>
    <row r="4321" spans="1:36" s="77" customFormat="1" ht="15" hidden="1">
      <c r="A4321" s="370"/>
      <c r="B4321" s="29"/>
      <c r="C4321" s="30"/>
      <c r="D4321" s="18"/>
      <c r="E4321" s="19"/>
      <c r="F4321" s="20"/>
      <c r="G4321" s="18"/>
      <c r="H4321" s="19"/>
      <c r="I4321" s="20"/>
      <c r="J4321" s="21"/>
      <c r="K4321" s="22"/>
      <c r="L4321" s="23"/>
      <c r="M4321" s="24"/>
      <c r="N4321" s="25"/>
      <c r="O4321" s="25"/>
      <c r="P4321" s="23"/>
      <c r="Q4321" s="26"/>
      <c r="R4321" s="371"/>
      <c r="S4321" s="27"/>
      <c r="T4321" s="372"/>
      <c r="U4321" s="31"/>
      <c r="V4321" s="1418">
        <f t="shared" si="434"/>
        <v>0</v>
      </c>
      <c r="AB4321" s="15"/>
    </row>
    <row r="4322" spans="1:36" s="77" customFormat="1" ht="15.6" hidden="1">
      <c r="A4322" s="370"/>
      <c r="B4322" s="499"/>
      <c r="C4322" s="37"/>
      <c r="D4322" s="1929" t="s">
        <v>1520</v>
      </c>
      <c r="E4322" s="1930"/>
      <c r="F4322" s="1930"/>
      <c r="G4322" s="1930"/>
      <c r="H4322" s="1930"/>
      <c r="I4322" s="1931"/>
      <c r="J4322" s="1932">
        <f>VLOOKUP(A4324,'11 - FINANCEIRA'!_xlnm.Print_Area,6,FALSE)</f>
        <v>0</v>
      </c>
      <c r="K4322" s="1933"/>
      <c r="L4322" s="1343" t="str">
        <f>VLOOKUP(A4324,'11 - FINANCEIRA'!_xlnm.Print_Area,4,FALSE)</f>
        <v>und</v>
      </c>
      <c r="M4322" s="1934" t="s">
        <v>1521</v>
      </c>
      <c r="N4322" s="1935"/>
      <c r="O4322" s="1935"/>
      <c r="P4322" s="1935"/>
      <c r="Q4322" s="1936"/>
      <c r="R4322" s="726">
        <f>SUM(R4318:R4321)</f>
        <v>0</v>
      </c>
      <c r="S4322" s="1344" t="str">
        <f>L4322</f>
        <v>und</v>
      </c>
      <c r="T4322" s="373"/>
      <c r="U4322" s="486"/>
      <c r="V4322" s="1418">
        <f t="shared" si="434"/>
        <v>0</v>
      </c>
      <c r="AB4322" s="15"/>
    </row>
    <row r="4323" spans="1:36" s="77" customFormat="1" ht="15.6" hidden="1">
      <c r="A4323" s="370"/>
      <c r="B4323" s="499"/>
      <c r="C4323" s="725"/>
      <c r="D4323" s="1937" t="s">
        <v>1522</v>
      </c>
      <c r="E4323" s="1938"/>
      <c r="F4323" s="1938"/>
      <c r="G4323" s="1938"/>
      <c r="H4323" s="1938"/>
      <c r="I4323" s="1939"/>
      <c r="J4323" s="1943" t="e">
        <f>R4322/J4322</f>
        <v>#DIV/0!</v>
      </c>
      <c r="K4323" s="1944"/>
      <c r="L4323" s="1947"/>
      <c r="M4323" s="1934" t="s">
        <v>1523</v>
      </c>
      <c r="N4323" s="1935"/>
      <c r="O4323" s="1935"/>
      <c r="P4323" s="1935"/>
      <c r="Q4323" s="1936"/>
      <c r="R4323" s="726">
        <f>VLOOKUP(A4324,'11 - FINANCEIRA'!_xlnm.Print_Area,8,FALSE)</f>
        <v>0</v>
      </c>
      <c r="S4323" s="727" t="str">
        <f>L4322</f>
        <v>und</v>
      </c>
      <c r="T4323" s="373"/>
      <c r="U4323" s="486"/>
      <c r="V4323" s="1418">
        <f t="shared" si="434"/>
        <v>0</v>
      </c>
      <c r="AB4323" s="15"/>
    </row>
    <row r="4324" spans="1:36" s="77" customFormat="1" ht="15.6" hidden="1">
      <c r="A4324" s="364" t="s">
        <v>751</v>
      </c>
      <c r="B4324" s="499"/>
      <c r="C4324" s="37"/>
      <c r="D4324" s="2013"/>
      <c r="E4324" s="2014"/>
      <c r="F4324" s="2014"/>
      <c r="G4324" s="2014"/>
      <c r="H4324" s="2014"/>
      <c r="I4324" s="2015"/>
      <c r="J4324" s="2016"/>
      <c r="K4324" s="2017"/>
      <c r="L4324" s="1962"/>
      <c r="M4324" s="2007" t="s">
        <v>1524</v>
      </c>
      <c r="N4324" s="2008"/>
      <c r="O4324" s="2008"/>
      <c r="P4324" s="2008"/>
      <c r="Q4324" s="2009"/>
      <c r="R4324" s="1345">
        <f>R4322-R4323</f>
        <v>0</v>
      </c>
      <c r="S4324" s="1346" t="str">
        <f>L4322</f>
        <v>und</v>
      </c>
      <c r="T4324" s="373"/>
      <c r="U4324" s="486"/>
      <c r="V4324" s="1418">
        <f>R4324</f>
        <v>0</v>
      </c>
      <c r="AB4324" s="15"/>
    </row>
    <row r="4325" spans="1:36" s="77" customFormat="1" ht="15.6" hidden="1">
      <c r="A4325" s="370"/>
      <c r="B4325" s="1347"/>
      <c r="C4325" s="1348"/>
      <c r="D4325" s="1349"/>
      <c r="E4325" s="1350"/>
      <c r="F4325" s="1349"/>
      <c r="G4325" s="1349"/>
      <c r="H4325" s="1349"/>
      <c r="I4325" s="1349"/>
      <c r="J4325" s="1351"/>
      <c r="K4325" s="1352"/>
      <c r="L4325" s="1353"/>
      <c r="M4325" s="1354"/>
      <c r="N4325" s="1354"/>
      <c r="O4325" s="1354"/>
      <c r="P4325" s="1354"/>
      <c r="Q4325" s="1354"/>
      <c r="R4325" s="1355"/>
      <c r="S4325" s="1356"/>
      <c r="T4325" s="1357"/>
      <c r="U4325" s="1358"/>
      <c r="V4325" s="1420">
        <f>SUM(V4316:V4324)</f>
        <v>0</v>
      </c>
      <c r="AB4325" s="15"/>
    </row>
    <row r="4326" spans="1:36" s="352" customFormat="1" ht="15.6" hidden="1">
      <c r="A4326" s="351"/>
      <c r="B4326" s="1963" t="str">
        <f>VLOOKUP(A4334,'11 - FINANCEIRA'!_xlnm.Print_Area,1,FALSE)</f>
        <v>2.6.3.1.7</v>
      </c>
      <c r="C4326" s="1965" t="str">
        <f>VLOOKUP(A4334,'11 - FINANCEIRA'!_xlnm.Print_Area,3,FALSE)</f>
        <v>Curva fofo 22 30 jte para água dn 1200 - BDI = 14,02</v>
      </c>
      <c r="D4326" s="1967" t="s">
        <v>1503</v>
      </c>
      <c r="E4326" s="1968"/>
      <c r="F4326" s="1968"/>
      <c r="G4326" s="1968"/>
      <c r="H4326" s="1968"/>
      <c r="I4326" s="1969"/>
      <c r="J4326" s="1914" t="s">
        <v>1504</v>
      </c>
      <c r="K4326" s="1914" t="s">
        <v>1505</v>
      </c>
      <c r="L4326" s="1914" t="s">
        <v>1506</v>
      </c>
      <c r="M4326" s="1914" t="s">
        <v>1507</v>
      </c>
      <c r="N4326" s="1914" t="s">
        <v>1508</v>
      </c>
      <c r="O4326" s="1914" t="s">
        <v>1509</v>
      </c>
      <c r="P4326" s="1341" t="s">
        <v>1510</v>
      </c>
      <c r="Q4326" s="1914" t="s">
        <v>1493</v>
      </c>
      <c r="R4326" s="1916" t="s">
        <v>804</v>
      </c>
      <c r="S4326" s="1914" t="s">
        <v>1511</v>
      </c>
      <c r="T4326" s="1914" t="s">
        <v>1512</v>
      </c>
      <c r="U4326" s="1918" t="s">
        <v>1513</v>
      </c>
      <c r="V4326" s="1418">
        <f t="shared" ref="V4326:V4333" si="435">V4327</f>
        <v>0</v>
      </c>
      <c r="W4326" s="16"/>
      <c r="X4326" s="16"/>
      <c r="Y4326" s="16"/>
      <c r="Z4326" s="17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</row>
    <row r="4327" spans="1:36" s="352" customFormat="1" ht="15.6" hidden="1">
      <c r="A4327" s="351"/>
      <c r="B4327" s="1964" t="e">
        <f>LEFT(#REF!,5)</f>
        <v>#REF!</v>
      </c>
      <c r="C4327" s="1966" t="e">
        <f>VLOOKUP(LEFT(#REF!,5),'11 - FINANCEIRA'!_xlnm.Print_Area,2,FALSE)</f>
        <v>#REF!</v>
      </c>
      <c r="D4327" s="1920" t="s">
        <v>1514</v>
      </c>
      <c r="E4327" s="1921"/>
      <c r="F4327" s="1922"/>
      <c r="G4327" s="1923" t="s">
        <v>1515</v>
      </c>
      <c r="H4327" s="1924"/>
      <c r="I4327" s="1925"/>
      <c r="J4327" s="1915"/>
      <c r="K4327" s="1915"/>
      <c r="L4327" s="1915"/>
      <c r="M4327" s="1915"/>
      <c r="N4327" s="1915"/>
      <c r="O4327" s="1915"/>
      <c r="P4327" s="353" t="s">
        <v>1516</v>
      </c>
      <c r="Q4327" s="1915"/>
      <c r="R4327" s="1917"/>
      <c r="S4327" s="1915"/>
      <c r="T4327" s="1915"/>
      <c r="U4327" s="1919"/>
      <c r="V4327" s="1418">
        <f t="shared" si="435"/>
        <v>0</v>
      </c>
      <c r="W4327" s="16"/>
      <c r="X4327" s="16"/>
      <c r="Y4327" s="16"/>
      <c r="Z4327" s="17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</row>
    <row r="4328" spans="1:36" s="361" customFormat="1" ht="15" hidden="1">
      <c r="A4328" s="354"/>
      <c r="B4328" s="355"/>
      <c r="C4328" s="32"/>
      <c r="D4328" s="33"/>
      <c r="E4328" s="34"/>
      <c r="F4328" s="35"/>
      <c r="G4328" s="33"/>
      <c r="H4328" s="34"/>
      <c r="I4328" s="35"/>
      <c r="J4328" s="43"/>
      <c r="K4328" s="42"/>
      <c r="L4328" s="39"/>
      <c r="M4328" s="41"/>
      <c r="N4328" s="356"/>
      <c r="O4328" s="40"/>
      <c r="P4328" s="39"/>
      <c r="Q4328" s="45"/>
      <c r="R4328" s="1359"/>
      <c r="S4328" s="1265" t="s">
        <v>1958</v>
      </c>
      <c r="T4328" s="46" t="s">
        <v>298</v>
      </c>
      <c r="U4328" s="44"/>
      <c r="V4328" s="1418">
        <f t="shared" si="435"/>
        <v>0</v>
      </c>
      <c r="W4328" s="357"/>
      <c r="X4328" s="357"/>
      <c r="Y4328" s="357"/>
      <c r="Z4328" s="358"/>
      <c r="AA4328" s="359"/>
      <c r="AB4328" s="360"/>
    </row>
    <row r="4329" spans="1:36" s="361" customFormat="1" ht="15" hidden="1">
      <c r="A4329" s="354"/>
      <c r="B4329" s="355"/>
      <c r="C4329" s="32"/>
      <c r="D4329" s="33"/>
      <c r="E4329" s="34"/>
      <c r="F4329" s="35"/>
      <c r="G4329" s="33"/>
      <c r="H4329" s="34"/>
      <c r="I4329" s="35"/>
      <c r="J4329" s="43"/>
      <c r="K4329" s="42"/>
      <c r="L4329" s="39"/>
      <c r="M4329" s="41"/>
      <c r="N4329" s="356"/>
      <c r="O4329" s="40"/>
      <c r="P4329" s="39"/>
      <c r="Q4329" s="45"/>
      <c r="R4329" s="362"/>
      <c r="S4329" s="363" t="s">
        <v>1958</v>
      </c>
      <c r="T4329" s="46" t="s">
        <v>298</v>
      </c>
      <c r="U4329" s="44"/>
      <c r="V4329" s="1418">
        <f t="shared" si="435"/>
        <v>0</v>
      </c>
      <c r="W4329" s="357"/>
      <c r="X4329" s="357"/>
      <c r="Y4329" s="357"/>
      <c r="Z4329" s="358"/>
      <c r="AA4329" s="359"/>
      <c r="AB4329" s="360"/>
    </row>
    <row r="4330" spans="1:36" s="369" customFormat="1" ht="15" hidden="1">
      <c r="A4330" s="364"/>
      <c r="B4330" s="355"/>
      <c r="C4330" s="32"/>
      <c r="D4330" s="33"/>
      <c r="E4330" s="34"/>
      <c r="F4330" s="35"/>
      <c r="G4330" s="33"/>
      <c r="H4330" s="34"/>
      <c r="I4330" s="35"/>
      <c r="J4330" s="43"/>
      <c r="K4330" s="42"/>
      <c r="L4330" s="39"/>
      <c r="M4330" s="41"/>
      <c r="N4330" s="40"/>
      <c r="O4330" s="40"/>
      <c r="P4330" s="39"/>
      <c r="Q4330" s="38"/>
      <c r="R4330" s="365"/>
      <c r="S4330" s="366" t="s">
        <v>1958</v>
      </c>
      <c r="T4330" s="46" t="s">
        <v>298</v>
      </c>
      <c r="U4330" s="44"/>
      <c r="V4330" s="1418">
        <f t="shared" si="435"/>
        <v>0</v>
      </c>
      <c r="W4330" s="367"/>
      <c r="X4330" s="367"/>
      <c r="Y4330" s="367"/>
      <c r="Z4330" s="368"/>
    </row>
    <row r="4331" spans="1:36" s="77" customFormat="1" ht="15" hidden="1">
      <c r="A4331" s="370"/>
      <c r="B4331" s="29"/>
      <c r="C4331" s="30"/>
      <c r="D4331" s="18"/>
      <c r="E4331" s="19"/>
      <c r="F4331" s="20"/>
      <c r="G4331" s="18"/>
      <c r="H4331" s="19"/>
      <c r="I4331" s="20"/>
      <c r="J4331" s="21"/>
      <c r="K4331" s="22"/>
      <c r="L4331" s="23"/>
      <c r="M4331" s="24"/>
      <c r="N4331" s="25"/>
      <c r="O4331" s="25"/>
      <c r="P4331" s="23"/>
      <c r="Q4331" s="26"/>
      <c r="R4331" s="371"/>
      <c r="S4331" s="27"/>
      <c r="T4331" s="372"/>
      <c r="U4331" s="31"/>
      <c r="V4331" s="1418">
        <f t="shared" si="435"/>
        <v>0</v>
      </c>
      <c r="AB4331" s="15"/>
    </row>
    <row r="4332" spans="1:36" s="77" customFormat="1" ht="15.6" hidden="1">
      <c r="A4332" s="370"/>
      <c r="B4332" s="499"/>
      <c r="C4332" s="37"/>
      <c r="D4332" s="1929" t="s">
        <v>1520</v>
      </c>
      <c r="E4332" s="1930"/>
      <c r="F4332" s="1930"/>
      <c r="G4332" s="1930"/>
      <c r="H4332" s="1930"/>
      <c r="I4332" s="1931"/>
      <c r="J4332" s="1932">
        <f>VLOOKUP(A4334,'11 - FINANCEIRA'!_xlnm.Print_Area,6,FALSE)</f>
        <v>0</v>
      </c>
      <c r="K4332" s="1933"/>
      <c r="L4332" s="1343" t="str">
        <f>VLOOKUP(A4334,'11 - FINANCEIRA'!_xlnm.Print_Area,4,FALSE)</f>
        <v>und</v>
      </c>
      <c r="M4332" s="1934" t="s">
        <v>1521</v>
      </c>
      <c r="N4332" s="1935"/>
      <c r="O4332" s="1935"/>
      <c r="P4332" s="1935"/>
      <c r="Q4332" s="1936"/>
      <c r="R4332" s="726">
        <f>SUM(R4328:R4331)</f>
        <v>0</v>
      </c>
      <c r="S4332" s="1344" t="str">
        <f>L4332</f>
        <v>und</v>
      </c>
      <c r="T4332" s="373"/>
      <c r="U4332" s="486"/>
      <c r="V4332" s="1418">
        <f t="shared" si="435"/>
        <v>0</v>
      </c>
      <c r="AB4332" s="15"/>
    </row>
    <row r="4333" spans="1:36" s="77" customFormat="1" ht="15.6" hidden="1">
      <c r="A4333" s="370"/>
      <c r="B4333" s="499"/>
      <c r="C4333" s="725"/>
      <c r="D4333" s="1937" t="s">
        <v>1522</v>
      </c>
      <c r="E4333" s="1938"/>
      <c r="F4333" s="1938"/>
      <c r="G4333" s="1938"/>
      <c r="H4333" s="1938"/>
      <c r="I4333" s="1939"/>
      <c r="J4333" s="1943" t="e">
        <f>R4332/J4332</f>
        <v>#DIV/0!</v>
      </c>
      <c r="K4333" s="1944"/>
      <c r="L4333" s="1947"/>
      <c r="M4333" s="1934" t="s">
        <v>1523</v>
      </c>
      <c r="N4333" s="1935"/>
      <c r="O4333" s="1935"/>
      <c r="P4333" s="1935"/>
      <c r="Q4333" s="1936"/>
      <c r="R4333" s="726">
        <f>VLOOKUP(A4334,'11 - FINANCEIRA'!_xlnm.Print_Area,8,FALSE)</f>
        <v>0</v>
      </c>
      <c r="S4333" s="727" t="str">
        <f>L4332</f>
        <v>und</v>
      </c>
      <c r="T4333" s="373"/>
      <c r="U4333" s="486"/>
      <c r="V4333" s="1418">
        <f t="shared" si="435"/>
        <v>0</v>
      </c>
      <c r="AB4333" s="15"/>
    </row>
    <row r="4334" spans="1:36" s="77" customFormat="1" ht="15.6" hidden="1">
      <c r="A4334" s="364" t="s">
        <v>752</v>
      </c>
      <c r="B4334" s="499"/>
      <c r="C4334" s="37"/>
      <c r="D4334" s="2013"/>
      <c r="E4334" s="2014"/>
      <c r="F4334" s="2014"/>
      <c r="G4334" s="2014"/>
      <c r="H4334" s="2014"/>
      <c r="I4334" s="2015"/>
      <c r="J4334" s="2016"/>
      <c r="K4334" s="2017"/>
      <c r="L4334" s="1962"/>
      <c r="M4334" s="2007" t="s">
        <v>1524</v>
      </c>
      <c r="N4334" s="2008"/>
      <c r="O4334" s="2008"/>
      <c r="P4334" s="2008"/>
      <c r="Q4334" s="2009"/>
      <c r="R4334" s="1345">
        <f>R4332-R4333</f>
        <v>0</v>
      </c>
      <c r="S4334" s="1346" t="str">
        <f>L4332</f>
        <v>und</v>
      </c>
      <c r="T4334" s="373"/>
      <c r="U4334" s="486"/>
      <c r="V4334" s="1418">
        <f>R4334</f>
        <v>0</v>
      </c>
      <c r="AB4334" s="15"/>
    </row>
    <row r="4335" spans="1:36" s="77" customFormat="1" ht="15.6" hidden="1">
      <c r="A4335" s="370"/>
      <c r="B4335" s="1347"/>
      <c r="C4335" s="1348"/>
      <c r="D4335" s="1349"/>
      <c r="E4335" s="1350"/>
      <c r="F4335" s="1349"/>
      <c r="G4335" s="1349"/>
      <c r="H4335" s="1349"/>
      <c r="I4335" s="1349"/>
      <c r="J4335" s="1351"/>
      <c r="K4335" s="1352"/>
      <c r="L4335" s="1353"/>
      <c r="M4335" s="1354"/>
      <c r="N4335" s="1354"/>
      <c r="O4335" s="1354"/>
      <c r="P4335" s="1354"/>
      <c r="Q4335" s="1354"/>
      <c r="R4335" s="1355"/>
      <c r="S4335" s="1356"/>
      <c r="T4335" s="1357"/>
      <c r="U4335" s="1358"/>
      <c r="V4335" s="1420">
        <f>SUM(V4326:V4334)</f>
        <v>0</v>
      </c>
      <c r="AB4335" s="15"/>
    </row>
    <row r="4336" spans="1:36" s="352" customFormat="1" ht="15.6" hidden="1">
      <c r="A4336" s="351"/>
      <c r="B4336" s="1963" t="str">
        <f>VLOOKUP(A4344,'11 - FINANCEIRA'!_xlnm.Print_Area,1,FALSE)</f>
        <v>2.6.3.1.8</v>
      </c>
      <c r="C4336" s="1965" t="str">
        <f>VLOOKUP(A4344,'11 - FINANCEIRA'!_xlnm.Print_Area,3,FALSE)</f>
        <v>Junta de desmontagem travada axialmente pn10 dn 1200 - BDI = 14,02</v>
      </c>
      <c r="D4336" s="1967" t="s">
        <v>1503</v>
      </c>
      <c r="E4336" s="1968"/>
      <c r="F4336" s="1968"/>
      <c r="G4336" s="1968"/>
      <c r="H4336" s="1968"/>
      <c r="I4336" s="1969"/>
      <c r="J4336" s="1914" t="s">
        <v>1504</v>
      </c>
      <c r="K4336" s="1914" t="s">
        <v>1505</v>
      </c>
      <c r="L4336" s="1914" t="s">
        <v>1506</v>
      </c>
      <c r="M4336" s="1914" t="s">
        <v>1507</v>
      </c>
      <c r="N4336" s="1914" t="s">
        <v>1508</v>
      </c>
      <c r="O4336" s="1914" t="s">
        <v>1509</v>
      </c>
      <c r="P4336" s="1341" t="s">
        <v>1510</v>
      </c>
      <c r="Q4336" s="1914" t="s">
        <v>1493</v>
      </c>
      <c r="R4336" s="1916" t="s">
        <v>804</v>
      </c>
      <c r="S4336" s="1914" t="s">
        <v>1511</v>
      </c>
      <c r="T4336" s="1914" t="s">
        <v>1512</v>
      </c>
      <c r="U4336" s="1918" t="s">
        <v>1513</v>
      </c>
      <c r="V4336" s="1418">
        <f t="shared" ref="V4336:V4343" si="436">V4337</f>
        <v>0</v>
      </c>
      <c r="W4336" s="16"/>
      <c r="X4336" s="16"/>
      <c r="Y4336" s="16"/>
      <c r="Z4336" s="17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</row>
    <row r="4337" spans="1:36" s="352" customFormat="1" ht="15.6" hidden="1">
      <c r="A4337" s="351"/>
      <c r="B4337" s="1964" t="e">
        <f>LEFT(#REF!,5)</f>
        <v>#REF!</v>
      </c>
      <c r="C4337" s="1966" t="e">
        <f>VLOOKUP(LEFT(#REF!,5),'11 - FINANCEIRA'!_xlnm.Print_Area,2,FALSE)</f>
        <v>#REF!</v>
      </c>
      <c r="D4337" s="1920" t="s">
        <v>1514</v>
      </c>
      <c r="E4337" s="1921"/>
      <c r="F4337" s="1922"/>
      <c r="G4337" s="1923" t="s">
        <v>1515</v>
      </c>
      <c r="H4337" s="1924"/>
      <c r="I4337" s="1925"/>
      <c r="J4337" s="1915"/>
      <c r="K4337" s="1915"/>
      <c r="L4337" s="1915"/>
      <c r="M4337" s="1915"/>
      <c r="N4337" s="1915"/>
      <c r="O4337" s="1915"/>
      <c r="P4337" s="353" t="s">
        <v>1516</v>
      </c>
      <c r="Q4337" s="1915"/>
      <c r="R4337" s="1917"/>
      <c r="S4337" s="1915"/>
      <c r="T4337" s="1915"/>
      <c r="U4337" s="1919"/>
      <c r="V4337" s="1418">
        <f t="shared" si="436"/>
        <v>0</v>
      </c>
      <c r="W4337" s="16"/>
      <c r="X4337" s="16"/>
      <c r="Y4337" s="16"/>
      <c r="Z4337" s="17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</row>
    <row r="4338" spans="1:36" s="361" customFormat="1" ht="15" hidden="1">
      <c r="A4338" s="354"/>
      <c r="B4338" s="355"/>
      <c r="C4338" s="28" t="s">
        <v>1964</v>
      </c>
      <c r="D4338" s="18"/>
      <c r="E4338" s="19"/>
      <c r="F4338" s="20"/>
      <c r="G4338" s="18"/>
      <c r="H4338" s="19"/>
      <c r="I4338" s="20"/>
      <c r="J4338" s="21"/>
      <c r="K4338" s="1157"/>
      <c r="L4338" s="1158"/>
      <c r="M4338" s="1159"/>
      <c r="N4338" s="1160"/>
      <c r="O4338" s="1161"/>
      <c r="P4338" s="1158"/>
      <c r="Q4338" s="1162"/>
      <c r="R4338" s="1163">
        <v>10</v>
      </c>
      <c r="S4338" s="1404" t="s">
        <v>816</v>
      </c>
      <c r="T4338" s="446" t="s">
        <v>319</v>
      </c>
      <c r="U4338" s="793" t="s">
        <v>1965</v>
      </c>
      <c r="V4338" s="1418">
        <f t="shared" si="436"/>
        <v>0</v>
      </c>
      <c r="W4338" s="357"/>
      <c r="X4338" s="357"/>
      <c r="Y4338" s="357"/>
      <c r="Z4338" s="358"/>
      <c r="AA4338" s="359"/>
      <c r="AB4338" s="360"/>
    </row>
    <row r="4339" spans="1:36" s="361" customFormat="1" ht="15" hidden="1">
      <c r="A4339" s="354"/>
      <c r="B4339" s="355"/>
      <c r="C4339" s="32"/>
      <c r="D4339" s="33"/>
      <c r="E4339" s="34"/>
      <c r="F4339" s="35"/>
      <c r="G4339" s="33"/>
      <c r="H4339" s="34"/>
      <c r="I4339" s="35"/>
      <c r="J4339" s="43"/>
      <c r="K4339" s="42"/>
      <c r="L4339" s="39"/>
      <c r="M4339" s="41"/>
      <c r="N4339" s="356"/>
      <c r="O4339" s="40"/>
      <c r="P4339" s="39"/>
      <c r="Q4339" s="45"/>
      <c r="R4339" s="362"/>
      <c r="S4339" s="363"/>
      <c r="T4339" s="46"/>
      <c r="U4339" s="44"/>
      <c r="V4339" s="1418">
        <f t="shared" si="436"/>
        <v>0</v>
      </c>
      <c r="W4339" s="357"/>
      <c r="X4339" s="357"/>
      <c r="Y4339" s="357"/>
      <c r="Z4339" s="358"/>
      <c r="AA4339" s="359"/>
      <c r="AB4339" s="360"/>
    </row>
    <row r="4340" spans="1:36" s="369" customFormat="1" ht="15" hidden="1">
      <c r="A4340" s="364"/>
      <c r="B4340" s="355"/>
      <c r="C4340" s="32"/>
      <c r="D4340" s="33"/>
      <c r="E4340" s="34"/>
      <c r="F4340" s="35"/>
      <c r="G4340" s="33"/>
      <c r="H4340" s="34"/>
      <c r="I4340" s="35"/>
      <c r="J4340" s="43"/>
      <c r="K4340" s="42"/>
      <c r="L4340" s="39"/>
      <c r="M4340" s="41"/>
      <c r="N4340" s="40"/>
      <c r="O4340" s="40"/>
      <c r="P4340" s="39"/>
      <c r="Q4340" s="38"/>
      <c r="R4340" s="365"/>
      <c r="S4340" s="366"/>
      <c r="T4340" s="46"/>
      <c r="U4340" s="44"/>
      <c r="V4340" s="1418">
        <f t="shared" si="436"/>
        <v>0</v>
      </c>
      <c r="W4340" s="367"/>
      <c r="X4340" s="367"/>
      <c r="Y4340" s="367"/>
      <c r="Z4340" s="368"/>
    </row>
    <row r="4341" spans="1:36" s="77" customFormat="1" ht="15" hidden="1">
      <c r="A4341" s="370"/>
      <c r="B4341" s="29"/>
      <c r="C4341" s="30"/>
      <c r="D4341" s="18"/>
      <c r="E4341" s="19"/>
      <c r="F4341" s="20"/>
      <c r="G4341" s="18"/>
      <c r="H4341" s="19"/>
      <c r="I4341" s="20"/>
      <c r="J4341" s="21"/>
      <c r="K4341" s="22"/>
      <c r="L4341" s="23"/>
      <c r="M4341" s="24"/>
      <c r="N4341" s="25"/>
      <c r="O4341" s="25"/>
      <c r="P4341" s="23"/>
      <c r="Q4341" s="26"/>
      <c r="R4341" s="371"/>
      <c r="S4341" s="27"/>
      <c r="T4341" s="372"/>
      <c r="U4341" s="31"/>
      <c r="V4341" s="1418">
        <f t="shared" si="436"/>
        <v>0</v>
      </c>
      <c r="AB4341" s="15"/>
    </row>
    <row r="4342" spans="1:36" s="77" customFormat="1" ht="15.6" hidden="1">
      <c r="A4342" s="370"/>
      <c r="B4342" s="499"/>
      <c r="C4342" s="37"/>
      <c r="D4342" s="1929" t="s">
        <v>1520</v>
      </c>
      <c r="E4342" s="1930"/>
      <c r="F4342" s="1930"/>
      <c r="G4342" s="1930"/>
      <c r="H4342" s="1930"/>
      <c r="I4342" s="1931"/>
      <c r="J4342" s="1932">
        <f>VLOOKUP(A4344,'11 - FINANCEIRA'!_xlnm.Print_Area,6,FALSE)</f>
        <v>10</v>
      </c>
      <c r="K4342" s="1933"/>
      <c r="L4342" s="1343" t="str">
        <f>VLOOKUP(A4344,'11 - FINANCEIRA'!_xlnm.Print_Area,4,FALSE)</f>
        <v>und</v>
      </c>
      <c r="M4342" s="1934" t="s">
        <v>1521</v>
      </c>
      <c r="N4342" s="1935"/>
      <c r="O4342" s="1935"/>
      <c r="P4342" s="1935"/>
      <c r="Q4342" s="1936"/>
      <c r="R4342" s="726">
        <f>SUM(R4338:R4341)</f>
        <v>10</v>
      </c>
      <c r="S4342" s="1344" t="str">
        <f>L4342</f>
        <v>und</v>
      </c>
      <c r="T4342" s="373"/>
      <c r="U4342" s="486"/>
      <c r="V4342" s="1418">
        <f t="shared" si="436"/>
        <v>0</v>
      </c>
      <c r="AB4342" s="15"/>
    </row>
    <row r="4343" spans="1:36" s="77" customFormat="1" ht="15.6" hidden="1">
      <c r="A4343" s="370"/>
      <c r="B4343" s="499"/>
      <c r="C4343" s="725"/>
      <c r="D4343" s="1937" t="s">
        <v>1522</v>
      </c>
      <c r="E4343" s="1938"/>
      <c r="F4343" s="1938"/>
      <c r="G4343" s="1938"/>
      <c r="H4343" s="1938"/>
      <c r="I4343" s="1939"/>
      <c r="J4343" s="1943">
        <f>R4342/J4342</f>
        <v>1</v>
      </c>
      <c r="K4343" s="1944"/>
      <c r="L4343" s="1947"/>
      <c r="M4343" s="1934" t="s">
        <v>1523</v>
      </c>
      <c r="N4343" s="1935"/>
      <c r="O4343" s="1935"/>
      <c r="P4343" s="1935"/>
      <c r="Q4343" s="1936"/>
      <c r="R4343" s="726">
        <f>VLOOKUP(A4344,'11 - FINANCEIRA'!_xlnm.Print_Area,8,FALSE)</f>
        <v>10</v>
      </c>
      <c r="S4343" s="727" t="str">
        <f>L4342</f>
        <v>und</v>
      </c>
      <c r="T4343" s="373"/>
      <c r="U4343" s="486"/>
      <c r="V4343" s="1418">
        <f t="shared" si="436"/>
        <v>0</v>
      </c>
      <c r="AB4343" s="15"/>
    </row>
    <row r="4344" spans="1:36" s="77" customFormat="1" ht="15.6" hidden="1">
      <c r="A4344" s="364" t="s">
        <v>753</v>
      </c>
      <c r="B4344" s="499"/>
      <c r="C4344" s="37"/>
      <c r="D4344" s="2013"/>
      <c r="E4344" s="2014"/>
      <c r="F4344" s="2014"/>
      <c r="G4344" s="2014"/>
      <c r="H4344" s="2014"/>
      <c r="I4344" s="2015"/>
      <c r="J4344" s="2016"/>
      <c r="K4344" s="2017"/>
      <c r="L4344" s="1962"/>
      <c r="M4344" s="2007" t="s">
        <v>1524</v>
      </c>
      <c r="N4344" s="2008"/>
      <c r="O4344" s="2008"/>
      <c r="P4344" s="2008"/>
      <c r="Q4344" s="2009"/>
      <c r="R4344" s="1345">
        <f>R4342-R4343</f>
        <v>0</v>
      </c>
      <c r="S4344" s="1346" t="str">
        <f>L4342</f>
        <v>und</v>
      </c>
      <c r="T4344" s="373"/>
      <c r="U4344" s="486"/>
      <c r="V4344" s="1418">
        <f>R4344</f>
        <v>0</v>
      </c>
      <c r="AB4344" s="15"/>
    </row>
    <row r="4345" spans="1:36" s="77" customFormat="1" ht="15.6" hidden="1">
      <c r="A4345" s="370"/>
      <c r="B4345" s="1347"/>
      <c r="C4345" s="1348"/>
      <c r="D4345" s="1349"/>
      <c r="E4345" s="1350"/>
      <c r="F4345" s="1349"/>
      <c r="G4345" s="1349"/>
      <c r="H4345" s="1349"/>
      <c r="I4345" s="1349"/>
      <c r="J4345" s="1351"/>
      <c r="K4345" s="1352"/>
      <c r="L4345" s="1353"/>
      <c r="M4345" s="1354"/>
      <c r="N4345" s="1354"/>
      <c r="O4345" s="1354"/>
      <c r="P4345" s="1354"/>
      <c r="Q4345" s="1354"/>
      <c r="R4345" s="1355"/>
      <c r="S4345" s="1356"/>
      <c r="T4345" s="1357"/>
      <c r="U4345" s="1358"/>
      <c r="V4345" s="1420">
        <f>SUM(V4336:V4344)</f>
        <v>0</v>
      </c>
      <c r="AB4345" s="15"/>
    </row>
    <row r="4346" spans="1:36" s="352" customFormat="1" ht="15.6" hidden="1">
      <c r="A4346" s="351"/>
      <c r="B4346" s="1963" t="str">
        <f>VLOOKUP(A4354,'11 - FINANCEIRA'!_xlnm.Print_Area,1,FALSE)</f>
        <v>2.6.3.1.9</v>
      </c>
      <c r="C4346" s="1965" t="str">
        <f>VLOOKUP(A4354,'11 - FINANCEIRA'!_xlnm.Print_Area,3,FALSE)</f>
        <v>Junta para flange classe k7 fofo dn 1200 - BDI = 14,02</v>
      </c>
      <c r="D4346" s="1967" t="s">
        <v>1503</v>
      </c>
      <c r="E4346" s="1968"/>
      <c r="F4346" s="1968"/>
      <c r="G4346" s="1968"/>
      <c r="H4346" s="1968"/>
      <c r="I4346" s="1969"/>
      <c r="J4346" s="1914" t="s">
        <v>1504</v>
      </c>
      <c r="K4346" s="1914" t="s">
        <v>1505</v>
      </c>
      <c r="L4346" s="1914" t="s">
        <v>1506</v>
      </c>
      <c r="M4346" s="1914" t="s">
        <v>1507</v>
      </c>
      <c r="N4346" s="1914" t="s">
        <v>1508</v>
      </c>
      <c r="O4346" s="1914" t="s">
        <v>1509</v>
      </c>
      <c r="P4346" s="1341" t="s">
        <v>1510</v>
      </c>
      <c r="Q4346" s="1914" t="s">
        <v>1493</v>
      </c>
      <c r="R4346" s="1916" t="s">
        <v>804</v>
      </c>
      <c r="S4346" s="1914" t="s">
        <v>1511</v>
      </c>
      <c r="T4346" s="1914" t="s">
        <v>1512</v>
      </c>
      <c r="U4346" s="1918" t="s">
        <v>1513</v>
      </c>
      <c r="V4346" s="1418">
        <f t="shared" ref="V4346:V4353" si="437">V4347</f>
        <v>0</v>
      </c>
      <c r="W4346" s="16"/>
      <c r="X4346" s="16"/>
      <c r="Y4346" s="16"/>
      <c r="Z4346" s="17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</row>
    <row r="4347" spans="1:36" s="352" customFormat="1" ht="15.6" hidden="1">
      <c r="A4347" s="351"/>
      <c r="B4347" s="1964" t="e">
        <f>LEFT(#REF!,5)</f>
        <v>#REF!</v>
      </c>
      <c r="C4347" s="1966" t="e">
        <f>VLOOKUP(LEFT(#REF!,5),'11 - FINANCEIRA'!_xlnm.Print_Area,2,FALSE)</f>
        <v>#REF!</v>
      </c>
      <c r="D4347" s="1920" t="s">
        <v>1514</v>
      </c>
      <c r="E4347" s="1921"/>
      <c r="F4347" s="1922"/>
      <c r="G4347" s="1923" t="s">
        <v>1515</v>
      </c>
      <c r="H4347" s="1924"/>
      <c r="I4347" s="1925"/>
      <c r="J4347" s="1915"/>
      <c r="K4347" s="1915"/>
      <c r="L4347" s="1915"/>
      <c r="M4347" s="1915"/>
      <c r="N4347" s="1915"/>
      <c r="O4347" s="1915"/>
      <c r="P4347" s="353" t="s">
        <v>1516</v>
      </c>
      <c r="Q4347" s="1915"/>
      <c r="R4347" s="1917"/>
      <c r="S4347" s="1915"/>
      <c r="T4347" s="1915"/>
      <c r="U4347" s="1919"/>
      <c r="V4347" s="1418">
        <f t="shared" si="437"/>
        <v>0</v>
      </c>
      <c r="W4347" s="16"/>
      <c r="X4347" s="16"/>
      <c r="Y4347" s="16"/>
      <c r="Z4347" s="17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</row>
    <row r="4348" spans="1:36" s="361" customFormat="1" ht="15" hidden="1">
      <c r="A4348" s="354"/>
      <c r="B4348" s="355"/>
      <c r="C4348" s="32"/>
      <c r="D4348" s="33"/>
      <c r="E4348" s="34"/>
      <c r="F4348" s="35"/>
      <c r="G4348" s="33"/>
      <c r="H4348" s="34"/>
      <c r="I4348" s="35"/>
      <c r="J4348" s="43"/>
      <c r="K4348" s="42"/>
      <c r="L4348" s="39"/>
      <c r="M4348" s="41"/>
      <c r="N4348" s="356"/>
      <c r="O4348" s="40"/>
      <c r="P4348" s="39"/>
      <c r="Q4348" s="45"/>
      <c r="R4348" s="1359"/>
      <c r="S4348" s="1265" t="s">
        <v>1958</v>
      </c>
      <c r="T4348" s="46" t="s">
        <v>298</v>
      </c>
      <c r="U4348" s="44"/>
      <c r="V4348" s="1418">
        <f t="shared" si="437"/>
        <v>0</v>
      </c>
      <c r="W4348" s="357"/>
      <c r="X4348" s="357"/>
      <c r="Y4348" s="357"/>
      <c r="Z4348" s="358"/>
      <c r="AA4348" s="359"/>
      <c r="AB4348" s="360"/>
    </row>
    <row r="4349" spans="1:36" s="361" customFormat="1" ht="15" hidden="1">
      <c r="A4349" s="354"/>
      <c r="B4349" s="355"/>
      <c r="C4349" s="32"/>
      <c r="D4349" s="33"/>
      <c r="E4349" s="34"/>
      <c r="F4349" s="35"/>
      <c r="G4349" s="33"/>
      <c r="H4349" s="34"/>
      <c r="I4349" s="35"/>
      <c r="J4349" s="43"/>
      <c r="K4349" s="42"/>
      <c r="L4349" s="39"/>
      <c r="M4349" s="41"/>
      <c r="N4349" s="356"/>
      <c r="O4349" s="40"/>
      <c r="P4349" s="39"/>
      <c r="Q4349" s="45"/>
      <c r="R4349" s="362"/>
      <c r="S4349" s="363" t="s">
        <v>1958</v>
      </c>
      <c r="T4349" s="46" t="s">
        <v>298</v>
      </c>
      <c r="U4349" s="44"/>
      <c r="V4349" s="1418">
        <f t="shared" si="437"/>
        <v>0</v>
      </c>
      <c r="W4349" s="357"/>
      <c r="X4349" s="357"/>
      <c r="Y4349" s="357"/>
      <c r="Z4349" s="358"/>
      <c r="AA4349" s="359"/>
      <c r="AB4349" s="360"/>
    </row>
    <row r="4350" spans="1:36" s="369" customFormat="1" ht="15" hidden="1">
      <c r="A4350" s="364"/>
      <c r="B4350" s="355"/>
      <c r="C4350" s="32"/>
      <c r="D4350" s="33"/>
      <c r="E4350" s="34"/>
      <c r="F4350" s="35"/>
      <c r="G4350" s="33"/>
      <c r="H4350" s="34"/>
      <c r="I4350" s="35"/>
      <c r="J4350" s="43"/>
      <c r="K4350" s="42"/>
      <c r="L4350" s="39"/>
      <c r="M4350" s="41"/>
      <c r="N4350" s="40"/>
      <c r="O4350" s="40"/>
      <c r="P4350" s="39"/>
      <c r="Q4350" s="38"/>
      <c r="R4350" s="365"/>
      <c r="S4350" s="366" t="s">
        <v>1958</v>
      </c>
      <c r="T4350" s="46" t="s">
        <v>298</v>
      </c>
      <c r="U4350" s="44"/>
      <c r="V4350" s="1418">
        <f t="shared" si="437"/>
        <v>0</v>
      </c>
      <c r="W4350" s="367"/>
      <c r="X4350" s="367"/>
      <c r="Y4350" s="367"/>
      <c r="Z4350" s="368"/>
    </row>
    <row r="4351" spans="1:36" s="77" customFormat="1" ht="15" hidden="1">
      <c r="A4351" s="370"/>
      <c r="B4351" s="29"/>
      <c r="C4351" s="30"/>
      <c r="D4351" s="18"/>
      <c r="E4351" s="19"/>
      <c r="F4351" s="20"/>
      <c r="G4351" s="18"/>
      <c r="H4351" s="19"/>
      <c r="I4351" s="20"/>
      <c r="J4351" s="21"/>
      <c r="K4351" s="22"/>
      <c r="L4351" s="23"/>
      <c r="M4351" s="24"/>
      <c r="N4351" s="25"/>
      <c r="O4351" s="25"/>
      <c r="P4351" s="23"/>
      <c r="Q4351" s="26"/>
      <c r="R4351" s="371"/>
      <c r="S4351" s="27"/>
      <c r="T4351" s="372"/>
      <c r="U4351" s="31"/>
      <c r="V4351" s="1418">
        <f t="shared" si="437"/>
        <v>0</v>
      </c>
      <c r="AB4351" s="15"/>
    </row>
    <row r="4352" spans="1:36" s="77" customFormat="1" ht="15.6" hidden="1">
      <c r="A4352" s="370"/>
      <c r="B4352" s="499"/>
      <c r="C4352" s="37"/>
      <c r="D4352" s="1929" t="s">
        <v>1520</v>
      </c>
      <c r="E4352" s="1930"/>
      <c r="F4352" s="1930"/>
      <c r="G4352" s="1930"/>
      <c r="H4352" s="1930"/>
      <c r="I4352" s="1931"/>
      <c r="J4352" s="1932">
        <f>VLOOKUP(A4354,'11 - FINANCEIRA'!_xlnm.Print_Area,6,FALSE)</f>
        <v>50</v>
      </c>
      <c r="K4352" s="1933"/>
      <c r="L4352" s="1343" t="str">
        <f>VLOOKUP(A4354,'11 - FINANCEIRA'!_xlnm.Print_Area,4,FALSE)</f>
        <v>pc</v>
      </c>
      <c r="M4352" s="1934" t="s">
        <v>1521</v>
      </c>
      <c r="N4352" s="1935"/>
      <c r="O4352" s="1935"/>
      <c r="P4352" s="1935"/>
      <c r="Q4352" s="1936"/>
      <c r="R4352" s="726">
        <f>SUM(R4348:R4351)</f>
        <v>0</v>
      </c>
      <c r="S4352" s="1344" t="str">
        <f>L4352</f>
        <v>pc</v>
      </c>
      <c r="T4352" s="373"/>
      <c r="U4352" s="486"/>
      <c r="V4352" s="1418">
        <f t="shared" si="437"/>
        <v>0</v>
      </c>
      <c r="AB4352" s="15"/>
    </row>
    <row r="4353" spans="1:36" s="77" customFormat="1" ht="15.6" hidden="1">
      <c r="A4353" s="370"/>
      <c r="B4353" s="499"/>
      <c r="C4353" s="725"/>
      <c r="D4353" s="1937" t="s">
        <v>1522</v>
      </c>
      <c r="E4353" s="1938"/>
      <c r="F4353" s="1938"/>
      <c r="G4353" s="1938"/>
      <c r="H4353" s="1938"/>
      <c r="I4353" s="1939"/>
      <c r="J4353" s="1943">
        <f>R4352/J4352</f>
        <v>0</v>
      </c>
      <c r="K4353" s="1944"/>
      <c r="L4353" s="1947"/>
      <c r="M4353" s="1934" t="s">
        <v>1523</v>
      </c>
      <c r="N4353" s="1935"/>
      <c r="O4353" s="1935"/>
      <c r="P4353" s="1935"/>
      <c r="Q4353" s="1936"/>
      <c r="R4353" s="726">
        <f>VLOOKUP(A4354,'11 - FINANCEIRA'!_xlnm.Print_Area,8,FALSE)</f>
        <v>0</v>
      </c>
      <c r="S4353" s="727" t="str">
        <f>L4352</f>
        <v>pc</v>
      </c>
      <c r="T4353" s="373"/>
      <c r="U4353" s="486"/>
      <c r="V4353" s="1418">
        <f t="shared" si="437"/>
        <v>0</v>
      </c>
      <c r="AB4353" s="15"/>
    </row>
    <row r="4354" spans="1:36" s="77" customFormat="1" ht="15.6" hidden="1">
      <c r="A4354" s="364" t="s">
        <v>754</v>
      </c>
      <c r="B4354" s="499"/>
      <c r="C4354" s="37"/>
      <c r="D4354" s="2013"/>
      <c r="E4354" s="2014"/>
      <c r="F4354" s="2014"/>
      <c r="G4354" s="2014"/>
      <c r="H4354" s="2014"/>
      <c r="I4354" s="2015"/>
      <c r="J4354" s="2016"/>
      <c r="K4354" s="2017"/>
      <c r="L4354" s="1962"/>
      <c r="M4354" s="2007" t="s">
        <v>1524</v>
      </c>
      <c r="N4354" s="2008"/>
      <c r="O4354" s="2008"/>
      <c r="P4354" s="2008"/>
      <c r="Q4354" s="2009"/>
      <c r="R4354" s="1345">
        <f>R4352-R4353</f>
        <v>0</v>
      </c>
      <c r="S4354" s="1346" t="str">
        <f>L4352</f>
        <v>pc</v>
      </c>
      <c r="T4354" s="373"/>
      <c r="U4354" s="486"/>
      <c r="V4354" s="1418">
        <f>R4354</f>
        <v>0</v>
      </c>
      <c r="AB4354" s="15"/>
    </row>
    <row r="4355" spans="1:36" s="77" customFormat="1" ht="15.6" hidden="1">
      <c r="A4355" s="370"/>
      <c r="B4355" s="1347"/>
      <c r="C4355" s="1348"/>
      <c r="D4355" s="1349"/>
      <c r="E4355" s="1350"/>
      <c r="F4355" s="1349"/>
      <c r="G4355" s="1349"/>
      <c r="H4355" s="1349"/>
      <c r="I4355" s="1349"/>
      <c r="J4355" s="1351"/>
      <c r="K4355" s="1352"/>
      <c r="L4355" s="1353"/>
      <c r="M4355" s="1354"/>
      <c r="N4355" s="1354"/>
      <c r="O4355" s="1354"/>
      <c r="P4355" s="1354"/>
      <c r="Q4355" s="1354"/>
      <c r="R4355" s="1355"/>
      <c r="S4355" s="1356"/>
      <c r="T4355" s="1357"/>
      <c r="U4355" s="1358"/>
      <c r="V4355" s="1420">
        <f>SUM(V4346:V4354)</f>
        <v>0</v>
      </c>
      <c r="AB4355" s="15"/>
    </row>
    <row r="4356" spans="1:36" s="352" customFormat="1" ht="15.6" hidden="1">
      <c r="A4356" s="351"/>
      <c r="B4356" s="1963" t="str">
        <f>VLOOKUP(A4364,'11 - FINANCEIRA'!_xlnm.Print_Area,1,FALSE)</f>
        <v>2.6.3.1.10</v>
      </c>
      <c r="C4356" s="1965" t="str">
        <f>VLOOKUP(A4364,'11 - FINANCEIRA'!_xlnm.Print_Area,3,FALSE)</f>
        <v>Parafuso c/ porcas para flanges  - BDI = 14,02</v>
      </c>
      <c r="D4356" s="1967" t="s">
        <v>1503</v>
      </c>
      <c r="E4356" s="1968"/>
      <c r="F4356" s="1968"/>
      <c r="G4356" s="1968"/>
      <c r="H4356" s="1968"/>
      <c r="I4356" s="1969"/>
      <c r="J4356" s="1914" t="s">
        <v>1504</v>
      </c>
      <c r="K4356" s="1914" t="s">
        <v>1505</v>
      </c>
      <c r="L4356" s="1914" t="s">
        <v>1506</v>
      </c>
      <c r="M4356" s="1914" t="s">
        <v>1507</v>
      </c>
      <c r="N4356" s="1914" t="s">
        <v>1508</v>
      </c>
      <c r="O4356" s="1914" t="s">
        <v>1509</v>
      </c>
      <c r="P4356" s="1341" t="s">
        <v>1510</v>
      </c>
      <c r="Q4356" s="1914" t="s">
        <v>1493</v>
      </c>
      <c r="R4356" s="1916" t="s">
        <v>804</v>
      </c>
      <c r="S4356" s="1914" t="s">
        <v>1511</v>
      </c>
      <c r="T4356" s="1914" t="s">
        <v>1512</v>
      </c>
      <c r="U4356" s="1918" t="s">
        <v>1513</v>
      </c>
      <c r="V4356" s="1418">
        <f t="shared" ref="V4356:V4363" si="438">V4357</f>
        <v>0</v>
      </c>
      <c r="W4356" s="16"/>
      <c r="X4356" s="16"/>
      <c r="Y4356" s="16"/>
      <c r="Z4356" s="17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</row>
    <row r="4357" spans="1:36" s="352" customFormat="1" ht="15.6" hidden="1">
      <c r="A4357" s="351"/>
      <c r="B4357" s="1964" t="e">
        <f>LEFT(#REF!,5)</f>
        <v>#REF!</v>
      </c>
      <c r="C4357" s="1966" t="e">
        <f>VLOOKUP(LEFT(#REF!,5),'11 - FINANCEIRA'!_xlnm.Print_Area,2,FALSE)</f>
        <v>#REF!</v>
      </c>
      <c r="D4357" s="1920" t="s">
        <v>1514</v>
      </c>
      <c r="E4357" s="1921"/>
      <c r="F4357" s="1922"/>
      <c r="G4357" s="1923" t="s">
        <v>1515</v>
      </c>
      <c r="H4357" s="1924"/>
      <c r="I4357" s="1925"/>
      <c r="J4357" s="1915"/>
      <c r="K4357" s="1915"/>
      <c r="L4357" s="1915"/>
      <c r="M4357" s="1915"/>
      <c r="N4357" s="1915"/>
      <c r="O4357" s="1915"/>
      <c r="P4357" s="353" t="s">
        <v>1516</v>
      </c>
      <c r="Q4357" s="1915"/>
      <c r="R4357" s="1917"/>
      <c r="S4357" s="1915"/>
      <c r="T4357" s="1915"/>
      <c r="U4357" s="1919"/>
      <c r="V4357" s="1418">
        <f t="shared" si="438"/>
        <v>0</v>
      </c>
      <c r="W4357" s="16"/>
      <c r="X4357" s="16"/>
      <c r="Y4357" s="16"/>
      <c r="Z4357" s="17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</row>
    <row r="4358" spans="1:36" s="361" customFormat="1" ht="15" hidden="1">
      <c r="A4358" s="354"/>
      <c r="B4358" s="355"/>
      <c r="C4358" s="28" t="s">
        <v>1433</v>
      </c>
      <c r="D4358" s="18"/>
      <c r="E4358" s="19"/>
      <c r="F4358" s="20"/>
      <c r="G4358" s="18"/>
      <c r="H4358" s="19"/>
      <c r="I4358" s="20"/>
      <c r="J4358" s="21"/>
      <c r="K4358" s="22"/>
      <c r="L4358" s="23"/>
      <c r="M4358" s="24"/>
      <c r="N4358" s="728"/>
      <c r="O4358" s="25"/>
      <c r="P4358" s="23"/>
      <c r="Q4358" s="729"/>
      <c r="R4358" s="1109">
        <v>1600</v>
      </c>
      <c r="S4358" s="730" t="s">
        <v>816</v>
      </c>
      <c r="T4358" s="446" t="s">
        <v>322</v>
      </c>
      <c r="U4358" s="44"/>
      <c r="V4358" s="1418">
        <f t="shared" si="438"/>
        <v>0</v>
      </c>
      <c r="W4358" s="357"/>
      <c r="X4358" s="357"/>
      <c r="Y4358" s="357"/>
      <c r="Z4358" s="358"/>
      <c r="AA4358" s="359"/>
      <c r="AB4358" s="360"/>
    </row>
    <row r="4359" spans="1:36" s="361" customFormat="1" ht="15" hidden="1">
      <c r="A4359" s="354"/>
      <c r="B4359" s="355"/>
      <c r="C4359" s="32"/>
      <c r="D4359" s="33"/>
      <c r="E4359" s="34"/>
      <c r="F4359" s="35"/>
      <c r="G4359" s="33"/>
      <c r="H4359" s="34"/>
      <c r="I4359" s="35"/>
      <c r="J4359" s="43"/>
      <c r="K4359" s="42"/>
      <c r="L4359" s="39"/>
      <c r="M4359" s="41"/>
      <c r="N4359" s="356"/>
      <c r="O4359" s="40"/>
      <c r="P4359" s="39"/>
      <c r="Q4359" s="45"/>
      <c r="R4359" s="362"/>
      <c r="S4359" s="363"/>
      <c r="T4359" s="46"/>
      <c r="U4359" s="44"/>
      <c r="V4359" s="1418">
        <f t="shared" si="438"/>
        <v>0</v>
      </c>
      <c r="W4359" s="357"/>
      <c r="X4359" s="357"/>
      <c r="Y4359" s="357"/>
      <c r="Z4359" s="358"/>
      <c r="AA4359" s="359"/>
      <c r="AB4359" s="360"/>
    </row>
    <row r="4360" spans="1:36" s="369" customFormat="1" ht="15" hidden="1">
      <c r="A4360" s="364"/>
      <c r="B4360" s="355"/>
      <c r="C4360" s="32"/>
      <c r="D4360" s="33"/>
      <c r="E4360" s="34"/>
      <c r="F4360" s="35"/>
      <c r="G4360" s="33"/>
      <c r="H4360" s="34"/>
      <c r="I4360" s="35"/>
      <c r="J4360" s="43"/>
      <c r="K4360" s="42"/>
      <c r="L4360" s="39"/>
      <c r="M4360" s="41"/>
      <c r="N4360" s="40"/>
      <c r="O4360" s="40"/>
      <c r="P4360" s="39"/>
      <c r="Q4360" s="38"/>
      <c r="R4360" s="365"/>
      <c r="S4360" s="366"/>
      <c r="T4360" s="46"/>
      <c r="U4360" s="44"/>
      <c r="V4360" s="1418">
        <f t="shared" si="438"/>
        <v>0</v>
      </c>
      <c r="W4360" s="367"/>
      <c r="X4360" s="367"/>
      <c r="Y4360" s="367"/>
      <c r="Z4360" s="368"/>
    </row>
    <row r="4361" spans="1:36" s="77" customFormat="1" ht="15" hidden="1">
      <c r="A4361" s="370"/>
      <c r="B4361" s="29"/>
      <c r="C4361" s="30"/>
      <c r="D4361" s="18"/>
      <c r="E4361" s="19"/>
      <c r="F4361" s="20"/>
      <c r="G4361" s="18"/>
      <c r="H4361" s="19"/>
      <c r="I4361" s="20"/>
      <c r="J4361" s="21"/>
      <c r="K4361" s="22"/>
      <c r="L4361" s="23"/>
      <c r="M4361" s="24"/>
      <c r="N4361" s="25"/>
      <c r="O4361" s="25"/>
      <c r="P4361" s="23"/>
      <c r="Q4361" s="26"/>
      <c r="R4361" s="371"/>
      <c r="S4361" s="27"/>
      <c r="T4361" s="372"/>
      <c r="U4361" s="31"/>
      <c r="V4361" s="1418">
        <f t="shared" si="438"/>
        <v>0</v>
      </c>
      <c r="AB4361" s="15"/>
    </row>
    <row r="4362" spans="1:36" s="77" customFormat="1" ht="15.6" hidden="1">
      <c r="A4362" s="370"/>
      <c r="B4362" s="499"/>
      <c r="C4362" s="37"/>
      <c r="D4362" s="1929" t="s">
        <v>1520</v>
      </c>
      <c r="E4362" s="1930"/>
      <c r="F4362" s="1930"/>
      <c r="G4362" s="1930"/>
      <c r="H4362" s="1930"/>
      <c r="I4362" s="1931"/>
      <c r="J4362" s="1932">
        <f>VLOOKUP(A4364,'11 - FINANCEIRA'!_xlnm.Print_Area,6,FALSE)</f>
        <v>1600</v>
      </c>
      <c r="K4362" s="1933"/>
      <c r="L4362" s="1343" t="str">
        <f>VLOOKUP(A4364,'11 - FINANCEIRA'!_xlnm.Print_Area,4,FALSE)</f>
        <v>und</v>
      </c>
      <c r="M4362" s="1934" t="s">
        <v>1521</v>
      </c>
      <c r="N4362" s="1935"/>
      <c r="O4362" s="1935"/>
      <c r="P4362" s="1935"/>
      <c r="Q4362" s="1936"/>
      <c r="R4362" s="726">
        <f>SUM(R4358:R4361)</f>
        <v>1600</v>
      </c>
      <c r="S4362" s="1344" t="str">
        <f>L4362</f>
        <v>und</v>
      </c>
      <c r="T4362" s="373"/>
      <c r="U4362" s="486"/>
      <c r="V4362" s="1418">
        <f t="shared" si="438"/>
        <v>0</v>
      </c>
      <c r="AB4362" s="15"/>
    </row>
    <row r="4363" spans="1:36" s="77" customFormat="1" ht="15.6" hidden="1">
      <c r="A4363" s="370"/>
      <c r="B4363" s="499"/>
      <c r="C4363" s="725"/>
      <c r="D4363" s="1937" t="s">
        <v>1522</v>
      </c>
      <c r="E4363" s="1938"/>
      <c r="F4363" s="1938"/>
      <c r="G4363" s="1938"/>
      <c r="H4363" s="1938"/>
      <c r="I4363" s="1939"/>
      <c r="J4363" s="1943">
        <f>R4362/J4362</f>
        <v>1</v>
      </c>
      <c r="K4363" s="1944"/>
      <c r="L4363" s="1947"/>
      <c r="M4363" s="1934" t="s">
        <v>1523</v>
      </c>
      <c r="N4363" s="1935"/>
      <c r="O4363" s="1935"/>
      <c r="P4363" s="1935"/>
      <c r="Q4363" s="1936"/>
      <c r="R4363" s="726">
        <f>VLOOKUP(A4364,'11 - FINANCEIRA'!_xlnm.Print_Area,8,FALSE)</f>
        <v>1600</v>
      </c>
      <c r="S4363" s="727" t="str">
        <f>L4362</f>
        <v>und</v>
      </c>
      <c r="T4363" s="373"/>
      <c r="U4363" s="486"/>
      <c r="V4363" s="1418">
        <f t="shared" si="438"/>
        <v>0</v>
      </c>
      <c r="AB4363" s="15"/>
    </row>
    <row r="4364" spans="1:36" s="77" customFormat="1" ht="15.6" hidden="1">
      <c r="A4364" s="364" t="s">
        <v>755</v>
      </c>
      <c r="B4364" s="499"/>
      <c r="C4364" s="37"/>
      <c r="D4364" s="2013"/>
      <c r="E4364" s="2014"/>
      <c r="F4364" s="2014"/>
      <c r="G4364" s="2014"/>
      <c r="H4364" s="2014"/>
      <c r="I4364" s="2015"/>
      <c r="J4364" s="2016"/>
      <c r="K4364" s="2017"/>
      <c r="L4364" s="1962"/>
      <c r="M4364" s="2007" t="s">
        <v>1524</v>
      </c>
      <c r="N4364" s="2008"/>
      <c r="O4364" s="2008"/>
      <c r="P4364" s="2008"/>
      <c r="Q4364" s="2009"/>
      <c r="R4364" s="1345">
        <f>R4362-R4363</f>
        <v>0</v>
      </c>
      <c r="S4364" s="1346" t="str">
        <f>L4362</f>
        <v>und</v>
      </c>
      <c r="T4364" s="373"/>
      <c r="U4364" s="486"/>
      <c r="V4364" s="1418">
        <f>R4364</f>
        <v>0</v>
      </c>
      <c r="AB4364" s="15"/>
    </row>
    <row r="4365" spans="1:36" s="77" customFormat="1" ht="15.6" hidden="1">
      <c r="A4365" s="370"/>
      <c r="B4365" s="1347"/>
      <c r="C4365" s="1348"/>
      <c r="D4365" s="1349"/>
      <c r="E4365" s="1350"/>
      <c r="F4365" s="1349"/>
      <c r="G4365" s="1349"/>
      <c r="H4365" s="1349"/>
      <c r="I4365" s="1349"/>
      <c r="J4365" s="1351"/>
      <c r="K4365" s="1352"/>
      <c r="L4365" s="1353"/>
      <c r="M4365" s="1354"/>
      <c r="N4365" s="1354"/>
      <c r="O4365" s="1354"/>
      <c r="P4365" s="1354"/>
      <c r="Q4365" s="1354"/>
      <c r="R4365" s="1355"/>
      <c r="S4365" s="1356"/>
      <c r="T4365" s="1357"/>
      <c r="U4365" s="1358"/>
      <c r="V4365" s="1420">
        <f>SUM(V4356:V4364)</f>
        <v>0</v>
      </c>
      <c r="AB4365" s="15"/>
    </row>
    <row r="4366" spans="1:36" s="632" customFormat="1" ht="15.6" hidden="1">
      <c r="A4366" s="630"/>
      <c r="B4366" s="1333" t="str">
        <f>LEFT(A4375,7)</f>
        <v>2.6.3.2</v>
      </c>
      <c r="C4366" s="1334" t="str">
        <f>VLOOKUP(LEFT(A4375,7),'11 - FINANCEIRA'!_xlnm.Print_Area,3,FALSE)</f>
        <v>Assentamento de peças, conexões, aparelhos e acessorios de ferro fundido ductil, junta elástica, mecânica ou flangeada, com diametros de 1200 mm.</v>
      </c>
      <c r="D4366" s="1334"/>
      <c r="E4366" s="1335"/>
      <c r="F4366" s="1334"/>
      <c r="G4366" s="1336"/>
      <c r="H4366" s="1337"/>
      <c r="I4366" s="1337"/>
      <c r="J4366" s="1337"/>
      <c r="K4366" s="1337"/>
      <c r="L4366" s="1337"/>
      <c r="M4366" s="1338"/>
      <c r="N4366" s="1339"/>
      <c r="O4366" s="2072"/>
      <c r="P4366" s="2072"/>
      <c r="Q4366" s="2072"/>
      <c r="R4366" s="2082"/>
      <c r="S4366" s="633"/>
      <c r="V4366" s="631">
        <f>SUM(V4367:V4376)</f>
        <v>0</v>
      </c>
    </row>
    <row r="4367" spans="1:36" s="352" customFormat="1" ht="15.6" hidden="1">
      <c r="A4367" s="351"/>
      <c r="B4367" s="1963" t="str">
        <f>VLOOKUP(A4375,'11 - FINANCEIRA'!_xlnm.Print_Area,1,FALSE)</f>
        <v>2.6.3.2</v>
      </c>
      <c r="C4367" s="1965" t="str">
        <f>VLOOKUP(A4375,'11 - FINANCEIRA'!_xlnm.Print_Area,3,FALSE)</f>
        <v>Assentamento de peças, conexões, aparelhos e acessorios de ferro fundido ductil, junta elástica, mecânica ou flangeada, com diametros de 1200 mm.</v>
      </c>
      <c r="D4367" s="1967" t="s">
        <v>1503</v>
      </c>
      <c r="E4367" s="1968"/>
      <c r="F4367" s="1968"/>
      <c r="G4367" s="1968"/>
      <c r="H4367" s="1968"/>
      <c r="I4367" s="1969"/>
      <c r="J4367" s="1914" t="s">
        <v>1504</v>
      </c>
      <c r="K4367" s="1914" t="s">
        <v>1505</v>
      </c>
      <c r="L4367" s="1914" t="s">
        <v>1506</v>
      </c>
      <c r="M4367" s="1914" t="s">
        <v>1507</v>
      </c>
      <c r="N4367" s="1914" t="s">
        <v>1508</v>
      </c>
      <c r="O4367" s="1914" t="s">
        <v>1509</v>
      </c>
      <c r="P4367" s="1341" t="s">
        <v>1510</v>
      </c>
      <c r="Q4367" s="1914" t="s">
        <v>1493</v>
      </c>
      <c r="R4367" s="1916" t="s">
        <v>804</v>
      </c>
      <c r="S4367" s="1914" t="s">
        <v>1511</v>
      </c>
      <c r="T4367" s="1914" t="s">
        <v>1512</v>
      </c>
      <c r="U4367" s="1918" t="s">
        <v>1513</v>
      </c>
      <c r="V4367" s="1418">
        <f t="shared" ref="V4367:V4374" si="439">V4368</f>
        <v>0</v>
      </c>
      <c r="W4367" s="16"/>
      <c r="X4367" s="16"/>
      <c r="Y4367" s="16"/>
      <c r="Z4367" s="17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</row>
    <row r="4368" spans="1:36" s="352" customFormat="1" ht="15.6" hidden="1">
      <c r="A4368" s="351"/>
      <c r="B4368" s="1964" t="e">
        <f>LEFT(#REF!,5)</f>
        <v>#REF!</v>
      </c>
      <c r="C4368" s="1966" t="e">
        <f>VLOOKUP(LEFT(#REF!,5),'11 - FINANCEIRA'!_xlnm.Print_Area,2,FALSE)</f>
        <v>#REF!</v>
      </c>
      <c r="D4368" s="1920" t="s">
        <v>1514</v>
      </c>
      <c r="E4368" s="1921"/>
      <c r="F4368" s="1922"/>
      <c r="G4368" s="1923" t="s">
        <v>1515</v>
      </c>
      <c r="H4368" s="1924"/>
      <c r="I4368" s="1925"/>
      <c r="J4368" s="1915"/>
      <c r="K4368" s="1915"/>
      <c r="L4368" s="1915"/>
      <c r="M4368" s="1915"/>
      <c r="N4368" s="1915"/>
      <c r="O4368" s="1915"/>
      <c r="P4368" s="353" t="s">
        <v>1516</v>
      </c>
      <c r="Q4368" s="1915"/>
      <c r="R4368" s="1917"/>
      <c r="S4368" s="1915"/>
      <c r="T4368" s="1915"/>
      <c r="U4368" s="1919"/>
      <c r="V4368" s="1418">
        <f t="shared" si="439"/>
        <v>0</v>
      </c>
      <c r="W4368" s="16"/>
      <c r="X4368" s="16"/>
      <c r="Y4368" s="16"/>
      <c r="Z4368" s="17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</row>
    <row r="4369" spans="1:36" s="361" customFormat="1" ht="30" hidden="1">
      <c r="A4369" s="354"/>
      <c r="B4369" s="355"/>
      <c r="C4369" s="28" t="s">
        <v>1435</v>
      </c>
      <c r="D4369" s="18"/>
      <c r="E4369" s="19"/>
      <c r="F4369" s="20"/>
      <c r="G4369" s="18"/>
      <c r="H4369" s="19"/>
      <c r="I4369" s="20"/>
      <c r="J4369" s="21"/>
      <c r="K4369" s="22"/>
      <c r="L4369" s="23"/>
      <c r="M4369" s="24"/>
      <c r="N4369" s="728"/>
      <c r="O4369" s="25"/>
      <c r="P4369" s="23"/>
      <c r="Q4369" s="729"/>
      <c r="R4369" s="1109">
        <v>293</v>
      </c>
      <c r="S4369" s="730" t="s">
        <v>809</v>
      </c>
      <c r="T4369" s="446" t="s">
        <v>323</v>
      </c>
      <c r="U4369" s="44"/>
      <c r="V4369" s="1418">
        <f t="shared" si="439"/>
        <v>0</v>
      </c>
      <c r="W4369" s="357"/>
      <c r="X4369" s="357"/>
      <c r="Y4369" s="357"/>
      <c r="Z4369" s="358"/>
      <c r="AA4369" s="359"/>
      <c r="AB4369" s="360"/>
    </row>
    <row r="4370" spans="1:36" s="361" customFormat="1" ht="15" hidden="1" customHeight="1">
      <c r="A4370" s="354"/>
      <c r="B4370" s="355"/>
      <c r="C4370" s="32"/>
      <c r="D4370" s="33"/>
      <c r="E4370" s="34"/>
      <c r="F4370" s="35"/>
      <c r="G4370" s="33"/>
      <c r="H4370" s="34"/>
      <c r="I4370" s="35"/>
      <c r="J4370" s="43"/>
      <c r="K4370" s="42"/>
      <c r="L4370" s="39"/>
      <c r="M4370" s="41"/>
      <c r="N4370" s="356"/>
      <c r="O4370" s="40"/>
      <c r="P4370" s="39"/>
      <c r="Q4370" s="45"/>
      <c r="R4370" s="362"/>
      <c r="S4370" s="363"/>
      <c r="T4370" s="46"/>
      <c r="U4370" s="44"/>
      <c r="V4370" s="1418">
        <f t="shared" si="439"/>
        <v>0</v>
      </c>
      <c r="W4370" s="357"/>
      <c r="X4370" s="357"/>
      <c r="Y4370" s="357"/>
      <c r="Z4370" s="358"/>
      <c r="AA4370" s="359"/>
      <c r="AB4370" s="360"/>
    </row>
    <row r="4371" spans="1:36" s="369" customFormat="1" ht="15" hidden="1">
      <c r="A4371" s="364"/>
      <c r="B4371" s="355"/>
      <c r="C4371" s="32"/>
      <c r="D4371" s="33"/>
      <c r="E4371" s="34"/>
      <c r="F4371" s="35"/>
      <c r="G4371" s="33"/>
      <c r="H4371" s="34"/>
      <c r="I4371" s="35"/>
      <c r="J4371" s="43"/>
      <c r="K4371" s="42"/>
      <c r="L4371" s="39"/>
      <c r="M4371" s="41"/>
      <c r="N4371" s="40"/>
      <c r="O4371" s="40"/>
      <c r="P4371" s="39"/>
      <c r="Q4371" s="38"/>
      <c r="R4371" s="365"/>
      <c r="S4371" s="366"/>
      <c r="T4371" s="46"/>
      <c r="U4371" s="44"/>
      <c r="V4371" s="1418">
        <f t="shared" si="439"/>
        <v>0</v>
      </c>
      <c r="W4371" s="367"/>
      <c r="X4371" s="367"/>
      <c r="Y4371" s="367"/>
      <c r="Z4371" s="368"/>
    </row>
    <row r="4372" spans="1:36" s="77" customFormat="1" ht="15" hidden="1">
      <c r="A4372" s="370"/>
      <c r="B4372" s="29"/>
      <c r="C4372" s="30"/>
      <c r="D4372" s="18"/>
      <c r="E4372" s="19"/>
      <c r="F4372" s="20"/>
      <c r="G4372" s="18"/>
      <c r="H4372" s="19"/>
      <c r="I4372" s="20"/>
      <c r="J4372" s="21"/>
      <c r="K4372" s="22"/>
      <c r="L4372" s="23"/>
      <c r="M4372" s="24"/>
      <c r="N4372" s="25"/>
      <c r="O4372" s="25"/>
      <c r="P4372" s="23"/>
      <c r="Q4372" s="26"/>
      <c r="R4372" s="371"/>
      <c r="S4372" s="27"/>
      <c r="T4372" s="372"/>
      <c r="U4372" s="31"/>
      <c r="V4372" s="1418">
        <f t="shared" si="439"/>
        <v>0</v>
      </c>
      <c r="AB4372" s="15"/>
    </row>
    <row r="4373" spans="1:36" s="77" customFormat="1" ht="15.6" hidden="1">
      <c r="A4373" s="370"/>
      <c r="B4373" s="499"/>
      <c r="C4373" s="37"/>
      <c r="D4373" s="1929" t="s">
        <v>1520</v>
      </c>
      <c r="E4373" s="1930"/>
      <c r="F4373" s="1930"/>
      <c r="G4373" s="1930"/>
      <c r="H4373" s="1930"/>
      <c r="I4373" s="1931"/>
      <c r="J4373" s="1932">
        <f>VLOOKUP(A4375,'11 - FINANCEIRA'!_xlnm.Print_Area,6,FALSE)</f>
        <v>293</v>
      </c>
      <c r="K4373" s="1933"/>
      <c r="L4373" s="1343" t="str">
        <f>VLOOKUP(A4375,'11 - FINANCEIRA'!_xlnm.Print_Area,4,FALSE)</f>
        <v>m</v>
      </c>
      <c r="M4373" s="1934" t="s">
        <v>1521</v>
      </c>
      <c r="N4373" s="1935"/>
      <c r="O4373" s="1935"/>
      <c r="P4373" s="1935"/>
      <c r="Q4373" s="1936"/>
      <c r="R4373" s="726">
        <f>SUM(R4369:R4372)</f>
        <v>293</v>
      </c>
      <c r="S4373" s="1344" t="str">
        <f>L4373</f>
        <v>m</v>
      </c>
      <c r="T4373" s="373"/>
      <c r="U4373" s="486"/>
      <c r="V4373" s="1418">
        <f t="shared" si="439"/>
        <v>0</v>
      </c>
      <c r="AB4373" s="15"/>
    </row>
    <row r="4374" spans="1:36" s="77" customFormat="1" ht="15.6" hidden="1">
      <c r="A4374" s="370"/>
      <c r="B4374" s="499"/>
      <c r="C4374" s="725"/>
      <c r="D4374" s="1937" t="s">
        <v>1522</v>
      </c>
      <c r="E4374" s="1938"/>
      <c r="F4374" s="1938"/>
      <c r="G4374" s="1938"/>
      <c r="H4374" s="1938"/>
      <c r="I4374" s="1939"/>
      <c r="J4374" s="1943">
        <f>R4373/J4373</f>
        <v>1</v>
      </c>
      <c r="K4374" s="1944"/>
      <c r="L4374" s="1947"/>
      <c r="M4374" s="1934" t="s">
        <v>1523</v>
      </c>
      <c r="N4374" s="1935"/>
      <c r="O4374" s="1935"/>
      <c r="P4374" s="1935"/>
      <c r="Q4374" s="1936"/>
      <c r="R4374" s="726">
        <f>VLOOKUP(A4375,'11 - FINANCEIRA'!_xlnm.Print_Area,8,FALSE)</f>
        <v>293</v>
      </c>
      <c r="S4374" s="727" t="str">
        <f>L4373</f>
        <v>m</v>
      </c>
      <c r="T4374" s="373"/>
      <c r="U4374" s="486"/>
      <c r="V4374" s="1418">
        <f t="shared" si="439"/>
        <v>0</v>
      </c>
      <c r="AB4374" s="15"/>
    </row>
    <row r="4375" spans="1:36" s="77" customFormat="1" ht="15.6" hidden="1">
      <c r="A4375" s="364" t="s">
        <v>756</v>
      </c>
      <c r="B4375" s="499"/>
      <c r="C4375" s="37"/>
      <c r="D4375" s="2013"/>
      <c r="E4375" s="2014"/>
      <c r="F4375" s="2014"/>
      <c r="G4375" s="2014"/>
      <c r="H4375" s="2014"/>
      <c r="I4375" s="2015"/>
      <c r="J4375" s="2016"/>
      <c r="K4375" s="2017"/>
      <c r="L4375" s="1962"/>
      <c r="M4375" s="2007" t="s">
        <v>1524</v>
      </c>
      <c r="N4375" s="2008"/>
      <c r="O4375" s="2008"/>
      <c r="P4375" s="2008"/>
      <c r="Q4375" s="2009"/>
      <c r="R4375" s="1345">
        <f>R4373-R4374</f>
        <v>0</v>
      </c>
      <c r="S4375" s="1346" t="str">
        <f>L4373</f>
        <v>m</v>
      </c>
      <c r="T4375" s="373"/>
      <c r="U4375" s="486"/>
      <c r="V4375" s="1418">
        <f>R4375</f>
        <v>0</v>
      </c>
      <c r="AB4375" s="15"/>
    </row>
    <row r="4376" spans="1:36" s="77" customFormat="1" ht="15.6" hidden="1">
      <c r="A4376" s="370"/>
      <c r="B4376" s="1347"/>
      <c r="C4376" s="1348"/>
      <c r="D4376" s="1349"/>
      <c r="E4376" s="1350"/>
      <c r="F4376" s="1349"/>
      <c r="G4376" s="1349"/>
      <c r="H4376" s="1349"/>
      <c r="I4376" s="1349"/>
      <c r="J4376" s="1351"/>
      <c r="K4376" s="1352"/>
      <c r="L4376" s="1353"/>
      <c r="M4376" s="1354"/>
      <c r="N4376" s="1354"/>
      <c r="O4376" s="1354"/>
      <c r="P4376" s="1354"/>
      <c r="Q4376" s="1354"/>
      <c r="R4376" s="1355"/>
      <c r="S4376" s="1356"/>
      <c r="T4376" s="1357"/>
      <c r="U4376" s="1358"/>
      <c r="V4376" s="1420">
        <f>SUM(V4367:V4375)</f>
        <v>0</v>
      </c>
      <c r="AB4376" s="15"/>
    </row>
    <row r="4377" spans="1:36" ht="15.6">
      <c r="B4377" s="2079" t="s">
        <v>1966</v>
      </c>
      <c r="C4377" s="2080"/>
      <c r="D4377" s="2080"/>
      <c r="E4377" s="2080"/>
      <c r="F4377" s="2080"/>
      <c r="G4377" s="2080"/>
      <c r="H4377" s="2080"/>
      <c r="I4377" s="2080"/>
      <c r="J4377" s="2080"/>
      <c r="K4377" s="2080"/>
      <c r="L4377" s="2080"/>
      <c r="M4377" s="2080"/>
      <c r="N4377" s="2080"/>
      <c r="O4377" s="2080"/>
      <c r="P4377" s="2080"/>
      <c r="Q4377" s="2080"/>
      <c r="R4377" s="2080"/>
      <c r="S4377" s="2080"/>
      <c r="T4377" s="2080"/>
      <c r="U4377" s="2081"/>
      <c r="V4377" s="631">
        <f>SUM(V4378:V4387)</f>
        <v>36</v>
      </c>
    </row>
    <row r="4378" spans="1:36" s="352" customFormat="1" ht="15.6">
      <c r="A4378" s="351"/>
      <c r="B4378" s="1963" t="str">
        <f>VLOOKUP(A4386,'11 - FINANCEIRA'!_xlnm.Print_Area,1,FALSE)</f>
        <v>3.1</v>
      </c>
      <c r="C4378" s="1965" t="str">
        <f>VLOOKUP(A4386,'11 - FINANCEIRA'!_xlnm.Print_Area,3,FALSE)</f>
        <v>Serviços de operação assistida, incluíndo comissionamento e testes de equipamentos, simulação de operações, treinamentos e todas as atividades necessárias para garantir a funcionalidade esperada da estação de bombeamento.</v>
      </c>
      <c r="D4378" s="1967" t="s">
        <v>1503</v>
      </c>
      <c r="E4378" s="1968"/>
      <c r="F4378" s="1968"/>
      <c r="G4378" s="1968"/>
      <c r="H4378" s="1968"/>
      <c r="I4378" s="1969"/>
      <c r="J4378" s="1914" t="s">
        <v>1504</v>
      </c>
      <c r="K4378" s="1914" t="s">
        <v>1505</v>
      </c>
      <c r="L4378" s="1914" t="s">
        <v>1506</v>
      </c>
      <c r="M4378" s="1914" t="s">
        <v>1507</v>
      </c>
      <c r="N4378" s="1914" t="s">
        <v>1508</v>
      </c>
      <c r="O4378" s="1914" t="s">
        <v>1509</v>
      </c>
      <c r="P4378" s="1341" t="s">
        <v>1510</v>
      </c>
      <c r="Q4378" s="1914" t="s">
        <v>1493</v>
      </c>
      <c r="R4378" s="1916" t="s">
        <v>804</v>
      </c>
      <c r="S4378" s="1914" t="s">
        <v>1511</v>
      </c>
      <c r="T4378" s="1914" t="s">
        <v>1512</v>
      </c>
      <c r="U4378" s="1918" t="s">
        <v>1513</v>
      </c>
      <c r="V4378" s="1418">
        <f t="shared" ref="V4378:V4385" si="440">V4379</f>
        <v>2</v>
      </c>
      <c r="W4378" s="16"/>
      <c r="X4378" s="16"/>
      <c r="Y4378" s="16"/>
      <c r="Z4378" s="17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</row>
    <row r="4379" spans="1:36" s="352" customFormat="1" ht="15.6">
      <c r="A4379" s="351"/>
      <c r="B4379" s="1964" t="e">
        <f>LEFT(#REF!,5)</f>
        <v>#REF!</v>
      </c>
      <c r="C4379" s="1966" t="e">
        <f>VLOOKUP(LEFT(#REF!,5),'11 - FINANCEIRA'!_xlnm.Print_Area,2,FALSE)</f>
        <v>#REF!</v>
      </c>
      <c r="D4379" s="1920" t="s">
        <v>1514</v>
      </c>
      <c r="E4379" s="1921"/>
      <c r="F4379" s="1922"/>
      <c r="G4379" s="1923" t="s">
        <v>1515</v>
      </c>
      <c r="H4379" s="1924"/>
      <c r="I4379" s="1925"/>
      <c r="J4379" s="1915"/>
      <c r="K4379" s="1915"/>
      <c r="L4379" s="1915"/>
      <c r="M4379" s="1915"/>
      <c r="N4379" s="1915"/>
      <c r="O4379" s="1915"/>
      <c r="P4379" s="353" t="s">
        <v>1516</v>
      </c>
      <c r="Q4379" s="1915"/>
      <c r="R4379" s="1917"/>
      <c r="S4379" s="1915"/>
      <c r="T4379" s="1915"/>
      <c r="U4379" s="1919"/>
      <c r="V4379" s="1418">
        <f t="shared" si="440"/>
        <v>2</v>
      </c>
      <c r="W4379" s="16"/>
      <c r="X4379" s="16"/>
      <c r="Y4379" s="16"/>
      <c r="Z4379" s="17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</row>
    <row r="4380" spans="1:36" s="361" customFormat="1" ht="45">
      <c r="A4380" s="354"/>
      <c r="B4380" s="355"/>
      <c r="C4380" s="32" t="s">
        <v>1439</v>
      </c>
      <c r="D4380" s="33"/>
      <c r="E4380" s="34"/>
      <c r="F4380" s="35"/>
      <c r="G4380" s="33"/>
      <c r="H4380" s="34"/>
      <c r="I4380" s="35"/>
      <c r="J4380" s="43"/>
      <c r="K4380" s="42"/>
      <c r="L4380" s="39"/>
      <c r="M4380" s="41"/>
      <c r="N4380" s="356"/>
      <c r="O4380" s="40"/>
      <c r="P4380" s="39"/>
      <c r="Q4380" s="45"/>
      <c r="R4380" s="1359">
        <v>2</v>
      </c>
      <c r="S4380" s="1265" t="s">
        <v>1958</v>
      </c>
      <c r="T4380" s="46" t="s">
        <v>332</v>
      </c>
      <c r="U4380" s="44"/>
      <c r="V4380" s="1418">
        <f t="shared" si="440"/>
        <v>2</v>
      </c>
      <c r="W4380" s="357"/>
      <c r="X4380" s="357"/>
      <c r="Y4380" s="357"/>
      <c r="Z4380" s="358"/>
      <c r="AA4380" s="359"/>
      <c r="AB4380" s="360"/>
    </row>
    <row r="4381" spans="1:36" s="361" customFormat="1" ht="15" customHeight="1">
      <c r="A4381" s="354"/>
      <c r="B4381" s="355"/>
      <c r="C4381" s="32"/>
      <c r="D4381" s="33"/>
      <c r="E4381" s="34"/>
      <c r="F4381" s="35"/>
      <c r="G4381" s="33"/>
      <c r="H4381" s="34"/>
      <c r="I4381" s="35"/>
      <c r="J4381" s="43"/>
      <c r="K4381" s="42"/>
      <c r="L4381" s="39"/>
      <c r="M4381" s="41"/>
      <c r="N4381" s="356"/>
      <c r="O4381" s="40"/>
      <c r="P4381" s="39"/>
      <c r="Q4381" s="45"/>
      <c r="R4381" s="362"/>
      <c r="S4381" s="363"/>
      <c r="T4381" s="46"/>
      <c r="U4381" s="44"/>
      <c r="V4381" s="1418">
        <f t="shared" si="440"/>
        <v>2</v>
      </c>
      <c r="W4381" s="357"/>
      <c r="X4381" s="357"/>
      <c r="Y4381" s="357"/>
      <c r="Z4381" s="358"/>
      <c r="AA4381" s="359"/>
      <c r="AB4381" s="360"/>
    </row>
    <row r="4382" spans="1:36" s="369" customFormat="1" ht="15">
      <c r="A4382" s="364"/>
      <c r="B4382" s="355"/>
      <c r="C4382" s="32"/>
      <c r="D4382" s="33"/>
      <c r="E4382" s="34"/>
      <c r="F4382" s="35"/>
      <c r="G4382" s="33"/>
      <c r="H4382" s="34"/>
      <c r="I4382" s="35"/>
      <c r="J4382" s="43"/>
      <c r="K4382" s="42"/>
      <c r="L4382" s="39"/>
      <c r="M4382" s="41"/>
      <c r="N4382" s="40"/>
      <c r="O4382" s="40"/>
      <c r="P4382" s="39"/>
      <c r="Q4382" s="38"/>
      <c r="R4382" s="365"/>
      <c r="S4382" s="366"/>
      <c r="T4382" s="46"/>
      <c r="U4382" s="44"/>
      <c r="V4382" s="1418">
        <f t="shared" si="440"/>
        <v>2</v>
      </c>
      <c r="W4382" s="367"/>
      <c r="X4382" s="367"/>
      <c r="Y4382" s="367"/>
      <c r="Z4382" s="368"/>
    </row>
    <row r="4383" spans="1:36" s="77" customFormat="1" ht="15">
      <c r="A4383" s="370"/>
      <c r="B4383" s="29"/>
      <c r="C4383" s="30"/>
      <c r="D4383" s="18"/>
      <c r="E4383" s="19"/>
      <c r="F4383" s="20"/>
      <c r="G4383" s="18"/>
      <c r="H4383" s="19"/>
      <c r="I4383" s="20"/>
      <c r="J4383" s="21"/>
      <c r="K4383" s="22"/>
      <c r="L4383" s="23"/>
      <c r="M4383" s="24"/>
      <c r="N4383" s="25"/>
      <c r="O4383" s="25"/>
      <c r="P4383" s="23"/>
      <c r="Q4383" s="26"/>
      <c r="R4383" s="371"/>
      <c r="S4383" s="27"/>
      <c r="T4383" s="372"/>
      <c r="U4383" s="31"/>
      <c r="V4383" s="1418">
        <f t="shared" si="440"/>
        <v>2</v>
      </c>
      <c r="AB4383" s="15"/>
    </row>
    <row r="4384" spans="1:36" s="77" customFormat="1" ht="15.6">
      <c r="A4384" s="370"/>
      <c r="B4384" s="499"/>
      <c r="C4384" s="37"/>
      <c r="D4384" s="1929" t="s">
        <v>1520</v>
      </c>
      <c r="E4384" s="1930"/>
      <c r="F4384" s="1930"/>
      <c r="G4384" s="1930"/>
      <c r="H4384" s="1930"/>
      <c r="I4384" s="1931"/>
      <c r="J4384" s="1932">
        <f>VLOOKUP(A4386,'11 - FINANCEIRA'!_xlnm.Print_Area,6,FALSE)</f>
        <v>6</v>
      </c>
      <c r="K4384" s="1933"/>
      <c r="L4384" s="1343" t="str">
        <f>VLOOKUP(A4386,'11 - FINANCEIRA'!_xlnm.Print_Area,4,FALSE)</f>
        <v>mês</v>
      </c>
      <c r="M4384" s="1934" t="s">
        <v>1521</v>
      </c>
      <c r="N4384" s="1935"/>
      <c r="O4384" s="1935"/>
      <c r="P4384" s="1935"/>
      <c r="Q4384" s="1936"/>
      <c r="R4384" s="726">
        <f>SUM(R4380:R4383)</f>
        <v>2</v>
      </c>
      <c r="S4384" s="1344" t="str">
        <f>L4384</f>
        <v>mês</v>
      </c>
      <c r="T4384" s="373"/>
      <c r="U4384" s="486"/>
      <c r="V4384" s="1418">
        <f t="shared" si="440"/>
        <v>2</v>
      </c>
      <c r="AB4384" s="15"/>
    </row>
    <row r="4385" spans="1:36" s="77" customFormat="1" ht="15.6">
      <c r="A4385" s="370"/>
      <c r="B4385" s="499"/>
      <c r="C4385" s="725"/>
      <c r="D4385" s="1937" t="s">
        <v>1522</v>
      </c>
      <c r="E4385" s="1938"/>
      <c r="F4385" s="1938"/>
      <c r="G4385" s="1938"/>
      <c r="H4385" s="1938"/>
      <c r="I4385" s="1939"/>
      <c r="J4385" s="1943">
        <f>R4384/J4384</f>
        <v>0.33333333333333331</v>
      </c>
      <c r="K4385" s="1944"/>
      <c r="L4385" s="1947"/>
      <c r="M4385" s="1934" t="s">
        <v>1523</v>
      </c>
      <c r="N4385" s="1935"/>
      <c r="O4385" s="1935"/>
      <c r="P4385" s="1935"/>
      <c r="Q4385" s="1936"/>
      <c r="R4385" s="726">
        <f>VLOOKUP(A4386,'11 - FINANCEIRA'!_xlnm.Print_Area,8,FALSE)</f>
        <v>0</v>
      </c>
      <c r="S4385" s="727" t="str">
        <f>L4384</f>
        <v>mês</v>
      </c>
      <c r="T4385" s="373"/>
      <c r="U4385" s="486"/>
      <c r="V4385" s="1418">
        <f t="shared" si="440"/>
        <v>2</v>
      </c>
      <c r="AB4385" s="15"/>
    </row>
    <row r="4386" spans="1:36" s="77" customFormat="1" ht="15.6">
      <c r="A4386" s="364" t="s">
        <v>287</v>
      </c>
      <c r="B4386" s="499"/>
      <c r="C4386" s="37"/>
      <c r="D4386" s="2013"/>
      <c r="E4386" s="2014"/>
      <c r="F4386" s="2014"/>
      <c r="G4386" s="2014"/>
      <c r="H4386" s="2014"/>
      <c r="I4386" s="2015"/>
      <c r="J4386" s="2016"/>
      <c r="K4386" s="2017"/>
      <c r="L4386" s="1962"/>
      <c r="M4386" s="2007" t="s">
        <v>1524</v>
      </c>
      <c r="N4386" s="2008"/>
      <c r="O4386" s="2008"/>
      <c r="P4386" s="2008"/>
      <c r="Q4386" s="2009"/>
      <c r="R4386" s="1345">
        <f>R4384-R4385</f>
        <v>2</v>
      </c>
      <c r="S4386" s="1346" t="str">
        <f>L4384</f>
        <v>mês</v>
      </c>
      <c r="T4386" s="373"/>
      <c r="U4386" s="486"/>
      <c r="V4386" s="1418">
        <f>R4386</f>
        <v>2</v>
      </c>
      <c r="AB4386" s="15"/>
    </row>
    <row r="4387" spans="1:36" s="77" customFormat="1" ht="15.6">
      <c r="A4387" s="370"/>
      <c r="B4387" s="1347"/>
      <c r="C4387" s="1348"/>
      <c r="D4387" s="1349"/>
      <c r="E4387" s="1350"/>
      <c r="F4387" s="1349"/>
      <c r="G4387" s="1349"/>
      <c r="H4387" s="1349"/>
      <c r="I4387" s="1349"/>
      <c r="J4387" s="1351"/>
      <c r="K4387" s="1352"/>
      <c r="L4387" s="1353"/>
      <c r="M4387" s="1354"/>
      <c r="N4387" s="1354"/>
      <c r="O4387" s="1354"/>
      <c r="P4387" s="1354"/>
      <c r="Q4387" s="1354"/>
      <c r="R4387" s="1355"/>
      <c r="S4387" s="1356"/>
      <c r="T4387" s="1357"/>
      <c r="U4387" s="1358"/>
      <c r="V4387" s="1420">
        <f>SUM(V4378:V4386)</f>
        <v>18</v>
      </c>
      <c r="AB4387" s="15"/>
    </row>
    <row r="4388" spans="1:36" ht="15.6" hidden="1">
      <c r="B4388" s="2079" t="s">
        <v>1967</v>
      </c>
      <c r="C4388" s="2080"/>
      <c r="D4388" s="2080"/>
      <c r="E4388" s="2080"/>
      <c r="F4388" s="2080"/>
      <c r="G4388" s="2080"/>
      <c r="H4388" s="2080"/>
      <c r="I4388" s="2080"/>
      <c r="J4388" s="2080"/>
      <c r="K4388" s="2080"/>
      <c r="L4388" s="2080"/>
      <c r="M4388" s="2080"/>
      <c r="N4388" s="2080"/>
      <c r="O4388" s="2080"/>
      <c r="P4388" s="2080"/>
      <c r="Q4388" s="2080"/>
      <c r="R4388" s="2080"/>
      <c r="S4388" s="2080"/>
      <c r="T4388" s="2080"/>
      <c r="U4388" s="2081"/>
      <c r="V4388" s="631">
        <f>SUM(V4389:V4566)</f>
        <v>0</v>
      </c>
    </row>
    <row r="4389" spans="1:36" s="352" customFormat="1" ht="15.75" hidden="1" customHeight="1">
      <c r="A4389" s="351"/>
      <c r="B4389" s="1963" t="str">
        <f>VLOOKUP(A4465,'11 - FINANCEIRA'!_xlnm.Print_Area,1,FALSE)</f>
        <v>4.1.1</v>
      </c>
      <c r="C4389" s="1965" t="str">
        <f>VLOOKUP(A4465,'11 - FINANCEIRA'!_xlnm.Print_Area,3,FALSE)</f>
        <v>ATERRO COM ARGILA C/ COMPAC MECANICA</v>
      </c>
      <c r="D4389" s="1967" t="s">
        <v>1503</v>
      </c>
      <c r="E4389" s="1968"/>
      <c r="F4389" s="1968"/>
      <c r="G4389" s="1968"/>
      <c r="H4389" s="1968"/>
      <c r="I4389" s="1969"/>
      <c r="J4389" s="1914" t="s">
        <v>1508</v>
      </c>
      <c r="K4389" s="1914" t="s">
        <v>1505</v>
      </c>
      <c r="L4389" s="1914" t="s">
        <v>1506</v>
      </c>
      <c r="M4389" s="1914" t="s">
        <v>1507</v>
      </c>
      <c r="N4389" s="1914" t="s">
        <v>1508</v>
      </c>
      <c r="O4389" s="1914" t="s">
        <v>1509</v>
      </c>
      <c r="P4389" s="1341" t="s">
        <v>1510</v>
      </c>
      <c r="Q4389" s="1914" t="s">
        <v>1493</v>
      </c>
      <c r="R4389" s="1916" t="s">
        <v>804</v>
      </c>
      <c r="S4389" s="1914" t="s">
        <v>1511</v>
      </c>
      <c r="T4389" s="1914" t="s">
        <v>1512</v>
      </c>
      <c r="U4389" s="1918" t="s">
        <v>1513</v>
      </c>
      <c r="V4389" s="1418">
        <f t="shared" ref="V4389:V4464" si="441">V4390</f>
        <v>0</v>
      </c>
      <c r="W4389" s="16"/>
      <c r="X4389" s="16"/>
      <c r="Y4389" s="16"/>
      <c r="Z4389" s="17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</row>
    <row r="4390" spans="1:36" s="352" customFormat="1" ht="15.6" hidden="1">
      <c r="A4390" s="351"/>
      <c r="B4390" s="1964" t="e">
        <f>LEFT(#REF!,5)</f>
        <v>#REF!</v>
      </c>
      <c r="C4390" s="1966" t="e">
        <f>VLOOKUP(LEFT(#REF!,5),'11 - FINANCEIRA'!_xlnm.Print_Area,2,FALSE)</f>
        <v>#REF!</v>
      </c>
      <c r="D4390" s="1920" t="s">
        <v>1514</v>
      </c>
      <c r="E4390" s="1921"/>
      <c r="F4390" s="1922"/>
      <c r="G4390" s="1923" t="s">
        <v>1515</v>
      </c>
      <c r="H4390" s="1924"/>
      <c r="I4390" s="1925"/>
      <c r="J4390" s="1915"/>
      <c r="K4390" s="1915"/>
      <c r="L4390" s="1915"/>
      <c r="M4390" s="1915"/>
      <c r="N4390" s="1915"/>
      <c r="O4390" s="1915"/>
      <c r="P4390" s="353" t="s">
        <v>1516</v>
      </c>
      <c r="Q4390" s="1915"/>
      <c r="R4390" s="1917"/>
      <c r="S4390" s="1915"/>
      <c r="T4390" s="1915"/>
      <c r="U4390" s="1919"/>
      <c r="V4390" s="1418">
        <f t="shared" si="441"/>
        <v>0</v>
      </c>
      <c r="W4390" s="16"/>
      <c r="X4390" s="16"/>
      <c r="Y4390" s="16"/>
      <c r="Z4390" s="17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</row>
    <row r="4391" spans="1:36" s="361" customFormat="1" ht="30" hidden="1">
      <c r="A4391" s="354"/>
      <c r="B4391" s="755" t="s">
        <v>1968</v>
      </c>
      <c r="C4391" s="28" t="s">
        <v>1969</v>
      </c>
      <c r="D4391" s="18"/>
      <c r="E4391" s="19"/>
      <c r="F4391" s="20"/>
      <c r="G4391" s="18"/>
      <c r="H4391" s="19"/>
      <c r="I4391" s="20"/>
      <c r="J4391" s="21">
        <v>2</v>
      </c>
      <c r="K4391" s="22">
        <v>20</v>
      </c>
      <c r="L4391" s="783">
        <v>11.072950000000001</v>
      </c>
      <c r="M4391" s="24">
        <v>2</v>
      </c>
      <c r="N4391" s="728"/>
      <c r="O4391" s="845">
        <f>K4391*L4391*M4391*J4391</f>
        <v>885.83600000000001</v>
      </c>
      <c r="P4391" s="23"/>
      <c r="Q4391" s="729"/>
      <c r="R4391" s="963">
        <f>O4391</f>
        <v>885.83600000000001</v>
      </c>
      <c r="S4391" s="730" t="s">
        <v>853</v>
      </c>
      <c r="T4391" s="446" t="s">
        <v>56</v>
      </c>
      <c r="U4391" s="793" t="s">
        <v>1970</v>
      </c>
      <c r="V4391" s="1418">
        <f t="shared" si="441"/>
        <v>0</v>
      </c>
      <c r="W4391" s="357"/>
      <c r="X4391" s="357"/>
      <c r="Y4391" s="357"/>
      <c r="Z4391" s="358"/>
      <c r="AA4391" s="359"/>
      <c r="AB4391" s="360"/>
    </row>
    <row r="4392" spans="1:36" s="361" customFormat="1" ht="15" hidden="1">
      <c r="A4392" s="354"/>
      <c r="B4392" s="755"/>
      <c r="C4392" s="28"/>
      <c r="D4392" s="18"/>
      <c r="E4392" s="19"/>
      <c r="F4392" s="20"/>
      <c r="G4392" s="18"/>
      <c r="H4392" s="19"/>
      <c r="I4392" s="20"/>
      <c r="J4392" s="21"/>
      <c r="K4392" s="22"/>
      <c r="L4392" s="783"/>
      <c r="M4392" s="24"/>
      <c r="N4392" s="728"/>
      <c r="O4392" s="845"/>
      <c r="P4392" s="23"/>
      <c r="Q4392" s="729"/>
      <c r="R4392" s="362"/>
      <c r="S4392" s="362"/>
      <c r="T4392" s="446"/>
      <c r="U4392" s="793"/>
      <c r="V4392" s="1418">
        <f t="shared" si="441"/>
        <v>0</v>
      </c>
      <c r="W4392" s="357"/>
      <c r="X4392" s="357"/>
      <c r="Y4392" s="357"/>
      <c r="Z4392" s="358"/>
      <c r="AA4392" s="359"/>
      <c r="AB4392" s="360"/>
    </row>
    <row r="4393" spans="1:36" s="361" customFormat="1" ht="15" hidden="1">
      <c r="A4393" s="354"/>
      <c r="B4393" s="831" t="s">
        <v>1971</v>
      </c>
      <c r="C4393" s="28" t="s">
        <v>1657</v>
      </c>
      <c r="D4393" s="891"/>
      <c r="E4393" s="865"/>
      <c r="F4393" s="892"/>
      <c r="G4393" s="891"/>
      <c r="H4393" s="865"/>
      <c r="I4393" s="892"/>
      <c r="J4393" s="867">
        <v>1.6919999999999999</v>
      </c>
      <c r="K4393" s="868"/>
      <c r="L4393" s="873" t="s">
        <v>1593</v>
      </c>
      <c r="M4393" s="870"/>
      <c r="N4393" s="875"/>
      <c r="O4393" s="940" t="s">
        <v>1593</v>
      </c>
      <c r="P4393" s="869"/>
      <c r="Q4393" s="889"/>
      <c r="R4393" s="445" t="str">
        <f t="shared" ref="R4393:R4407" si="442">O4393</f>
        <v>-</v>
      </c>
      <c r="S4393" s="445" t="s">
        <v>853</v>
      </c>
      <c r="T4393" s="835" t="s">
        <v>310</v>
      </c>
      <c r="U4393" s="2040" t="s">
        <v>1972</v>
      </c>
      <c r="V4393" s="1418">
        <f t="shared" si="441"/>
        <v>0</v>
      </c>
      <c r="W4393" s="357"/>
      <c r="X4393" s="357"/>
      <c r="Y4393" s="357"/>
      <c r="Z4393" s="358"/>
      <c r="AA4393" s="359"/>
      <c r="AB4393" s="360"/>
    </row>
    <row r="4394" spans="1:36" s="361" customFormat="1" ht="15" hidden="1">
      <c r="A4394" s="354"/>
      <c r="B4394" s="831" t="s">
        <v>1973</v>
      </c>
      <c r="C4394" s="28" t="s">
        <v>1572</v>
      </c>
      <c r="D4394" s="891"/>
      <c r="E4394" s="865"/>
      <c r="F4394" s="892"/>
      <c r="G4394" s="891"/>
      <c r="H4394" s="865"/>
      <c r="I4394" s="892"/>
      <c r="J4394" s="867">
        <v>11.553000000000001</v>
      </c>
      <c r="K4394" s="868"/>
      <c r="L4394" s="873">
        <v>5</v>
      </c>
      <c r="M4394" s="870"/>
      <c r="N4394" s="875"/>
      <c r="O4394" s="845">
        <f>(J4393+J4394)*L4394</f>
        <v>66.225000000000009</v>
      </c>
      <c r="P4394" s="869"/>
      <c r="Q4394" s="889"/>
      <c r="R4394" s="445">
        <f t="shared" si="442"/>
        <v>66.225000000000009</v>
      </c>
      <c r="S4394" s="445" t="s">
        <v>853</v>
      </c>
      <c r="T4394" s="835" t="s">
        <v>310</v>
      </c>
      <c r="U4394" s="2041"/>
      <c r="V4394" s="1418">
        <f t="shared" si="441"/>
        <v>0</v>
      </c>
      <c r="W4394" s="357"/>
      <c r="X4394" s="357"/>
      <c r="Y4394" s="357"/>
      <c r="Z4394" s="358"/>
      <c r="AA4394" s="359"/>
      <c r="AB4394" s="360"/>
    </row>
    <row r="4395" spans="1:36" s="361" customFormat="1" ht="15" hidden="1">
      <c r="A4395" s="354"/>
      <c r="B4395" s="831" t="s">
        <v>1974</v>
      </c>
      <c r="C4395" s="28" t="s">
        <v>1574</v>
      </c>
      <c r="D4395" s="891"/>
      <c r="E4395" s="865"/>
      <c r="F4395" s="892"/>
      <c r="G4395" s="891"/>
      <c r="H4395" s="865"/>
      <c r="I4395" s="892"/>
      <c r="J4395" s="867">
        <v>26.125</v>
      </c>
      <c r="K4395" s="868"/>
      <c r="L4395" s="873">
        <v>5</v>
      </c>
      <c r="M4395" s="870"/>
      <c r="N4395" s="875"/>
      <c r="O4395" s="845">
        <f>(J4394+J4395)*L4395</f>
        <v>188.39</v>
      </c>
      <c r="P4395" s="869"/>
      <c r="Q4395" s="889"/>
      <c r="R4395" s="445">
        <f t="shared" si="442"/>
        <v>188.39</v>
      </c>
      <c r="S4395" s="445" t="s">
        <v>853</v>
      </c>
      <c r="T4395" s="835" t="s">
        <v>310</v>
      </c>
      <c r="U4395" s="2041"/>
      <c r="V4395" s="1418">
        <f t="shared" si="441"/>
        <v>0</v>
      </c>
      <c r="W4395" s="357"/>
      <c r="X4395" s="357"/>
      <c r="Y4395" s="357"/>
      <c r="Z4395" s="358"/>
      <c r="AA4395" s="359"/>
      <c r="AB4395" s="360"/>
    </row>
    <row r="4396" spans="1:36" s="361" customFormat="1" ht="15" hidden="1">
      <c r="A4396" s="354"/>
      <c r="B4396" s="831" t="s">
        <v>1975</v>
      </c>
      <c r="C4396" s="28" t="s">
        <v>1576</v>
      </c>
      <c r="D4396" s="891"/>
      <c r="E4396" s="865"/>
      <c r="F4396" s="892"/>
      <c r="G4396" s="891"/>
      <c r="H4396" s="865"/>
      <c r="I4396" s="892"/>
      <c r="J4396" s="867">
        <v>39.213000000000001</v>
      </c>
      <c r="K4396" s="868"/>
      <c r="L4396" s="873">
        <v>5</v>
      </c>
      <c r="M4396" s="870"/>
      <c r="N4396" s="875"/>
      <c r="O4396" s="845">
        <f>(J4395+J4396)*L4396</f>
        <v>326.68999999999994</v>
      </c>
      <c r="P4396" s="869"/>
      <c r="Q4396" s="889"/>
      <c r="R4396" s="445">
        <f t="shared" si="442"/>
        <v>326.68999999999994</v>
      </c>
      <c r="S4396" s="445" t="s">
        <v>853</v>
      </c>
      <c r="T4396" s="835" t="s">
        <v>310</v>
      </c>
      <c r="U4396" s="2041"/>
      <c r="V4396" s="1418">
        <f t="shared" si="441"/>
        <v>0</v>
      </c>
      <c r="W4396" s="357"/>
      <c r="X4396" s="357"/>
      <c r="Y4396" s="357"/>
      <c r="Z4396" s="358"/>
      <c r="AA4396" s="359"/>
      <c r="AB4396" s="360"/>
    </row>
    <row r="4397" spans="1:36" s="361" customFormat="1" ht="15" hidden="1">
      <c r="A4397" s="354"/>
      <c r="B4397" s="831" t="s">
        <v>1976</v>
      </c>
      <c r="C4397" s="28" t="s">
        <v>1578</v>
      </c>
      <c r="D4397" s="891"/>
      <c r="E4397" s="865"/>
      <c r="F4397" s="892"/>
      <c r="G4397" s="891"/>
      <c r="H4397" s="865"/>
      <c r="I4397" s="892"/>
      <c r="J4397" s="867">
        <v>49.743000000000002</v>
      </c>
      <c r="K4397" s="868"/>
      <c r="L4397" s="873">
        <v>5</v>
      </c>
      <c r="M4397" s="870"/>
      <c r="N4397" s="875"/>
      <c r="O4397" s="845">
        <f>(J4396+J4397)*L4397</f>
        <v>444.78000000000003</v>
      </c>
      <c r="P4397" s="869"/>
      <c r="Q4397" s="889"/>
      <c r="R4397" s="445">
        <f t="shared" si="442"/>
        <v>444.78000000000003</v>
      </c>
      <c r="S4397" s="445" t="s">
        <v>853</v>
      </c>
      <c r="T4397" s="835" t="s">
        <v>310</v>
      </c>
      <c r="U4397" s="2041"/>
      <c r="V4397" s="1418">
        <f t="shared" si="441"/>
        <v>0</v>
      </c>
      <c r="W4397" s="357"/>
      <c r="X4397" s="357"/>
      <c r="Y4397" s="357"/>
      <c r="Z4397" s="358"/>
      <c r="AA4397" s="359"/>
      <c r="AB4397" s="360"/>
    </row>
    <row r="4398" spans="1:36" s="361" customFormat="1" ht="15" hidden="1">
      <c r="A4398" s="354"/>
      <c r="B4398" s="831" t="s">
        <v>1977</v>
      </c>
      <c r="C4398" s="28" t="s">
        <v>1978</v>
      </c>
      <c r="D4398" s="891"/>
      <c r="E4398" s="865"/>
      <c r="F4398" s="892"/>
      <c r="G4398" s="891"/>
      <c r="H4398" s="865"/>
      <c r="I4398" s="892"/>
      <c r="J4398" s="867">
        <v>9.6519999999999992</v>
      </c>
      <c r="K4398" s="868"/>
      <c r="L4398" s="873">
        <v>4.8849999999999998</v>
      </c>
      <c r="M4398" s="870"/>
      <c r="N4398" s="875"/>
      <c r="O4398" s="845">
        <v>290.11500000000001</v>
      </c>
      <c r="P4398" s="869"/>
      <c r="Q4398" s="889"/>
      <c r="R4398" s="445">
        <f t="shared" si="442"/>
        <v>290.11500000000001</v>
      </c>
      <c r="S4398" s="445" t="s">
        <v>853</v>
      </c>
      <c r="T4398" s="835" t="s">
        <v>310</v>
      </c>
      <c r="U4398" s="2041"/>
      <c r="V4398" s="1418">
        <f t="shared" si="441"/>
        <v>0</v>
      </c>
      <c r="W4398" s="357"/>
      <c r="X4398" s="357"/>
      <c r="Y4398" s="357"/>
      <c r="Z4398" s="358"/>
      <c r="AA4398" s="359"/>
      <c r="AB4398" s="360"/>
    </row>
    <row r="4399" spans="1:36" s="361" customFormat="1" ht="15" hidden="1">
      <c r="A4399" s="354"/>
      <c r="B4399" s="831" t="s">
        <v>1979</v>
      </c>
      <c r="C4399" s="28" t="s">
        <v>1580</v>
      </c>
      <c r="D4399" s="891"/>
      <c r="E4399" s="865"/>
      <c r="F4399" s="892"/>
      <c r="G4399" s="891"/>
      <c r="H4399" s="865"/>
      <c r="I4399" s="892"/>
      <c r="J4399" s="867">
        <v>11.89</v>
      </c>
      <c r="K4399" s="868"/>
      <c r="L4399" s="873">
        <v>0.11600000000000001</v>
      </c>
      <c r="M4399" s="870"/>
      <c r="N4399" s="875"/>
      <c r="O4399" s="845">
        <v>2.488</v>
      </c>
      <c r="P4399" s="869"/>
      <c r="Q4399" s="889"/>
      <c r="R4399" s="445">
        <f t="shared" si="442"/>
        <v>2.488</v>
      </c>
      <c r="S4399" s="445" t="s">
        <v>853</v>
      </c>
      <c r="T4399" s="835" t="s">
        <v>310</v>
      </c>
      <c r="U4399" s="2041"/>
      <c r="V4399" s="1418">
        <f t="shared" si="441"/>
        <v>0</v>
      </c>
      <c r="W4399" s="357"/>
      <c r="X4399" s="357"/>
      <c r="Y4399" s="357"/>
      <c r="Z4399" s="358"/>
      <c r="AA4399" s="359"/>
      <c r="AB4399" s="360"/>
    </row>
    <row r="4400" spans="1:36" s="361" customFormat="1" ht="15" hidden="1">
      <c r="A4400" s="354"/>
      <c r="B4400" s="831" t="s">
        <v>1980</v>
      </c>
      <c r="C4400" s="28" t="s">
        <v>1582</v>
      </c>
      <c r="D4400" s="891"/>
      <c r="E4400" s="865"/>
      <c r="F4400" s="892"/>
      <c r="G4400" s="891"/>
      <c r="H4400" s="865"/>
      <c r="I4400" s="892"/>
      <c r="J4400" s="867">
        <v>5.9779999999999998</v>
      </c>
      <c r="K4400" s="868"/>
      <c r="L4400" s="873">
        <v>5</v>
      </c>
      <c r="M4400" s="870"/>
      <c r="N4400" s="875"/>
      <c r="O4400" s="845">
        <f t="shared" ref="O4400:O4423" si="443">(J4399+J4400)*L4400</f>
        <v>89.34</v>
      </c>
      <c r="P4400" s="869"/>
      <c r="Q4400" s="889"/>
      <c r="R4400" s="445">
        <f t="shared" si="442"/>
        <v>89.34</v>
      </c>
      <c r="S4400" s="445" t="s">
        <v>853</v>
      </c>
      <c r="T4400" s="835" t="s">
        <v>310</v>
      </c>
      <c r="U4400" s="2041"/>
      <c r="V4400" s="1418">
        <f t="shared" si="441"/>
        <v>0</v>
      </c>
      <c r="W4400" s="357"/>
      <c r="X4400" s="357"/>
      <c r="Y4400" s="357"/>
      <c r="Z4400" s="358"/>
      <c r="AA4400" s="359"/>
      <c r="AB4400" s="360"/>
    </row>
    <row r="4401" spans="1:28" s="361" customFormat="1" ht="15" hidden="1">
      <c r="A4401" s="354"/>
      <c r="B4401" s="831" t="s">
        <v>1981</v>
      </c>
      <c r="C4401" s="28" t="s">
        <v>1584</v>
      </c>
      <c r="D4401" s="18"/>
      <c r="E4401" s="19"/>
      <c r="F4401" s="20"/>
      <c r="G4401" s="18"/>
      <c r="H4401" s="19"/>
      <c r="I4401" s="20"/>
      <c r="J4401" s="782">
        <v>6.45</v>
      </c>
      <c r="K4401" s="22"/>
      <c r="L4401" s="873">
        <v>5</v>
      </c>
      <c r="M4401" s="24"/>
      <c r="N4401" s="954"/>
      <c r="O4401" s="845">
        <f t="shared" si="443"/>
        <v>62.14</v>
      </c>
      <c r="P4401" s="23"/>
      <c r="Q4401" s="729"/>
      <c r="R4401" s="445">
        <f t="shared" si="442"/>
        <v>62.14</v>
      </c>
      <c r="S4401" s="445" t="s">
        <v>853</v>
      </c>
      <c r="T4401" s="835" t="s">
        <v>310</v>
      </c>
      <c r="U4401" s="2041"/>
      <c r="V4401" s="1418">
        <f t="shared" si="441"/>
        <v>0</v>
      </c>
      <c r="W4401" s="357"/>
      <c r="X4401" s="357"/>
      <c r="Y4401" s="357"/>
      <c r="Z4401" s="358"/>
      <c r="AA4401" s="359"/>
      <c r="AB4401" s="360"/>
    </row>
    <row r="4402" spans="1:28" s="361" customFormat="1" ht="15" hidden="1">
      <c r="A4402" s="354"/>
      <c r="B4402" s="831" t="s">
        <v>1982</v>
      </c>
      <c r="C4402" s="28" t="s">
        <v>1586</v>
      </c>
      <c r="D4402" s="18"/>
      <c r="E4402" s="19"/>
      <c r="F4402" s="20"/>
      <c r="G4402" s="18"/>
      <c r="H4402" s="19"/>
      <c r="I4402" s="20"/>
      <c r="J4402" s="782">
        <v>61.406999999999996</v>
      </c>
      <c r="K4402" s="22"/>
      <c r="L4402" s="873">
        <v>5</v>
      </c>
      <c r="M4402" s="24"/>
      <c r="N4402" s="954"/>
      <c r="O4402" s="845">
        <f t="shared" si="443"/>
        <v>339.28499999999997</v>
      </c>
      <c r="P4402" s="23"/>
      <c r="Q4402" s="729"/>
      <c r="R4402" s="445">
        <f t="shared" si="442"/>
        <v>339.28499999999997</v>
      </c>
      <c r="S4402" s="445" t="s">
        <v>853</v>
      </c>
      <c r="T4402" s="835" t="s">
        <v>310</v>
      </c>
      <c r="U4402" s="2041"/>
      <c r="V4402" s="1418">
        <f t="shared" si="441"/>
        <v>0</v>
      </c>
      <c r="W4402" s="357"/>
      <c r="X4402" s="357"/>
      <c r="Y4402" s="357"/>
      <c r="Z4402" s="358"/>
      <c r="AA4402" s="359"/>
      <c r="AB4402" s="360"/>
    </row>
    <row r="4403" spans="1:28" s="361" customFormat="1" ht="15" hidden="1">
      <c r="A4403" s="354"/>
      <c r="B4403" s="831" t="s">
        <v>1983</v>
      </c>
      <c r="C4403" s="28" t="s">
        <v>1588</v>
      </c>
      <c r="D4403" s="18"/>
      <c r="E4403" s="19"/>
      <c r="F4403" s="20"/>
      <c r="G4403" s="18"/>
      <c r="H4403" s="19"/>
      <c r="I4403" s="20"/>
      <c r="J4403" s="782">
        <v>47.238999999999997</v>
      </c>
      <c r="K4403" s="22"/>
      <c r="L4403" s="873">
        <v>5</v>
      </c>
      <c r="M4403" s="24"/>
      <c r="N4403" s="954"/>
      <c r="O4403" s="845">
        <f t="shared" si="443"/>
        <v>543.2299999999999</v>
      </c>
      <c r="P4403" s="23"/>
      <c r="Q4403" s="729"/>
      <c r="R4403" s="445">
        <f t="shared" si="442"/>
        <v>543.2299999999999</v>
      </c>
      <c r="S4403" s="445" t="s">
        <v>853</v>
      </c>
      <c r="T4403" s="835" t="s">
        <v>310</v>
      </c>
      <c r="U4403" s="2041"/>
      <c r="V4403" s="1418">
        <f t="shared" si="441"/>
        <v>0</v>
      </c>
      <c r="W4403" s="357"/>
      <c r="X4403" s="357"/>
      <c r="Y4403" s="357"/>
      <c r="Z4403" s="358"/>
      <c r="AA4403" s="359"/>
      <c r="AB4403" s="360"/>
    </row>
    <row r="4404" spans="1:28" s="361" customFormat="1" ht="15" hidden="1">
      <c r="A4404" s="354"/>
      <c r="B4404" s="831" t="s">
        <v>1984</v>
      </c>
      <c r="C4404" s="28" t="s">
        <v>1641</v>
      </c>
      <c r="D4404" s="18"/>
      <c r="E4404" s="19"/>
      <c r="F4404" s="20"/>
      <c r="G4404" s="18"/>
      <c r="H4404" s="19"/>
      <c r="I4404" s="20"/>
      <c r="J4404" s="782">
        <v>43.185000000000002</v>
      </c>
      <c r="K4404" s="22"/>
      <c r="L4404" s="873">
        <v>5</v>
      </c>
      <c r="M4404" s="24"/>
      <c r="N4404" s="954"/>
      <c r="O4404" s="845">
        <f t="shared" si="443"/>
        <v>452.12</v>
      </c>
      <c r="P4404" s="23"/>
      <c r="Q4404" s="729"/>
      <c r="R4404" s="445">
        <f t="shared" si="442"/>
        <v>452.12</v>
      </c>
      <c r="S4404" s="445" t="s">
        <v>853</v>
      </c>
      <c r="T4404" s="835" t="s">
        <v>310</v>
      </c>
      <c r="U4404" s="2041"/>
      <c r="V4404" s="1418">
        <f t="shared" si="441"/>
        <v>0</v>
      </c>
      <c r="W4404" s="357"/>
      <c r="X4404" s="357"/>
      <c r="Y4404" s="357"/>
      <c r="Z4404" s="358"/>
      <c r="AA4404" s="359"/>
      <c r="AB4404" s="360"/>
    </row>
    <row r="4405" spans="1:28" s="361" customFormat="1" ht="15" hidden="1">
      <c r="A4405" s="354"/>
      <c r="B4405" s="831" t="s">
        <v>1985</v>
      </c>
      <c r="C4405" s="28" t="s">
        <v>1643</v>
      </c>
      <c r="D4405" s="18"/>
      <c r="E4405" s="19"/>
      <c r="F4405" s="20"/>
      <c r="G4405" s="18"/>
      <c r="H4405" s="19"/>
      <c r="I4405" s="20"/>
      <c r="J4405" s="782">
        <v>25.797999999999998</v>
      </c>
      <c r="K4405" s="22"/>
      <c r="L4405" s="873">
        <v>5</v>
      </c>
      <c r="M4405" s="24"/>
      <c r="N4405" s="954"/>
      <c r="O4405" s="845">
        <f t="shared" si="443"/>
        <v>344.91500000000002</v>
      </c>
      <c r="P4405" s="23"/>
      <c r="Q4405" s="729"/>
      <c r="R4405" s="445">
        <f t="shared" si="442"/>
        <v>344.91500000000002</v>
      </c>
      <c r="S4405" s="445" t="s">
        <v>853</v>
      </c>
      <c r="T4405" s="835" t="s">
        <v>310</v>
      </c>
      <c r="U4405" s="2041"/>
      <c r="V4405" s="1418">
        <f t="shared" si="441"/>
        <v>0</v>
      </c>
      <c r="W4405" s="357"/>
      <c r="X4405" s="357"/>
      <c r="Y4405" s="357"/>
      <c r="Z4405" s="358"/>
      <c r="AA4405" s="359"/>
      <c r="AB4405" s="360"/>
    </row>
    <row r="4406" spans="1:28" s="361" customFormat="1" ht="15" hidden="1">
      <c r="A4406" s="354"/>
      <c r="B4406" s="831" t="s">
        <v>1986</v>
      </c>
      <c r="C4406" s="28" t="s">
        <v>1645</v>
      </c>
      <c r="D4406" s="18"/>
      <c r="E4406" s="19"/>
      <c r="F4406" s="20"/>
      <c r="G4406" s="18"/>
      <c r="H4406" s="19"/>
      <c r="I4406" s="20"/>
      <c r="J4406" s="782">
        <v>1.1240000000000001</v>
      </c>
      <c r="K4406" s="22"/>
      <c r="L4406" s="873">
        <v>5</v>
      </c>
      <c r="M4406" s="24"/>
      <c r="N4406" s="954"/>
      <c r="O4406" s="845">
        <f t="shared" si="443"/>
        <v>134.60999999999999</v>
      </c>
      <c r="P4406" s="23"/>
      <c r="Q4406" s="729"/>
      <c r="R4406" s="445">
        <f t="shared" si="442"/>
        <v>134.60999999999999</v>
      </c>
      <c r="S4406" s="445" t="s">
        <v>853</v>
      </c>
      <c r="T4406" s="835" t="s">
        <v>310</v>
      </c>
      <c r="U4406" s="2041"/>
      <c r="V4406" s="1418">
        <f t="shared" si="441"/>
        <v>0</v>
      </c>
      <c r="W4406" s="357"/>
      <c r="X4406" s="357"/>
      <c r="Y4406" s="357"/>
      <c r="Z4406" s="358"/>
      <c r="AA4406" s="359"/>
      <c r="AB4406" s="360"/>
    </row>
    <row r="4407" spans="1:28" s="361" customFormat="1" ht="15" hidden="1">
      <c r="A4407" s="354"/>
      <c r="B4407" s="831" t="s">
        <v>1987</v>
      </c>
      <c r="C4407" s="28" t="s">
        <v>1988</v>
      </c>
      <c r="D4407" s="18"/>
      <c r="E4407" s="19"/>
      <c r="F4407" s="20"/>
      <c r="G4407" s="18"/>
      <c r="H4407" s="19"/>
      <c r="I4407" s="20"/>
      <c r="J4407" s="782">
        <v>0</v>
      </c>
      <c r="K4407" s="22"/>
      <c r="L4407" s="873">
        <v>0.497</v>
      </c>
      <c r="M4407" s="24"/>
      <c r="N4407" s="954"/>
      <c r="O4407" s="845">
        <f t="shared" si="443"/>
        <v>0.55862800000000001</v>
      </c>
      <c r="P4407" s="23"/>
      <c r="Q4407" s="729"/>
      <c r="R4407" s="445">
        <f t="shared" si="442"/>
        <v>0.55862800000000001</v>
      </c>
      <c r="S4407" s="445" t="s">
        <v>853</v>
      </c>
      <c r="T4407" s="835" t="s">
        <v>310</v>
      </c>
      <c r="U4407" s="2042"/>
      <c r="V4407" s="1418">
        <f>V4458</f>
        <v>0</v>
      </c>
      <c r="W4407" s="357"/>
      <c r="X4407" s="357"/>
      <c r="Y4407" s="357"/>
      <c r="Z4407" s="358"/>
      <c r="AA4407" s="359"/>
      <c r="AB4407" s="360"/>
    </row>
    <row r="4408" spans="1:28" s="361" customFormat="1" ht="15" hidden="1">
      <c r="A4408" s="354"/>
      <c r="B4408" s="831"/>
      <c r="C4408" s="836"/>
      <c r="D4408" s="18"/>
      <c r="E4408" s="19"/>
      <c r="F4408" s="20"/>
      <c r="G4408" s="18"/>
      <c r="H4408" s="19"/>
      <c r="I4408" s="20"/>
      <c r="J4408" s="782"/>
      <c r="K4408" s="22"/>
      <c r="L4408" s="873"/>
      <c r="M4408" s="24"/>
      <c r="N4408" s="954"/>
      <c r="O4408" s="845"/>
      <c r="P4408" s="23"/>
      <c r="Q4408" s="729"/>
      <c r="R4408" s="26"/>
      <c r="S4408" s="26"/>
      <c r="T4408" s="835"/>
      <c r="U4408" s="2040" t="s">
        <v>1972</v>
      </c>
      <c r="V4408" s="1418">
        <f t="shared" si="441"/>
        <v>0</v>
      </c>
      <c r="W4408" s="357"/>
      <c r="X4408" s="357"/>
      <c r="Y4408" s="357"/>
      <c r="Z4408" s="358"/>
      <c r="AA4408" s="359"/>
      <c r="AB4408" s="360"/>
    </row>
    <row r="4409" spans="1:28" s="361" customFormat="1" ht="15" hidden="1">
      <c r="A4409" s="354"/>
      <c r="B4409" s="831" t="s">
        <v>1989</v>
      </c>
      <c r="C4409" s="28" t="s">
        <v>1657</v>
      </c>
      <c r="D4409" s="18"/>
      <c r="E4409" s="19"/>
      <c r="F4409" s="20"/>
      <c r="G4409" s="18"/>
      <c r="H4409" s="19"/>
      <c r="I4409" s="20"/>
      <c r="J4409" s="782">
        <v>10.25</v>
      </c>
      <c r="K4409" s="22"/>
      <c r="L4409" s="873">
        <v>5</v>
      </c>
      <c r="M4409" s="24"/>
      <c r="N4409" s="954"/>
      <c r="O4409" s="845" t="s">
        <v>1593</v>
      </c>
      <c r="P4409" s="23"/>
      <c r="Q4409" s="729"/>
      <c r="R4409" s="26" t="s">
        <v>1593</v>
      </c>
      <c r="S4409" s="445" t="s">
        <v>853</v>
      </c>
      <c r="T4409" s="835" t="s">
        <v>311</v>
      </c>
      <c r="U4409" s="2041"/>
      <c r="V4409" s="1418">
        <f t="shared" si="441"/>
        <v>0</v>
      </c>
      <c r="W4409" s="357"/>
      <c r="X4409" s="357"/>
      <c r="Y4409" s="357"/>
      <c r="Z4409" s="358"/>
      <c r="AA4409" s="359"/>
      <c r="AB4409" s="360"/>
    </row>
    <row r="4410" spans="1:28" s="361" customFormat="1" ht="15" hidden="1">
      <c r="A4410" s="354"/>
      <c r="B4410" s="831" t="s">
        <v>1990</v>
      </c>
      <c r="C4410" s="28" t="s">
        <v>1572</v>
      </c>
      <c r="D4410" s="18"/>
      <c r="E4410" s="19"/>
      <c r="F4410" s="20"/>
      <c r="G4410" s="18"/>
      <c r="H4410" s="19"/>
      <c r="I4410" s="20"/>
      <c r="J4410" s="782">
        <v>36.579000000000001</v>
      </c>
      <c r="K4410" s="22"/>
      <c r="L4410" s="873">
        <v>5</v>
      </c>
      <c r="M4410" s="24"/>
      <c r="N4410" s="954"/>
      <c r="O4410" s="940">
        <f t="shared" si="443"/>
        <v>234.14500000000001</v>
      </c>
      <c r="P4410" s="23"/>
      <c r="Q4410" s="729"/>
      <c r="R4410" s="445">
        <f t="shared" ref="R4410:R4456" si="444">O4410</f>
        <v>234.14500000000001</v>
      </c>
      <c r="S4410" s="445" t="s">
        <v>853</v>
      </c>
      <c r="T4410" s="835" t="s">
        <v>311</v>
      </c>
      <c r="U4410" s="2041"/>
      <c r="V4410" s="1418">
        <f t="shared" si="441"/>
        <v>0</v>
      </c>
      <c r="W4410" s="357"/>
      <c r="X4410" s="357"/>
      <c r="Y4410" s="357"/>
      <c r="Z4410" s="358"/>
      <c r="AA4410" s="359"/>
      <c r="AB4410" s="360"/>
    </row>
    <row r="4411" spans="1:28" s="361" customFormat="1" ht="15" hidden="1">
      <c r="A4411" s="354"/>
      <c r="B4411" s="831" t="s">
        <v>1991</v>
      </c>
      <c r="C4411" s="28" t="s">
        <v>1574</v>
      </c>
      <c r="D4411" s="18"/>
      <c r="E4411" s="19"/>
      <c r="F4411" s="20"/>
      <c r="G4411" s="18"/>
      <c r="H4411" s="19"/>
      <c r="I4411" s="20"/>
      <c r="J4411" s="782">
        <v>22.550999999999998</v>
      </c>
      <c r="K4411" s="22"/>
      <c r="L4411" s="873">
        <v>5</v>
      </c>
      <c r="M4411" s="24"/>
      <c r="N4411" s="954"/>
      <c r="O4411" s="940">
        <f t="shared" si="443"/>
        <v>295.64999999999998</v>
      </c>
      <c r="P4411" s="23"/>
      <c r="Q4411" s="729"/>
      <c r="R4411" s="445">
        <f t="shared" si="444"/>
        <v>295.64999999999998</v>
      </c>
      <c r="S4411" s="445" t="s">
        <v>853</v>
      </c>
      <c r="T4411" s="835" t="s">
        <v>311</v>
      </c>
      <c r="U4411" s="2041"/>
      <c r="V4411" s="1418">
        <f t="shared" si="441"/>
        <v>0</v>
      </c>
      <c r="W4411" s="357"/>
      <c r="X4411" s="357"/>
      <c r="Y4411" s="357"/>
      <c r="Z4411" s="358"/>
      <c r="AA4411" s="359"/>
      <c r="AB4411" s="360"/>
    </row>
    <row r="4412" spans="1:28" s="361" customFormat="1" ht="15" hidden="1">
      <c r="A4412" s="354"/>
      <c r="B4412" s="831" t="s">
        <v>1992</v>
      </c>
      <c r="C4412" s="28" t="s">
        <v>1576</v>
      </c>
      <c r="D4412" s="18"/>
      <c r="E4412" s="19"/>
      <c r="F4412" s="20"/>
      <c r="G4412" s="18"/>
      <c r="H4412" s="19"/>
      <c r="I4412" s="20"/>
      <c r="J4412" s="782">
        <v>24.045000000000002</v>
      </c>
      <c r="K4412" s="22"/>
      <c r="L4412" s="873">
        <v>5</v>
      </c>
      <c r="M4412" s="24"/>
      <c r="N4412" s="954"/>
      <c r="O4412" s="940">
        <f t="shared" si="443"/>
        <v>232.98000000000002</v>
      </c>
      <c r="P4412" s="23"/>
      <c r="Q4412" s="729"/>
      <c r="R4412" s="445">
        <f t="shared" si="444"/>
        <v>232.98000000000002</v>
      </c>
      <c r="S4412" s="445" t="s">
        <v>853</v>
      </c>
      <c r="T4412" s="835" t="s">
        <v>311</v>
      </c>
      <c r="U4412" s="2041"/>
      <c r="V4412" s="1418">
        <f t="shared" si="441"/>
        <v>0</v>
      </c>
      <c r="W4412" s="357"/>
      <c r="X4412" s="357"/>
      <c r="Y4412" s="357"/>
      <c r="Z4412" s="358"/>
      <c r="AA4412" s="359"/>
      <c r="AB4412" s="360"/>
    </row>
    <row r="4413" spans="1:28" s="361" customFormat="1" ht="15" hidden="1">
      <c r="A4413" s="354"/>
      <c r="B4413" s="831" t="s">
        <v>1993</v>
      </c>
      <c r="C4413" s="28" t="s">
        <v>1578</v>
      </c>
      <c r="D4413" s="18"/>
      <c r="E4413" s="19"/>
      <c r="F4413" s="20"/>
      <c r="G4413" s="18"/>
      <c r="H4413" s="19"/>
      <c r="I4413" s="20"/>
      <c r="J4413" s="782">
        <v>35.371000000000002</v>
      </c>
      <c r="K4413" s="22"/>
      <c r="L4413" s="873">
        <v>4.8849999999999998</v>
      </c>
      <c r="M4413" s="24"/>
      <c r="N4413" s="954"/>
      <c r="O4413" s="940">
        <v>296.81</v>
      </c>
      <c r="P4413" s="23"/>
      <c r="Q4413" s="729"/>
      <c r="R4413" s="445">
        <f t="shared" si="444"/>
        <v>296.81</v>
      </c>
      <c r="S4413" s="445" t="s">
        <v>853</v>
      </c>
      <c r="T4413" s="835" t="s">
        <v>311</v>
      </c>
      <c r="U4413" s="2041"/>
      <c r="V4413" s="1418">
        <f t="shared" si="441"/>
        <v>0</v>
      </c>
      <c r="W4413" s="357"/>
      <c r="X4413" s="357"/>
      <c r="Y4413" s="357"/>
      <c r="Z4413" s="358"/>
      <c r="AA4413" s="359"/>
      <c r="AB4413" s="360"/>
    </row>
    <row r="4414" spans="1:28" s="361" customFormat="1" ht="15" hidden="1">
      <c r="A4414" s="354"/>
      <c r="B4414" s="831" t="s">
        <v>1994</v>
      </c>
      <c r="C4414" s="28" t="s">
        <v>1978</v>
      </c>
      <c r="D4414" s="18"/>
      <c r="E4414" s="19"/>
      <c r="F4414" s="20"/>
      <c r="G4414" s="18"/>
      <c r="H4414" s="19"/>
      <c r="I4414" s="20"/>
      <c r="J4414" s="782">
        <v>64.715999999999994</v>
      </c>
      <c r="K4414" s="22"/>
      <c r="L4414" s="873">
        <v>0.11600000000000001</v>
      </c>
      <c r="M4414" s="24"/>
      <c r="N4414" s="954"/>
      <c r="O4414" s="940">
        <v>488.61099999999999</v>
      </c>
      <c r="P4414" s="23"/>
      <c r="Q4414" s="729"/>
      <c r="R4414" s="445">
        <f t="shared" si="444"/>
        <v>488.61099999999999</v>
      </c>
      <c r="S4414" s="445" t="s">
        <v>853</v>
      </c>
      <c r="T4414" s="835" t="s">
        <v>311</v>
      </c>
      <c r="U4414" s="2041"/>
      <c r="V4414" s="1418">
        <f t="shared" si="441"/>
        <v>0</v>
      </c>
      <c r="W4414" s="357"/>
      <c r="X4414" s="357"/>
      <c r="Y4414" s="357"/>
      <c r="Z4414" s="358"/>
      <c r="AA4414" s="359"/>
      <c r="AB4414" s="360"/>
    </row>
    <row r="4415" spans="1:28" s="361" customFormat="1" ht="15" hidden="1">
      <c r="A4415" s="354"/>
      <c r="B4415" s="831" t="s">
        <v>1995</v>
      </c>
      <c r="C4415" s="28" t="s">
        <v>1580</v>
      </c>
      <c r="D4415" s="18"/>
      <c r="E4415" s="19"/>
      <c r="F4415" s="20"/>
      <c r="G4415" s="18"/>
      <c r="H4415" s="19"/>
      <c r="I4415" s="20"/>
      <c r="J4415" s="782">
        <v>62.561999999999998</v>
      </c>
      <c r="K4415" s="22"/>
      <c r="L4415" s="873">
        <v>5</v>
      </c>
      <c r="M4415" s="24"/>
      <c r="N4415" s="954"/>
      <c r="O4415" s="940">
        <v>14.701000000000001</v>
      </c>
      <c r="P4415" s="23"/>
      <c r="Q4415" s="729"/>
      <c r="R4415" s="445">
        <f t="shared" si="444"/>
        <v>14.701000000000001</v>
      </c>
      <c r="S4415" s="445" t="s">
        <v>853</v>
      </c>
      <c r="T4415" s="835" t="s">
        <v>311</v>
      </c>
      <c r="U4415" s="2041"/>
      <c r="V4415" s="1418">
        <f t="shared" si="441"/>
        <v>0</v>
      </c>
      <c r="W4415" s="357"/>
      <c r="X4415" s="357"/>
      <c r="Y4415" s="357"/>
      <c r="Z4415" s="358"/>
      <c r="AA4415" s="359"/>
      <c r="AB4415" s="360"/>
    </row>
    <row r="4416" spans="1:28" s="361" customFormat="1" ht="15" hidden="1">
      <c r="A4416" s="354"/>
      <c r="B4416" s="831" t="s">
        <v>1996</v>
      </c>
      <c r="C4416" s="28" t="s">
        <v>1582</v>
      </c>
      <c r="D4416" s="18"/>
      <c r="E4416" s="19"/>
      <c r="F4416" s="20"/>
      <c r="G4416" s="18"/>
      <c r="H4416" s="19"/>
      <c r="I4416" s="20"/>
      <c r="J4416" s="782">
        <v>16.155999999999999</v>
      </c>
      <c r="K4416" s="22"/>
      <c r="L4416" s="873">
        <v>5</v>
      </c>
      <c r="M4416" s="24"/>
      <c r="N4416" s="954"/>
      <c r="O4416" s="940">
        <f t="shared" si="443"/>
        <v>393.58999999999992</v>
      </c>
      <c r="P4416" s="23"/>
      <c r="Q4416" s="729"/>
      <c r="R4416" s="445">
        <f t="shared" si="444"/>
        <v>393.58999999999992</v>
      </c>
      <c r="S4416" s="445" t="s">
        <v>853</v>
      </c>
      <c r="T4416" s="835" t="s">
        <v>311</v>
      </c>
      <c r="U4416" s="2041"/>
      <c r="V4416" s="1418">
        <f t="shared" si="441"/>
        <v>0</v>
      </c>
      <c r="W4416" s="357"/>
      <c r="X4416" s="357"/>
      <c r="Y4416" s="357"/>
      <c r="Z4416" s="358"/>
      <c r="AA4416" s="359"/>
      <c r="AB4416" s="360"/>
    </row>
    <row r="4417" spans="1:28" s="361" customFormat="1" ht="15" hidden="1">
      <c r="A4417" s="354"/>
      <c r="B4417" s="831" t="s">
        <v>1997</v>
      </c>
      <c r="C4417" s="28" t="s">
        <v>1584</v>
      </c>
      <c r="D4417" s="18"/>
      <c r="E4417" s="19"/>
      <c r="F4417" s="20"/>
      <c r="G4417" s="18"/>
      <c r="H4417" s="19"/>
      <c r="I4417" s="20"/>
      <c r="J4417" s="782">
        <v>20.782</v>
      </c>
      <c r="K4417" s="22"/>
      <c r="L4417" s="873">
        <v>5</v>
      </c>
      <c r="M4417" s="24"/>
      <c r="N4417" s="954"/>
      <c r="O4417" s="940">
        <f t="shared" si="443"/>
        <v>184.69</v>
      </c>
      <c r="P4417" s="23"/>
      <c r="Q4417" s="729"/>
      <c r="R4417" s="445">
        <f t="shared" si="444"/>
        <v>184.69</v>
      </c>
      <c r="S4417" s="445" t="s">
        <v>853</v>
      </c>
      <c r="T4417" s="835" t="s">
        <v>311</v>
      </c>
      <c r="U4417" s="2041"/>
      <c r="V4417" s="1418">
        <f t="shared" si="441"/>
        <v>0</v>
      </c>
      <c r="W4417" s="357"/>
      <c r="X4417" s="357"/>
      <c r="Y4417" s="357"/>
      <c r="Z4417" s="358"/>
      <c r="AA4417" s="359"/>
      <c r="AB4417" s="360"/>
    </row>
    <row r="4418" spans="1:28" s="361" customFormat="1" ht="15" hidden="1">
      <c r="A4418" s="354"/>
      <c r="B4418" s="831" t="s">
        <v>1998</v>
      </c>
      <c r="C4418" s="28" t="s">
        <v>1586</v>
      </c>
      <c r="D4418" s="18"/>
      <c r="E4418" s="19"/>
      <c r="F4418" s="20"/>
      <c r="G4418" s="18"/>
      <c r="H4418" s="19"/>
      <c r="I4418" s="20"/>
      <c r="J4418" s="782">
        <v>62.100999999999999</v>
      </c>
      <c r="K4418" s="22"/>
      <c r="L4418" s="873">
        <v>5</v>
      </c>
      <c r="M4418" s="24"/>
      <c r="N4418" s="954"/>
      <c r="O4418" s="940">
        <f t="shared" si="443"/>
        <v>414.41499999999996</v>
      </c>
      <c r="P4418" s="23"/>
      <c r="Q4418" s="729"/>
      <c r="R4418" s="445">
        <f t="shared" si="444"/>
        <v>414.41499999999996</v>
      </c>
      <c r="S4418" s="445" t="s">
        <v>853</v>
      </c>
      <c r="T4418" s="835" t="s">
        <v>311</v>
      </c>
      <c r="U4418" s="2041"/>
      <c r="V4418" s="1418">
        <f t="shared" si="441"/>
        <v>0</v>
      </c>
      <c r="W4418" s="357"/>
      <c r="X4418" s="357"/>
      <c r="Y4418" s="357"/>
      <c r="Z4418" s="358"/>
      <c r="AA4418" s="359"/>
      <c r="AB4418" s="360"/>
    </row>
    <row r="4419" spans="1:28" s="361" customFormat="1" ht="15" hidden="1">
      <c r="A4419" s="354"/>
      <c r="B4419" s="831" t="s">
        <v>1999</v>
      </c>
      <c r="C4419" s="28" t="s">
        <v>1588</v>
      </c>
      <c r="D4419" s="18"/>
      <c r="E4419" s="19"/>
      <c r="F4419" s="20"/>
      <c r="G4419" s="18"/>
      <c r="H4419" s="19"/>
      <c r="I4419" s="20"/>
      <c r="J4419" s="782">
        <v>83.962999999999994</v>
      </c>
      <c r="K4419" s="22"/>
      <c r="L4419" s="873">
        <v>5</v>
      </c>
      <c r="M4419" s="24"/>
      <c r="N4419" s="954"/>
      <c r="O4419" s="940">
        <f t="shared" si="443"/>
        <v>730.31999999999994</v>
      </c>
      <c r="P4419" s="23"/>
      <c r="Q4419" s="729"/>
      <c r="R4419" s="445">
        <f t="shared" si="444"/>
        <v>730.31999999999994</v>
      </c>
      <c r="S4419" s="445" t="s">
        <v>853</v>
      </c>
      <c r="T4419" s="835" t="s">
        <v>311</v>
      </c>
      <c r="U4419" s="2041"/>
      <c r="V4419" s="1418">
        <f t="shared" si="441"/>
        <v>0</v>
      </c>
      <c r="W4419" s="357"/>
      <c r="X4419" s="357"/>
      <c r="Y4419" s="357"/>
      <c r="Z4419" s="358"/>
      <c r="AA4419" s="359"/>
      <c r="AB4419" s="360"/>
    </row>
    <row r="4420" spans="1:28" s="361" customFormat="1" ht="15" hidden="1">
      <c r="A4420" s="354"/>
      <c r="B4420" s="831" t="s">
        <v>2000</v>
      </c>
      <c r="C4420" s="28" t="s">
        <v>1641</v>
      </c>
      <c r="D4420" s="18"/>
      <c r="E4420" s="19"/>
      <c r="F4420" s="20"/>
      <c r="G4420" s="18"/>
      <c r="H4420" s="19"/>
      <c r="I4420" s="20"/>
      <c r="J4420" s="782">
        <v>80.466999999999999</v>
      </c>
      <c r="K4420" s="22"/>
      <c r="L4420" s="873">
        <v>5</v>
      </c>
      <c r="M4420" s="24"/>
      <c r="N4420" s="954"/>
      <c r="O4420" s="940">
        <f t="shared" si="443"/>
        <v>822.15000000000009</v>
      </c>
      <c r="P4420" s="23"/>
      <c r="Q4420" s="729"/>
      <c r="R4420" s="445">
        <f t="shared" si="444"/>
        <v>822.15000000000009</v>
      </c>
      <c r="S4420" s="445" t="s">
        <v>853</v>
      </c>
      <c r="T4420" s="835" t="s">
        <v>311</v>
      </c>
      <c r="U4420" s="2041"/>
      <c r="V4420" s="1418">
        <f t="shared" si="441"/>
        <v>0</v>
      </c>
      <c r="W4420" s="357"/>
      <c r="X4420" s="357"/>
      <c r="Y4420" s="357"/>
      <c r="Z4420" s="358"/>
      <c r="AA4420" s="359"/>
      <c r="AB4420" s="360"/>
    </row>
    <row r="4421" spans="1:28" s="361" customFormat="1" ht="15" hidden="1">
      <c r="A4421" s="354"/>
      <c r="B4421" s="831" t="s">
        <v>2001</v>
      </c>
      <c r="C4421" s="28" t="s">
        <v>1643</v>
      </c>
      <c r="D4421" s="18"/>
      <c r="E4421" s="19"/>
      <c r="F4421" s="20"/>
      <c r="G4421" s="18"/>
      <c r="H4421" s="19"/>
      <c r="I4421" s="20"/>
      <c r="J4421" s="782">
        <v>58.508000000000003</v>
      </c>
      <c r="K4421" s="22"/>
      <c r="L4421" s="873">
        <v>5</v>
      </c>
      <c r="M4421" s="24"/>
      <c r="N4421" s="954"/>
      <c r="O4421" s="940">
        <f t="shared" si="443"/>
        <v>694.875</v>
      </c>
      <c r="P4421" s="23"/>
      <c r="Q4421" s="729"/>
      <c r="R4421" s="445">
        <f t="shared" si="444"/>
        <v>694.875</v>
      </c>
      <c r="S4421" s="445" t="s">
        <v>853</v>
      </c>
      <c r="T4421" s="835" t="s">
        <v>311</v>
      </c>
      <c r="U4421" s="2041"/>
      <c r="V4421" s="1418">
        <f t="shared" si="441"/>
        <v>0</v>
      </c>
      <c r="W4421" s="357"/>
      <c r="X4421" s="357"/>
      <c r="Y4421" s="357"/>
      <c r="Z4421" s="358"/>
      <c r="AA4421" s="359"/>
      <c r="AB4421" s="360"/>
    </row>
    <row r="4422" spans="1:28" s="361" customFormat="1" ht="15" hidden="1">
      <c r="A4422" s="354"/>
      <c r="B4422" s="831" t="s">
        <v>2002</v>
      </c>
      <c r="C4422" s="28" t="s">
        <v>1645</v>
      </c>
      <c r="D4422" s="18"/>
      <c r="E4422" s="19"/>
      <c r="F4422" s="20"/>
      <c r="G4422" s="18"/>
      <c r="H4422" s="19"/>
      <c r="I4422" s="20"/>
      <c r="J4422" s="782">
        <v>12.829000000000001</v>
      </c>
      <c r="K4422" s="22"/>
      <c r="L4422" s="873">
        <v>5</v>
      </c>
      <c r="M4422" s="24"/>
      <c r="N4422" s="954"/>
      <c r="O4422" s="940">
        <f t="shared" si="443"/>
        <v>356.685</v>
      </c>
      <c r="P4422" s="23"/>
      <c r="Q4422" s="729"/>
      <c r="R4422" s="445">
        <f t="shared" si="444"/>
        <v>356.685</v>
      </c>
      <c r="S4422" s="445" t="s">
        <v>853</v>
      </c>
      <c r="T4422" s="835" t="s">
        <v>311</v>
      </c>
      <c r="U4422" s="2041"/>
      <c r="V4422" s="1418">
        <f t="shared" si="441"/>
        <v>0</v>
      </c>
      <c r="W4422" s="357"/>
      <c r="X4422" s="357"/>
      <c r="Y4422" s="357"/>
      <c r="Z4422" s="358"/>
      <c r="AA4422" s="359"/>
      <c r="AB4422" s="360"/>
    </row>
    <row r="4423" spans="1:28" s="361" customFormat="1" ht="15" hidden="1">
      <c r="A4423" s="354"/>
      <c r="B4423" s="831" t="s">
        <v>2003</v>
      </c>
      <c r="C4423" s="28" t="s">
        <v>2004</v>
      </c>
      <c r="D4423" s="18"/>
      <c r="E4423" s="19"/>
      <c r="F4423" s="20"/>
      <c r="G4423" s="18"/>
      <c r="H4423" s="19"/>
      <c r="I4423" s="20"/>
      <c r="J4423" s="782">
        <v>9.2620000000000005</v>
      </c>
      <c r="K4423" s="22"/>
      <c r="L4423" s="873">
        <v>0.497</v>
      </c>
      <c r="M4423" s="24"/>
      <c r="N4423" s="954"/>
      <c r="O4423" s="940">
        <f t="shared" si="443"/>
        <v>10.979227</v>
      </c>
      <c r="P4423" s="23"/>
      <c r="Q4423" s="729"/>
      <c r="R4423" s="445">
        <f t="shared" si="444"/>
        <v>10.979227</v>
      </c>
      <c r="S4423" s="445" t="s">
        <v>853</v>
      </c>
      <c r="T4423" s="835" t="s">
        <v>311</v>
      </c>
      <c r="U4423" s="2042"/>
      <c r="V4423" s="1418">
        <f t="shared" si="441"/>
        <v>0</v>
      </c>
      <c r="W4423" s="357"/>
      <c r="X4423" s="357"/>
      <c r="Y4423" s="357"/>
      <c r="Z4423" s="358"/>
      <c r="AA4423" s="359"/>
      <c r="AB4423" s="360"/>
    </row>
    <row r="4424" spans="1:28" s="361" customFormat="1" ht="15" hidden="1">
      <c r="A4424" s="354"/>
      <c r="B4424" s="831"/>
      <c r="C4424" s="836"/>
      <c r="D4424" s="18"/>
      <c r="E4424" s="19"/>
      <c r="F4424" s="20"/>
      <c r="G4424" s="18"/>
      <c r="H4424" s="19"/>
      <c r="I4424" s="20"/>
      <c r="J4424" s="782"/>
      <c r="K4424" s="22"/>
      <c r="L4424" s="873"/>
      <c r="M4424" s="24"/>
      <c r="N4424" s="954"/>
      <c r="O4424" s="845"/>
      <c r="P4424" s="23"/>
      <c r="Q4424" s="729"/>
      <c r="R4424" s="26"/>
      <c r="S4424" s="26"/>
      <c r="T4424" s="835"/>
      <c r="U4424" s="2040" t="s">
        <v>2005</v>
      </c>
      <c r="V4424" s="1418">
        <f t="shared" si="441"/>
        <v>0</v>
      </c>
      <c r="W4424" s="357"/>
      <c r="X4424" s="357"/>
      <c r="Y4424" s="357"/>
      <c r="Z4424" s="358"/>
      <c r="AA4424" s="359"/>
      <c r="AB4424" s="360"/>
    </row>
    <row r="4425" spans="1:28" s="361" customFormat="1" ht="15" hidden="1">
      <c r="A4425" s="354"/>
      <c r="B4425" s="831" t="s">
        <v>2006</v>
      </c>
      <c r="C4425" s="28" t="s">
        <v>1657</v>
      </c>
      <c r="D4425" s="18"/>
      <c r="E4425" s="19"/>
      <c r="F4425" s="20"/>
      <c r="G4425" s="18"/>
      <c r="H4425" s="19"/>
      <c r="I4425" s="20"/>
      <c r="J4425" s="782">
        <v>5.7000000000000002E-2</v>
      </c>
      <c r="K4425" s="22"/>
      <c r="L4425" s="873">
        <v>5</v>
      </c>
      <c r="M4425" s="24"/>
      <c r="N4425" s="954"/>
      <c r="O4425" s="845" t="s">
        <v>1593</v>
      </c>
      <c r="P4425" s="23"/>
      <c r="Q4425" s="729"/>
      <c r="R4425" s="445" t="str">
        <f t="shared" si="444"/>
        <v>-</v>
      </c>
      <c r="S4425" s="445" t="s">
        <v>853</v>
      </c>
      <c r="T4425" s="835" t="s">
        <v>311</v>
      </c>
      <c r="U4425" s="2041"/>
      <c r="V4425" s="1418">
        <f t="shared" si="441"/>
        <v>0</v>
      </c>
      <c r="W4425" s="357"/>
      <c r="X4425" s="357"/>
      <c r="Y4425" s="357"/>
      <c r="Z4425" s="358"/>
      <c r="AA4425" s="359"/>
      <c r="AB4425" s="360"/>
    </row>
    <row r="4426" spans="1:28" s="361" customFormat="1" ht="15" hidden="1">
      <c r="A4426" s="354"/>
      <c r="B4426" s="831" t="s">
        <v>2007</v>
      </c>
      <c r="C4426" s="28" t="s">
        <v>1572</v>
      </c>
      <c r="D4426" s="18"/>
      <c r="E4426" s="19"/>
      <c r="F4426" s="20"/>
      <c r="G4426" s="18"/>
      <c r="H4426" s="19"/>
      <c r="I4426" s="20"/>
      <c r="J4426" s="782">
        <v>3.6360000000000001</v>
      </c>
      <c r="K4426" s="22"/>
      <c r="L4426" s="873">
        <v>5</v>
      </c>
      <c r="M4426" s="24"/>
      <c r="N4426" s="954"/>
      <c r="O4426" s="845">
        <f t="shared" ref="O4426:O4435" si="445">(J4425+J4426)*L4426</f>
        <v>18.465</v>
      </c>
      <c r="P4426" s="23"/>
      <c r="Q4426" s="729"/>
      <c r="R4426" s="445">
        <f t="shared" si="444"/>
        <v>18.465</v>
      </c>
      <c r="S4426" s="445" t="s">
        <v>853</v>
      </c>
      <c r="T4426" s="835" t="s">
        <v>311</v>
      </c>
      <c r="U4426" s="2041"/>
      <c r="V4426" s="1418">
        <f t="shared" si="441"/>
        <v>0</v>
      </c>
      <c r="W4426" s="357"/>
      <c r="X4426" s="357"/>
      <c r="Y4426" s="357"/>
      <c r="Z4426" s="358"/>
      <c r="AA4426" s="359"/>
      <c r="AB4426" s="360"/>
    </row>
    <row r="4427" spans="1:28" s="361" customFormat="1" ht="15" hidden="1">
      <c r="A4427" s="354"/>
      <c r="B4427" s="831" t="s">
        <v>2008</v>
      </c>
      <c r="C4427" s="28" t="s">
        <v>1574</v>
      </c>
      <c r="D4427" s="18"/>
      <c r="E4427" s="19"/>
      <c r="F4427" s="20"/>
      <c r="G4427" s="18"/>
      <c r="H4427" s="19"/>
      <c r="I4427" s="20"/>
      <c r="J4427" s="782">
        <v>20.584</v>
      </c>
      <c r="K4427" s="22"/>
      <c r="L4427" s="873">
        <v>5</v>
      </c>
      <c r="M4427" s="24"/>
      <c r="N4427" s="954"/>
      <c r="O4427" s="845">
        <f t="shared" si="445"/>
        <v>121.1</v>
      </c>
      <c r="P4427" s="23"/>
      <c r="Q4427" s="729"/>
      <c r="R4427" s="445">
        <f t="shared" si="444"/>
        <v>121.1</v>
      </c>
      <c r="S4427" s="445" t="s">
        <v>853</v>
      </c>
      <c r="T4427" s="835" t="s">
        <v>311</v>
      </c>
      <c r="U4427" s="2041"/>
      <c r="V4427" s="1418">
        <f t="shared" si="441"/>
        <v>0</v>
      </c>
      <c r="W4427" s="357"/>
      <c r="X4427" s="357"/>
      <c r="Y4427" s="357"/>
      <c r="Z4427" s="358"/>
      <c r="AA4427" s="359"/>
      <c r="AB4427" s="360"/>
    </row>
    <row r="4428" spans="1:28" s="361" customFormat="1" ht="15" hidden="1">
      <c r="A4428" s="354"/>
      <c r="B4428" s="831" t="s">
        <v>2009</v>
      </c>
      <c r="C4428" s="28" t="s">
        <v>1576</v>
      </c>
      <c r="D4428" s="18"/>
      <c r="E4428" s="19"/>
      <c r="F4428" s="20"/>
      <c r="G4428" s="18"/>
      <c r="H4428" s="19"/>
      <c r="I4428" s="20"/>
      <c r="J4428" s="782">
        <v>15.167</v>
      </c>
      <c r="K4428" s="22"/>
      <c r="L4428" s="873">
        <v>5</v>
      </c>
      <c r="M4428" s="24"/>
      <c r="N4428" s="954"/>
      <c r="O4428" s="845">
        <f t="shared" si="445"/>
        <v>178.755</v>
      </c>
      <c r="P4428" s="23"/>
      <c r="Q4428" s="729"/>
      <c r="R4428" s="445">
        <f t="shared" si="444"/>
        <v>178.755</v>
      </c>
      <c r="S4428" s="445" t="s">
        <v>853</v>
      </c>
      <c r="T4428" s="835" t="s">
        <v>311</v>
      </c>
      <c r="U4428" s="2041"/>
      <c r="V4428" s="1418">
        <f t="shared" si="441"/>
        <v>0</v>
      </c>
      <c r="W4428" s="357"/>
      <c r="X4428" s="357"/>
      <c r="Y4428" s="357"/>
      <c r="Z4428" s="358"/>
      <c r="AA4428" s="359"/>
      <c r="AB4428" s="360"/>
    </row>
    <row r="4429" spans="1:28" s="361" customFormat="1" ht="15" hidden="1">
      <c r="A4429" s="354"/>
      <c r="B4429" s="831" t="s">
        <v>2010</v>
      </c>
      <c r="C4429" s="28" t="s">
        <v>1578</v>
      </c>
      <c r="D4429" s="18"/>
      <c r="E4429" s="19"/>
      <c r="F4429" s="20"/>
      <c r="G4429" s="18"/>
      <c r="H4429" s="19"/>
      <c r="I4429" s="20"/>
      <c r="J4429" s="782">
        <v>17.248999999999999</v>
      </c>
      <c r="K4429" s="22"/>
      <c r="L4429" s="873">
        <v>5</v>
      </c>
      <c r="M4429" s="24"/>
      <c r="N4429" s="954"/>
      <c r="O4429" s="845">
        <f t="shared" si="445"/>
        <v>162.07999999999998</v>
      </c>
      <c r="P4429" s="23"/>
      <c r="Q4429" s="729"/>
      <c r="R4429" s="445">
        <f t="shared" si="444"/>
        <v>162.07999999999998</v>
      </c>
      <c r="S4429" s="445" t="s">
        <v>853</v>
      </c>
      <c r="T4429" s="835" t="s">
        <v>311</v>
      </c>
      <c r="U4429" s="2041"/>
      <c r="V4429" s="1418">
        <f t="shared" si="441"/>
        <v>0</v>
      </c>
      <c r="W4429" s="357"/>
      <c r="X4429" s="357"/>
      <c r="Y4429" s="357"/>
      <c r="Z4429" s="358"/>
      <c r="AA4429" s="359"/>
      <c r="AB4429" s="360"/>
    </row>
    <row r="4430" spans="1:28" s="361" customFormat="1" ht="15" hidden="1">
      <c r="A4430" s="354"/>
      <c r="B4430" s="831" t="s">
        <v>2011</v>
      </c>
      <c r="C4430" s="28" t="s">
        <v>1580</v>
      </c>
      <c r="D4430" s="18"/>
      <c r="E4430" s="19"/>
      <c r="F4430" s="20"/>
      <c r="G4430" s="18"/>
      <c r="H4430" s="19"/>
      <c r="I4430" s="20"/>
      <c r="J4430" s="782">
        <v>16.849</v>
      </c>
      <c r="K4430" s="22"/>
      <c r="L4430" s="873">
        <v>5</v>
      </c>
      <c r="M4430" s="24"/>
      <c r="N4430" s="954"/>
      <c r="O4430" s="845">
        <f t="shared" si="445"/>
        <v>170.49</v>
      </c>
      <c r="P4430" s="23"/>
      <c r="Q4430" s="729"/>
      <c r="R4430" s="445">
        <f t="shared" si="444"/>
        <v>170.49</v>
      </c>
      <c r="S4430" s="445" t="s">
        <v>853</v>
      </c>
      <c r="T4430" s="835" t="s">
        <v>311</v>
      </c>
      <c r="U4430" s="2041"/>
      <c r="V4430" s="1418">
        <f t="shared" si="441"/>
        <v>0</v>
      </c>
      <c r="W4430" s="357"/>
      <c r="X4430" s="357"/>
      <c r="Y4430" s="357"/>
      <c r="Z4430" s="358"/>
      <c r="AA4430" s="359"/>
      <c r="AB4430" s="360"/>
    </row>
    <row r="4431" spans="1:28" s="361" customFormat="1" ht="15" hidden="1">
      <c r="A4431" s="354"/>
      <c r="B4431" s="831" t="s">
        <v>2012</v>
      </c>
      <c r="C4431" s="28" t="s">
        <v>1582</v>
      </c>
      <c r="D4431" s="18"/>
      <c r="E4431" s="19"/>
      <c r="F4431" s="20"/>
      <c r="G4431" s="18"/>
      <c r="H4431" s="19"/>
      <c r="I4431" s="20"/>
      <c r="J4431" s="782">
        <v>15.109</v>
      </c>
      <c r="K4431" s="22"/>
      <c r="L4431" s="873">
        <v>5</v>
      </c>
      <c r="M4431" s="24"/>
      <c r="N4431" s="954"/>
      <c r="O4431" s="845">
        <f t="shared" si="445"/>
        <v>159.79</v>
      </c>
      <c r="P4431" s="23"/>
      <c r="Q4431" s="729"/>
      <c r="R4431" s="445">
        <f t="shared" si="444"/>
        <v>159.79</v>
      </c>
      <c r="S4431" s="445" t="s">
        <v>853</v>
      </c>
      <c r="T4431" s="835" t="s">
        <v>311</v>
      </c>
      <c r="U4431" s="2041"/>
      <c r="V4431" s="1418">
        <f t="shared" si="441"/>
        <v>0</v>
      </c>
      <c r="W4431" s="357"/>
      <c r="X4431" s="357"/>
      <c r="Y4431" s="357"/>
      <c r="Z4431" s="358"/>
      <c r="AA4431" s="359"/>
      <c r="AB4431" s="360"/>
    </row>
    <row r="4432" spans="1:28" s="361" customFormat="1" ht="15" hidden="1">
      <c r="A4432" s="354"/>
      <c r="B4432" s="831" t="s">
        <v>2013</v>
      </c>
      <c r="C4432" s="28" t="s">
        <v>1584</v>
      </c>
      <c r="D4432" s="18"/>
      <c r="E4432" s="19"/>
      <c r="F4432" s="20"/>
      <c r="G4432" s="18"/>
      <c r="H4432" s="19"/>
      <c r="I4432" s="20"/>
      <c r="J4432" s="782">
        <v>9.0850000000000009</v>
      </c>
      <c r="K4432" s="22"/>
      <c r="L4432" s="873">
        <v>5</v>
      </c>
      <c r="M4432" s="24"/>
      <c r="N4432" s="954"/>
      <c r="O4432" s="845">
        <f t="shared" si="445"/>
        <v>120.97000000000001</v>
      </c>
      <c r="P4432" s="23"/>
      <c r="Q4432" s="729"/>
      <c r="R4432" s="445">
        <f t="shared" si="444"/>
        <v>120.97000000000001</v>
      </c>
      <c r="S4432" s="445" t="s">
        <v>853</v>
      </c>
      <c r="T4432" s="835" t="s">
        <v>311</v>
      </c>
      <c r="U4432" s="2041"/>
      <c r="V4432" s="1418">
        <f t="shared" si="441"/>
        <v>0</v>
      </c>
      <c r="W4432" s="357"/>
      <c r="X4432" s="357"/>
      <c r="Y4432" s="357"/>
      <c r="Z4432" s="358"/>
      <c r="AA4432" s="359"/>
      <c r="AB4432" s="360"/>
    </row>
    <row r="4433" spans="1:28" s="361" customFormat="1" ht="15" hidden="1">
      <c r="A4433" s="354"/>
      <c r="B4433" s="831" t="s">
        <v>2014</v>
      </c>
      <c r="C4433" s="28" t="s">
        <v>1586</v>
      </c>
      <c r="D4433" s="18"/>
      <c r="E4433" s="19"/>
      <c r="F4433" s="20"/>
      <c r="G4433" s="18"/>
      <c r="H4433" s="19"/>
      <c r="I4433" s="20"/>
      <c r="J4433" s="782">
        <v>1.702</v>
      </c>
      <c r="K4433" s="22"/>
      <c r="L4433" s="873">
        <v>5</v>
      </c>
      <c r="M4433" s="24"/>
      <c r="N4433" s="954"/>
      <c r="O4433" s="845">
        <f t="shared" si="445"/>
        <v>53.935000000000002</v>
      </c>
      <c r="P4433" s="23"/>
      <c r="Q4433" s="729"/>
      <c r="R4433" s="445">
        <f t="shared" si="444"/>
        <v>53.935000000000002</v>
      </c>
      <c r="S4433" s="445" t="s">
        <v>853</v>
      </c>
      <c r="T4433" s="835" t="s">
        <v>311</v>
      </c>
      <c r="U4433" s="2041"/>
      <c r="V4433" s="1418">
        <f t="shared" si="441"/>
        <v>0</v>
      </c>
      <c r="W4433" s="357"/>
      <c r="X4433" s="357"/>
      <c r="Y4433" s="357"/>
      <c r="Z4433" s="358"/>
      <c r="AA4433" s="359"/>
      <c r="AB4433" s="360"/>
    </row>
    <row r="4434" spans="1:28" s="361" customFormat="1" ht="15" hidden="1">
      <c r="A4434" s="354"/>
      <c r="B4434" s="831" t="s">
        <v>2015</v>
      </c>
      <c r="C4434" s="28" t="s">
        <v>1588</v>
      </c>
      <c r="D4434" s="18"/>
      <c r="E4434" s="19"/>
      <c r="F4434" s="20"/>
      <c r="G4434" s="18"/>
      <c r="H4434" s="19"/>
      <c r="I4434" s="20"/>
      <c r="J4434" s="782">
        <v>3.3809999999999998</v>
      </c>
      <c r="K4434" s="22"/>
      <c r="L4434" s="873">
        <v>5</v>
      </c>
      <c r="M4434" s="24"/>
      <c r="N4434" s="954"/>
      <c r="O4434" s="845">
        <f t="shared" si="445"/>
        <v>25.414999999999999</v>
      </c>
      <c r="P4434" s="23"/>
      <c r="Q4434" s="729"/>
      <c r="R4434" s="445">
        <f t="shared" si="444"/>
        <v>25.414999999999999</v>
      </c>
      <c r="S4434" s="445" t="s">
        <v>853</v>
      </c>
      <c r="T4434" s="835" t="s">
        <v>311</v>
      </c>
      <c r="U4434" s="2041"/>
      <c r="V4434" s="1418">
        <f t="shared" si="441"/>
        <v>0</v>
      </c>
      <c r="W4434" s="357"/>
      <c r="X4434" s="357"/>
      <c r="Y4434" s="357"/>
      <c r="Z4434" s="358"/>
      <c r="AA4434" s="359"/>
      <c r="AB4434" s="360"/>
    </row>
    <row r="4435" spans="1:28" s="361" customFormat="1" ht="15" hidden="1">
      <c r="A4435" s="354"/>
      <c r="B4435" s="831" t="s">
        <v>2016</v>
      </c>
      <c r="C4435" s="28" t="s">
        <v>2017</v>
      </c>
      <c r="D4435" s="18"/>
      <c r="E4435" s="19"/>
      <c r="F4435" s="20"/>
      <c r="G4435" s="18"/>
      <c r="H4435" s="19"/>
      <c r="I4435" s="20"/>
      <c r="J4435" s="782">
        <v>0</v>
      </c>
      <c r="K4435" s="22"/>
      <c r="L4435" s="873">
        <v>4.8150000000000004</v>
      </c>
      <c r="M4435" s="24"/>
      <c r="N4435" s="954"/>
      <c r="O4435" s="845">
        <f t="shared" si="445"/>
        <v>16.279515</v>
      </c>
      <c r="P4435" s="23"/>
      <c r="Q4435" s="729"/>
      <c r="R4435" s="445">
        <f t="shared" si="444"/>
        <v>16.279515</v>
      </c>
      <c r="S4435" s="445" t="s">
        <v>853</v>
      </c>
      <c r="T4435" s="835" t="s">
        <v>311</v>
      </c>
      <c r="U4435" s="2042"/>
      <c r="V4435" s="1418">
        <f>V4458</f>
        <v>0</v>
      </c>
      <c r="W4435" s="357"/>
      <c r="X4435" s="357"/>
      <c r="Y4435" s="357"/>
      <c r="Z4435" s="358"/>
      <c r="AA4435" s="359"/>
      <c r="AB4435" s="360"/>
    </row>
    <row r="4436" spans="1:28" s="361" customFormat="1" ht="15" hidden="1">
      <c r="A4436" s="354"/>
      <c r="B4436" s="831"/>
      <c r="C4436" s="836"/>
      <c r="D4436" s="18"/>
      <c r="E4436" s="19"/>
      <c r="F4436" s="20"/>
      <c r="G4436" s="18"/>
      <c r="H4436" s="19"/>
      <c r="I4436" s="20"/>
      <c r="J4436" s="782"/>
      <c r="K4436" s="22"/>
      <c r="L4436" s="873"/>
      <c r="M4436" s="24"/>
      <c r="N4436" s="954"/>
      <c r="O4436" s="845"/>
      <c r="P4436" s="23"/>
      <c r="Q4436" s="729"/>
      <c r="R4436" s="26"/>
      <c r="S4436" s="26"/>
      <c r="T4436" s="835"/>
      <c r="U4436" s="2040" t="s">
        <v>2018</v>
      </c>
      <c r="V4436" s="1418">
        <f t="shared" si="441"/>
        <v>0</v>
      </c>
      <c r="W4436" s="357"/>
      <c r="X4436" s="357"/>
      <c r="Y4436" s="357"/>
      <c r="Z4436" s="358"/>
      <c r="AA4436" s="359"/>
      <c r="AB4436" s="360"/>
    </row>
    <row r="4437" spans="1:28" s="361" customFormat="1" ht="15" hidden="1">
      <c r="A4437" s="354"/>
      <c r="B4437" s="831" t="s">
        <v>2019</v>
      </c>
      <c r="C4437" s="28" t="s">
        <v>1657</v>
      </c>
      <c r="D4437" s="18"/>
      <c r="E4437" s="19"/>
      <c r="F4437" s="20"/>
      <c r="G4437" s="18"/>
      <c r="H4437" s="19"/>
      <c r="I4437" s="20"/>
      <c r="J4437" s="782">
        <v>5.9009999999999998</v>
      </c>
      <c r="K4437" s="22"/>
      <c r="L4437" s="873">
        <v>10</v>
      </c>
      <c r="M4437" s="24"/>
      <c r="N4437" s="954"/>
      <c r="O4437" s="845" t="s">
        <v>1593</v>
      </c>
      <c r="P4437" s="23"/>
      <c r="Q4437" s="729"/>
      <c r="R4437" s="445" t="str">
        <f t="shared" si="444"/>
        <v>-</v>
      </c>
      <c r="S4437" s="445" t="s">
        <v>853</v>
      </c>
      <c r="T4437" s="835" t="s">
        <v>313</v>
      </c>
      <c r="U4437" s="2041"/>
      <c r="V4437" s="1418">
        <f t="shared" si="441"/>
        <v>0</v>
      </c>
      <c r="W4437" s="357"/>
      <c r="X4437" s="357"/>
      <c r="Y4437" s="357"/>
      <c r="Z4437" s="358"/>
      <c r="AA4437" s="359"/>
      <c r="AB4437" s="360"/>
    </row>
    <row r="4438" spans="1:28" s="361" customFormat="1" ht="15" hidden="1">
      <c r="A4438" s="354"/>
      <c r="B4438" s="831" t="s">
        <v>2020</v>
      </c>
      <c r="C4438" s="28" t="s">
        <v>1572</v>
      </c>
      <c r="D4438" s="18"/>
      <c r="E4438" s="19"/>
      <c r="F4438" s="20"/>
      <c r="G4438" s="18"/>
      <c r="H4438" s="19"/>
      <c r="I4438" s="20"/>
      <c r="J4438" s="782">
        <v>8.5549999999999997</v>
      </c>
      <c r="K4438" s="22"/>
      <c r="L4438" s="873">
        <v>10</v>
      </c>
      <c r="M4438" s="24"/>
      <c r="N4438" s="954"/>
      <c r="O4438" s="845">
        <f t="shared" ref="O4438:O4446" si="446">(J4437+J4438)*L4438</f>
        <v>144.56</v>
      </c>
      <c r="P4438" s="23"/>
      <c r="Q4438" s="729"/>
      <c r="R4438" s="445">
        <f t="shared" si="444"/>
        <v>144.56</v>
      </c>
      <c r="S4438" s="445" t="s">
        <v>853</v>
      </c>
      <c r="T4438" s="835" t="s">
        <v>313</v>
      </c>
      <c r="U4438" s="2041"/>
      <c r="V4438" s="1418">
        <f t="shared" si="441"/>
        <v>0</v>
      </c>
      <c r="W4438" s="357"/>
      <c r="X4438" s="357"/>
      <c r="Y4438" s="357"/>
      <c r="Z4438" s="358"/>
      <c r="AA4438" s="359"/>
      <c r="AB4438" s="360"/>
    </row>
    <row r="4439" spans="1:28" s="361" customFormat="1" ht="15" hidden="1">
      <c r="A4439" s="354"/>
      <c r="B4439" s="831" t="s">
        <v>2021</v>
      </c>
      <c r="C4439" s="28" t="s">
        <v>1574</v>
      </c>
      <c r="D4439" s="18"/>
      <c r="E4439" s="19"/>
      <c r="F4439" s="20"/>
      <c r="G4439" s="18"/>
      <c r="H4439" s="19"/>
      <c r="I4439" s="20"/>
      <c r="J4439" s="782">
        <v>6.7930000000000001</v>
      </c>
      <c r="K4439" s="22"/>
      <c r="L4439" s="873">
        <v>10</v>
      </c>
      <c r="M4439" s="24"/>
      <c r="N4439" s="954"/>
      <c r="O4439" s="845">
        <f t="shared" si="446"/>
        <v>153.47999999999999</v>
      </c>
      <c r="P4439" s="23"/>
      <c r="Q4439" s="729"/>
      <c r="R4439" s="445">
        <f t="shared" si="444"/>
        <v>153.47999999999999</v>
      </c>
      <c r="S4439" s="445" t="s">
        <v>853</v>
      </c>
      <c r="T4439" s="835" t="s">
        <v>313</v>
      </c>
      <c r="U4439" s="2041"/>
      <c r="V4439" s="1418">
        <f t="shared" si="441"/>
        <v>0</v>
      </c>
      <c r="W4439" s="357"/>
      <c r="X4439" s="357"/>
      <c r="Y4439" s="357"/>
      <c r="Z4439" s="358"/>
      <c r="AA4439" s="359"/>
      <c r="AB4439" s="360"/>
    </row>
    <row r="4440" spans="1:28" s="361" customFormat="1" ht="15" hidden="1">
      <c r="A4440" s="354"/>
      <c r="B4440" s="831" t="s">
        <v>2022</v>
      </c>
      <c r="C4440" s="28" t="s">
        <v>1576</v>
      </c>
      <c r="D4440" s="18"/>
      <c r="E4440" s="19"/>
      <c r="F4440" s="20"/>
      <c r="G4440" s="18"/>
      <c r="H4440" s="19"/>
      <c r="I4440" s="20"/>
      <c r="J4440" s="782">
        <v>6.367</v>
      </c>
      <c r="K4440" s="22"/>
      <c r="L4440" s="873">
        <v>2.1960000000000002</v>
      </c>
      <c r="M4440" s="24"/>
      <c r="N4440" s="954"/>
      <c r="O4440" s="845">
        <v>131.6</v>
      </c>
      <c r="P4440" s="23"/>
      <c r="Q4440" s="729"/>
      <c r="R4440" s="445">
        <f t="shared" si="444"/>
        <v>131.6</v>
      </c>
      <c r="S4440" s="445" t="s">
        <v>853</v>
      </c>
      <c r="T4440" s="835" t="s">
        <v>313</v>
      </c>
      <c r="U4440" s="2041"/>
      <c r="V4440" s="1418">
        <f t="shared" si="441"/>
        <v>0</v>
      </c>
      <c r="W4440" s="357"/>
      <c r="X4440" s="357"/>
      <c r="Y4440" s="357"/>
      <c r="Z4440" s="358"/>
      <c r="AA4440" s="359"/>
      <c r="AB4440" s="360"/>
    </row>
    <row r="4441" spans="1:28" s="361" customFormat="1" ht="15" hidden="1">
      <c r="A4441" s="354"/>
      <c r="B4441" s="831" t="s">
        <v>2023</v>
      </c>
      <c r="C4441" s="28" t="s">
        <v>2024</v>
      </c>
      <c r="D4441" s="18"/>
      <c r="E4441" s="19"/>
      <c r="F4441" s="20"/>
      <c r="G4441" s="18"/>
      <c r="H4441" s="19"/>
      <c r="I4441" s="20"/>
      <c r="J4441" s="782">
        <v>6.7729999999999997</v>
      </c>
      <c r="K4441" s="22"/>
      <c r="L4441" s="873">
        <v>7.8049999999999997</v>
      </c>
      <c r="M4441" s="24"/>
      <c r="N4441" s="954"/>
      <c r="O4441" s="845">
        <v>28.849</v>
      </c>
      <c r="P4441" s="23"/>
      <c r="Q4441" s="729"/>
      <c r="R4441" s="445">
        <f t="shared" si="444"/>
        <v>28.849</v>
      </c>
      <c r="S4441" s="445" t="s">
        <v>853</v>
      </c>
      <c r="T4441" s="835" t="s">
        <v>313</v>
      </c>
      <c r="U4441" s="2041"/>
      <c r="V4441" s="1418">
        <f t="shared" si="441"/>
        <v>0</v>
      </c>
      <c r="W4441" s="357"/>
      <c r="X4441" s="357"/>
      <c r="Y4441" s="357"/>
      <c r="Z4441" s="358"/>
      <c r="AA4441" s="359"/>
      <c r="AB4441" s="360"/>
    </row>
    <row r="4442" spans="1:28" s="361" customFormat="1" ht="15" hidden="1">
      <c r="A4442" s="354"/>
      <c r="B4442" s="831" t="s">
        <v>2025</v>
      </c>
      <c r="C4442" s="28" t="s">
        <v>1578</v>
      </c>
      <c r="D4442" s="18"/>
      <c r="E4442" s="19"/>
      <c r="F4442" s="20"/>
      <c r="G4442" s="18"/>
      <c r="H4442" s="19"/>
      <c r="I4442" s="20"/>
      <c r="J4442" s="782">
        <v>21.428999999999998</v>
      </c>
      <c r="K4442" s="22"/>
      <c r="L4442" s="873">
        <v>10</v>
      </c>
      <c r="M4442" s="24"/>
      <c r="N4442" s="954"/>
      <c r="O4442" s="845">
        <v>220.10300000000001</v>
      </c>
      <c r="P4442" s="23"/>
      <c r="Q4442" s="729"/>
      <c r="R4442" s="445">
        <f t="shared" si="444"/>
        <v>220.10300000000001</v>
      </c>
      <c r="S4442" s="445" t="s">
        <v>853</v>
      </c>
      <c r="T4442" s="835" t="s">
        <v>313</v>
      </c>
      <c r="U4442" s="2041"/>
      <c r="V4442" s="1418">
        <f t="shared" si="441"/>
        <v>0</v>
      </c>
      <c r="W4442" s="357"/>
      <c r="X4442" s="357"/>
      <c r="Y4442" s="357"/>
      <c r="Z4442" s="358"/>
      <c r="AA4442" s="359"/>
      <c r="AB4442" s="360"/>
    </row>
    <row r="4443" spans="1:28" s="361" customFormat="1" ht="15" hidden="1">
      <c r="A4443" s="354"/>
      <c r="B4443" s="831" t="s">
        <v>2026</v>
      </c>
      <c r="C4443" s="28" t="s">
        <v>1580</v>
      </c>
      <c r="D4443" s="18"/>
      <c r="E4443" s="19"/>
      <c r="F4443" s="20"/>
      <c r="G4443" s="18"/>
      <c r="H4443" s="19"/>
      <c r="I4443" s="20"/>
      <c r="J4443" s="782">
        <v>53.927</v>
      </c>
      <c r="K4443" s="22"/>
      <c r="L4443" s="873">
        <v>10</v>
      </c>
      <c r="M4443" s="24"/>
      <c r="N4443" s="954"/>
      <c r="O4443" s="845">
        <f t="shared" si="446"/>
        <v>753.56</v>
      </c>
      <c r="P4443" s="23"/>
      <c r="Q4443" s="729"/>
      <c r="R4443" s="445">
        <f t="shared" si="444"/>
        <v>753.56</v>
      </c>
      <c r="S4443" s="445" t="s">
        <v>853</v>
      </c>
      <c r="T4443" s="835" t="s">
        <v>313</v>
      </c>
      <c r="U4443" s="2041"/>
      <c r="V4443" s="1418">
        <f t="shared" si="441"/>
        <v>0</v>
      </c>
      <c r="W4443" s="357"/>
      <c r="X4443" s="357"/>
      <c r="Y4443" s="357"/>
      <c r="Z4443" s="358"/>
      <c r="AA4443" s="359"/>
      <c r="AB4443" s="360"/>
    </row>
    <row r="4444" spans="1:28" s="361" customFormat="1" ht="15" hidden="1">
      <c r="A4444" s="354"/>
      <c r="B4444" s="831" t="s">
        <v>2027</v>
      </c>
      <c r="C4444" s="28" t="s">
        <v>1582</v>
      </c>
      <c r="D4444" s="18"/>
      <c r="E4444" s="19"/>
      <c r="F4444" s="20"/>
      <c r="G4444" s="18"/>
      <c r="H4444" s="19"/>
      <c r="I4444" s="20"/>
      <c r="J4444" s="782">
        <v>77.614000000000004</v>
      </c>
      <c r="K4444" s="22"/>
      <c r="L4444" s="873">
        <v>10</v>
      </c>
      <c r="M4444" s="24"/>
      <c r="N4444" s="954"/>
      <c r="O4444" s="845">
        <f t="shared" si="446"/>
        <v>1315.4099999999999</v>
      </c>
      <c r="P4444" s="23"/>
      <c r="Q4444" s="729"/>
      <c r="R4444" s="445">
        <f t="shared" si="444"/>
        <v>1315.4099999999999</v>
      </c>
      <c r="S4444" s="445" t="s">
        <v>853</v>
      </c>
      <c r="T4444" s="835" t="s">
        <v>313</v>
      </c>
      <c r="U4444" s="2041"/>
      <c r="V4444" s="1418">
        <f t="shared" si="441"/>
        <v>0</v>
      </c>
      <c r="W4444" s="357"/>
      <c r="X4444" s="357"/>
      <c r="Y4444" s="357"/>
      <c r="Z4444" s="358"/>
      <c r="AA4444" s="359"/>
      <c r="AB4444" s="360"/>
    </row>
    <row r="4445" spans="1:28" s="361" customFormat="1" ht="15" hidden="1">
      <c r="A4445" s="354"/>
      <c r="B4445" s="831" t="s">
        <v>2028</v>
      </c>
      <c r="C4445" s="28" t="s">
        <v>1584</v>
      </c>
      <c r="D4445" s="18"/>
      <c r="E4445" s="19"/>
      <c r="F4445" s="20"/>
      <c r="G4445" s="18"/>
      <c r="H4445" s="19"/>
      <c r="I4445" s="20"/>
      <c r="J4445" s="782">
        <v>12.734999999999999</v>
      </c>
      <c r="K4445" s="22"/>
      <c r="L4445" s="873">
        <v>10</v>
      </c>
      <c r="M4445" s="24"/>
      <c r="N4445" s="954"/>
      <c r="O4445" s="845">
        <f t="shared" si="446"/>
        <v>903.49</v>
      </c>
      <c r="P4445" s="23"/>
      <c r="Q4445" s="729"/>
      <c r="R4445" s="445">
        <f t="shared" si="444"/>
        <v>903.49</v>
      </c>
      <c r="S4445" s="445" t="s">
        <v>853</v>
      </c>
      <c r="T4445" s="835" t="s">
        <v>313</v>
      </c>
      <c r="U4445" s="2041"/>
      <c r="V4445" s="1418">
        <f t="shared" si="441"/>
        <v>0</v>
      </c>
      <c r="W4445" s="357"/>
      <c r="X4445" s="357"/>
      <c r="Y4445" s="357"/>
      <c r="Z4445" s="358"/>
      <c r="AA4445" s="359"/>
      <c r="AB4445" s="360"/>
    </row>
    <row r="4446" spans="1:28" s="361" customFormat="1" ht="15" hidden="1">
      <c r="A4446" s="354"/>
      <c r="B4446" s="831" t="s">
        <v>2029</v>
      </c>
      <c r="C4446" s="28" t="s">
        <v>1586</v>
      </c>
      <c r="D4446" s="18"/>
      <c r="E4446" s="19"/>
      <c r="F4446" s="20"/>
      <c r="G4446" s="18"/>
      <c r="H4446" s="19"/>
      <c r="I4446" s="20"/>
      <c r="J4446" s="782">
        <v>36.564</v>
      </c>
      <c r="K4446" s="22"/>
      <c r="L4446" s="873">
        <v>10</v>
      </c>
      <c r="M4446" s="24"/>
      <c r="N4446" s="954"/>
      <c r="O4446" s="845">
        <f t="shared" si="446"/>
        <v>492.99</v>
      </c>
      <c r="P4446" s="23"/>
      <c r="Q4446" s="729"/>
      <c r="R4446" s="445">
        <f t="shared" si="444"/>
        <v>492.99</v>
      </c>
      <c r="S4446" s="445" t="s">
        <v>853</v>
      </c>
      <c r="T4446" s="835" t="s">
        <v>313</v>
      </c>
      <c r="U4446" s="2041"/>
      <c r="V4446" s="1418">
        <f>V4447</f>
        <v>0</v>
      </c>
      <c r="W4446" s="357"/>
      <c r="X4446" s="357"/>
      <c r="Y4446" s="357"/>
      <c r="Z4446" s="358"/>
      <c r="AA4446" s="359"/>
      <c r="AB4446" s="360"/>
    </row>
    <row r="4447" spans="1:28" s="361" customFormat="1" ht="15" hidden="1">
      <c r="A4447" s="354"/>
      <c r="B4447" s="831" t="s">
        <v>2030</v>
      </c>
      <c r="C4447" s="28" t="s">
        <v>1588</v>
      </c>
      <c r="D4447" s="18"/>
      <c r="E4447" s="19"/>
      <c r="F4447" s="20"/>
      <c r="G4447" s="18"/>
      <c r="H4447" s="19"/>
      <c r="I4447" s="20"/>
      <c r="J4447" s="782">
        <v>22.213000000000001</v>
      </c>
      <c r="K4447" s="22"/>
      <c r="L4447" s="873">
        <v>10</v>
      </c>
      <c r="M4447" s="24"/>
      <c r="N4447" s="954"/>
      <c r="O4447" s="845">
        <f>(J4446+J4447)*L4447</f>
        <v>587.77</v>
      </c>
      <c r="P4447" s="23"/>
      <c r="Q4447" s="729"/>
      <c r="R4447" s="445">
        <f t="shared" si="444"/>
        <v>587.77</v>
      </c>
      <c r="S4447" s="445" t="s">
        <v>853</v>
      </c>
      <c r="T4447" s="835" t="s">
        <v>313</v>
      </c>
      <c r="U4447" s="2042"/>
      <c r="V4447" s="1418">
        <f>V4458</f>
        <v>0</v>
      </c>
      <c r="W4447" s="357"/>
      <c r="X4447" s="357"/>
      <c r="Y4447" s="357"/>
      <c r="Z4447" s="358"/>
      <c r="AA4447" s="359"/>
      <c r="AB4447" s="360"/>
    </row>
    <row r="4448" spans="1:28" s="361" customFormat="1" ht="15" hidden="1">
      <c r="A4448" s="354"/>
      <c r="B4448" s="831"/>
      <c r="C4448" s="836"/>
      <c r="D4448" s="18"/>
      <c r="E4448" s="19"/>
      <c r="F4448" s="20"/>
      <c r="G4448" s="18"/>
      <c r="H4448" s="19"/>
      <c r="I4448" s="20"/>
      <c r="J4448" s="782"/>
      <c r="K4448" s="22"/>
      <c r="L4448" s="873"/>
      <c r="M4448" s="24"/>
      <c r="N4448" s="954"/>
      <c r="O4448" s="845"/>
      <c r="P4448" s="23"/>
      <c r="Q4448" s="729"/>
      <c r="R4448" s="26"/>
      <c r="S4448" s="26"/>
      <c r="T4448" s="835"/>
      <c r="U4448" s="2037" t="s">
        <v>2031</v>
      </c>
      <c r="V4448" s="1418">
        <f t="shared" si="441"/>
        <v>0</v>
      </c>
      <c r="W4448" s="357"/>
      <c r="X4448" s="357"/>
      <c r="Y4448" s="357"/>
      <c r="Z4448" s="358"/>
      <c r="AA4448" s="359"/>
      <c r="AB4448" s="360"/>
    </row>
    <row r="4449" spans="1:33" s="361" customFormat="1" ht="15" hidden="1">
      <c r="A4449" s="354"/>
      <c r="B4449" s="831" t="s">
        <v>2032</v>
      </c>
      <c r="C4449" s="28" t="s">
        <v>1657</v>
      </c>
      <c r="D4449" s="18"/>
      <c r="E4449" s="19"/>
      <c r="F4449" s="20"/>
      <c r="G4449" s="18"/>
      <c r="H4449" s="19"/>
      <c r="I4449" s="20"/>
      <c r="J4449" s="782">
        <v>23.54</v>
      </c>
      <c r="K4449" s="22"/>
      <c r="L4449" s="873">
        <v>10</v>
      </c>
      <c r="M4449" s="24"/>
      <c r="N4449" s="954"/>
      <c r="O4449" s="845" t="s">
        <v>1593</v>
      </c>
      <c r="P4449" s="23"/>
      <c r="Q4449" s="729"/>
      <c r="R4449" s="445" t="str">
        <f t="shared" si="444"/>
        <v>-</v>
      </c>
      <c r="S4449" s="445" t="s">
        <v>853</v>
      </c>
      <c r="T4449" s="835" t="s">
        <v>313</v>
      </c>
      <c r="U4449" s="2038"/>
      <c r="V4449" s="1418">
        <f t="shared" si="441"/>
        <v>0</v>
      </c>
      <c r="W4449" s="357"/>
      <c r="X4449" s="357"/>
      <c r="Y4449" s="357"/>
      <c r="Z4449" s="358"/>
      <c r="AA4449" s="359"/>
      <c r="AB4449" s="360"/>
    </row>
    <row r="4450" spans="1:33" s="361" customFormat="1" ht="15" hidden="1">
      <c r="A4450" s="354"/>
      <c r="B4450" s="831" t="s">
        <v>2033</v>
      </c>
      <c r="C4450" s="28" t="s">
        <v>1572</v>
      </c>
      <c r="D4450" s="18"/>
      <c r="E4450" s="19"/>
      <c r="F4450" s="20"/>
      <c r="G4450" s="18"/>
      <c r="H4450" s="19"/>
      <c r="I4450" s="20"/>
      <c r="J4450" s="782">
        <v>24.132000000000001</v>
      </c>
      <c r="K4450" s="22"/>
      <c r="L4450" s="873">
        <v>10</v>
      </c>
      <c r="M4450" s="24"/>
      <c r="N4450" s="954"/>
      <c r="O4450" s="845">
        <f t="shared" ref="O4450:O4456" si="447">(J4449+J4450)*L4450</f>
        <v>476.71999999999997</v>
      </c>
      <c r="P4450" s="23"/>
      <c r="Q4450" s="729"/>
      <c r="R4450" s="445">
        <f t="shared" si="444"/>
        <v>476.71999999999997</v>
      </c>
      <c r="S4450" s="445" t="s">
        <v>853</v>
      </c>
      <c r="T4450" s="835" t="s">
        <v>313</v>
      </c>
      <c r="U4450" s="2038"/>
      <c r="V4450" s="1418">
        <f t="shared" si="441"/>
        <v>0</v>
      </c>
      <c r="W4450" s="357"/>
      <c r="X4450" s="357"/>
      <c r="Y4450" s="357"/>
      <c r="Z4450" s="358"/>
      <c r="AA4450" s="359"/>
      <c r="AB4450" s="360"/>
    </row>
    <row r="4451" spans="1:33" s="361" customFormat="1" ht="15" hidden="1">
      <c r="A4451" s="354"/>
      <c r="B4451" s="831" t="s">
        <v>2034</v>
      </c>
      <c r="C4451" s="28" t="s">
        <v>1574</v>
      </c>
      <c r="D4451" s="18"/>
      <c r="E4451" s="19"/>
      <c r="F4451" s="20"/>
      <c r="G4451" s="18"/>
      <c r="H4451" s="19"/>
      <c r="I4451" s="20"/>
      <c r="J4451" s="782">
        <v>19.835999999999999</v>
      </c>
      <c r="K4451" s="22"/>
      <c r="L4451" s="873">
        <v>10</v>
      </c>
      <c r="M4451" s="24"/>
      <c r="N4451" s="954"/>
      <c r="O4451" s="845">
        <f t="shared" si="447"/>
        <v>439.68000000000006</v>
      </c>
      <c r="P4451" s="23"/>
      <c r="Q4451" s="729"/>
      <c r="R4451" s="445">
        <f t="shared" si="444"/>
        <v>439.68000000000006</v>
      </c>
      <c r="S4451" s="445" t="s">
        <v>853</v>
      </c>
      <c r="T4451" s="835" t="s">
        <v>313</v>
      </c>
      <c r="U4451" s="2038"/>
      <c r="V4451" s="1418">
        <f t="shared" si="441"/>
        <v>0</v>
      </c>
      <c r="W4451" s="357"/>
      <c r="X4451" s="357"/>
      <c r="Y4451" s="357"/>
      <c r="Z4451" s="358"/>
      <c r="AA4451" s="359"/>
      <c r="AB4451" s="360"/>
    </row>
    <row r="4452" spans="1:33" s="361" customFormat="1" ht="15" hidden="1">
      <c r="A4452" s="354"/>
      <c r="B4452" s="831" t="s">
        <v>2035</v>
      </c>
      <c r="C4452" s="28" t="s">
        <v>1576</v>
      </c>
      <c r="D4452" s="18"/>
      <c r="E4452" s="19"/>
      <c r="F4452" s="20"/>
      <c r="G4452" s="18"/>
      <c r="H4452" s="19"/>
      <c r="I4452" s="20"/>
      <c r="J4452" s="782">
        <v>10.736000000000001</v>
      </c>
      <c r="K4452" s="22"/>
      <c r="L4452" s="873">
        <v>10</v>
      </c>
      <c r="M4452" s="24"/>
      <c r="N4452" s="954"/>
      <c r="O4452" s="845">
        <f t="shared" si="447"/>
        <v>305.71999999999997</v>
      </c>
      <c r="P4452" s="23"/>
      <c r="Q4452" s="729"/>
      <c r="R4452" s="445">
        <f t="shared" si="444"/>
        <v>305.71999999999997</v>
      </c>
      <c r="S4452" s="445" t="s">
        <v>853</v>
      </c>
      <c r="T4452" s="835" t="s">
        <v>313</v>
      </c>
      <c r="U4452" s="2038"/>
      <c r="V4452" s="1418">
        <f t="shared" si="441"/>
        <v>0</v>
      </c>
      <c r="W4452" s="357"/>
      <c r="X4452" s="357"/>
      <c r="Y4452" s="357"/>
      <c r="Z4452" s="358"/>
      <c r="AA4452" s="359"/>
      <c r="AB4452" s="360"/>
    </row>
    <row r="4453" spans="1:33" s="361" customFormat="1" ht="15" hidden="1">
      <c r="A4453" s="354"/>
      <c r="B4453" s="831" t="s">
        <v>2036</v>
      </c>
      <c r="C4453" s="28" t="s">
        <v>1578</v>
      </c>
      <c r="D4453" s="18"/>
      <c r="E4453" s="19"/>
      <c r="F4453" s="20"/>
      <c r="G4453" s="18"/>
      <c r="H4453" s="19"/>
      <c r="I4453" s="20"/>
      <c r="J4453" s="782">
        <v>17.036000000000001</v>
      </c>
      <c r="K4453" s="22"/>
      <c r="L4453" s="873">
        <v>10</v>
      </c>
      <c r="M4453" s="24"/>
      <c r="N4453" s="954"/>
      <c r="O4453" s="845">
        <f t="shared" si="447"/>
        <v>277.72000000000003</v>
      </c>
      <c r="P4453" s="23"/>
      <c r="Q4453" s="729"/>
      <c r="R4453" s="445">
        <f t="shared" si="444"/>
        <v>277.72000000000003</v>
      </c>
      <c r="S4453" s="445" t="s">
        <v>853</v>
      </c>
      <c r="T4453" s="835" t="s">
        <v>313</v>
      </c>
      <c r="U4453" s="2038"/>
      <c r="V4453" s="1418">
        <f t="shared" si="441"/>
        <v>0</v>
      </c>
      <c r="W4453" s="357"/>
      <c r="X4453" s="357"/>
      <c r="Y4453" s="357"/>
      <c r="Z4453" s="358"/>
      <c r="AA4453" s="359"/>
      <c r="AB4453" s="360"/>
    </row>
    <row r="4454" spans="1:33" s="361" customFormat="1" ht="15" hidden="1">
      <c r="A4454" s="354"/>
      <c r="B4454" s="831" t="s">
        <v>2037</v>
      </c>
      <c r="C4454" s="28" t="s">
        <v>1580</v>
      </c>
      <c r="D4454" s="18"/>
      <c r="E4454" s="19"/>
      <c r="F4454" s="20"/>
      <c r="G4454" s="18"/>
      <c r="H4454" s="19"/>
      <c r="I4454" s="20"/>
      <c r="J4454" s="782">
        <v>10.893000000000001</v>
      </c>
      <c r="K4454" s="22"/>
      <c r="L4454" s="873">
        <v>10</v>
      </c>
      <c r="M4454" s="24"/>
      <c r="N4454" s="954"/>
      <c r="O4454" s="845">
        <f t="shared" si="447"/>
        <v>279.29000000000002</v>
      </c>
      <c r="P4454" s="23"/>
      <c r="Q4454" s="729"/>
      <c r="R4454" s="445">
        <f t="shared" si="444"/>
        <v>279.29000000000002</v>
      </c>
      <c r="S4454" s="445" t="s">
        <v>853</v>
      </c>
      <c r="T4454" s="835" t="s">
        <v>313</v>
      </c>
      <c r="U4454" s="2038"/>
      <c r="V4454" s="1418">
        <f t="shared" si="441"/>
        <v>0</v>
      </c>
      <c r="W4454" s="357"/>
      <c r="X4454" s="357"/>
      <c r="Y4454" s="357"/>
      <c r="Z4454" s="358"/>
      <c r="AA4454" s="359"/>
      <c r="AB4454" s="360"/>
    </row>
    <row r="4455" spans="1:33" s="361" customFormat="1" ht="15" hidden="1">
      <c r="A4455" s="354"/>
      <c r="B4455" s="831" t="s">
        <v>2038</v>
      </c>
      <c r="C4455" s="28" t="s">
        <v>1582</v>
      </c>
      <c r="D4455" s="18"/>
      <c r="E4455" s="19"/>
      <c r="F4455" s="20"/>
      <c r="G4455" s="18"/>
      <c r="H4455" s="19"/>
      <c r="I4455" s="20"/>
      <c r="J4455" s="782">
        <v>29.952000000000002</v>
      </c>
      <c r="K4455" s="22"/>
      <c r="L4455" s="873">
        <v>10</v>
      </c>
      <c r="M4455" s="24"/>
      <c r="N4455" s="954"/>
      <c r="O4455" s="845">
        <f t="shared" si="447"/>
        <v>408.45</v>
      </c>
      <c r="P4455" s="23"/>
      <c r="Q4455" s="729"/>
      <c r="R4455" s="445">
        <f t="shared" si="444"/>
        <v>408.45</v>
      </c>
      <c r="S4455" s="445" t="s">
        <v>853</v>
      </c>
      <c r="T4455" s="835" t="s">
        <v>313</v>
      </c>
      <c r="U4455" s="2038"/>
      <c r="V4455" s="1418">
        <f t="shared" si="441"/>
        <v>0</v>
      </c>
      <c r="W4455" s="357"/>
      <c r="X4455" s="357"/>
      <c r="Y4455" s="357"/>
      <c r="Z4455" s="358"/>
      <c r="AA4455" s="359"/>
      <c r="AB4455" s="360"/>
    </row>
    <row r="4456" spans="1:33" s="361" customFormat="1" ht="15" hidden="1">
      <c r="A4456" s="354"/>
      <c r="B4456" s="831" t="s">
        <v>2039</v>
      </c>
      <c r="C4456" s="28" t="s">
        <v>2040</v>
      </c>
      <c r="D4456" s="18"/>
      <c r="E4456" s="19"/>
      <c r="F4456" s="20"/>
      <c r="G4456" s="18"/>
      <c r="H4456" s="19"/>
      <c r="I4456" s="20"/>
      <c r="J4456" s="782">
        <v>17.382000000000001</v>
      </c>
      <c r="K4456" s="22"/>
      <c r="L4456" s="873">
        <v>2.536</v>
      </c>
      <c r="M4456" s="24"/>
      <c r="N4456" s="954"/>
      <c r="O4456" s="845">
        <f t="shared" si="447"/>
        <v>120.03902400000001</v>
      </c>
      <c r="P4456" s="23"/>
      <c r="Q4456" s="729"/>
      <c r="R4456" s="445">
        <f t="shared" si="444"/>
        <v>120.03902400000001</v>
      </c>
      <c r="S4456" s="445" t="s">
        <v>853</v>
      </c>
      <c r="T4456" s="835" t="s">
        <v>313</v>
      </c>
      <c r="U4456" s="2039"/>
      <c r="V4456" s="1418">
        <f t="shared" si="441"/>
        <v>0</v>
      </c>
      <c r="W4456" s="357"/>
      <c r="X4456" s="357"/>
      <c r="Y4456" s="357"/>
      <c r="Z4456" s="358"/>
      <c r="AA4456" s="359"/>
      <c r="AB4456" s="360"/>
    </row>
    <row r="4457" spans="1:33" s="361" customFormat="1" ht="15" hidden="1">
      <c r="A4457" s="354"/>
      <c r="B4457" s="831"/>
      <c r="C4457" s="836"/>
      <c r="D4457" s="18"/>
      <c r="E4457" s="19"/>
      <c r="F4457" s="20"/>
      <c r="G4457" s="18"/>
      <c r="H4457" s="19"/>
      <c r="I4457" s="20"/>
      <c r="J4457" s="782"/>
      <c r="K4457" s="22"/>
      <c r="L4457" s="873"/>
      <c r="M4457" s="24"/>
      <c r="N4457" s="954"/>
      <c r="O4457" s="845"/>
      <c r="P4457" s="23"/>
      <c r="Q4457" s="729"/>
      <c r="R4457" s="26"/>
      <c r="S4457" s="26"/>
      <c r="T4457" s="835"/>
      <c r="U4457" s="1086"/>
      <c r="V4457" s="1418">
        <f t="shared" si="441"/>
        <v>0</v>
      </c>
      <c r="W4457" s="357"/>
      <c r="X4457" s="357"/>
      <c r="Y4457" s="357"/>
      <c r="Z4457" s="358"/>
      <c r="AA4457" s="359"/>
      <c r="AB4457" s="360"/>
    </row>
    <row r="4458" spans="1:33" s="77" customFormat="1" ht="15" hidden="1">
      <c r="A4458" s="370"/>
      <c r="B4458" s="831" t="s">
        <v>2041</v>
      </c>
      <c r="C4458" s="836" t="s">
        <v>2042</v>
      </c>
      <c r="D4458" s="18"/>
      <c r="E4458" s="19"/>
      <c r="F4458" s="20"/>
      <c r="G4458" s="18"/>
      <c r="H4458" s="19"/>
      <c r="I4458" s="20"/>
      <c r="J4458" s="782"/>
      <c r="K4458" s="22"/>
      <c r="L4458" s="873"/>
      <c r="M4458" s="24"/>
      <c r="N4458" s="954"/>
      <c r="O4458" s="845"/>
      <c r="P4458" s="23"/>
      <c r="Q4458" s="729"/>
      <c r="R4458" s="26">
        <v>13814.599999999999</v>
      </c>
      <c r="S4458" s="26" t="s">
        <v>853</v>
      </c>
      <c r="T4458" s="835" t="s">
        <v>318</v>
      </c>
      <c r="U4458" s="793" t="s">
        <v>2043</v>
      </c>
      <c r="V4458" s="1418">
        <f t="shared" si="441"/>
        <v>0</v>
      </c>
      <c r="AB4458" s="15"/>
    </row>
    <row r="4459" spans="1:33" s="77" customFormat="1" ht="30" hidden="1">
      <c r="A4459" s="370"/>
      <c r="B4459" s="831" t="s">
        <v>2041</v>
      </c>
      <c r="C4459" s="836" t="s">
        <v>2044</v>
      </c>
      <c r="D4459" s="18"/>
      <c r="E4459" s="19"/>
      <c r="F4459" s="20"/>
      <c r="G4459" s="18"/>
      <c r="H4459" s="19"/>
      <c r="I4459" s="20"/>
      <c r="J4459" s="782"/>
      <c r="K4459" s="22"/>
      <c r="L4459" s="873"/>
      <c r="M4459" s="24"/>
      <c r="N4459" s="954"/>
      <c r="O4459" s="845"/>
      <c r="P4459" s="23"/>
      <c r="Q4459" s="729"/>
      <c r="R4459" s="26">
        <v>893.45399999999995</v>
      </c>
      <c r="S4459" s="26" t="s">
        <v>853</v>
      </c>
      <c r="T4459" s="835" t="s">
        <v>319</v>
      </c>
      <c r="U4459" s="793" t="s">
        <v>2045</v>
      </c>
      <c r="V4459" s="1418">
        <f t="shared" si="441"/>
        <v>0</v>
      </c>
      <c r="AB4459" s="15"/>
    </row>
    <row r="4460" spans="1:33" s="77" customFormat="1" ht="30" hidden="1">
      <c r="A4460" s="370"/>
      <c r="B4460" s="831" t="s">
        <v>2046</v>
      </c>
      <c r="C4460" s="836" t="s">
        <v>2044</v>
      </c>
      <c r="D4460" s="18"/>
      <c r="E4460" s="19"/>
      <c r="F4460" s="20"/>
      <c r="G4460" s="18"/>
      <c r="H4460" s="19"/>
      <c r="I4460" s="20"/>
      <c r="J4460" s="782"/>
      <c r="K4460" s="22"/>
      <c r="L4460" s="873"/>
      <c r="M4460" s="24"/>
      <c r="N4460" s="954"/>
      <c r="O4460" s="845"/>
      <c r="P4460" s="23"/>
      <c r="Q4460" s="729"/>
      <c r="R4460" s="26">
        <f>4674.9</f>
        <v>4674.8999999999996</v>
      </c>
      <c r="S4460" s="26" t="s">
        <v>853</v>
      </c>
      <c r="T4460" s="835" t="s">
        <v>324</v>
      </c>
      <c r="U4460" s="1086" t="s">
        <v>2047</v>
      </c>
      <c r="V4460" s="1418">
        <f t="shared" si="441"/>
        <v>0</v>
      </c>
      <c r="AB4460" s="15"/>
    </row>
    <row r="4461" spans="1:33" s="77" customFormat="1" ht="30" hidden="1">
      <c r="A4461" s="370"/>
      <c r="B4461" s="831" t="s">
        <v>2048</v>
      </c>
      <c r="C4461" s="836" t="s">
        <v>2049</v>
      </c>
      <c r="D4461" s="18"/>
      <c r="E4461" s="19"/>
      <c r="F4461" s="20"/>
      <c r="G4461" s="18"/>
      <c r="H4461" s="19"/>
      <c r="I4461" s="20"/>
      <c r="J4461" s="782"/>
      <c r="K4461" s="22"/>
      <c r="L4461" s="873"/>
      <c r="M4461" s="24"/>
      <c r="N4461" s="954"/>
      <c r="O4461" s="845"/>
      <c r="P4461" s="23"/>
      <c r="Q4461" s="729"/>
      <c r="R4461" s="26">
        <v>839.82</v>
      </c>
      <c r="S4461" s="26" t="s">
        <v>853</v>
      </c>
      <c r="T4461" s="835" t="s">
        <v>324</v>
      </c>
      <c r="U4461" s="793" t="s">
        <v>2050</v>
      </c>
      <c r="V4461" s="1418">
        <f t="shared" si="441"/>
        <v>0</v>
      </c>
      <c r="AB4461" s="15"/>
    </row>
    <row r="4462" spans="1:33" s="77" customFormat="1" ht="30" hidden="1">
      <c r="A4462" s="370"/>
      <c r="B4462" s="766" t="s">
        <v>2048</v>
      </c>
      <c r="C4462" s="890" t="s">
        <v>2049</v>
      </c>
      <c r="D4462" s="891"/>
      <c r="E4462" s="865"/>
      <c r="F4462" s="892"/>
      <c r="G4462" s="891"/>
      <c r="H4462" s="865"/>
      <c r="I4462" s="892"/>
      <c r="J4462" s="867"/>
      <c r="K4462" s="868"/>
      <c r="L4462" s="873"/>
      <c r="M4462" s="870"/>
      <c r="N4462" s="875"/>
      <c r="O4462" s="940"/>
      <c r="P4462" s="869"/>
      <c r="Q4462" s="889"/>
      <c r="R4462" s="871">
        <v>1765.1916060000003</v>
      </c>
      <c r="S4462" s="445" t="s">
        <v>853</v>
      </c>
      <c r="T4462" s="774" t="s">
        <v>325</v>
      </c>
      <c r="U4462" s="1225" t="s">
        <v>2051</v>
      </c>
      <c r="V4462" s="1418">
        <f t="shared" si="441"/>
        <v>0</v>
      </c>
      <c r="AB4462" s="15"/>
    </row>
    <row r="4463" spans="1:33" s="77" customFormat="1" ht="15.75" hidden="1" customHeight="1">
      <c r="A4463" s="370"/>
      <c r="B4463" s="499"/>
      <c r="C4463" s="37"/>
      <c r="D4463" s="1929" t="s">
        <v>1520</v>
      </c>
      <c r="E4463" s="1930"/>
      <c r="F4463" s="1930"/>
      <c r="G4463" s="1930"/>
      <c r="H4463" s="1930"/>
      <c r="I4463" s="1931"/>
      <c r="J4463" s="1932">
        <f>VLOOKUP(A4465,'11 - FINANCEIRA'!_xlnm.Print_Area,6,FALSE)</f>
        <v>39396</v>
      </c>
      <c r="K4463" s="1933"/>
      <c r="L4463" s="1343" t="str">
        <f>VLOOKUP(A4465,'11 - FINANCEIRA'!_xlnm.Print_Area,4,FALSE)</f>
        <v>m³</v>
      </c>
      <c r="M4463" s="1934" t="s">
        <v>1521</v>
      </c>
      <c r="N4463" s="1935"/>
      <c r="O4463" s="1935"/>
      <c r="P4463" s="1935"/>
      <c r="Q4463" s="1936"/>
      <c r="R4463" s="726">
        <f>SUM(R4391:R4462)</f>
        <v>39396</v>
      </c>
      <c r="S4463" s="1344" t="str">
        <f>L4463</f>
        <v>m³</v>
      </c>
      <c r="T4463" s="373"/>
      <c r="U4463" s="486"/>
      <c r="V4463" s="1418">
        <f t="shared" si="441"/>
        <v>0</v>
      </c>
      <c r="AB4463" s="15"/>
      <c r="AG4463" s="1193"/>
    </row>
    <row r="4464" spans="1:33" s="77" customFormat="1" ht="15.75" hidden="1" customHeight="1">
      <c r="A4464" s="370"/>
      <c r="B4464" s="499"/>
      <c r="C4464" s="725"/>
      <c r="D4464" s="1937" t="s">
        <v>1522</v>
      </c>
      <c r="E4464" s="1938"/>
      <c r="F4464" s="1938"/>
      <c r="G4464" s="1938"/>
      <c r="H4464" s="1938"/>
      <c r="I4464" s="1939"/>
      <c r="J4464" s="1943">
        <f>R4463/J4463</f>
        <v>1</v>
      </c>
      <c r="K4464" s="1944"/>
      <c r="L4464" s="1947"/>
      <c r="M4464" s="1934" t="s">
        <v>1523</v>
      </c>
      <c r="N4464" s="1935"/>
      <c r="O4464" s="1935"/>
      <c r="P4464" s="1935"/>
      <c r="Q4464" s="1936"/>
      <c r="R4464" s="726">
        <f>VLOOKUP(A4465,'11 - FINANCEIRA'!_xlnm.Print_Area,8,FALSE)</f>
        <v>39396</v>
      </c>
      <c r="S4464" s="727" t="str">
        <f>L4463</f>
        <v>m³</v>
      </c>
      <c r="T4464" s="373"/>
      <c r="U4464" s="486"/>
      <c r="V4464" s="1418">
        <f t="shared" si="441"/>
        <v>0</v>
      </c>
      <c r="AB4464" s="15"/>
    </row>
    <row r="4465" spans="1:36" s="77" customFormat="1" ht="15.75" hidden="1" customHeight="1">
      <c r="A4465" s="364" t="s">
        <v>757</v>
      </c>
      <c r="B4465" s="499"/>
      <c r="C4465" s="37"/>
      <c r="D4465" s="1940"/>
      <c r="E4465" s="1941"/>
      <c r="F4465" s="1941"/>
      <c r="G4465" s="1941"/>
      <c r="H4465" s="1941"/>
      <c r="I4465" s="1942"/>
      <c r="J4465" s="1945"/>
      <c r="K4465" s="1946"/>
      <c r="L4465" s="1948"/>
      <c r="M4465" s="1934" t="s">
        <v>1524</v>
      </c>
      <c r="N4465" s="1935"/>
      <c r="O4465" s="1935"/>
      <c r="P4465" s="1935"/>
      <c r="Q4465" s="1936"/>
      <c r="R4465" s="1345">
        <f>R4463-R4464</f>
        <v>0</v>
      </c>
      <c r="S4465" s="1346" t="str">
        <f>L4463</f>
        <v>m³</v>
      </c>
      <c r="T4465" s="373"/>
      <c r="U4465" s="486"/>
      <c r="V4465" s="1418">
        <f>R4465</f>
        <v>0</v>
      </c>
      <c r="AB4465" s="15"/>
    </row>
    <row r="4466" spans="1:36" s="77" customFormat="1" ht="15.6" hidden="1">
      <c r="A4466" s="370"/>
      <c r="B4466" s="1347"/>
      <c r="C4466" s="1348"/>
      <c r="D4466" s="1349"/>
      <c r="E4466" s="1350"/>
      <c r="F4466" s="1349"/>
      <c r="G4466" s="1349"/>
      <c r="H4466" s="1349"/>
      <c r="I4466" s="1349"/>
      <c r="J4466" s="1351"/>
      <c r="K4466" s="1352"/>
      <c r="L4466" s="1353"/>
      <c r="M4466" s="1354"/>
      <c r="N4466" s="1354"/>
      <c r="O4466" s="1354"/>
      <c r="P4466" s="1354"/>
      <c r="Q4466" s="1354"/>
      <c r="R4466" s="1355"/>
      <c r="S4466" s="1356"/>
      <c r="T4466" s="1357"/>
      <c r="U4466" s="1358"/>
      <c r="V4466" s="1420">
        <f>SUM(V4389:V4465)</f>
        <v>0</v>
      </c>
      <c r="AB4466" s="15"/>
    </row>
    <row r="4467" spans="1:36" s="352" customFormat="1" ht="15.75" hidden="1" customHeight="1">
      <c r="A4467" s="351"/>
      <c r="B4467" s="1963" t="str">
        <f>VLOOKUP(A4536,'11 - FINANCEIRA'!_xlnm.Print_Area,1,FALSE)</f>
        <v>4.1.2</v>
      </c>
      <c r="C4467" s="1965" t="str">
        <f>VLOOKUP(A4536,'11 - FINANCEIRA'!_xlnm.Print_Area,3,FALSE)</f>
        <v>Carga, Manobras E Descarga De Areia, Brita, Pedra De Mao E Solos Com Caminhao Basculante 6 m3 (Descarga Livre)</v>
      </c>
      <c r="D4467" s="1967" t="s">
        <v>1503</v>
      </c>
      <c r="E4467" s="1968"/>
      <c r="F4467" s="1968"/>
      <c r="G4467" s="1968"/>
      <c r="H4467" s="1968"/>
      <c r="I4467" s="1969"/>
      <c r="J4467" s="1914" t="s">
        <v>1508</v>
      </c>
      <c r="K4467" s="1914" t="s">
        <v>1505</v>
      </c>
      <c r="L4467" s="1914" t="s">
        <v>1506</v>
      </c>
      <c r="M4467" s="1914" t="s">
        <v>1507</v>
      </c>
      <c r="N4467" s="1914" t="s">
        <v>1508</v>
      </c>
      <c r="O4467" s="1914" t="s">
        <v>1509</v>
      </c>
      <c r="P4467" s="1341" t="s">
        <v>1510</v>
      </c>
      <c r="Q4467" s="1914" t="s">
        <v>1493</v>
      </c>
      <c r="R4467" s="1916" t="s">
        <v>804</v>
      </c>
      <c r="S4467" s="1914" t="s">
        <v>1511</v>
      </c>
      <c r="T4467" s="1914" t="s">
        <v>1512</v>
      </c>
      <c r="U4467" s="1918" t="s">
        <v>1513</v>
      </c>
      <c r="V4467" s="1418">
        <f t="shared" ref="V4467:V4535" si="448">V4468</f>
        <v>0</v>
      </c>
      <c r="W4467" s="16"/>
      <c r="X4467" s="16"/>
      <c r="Y4467" s="16"/>
      <c r="Z4467" s="17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</row>
    <row r="4468" spans="1:36" s="352" customFormat="1" ht="15.6" hidden="1">
      <c r="A4468" s="351"/>
      <c r="B4468" s="1964" t="e">
        <f>LEFT(#REF!,5)</f>
        <v>#REF!</v>
      </c>
      <c r="C4468" s="1966" t="e">
        <f>VLOOKUP(LEFT(#REF!,5),'11 - FINANCEIRA'!_xlnm.Print_Area,2,FALSE)</f>
        <v>#REF!</v>
      </c>
      <c r="D4468" s="1920" t="s">
        <v>1514</v>
      </c>
      <c r="E4468" s="1921"/>
      <c r="F4468" s="1922"/>
      <c r="G4468" s="1923" t="s">
        <v>1515</v>
      </c>
      <c r="H4468" s="1924"/>
      <c r="I4468" s="1925"/>
      <c r="J4468" s="1915"/>
      <c r="K4468" s="1915"/>
      <c r="L4468" s="1915"/>
      <c r="M4468" s="1915"/>
      <c r="N4468" s="1915"/>
      <c r="O4468" s="1915"/>
      <c r="P4468" s="353" t="s">
        <v>1516</v>
      </c>
      <c r="Q4468" s="1915"/>
      <c r="R4468" s="1917"/>
      <c r="S4468" s="1915"/>
      <c r="T4468" s="1915"/>
      <c r="U4468" s="1919"/>
      <c r="V4468" s="1418">
        <f t="shared" si="448"/>
        <v>0</v>
      </c>
      <c r="W4468" s="16"/>
      <c r="X4468" s="16"/>
      <c r="Y4468" s="16"/>
      <c r="Z4468" s="17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</row>
    <row r="4469" spans="1:36" s="361" customFormat="1" ht="15" hidden="1">
      <c r="A4469" s="354"/>
      <c r="B4469" s="755" t="s">
        <v>2052</v>
      </c>
      <c r="C4469" s="28" t="s">
        <v>1657</v>
      </c>
      <c r="D4469" s="18"/>
      <c r="E4469" s="19"/>
      <c r="F4469" s="20"/>
      <c r="G4469" s="18"/>
      <c r="H4469" s="19"/>
      <c r="I4469" s="20"/>
      <c r="J4469" s="21">
        <v>0</v>
      </c>
      <c r="K4469" s="22"/>
      <c r="L4469" s="23">
        <v>5</v>
      </c>
      <c r="M4469" s="24"/>
      <c r="N4469" s="728"/>
      <c r="O4469" s="25" t="s">
        <v>1593</v>
      </c>
      <c r="P4469" s="23"/>
      <c r="Q4469" s="729"/>
      <c r="R4469" s="1109" t="s">
        <v>1593</v>
      </c>
      <c r="S4469" s="730" t="s">
        <v>853</v>
      </c>
      <c r="T4469" s="446" t="s">
        <v>56</v>
      </c>
      <c r="U4469" s="2124" t="s">
        <v>2053</v>
      </c>
      <c r="V4469" s="1418">
        <f t="shared" si="448"/>
        <v>0</v>
      </c>
      <c r="W4469" s="357"/>
      <c r="X4469" s="357"/>
      <c r="Y4469" s="357"/>
      <c r="Z4469" s="358"/>
      <c r="AA4469" s="359"/>
      <c r="AB4469" s="360"/>
    </row>
    <row r="4470" spans="1:36" s="361" customFormat="1" ht="15" hidden="1">
      <c r="A4470" s="354"/>
      <c r="B4470" s="755" t="s">
        <v>2054</v>
      </c>
      <c r="C4470" s="28" t="s">
        <v>1572</v>
      </c>
      <c r="D4470" s="18"/>
      <c r="E4470" s="19"/>
      <c r="F4470" s="20"/>
      <c r="G4470" s="18"/>
      <c r="H4470" s="19"/>
      <c r="I4470" s="20"/>
      <c r="J4470" s="21">
        <v>3.0000000000000001E-3</v>
      </c>
      <c r="K4470" s="22"/>
      <c r="L4470" s="23">
        <v>5</v>
      </c>
      <c r="M4470" s="24"/>
      <c r="N4470" s="728"/>
      <c r="O4470" s="845">
        <f t="shared" ref="O4470:O4484" si="449">(J4469+J4470)*L4470</f>
        <v>1.4999999999999999E-2</v>
      </c>
      <c r="P4470" s="23"/>
      <c r="Q4470" s="729"/>
      <c r="R4470" s="445">
        <f>O4470</f>
        <v>1.4999999999999999E-2</v>
      </c>
      <c r="S4470" s="792" t="s">
        <v>853</v>
      </c>
      <c r="T4470" s="446" t="s">
        <v>56</v>
      </c>
      <c r="U4470" s="2041"/>
      <c r="V4470" s="1418">
        <f t="shared" si="448"/>
        <v>0</v>
      </c>
      <c r="W4470" s="357"/>
      <c r="X4470" s="357"/>
      <c r="Y4470" s="357"/>
      <c r="Z4470" s="358"/>
      <c r="AA4470" s="359"/>
      <c r="AB4470" s="360"/>
    </row>
    <row r="4471" spans="1:36" s="361" customFormat="1" ht="15" hidden="1">
      <c r="A4471" s="354"/>
      <c r="B4471" s="755" t="s">
        <v>2055</v>
      </c>
      <c r="C4471" s="28" t="s">
        <v>1574</v>
      </c>
      <c r="D4471" s="18"/>
      <c r="E4471" s="19"/>
      <c r="F4471" s="20"/>
      <c r="G4471" s="18"/>
      <c r="H4471" s="19"/>
      <c r="I4471" s="20"/>
      <c r="J4471" s="21">
        <v>5.6829999999999998</v>
      </c>
      <c r="K4471" s="22"/>
      <c r="L4471" s="23">
        <v>5</v>
      </c>
      <c r="M4471" s="24"/>
      <c r="N4471" s="728"/>
      <c r="O4471" s="845">
        <f t="shared" si="449"/>
        <v>28.43</v>
      </c>
      <c r="P4471" s="23"/>
      <c r="Q4471" s="729"/>
      <c r="R4471" s="445">
        <f t="shared" ref="R4471:R4484" si="450">O4471</f>
        <v>28.43</v>
      </c>
      <c r="S4471" s="792" t="s">
        <v>853</v>
      </c>
      <c r="T4471" s="446" t="s">
        <v>56</v>
      </c>
      <c r="U4471" s="2041"/>
      <c r="V4471" s="1418">
        <f t="shared" si="448"/>
        <v>0</v>
      </c>
      <c r="W4471" s="357"/>
      <c r="X4471" s="357"/>
      <c r="Y4471" s="357"/>
      <c r="Z4471" s="358"/>
      <c r="AA4471" s="359"/>
      <c r="AB4471" s="360"/>
    </row>
    <row r="4472" spans="1:36" s="361" customFormat="1" ht="15" hidden="1">
      <c r="A4472" s="354"/>
      <c r="B4472" s="755" t="s">
        <v>2056</v>
      </c>
      <c r="C4472" s="28" t="s">
        <v>1576</v>
      </c>
      <c r="D4472" s="18"/>
      <c r="E4472" s="19"/>
      <c r="F4472" s="20"/>
      <c r="G4472" s="18"/>
      <c r="H4472" s="19"/>
      <c r="I4472" s="20"/>
      <c r="J4472" s="21">
        <v>11.988</v>
      </c>
      <c r="K4472" s="22"/>
      <c r="L4472" s="23">
        <v>5</v>
      </c>
      <c r="M4472" s="24"/>
      <c r="N4472" s="728"/>
      <c r="O4472" s="845">
        <f t="shared" si="449"/>
        <v>88.35499999999999</v>
      </c>
      <c r="P4472" s="23"/>
      <c r="Q4472" s="729"/>
      <c r="R4472" s="445">
        <f t="shared" si="450"/>
        <v>88.35499999999999</v>
      </c>
      <c r="S4472" s="792" t="s">
        <v>853</v>
      </c>
      <c r="T4472" s="446" t="s">
        <v>56</v>
      </c>
      <c r="U4472" s="2041"/>
      <c r="V4472" s="1418">
        <f t="shared" si="448"/>
        <v>0</v>
      </c>
      <c r="W4472" s="357"/>
      <c r="X4472" s="357"/>
      <c r="Y4472" s="357"/>
      <c r="Z4472" s="358"/>
      <c r="AA4472" s="359"/>
      <c r="AB4472" s="360"/>
    </row>
    <row r="4473" spans="1:36" s="361" customFormat="1" ht="15" hidden="1">
      <c r="A4473" s="354"/>
      <c r="B4473" s="755" t="s">
        <v>2057</v>
      </c>
      <c r="C4473" s="28" t="s">
        <v>1578</v>
      </c>
      <c r="D4473" s="18"/>
      <c r="E4473" s="19"/>
      <c r="F4473" s="20"/>
      <c r="G4473" s="18"/>
      <c r="H4473" s="19"/>
      <c r="I4473" s="20"/>
      <c r="J4473" s="21">
        <v>13.72</v>
      </c>
      <c r="K4473" s="22"/>
      <c r="L4473" s="23">
        <v>5</v>
      </c>
      <c r="M4473" s="24"/>
      <c r="N4473" s="728"/>
      <c r="O4473" s="845">
        <f t="shared" si="449"/>
        <v>128.54</v>
      </c>
      <c r="P4473" s="23"/>
      <c r="Q4473" s="729"/>
      <c r="R4473" s="445">
        <f t="shared" si="450"/>
        <v>128.54</v>
      </c>
      <c r="S4473" s="792" t="s">
        <v>853</v>
      </c>
      <c r="T4473" s="446" t="s">
        <v>56</v>
      </c>
      <c r="U4473" s="2041"/>
      <c r="V4473" s="1418">
        <f t="shared" si="448"/>
        <v>0</v>
      </c>
      <c r="W4473" s="357"/>
      <c r="X4473" s="357"/>
      <c r="Y4473" s="357"/>
      <c r="Z4473" s="358"/>
      <c r="AA4473" s="359"/>
      <c r="AB4473" s="360"/>
    </row>
    <row r="4474" spans="1:36" s="361" customFormat="1" ht="15" hidden="1">
      <c r="A4474" s="354"/>
      <c r="B4474" s="755" t="s">
        <v>2058</v>
      </c>
      <c r="C4474" s="28" t="s">
        <v>1580</v>
      </c>
      <c r="D4474" s="18"/>
      <c r="E4474" s="19"/>
      <c r="F4474" s="20"/>
      <c r="G4474" s="18"/>
      <c r="H4474" s="19"/>
      <c r="I4474" s="20"/>
      <c r="J4474" s="21">
        <v>27.495000000000001</v>
      </c>
      <c r="K4474" s="22"/>
      <c r="L4474" s="23">
        <v>5</v>
      </c>
      <c r="M4474" s="24"/>
      <c r="N4474" s="728"/>
      <c r="O4474" s="845">
        <f t="shared" si="449"/>
        <v>206.07500000000002</v>
      </c>
      <c r="P4474" s="23"/>
      <c r="Q4474" s="729"/>
      <c r="R4474" s="445">
        <f t="shared" si="450"/>
        <v>206.07500000000002</v>
      </c>
      <c r="S4474" s="792" t="s">
        <v>853</v>
      </c>
      <c r="T4474" s="446" t="s">
        <v>56</v>
      </c>
      <c r="U4474" s="2041"/>
      <c r="V4474" s="1418">
        <f t="shared" si="448"/>
        <v>0</v>
      </c>
      <c r="W4474" s="357"/>
      <c r="X4474" s="357"/>
      <c r="Y4474" s="357"/>
      <c r="Z4474" s="358"/>
      <c r="AA4474" s="359"/>
      <c r="AB4474" s="360"/>
    </row>
    <row r="4475" spans="1:36" s="361" customFormat="1" ht="15" hidden="1">
      <c r="A4475" s="354"/>
      <c r="B4475" s="755" t="s">
        <v>2059</v>
      </c>
      <c r="C4475" s="28" t="s">
        <v>1582</v>
      </c>
      <c r="D4475" s="18"/>
      <c r="E4475" s="19"/>
      <c r="F4475" s="20"/>
      <c r="G4475" s="18"/>
      <c r="H4475" s="19"/>
      <c r="I4475" s="20"/>
      <c r="J4475" s="21">
        <v>10.167999999999999</v>
      </c>
      <c r="K4475" s="22"/>
      <c r="L4475" s="23">
        <v>5</v>
      </c>
      <c r="M4475" s="24"/>
      <c r="N4475" s="728"/>
      <c r="O4475" s="845">
        <f t="shared" si="449"/>
        <v>188.315</v>
      </c>
      <c r="P4475" s="23"/>
      <c r="Q4475" s="729"/>
      <c r="R4475" s="445">
        <f t="shared" si="450"/>
        <v>188.315</v>
      </c>
      <c r="S4475" s="792" t="s">
        <v>853</v>
      </c>
      <c r="T4475" s="446" t="s">
        <v>56</v>
      </c>
      <c r="U4475" s="2041"/>
      <c r="V4475" s="1418">
        <f t="shared" si="448"/>
        <v>0</v>
      </c>
      <c r="W4475" s="357"/>
      <c r="X4475" s="357"/>
      <c r="Y4475" s="357"/>
      <c r="Z4475" s="358"/>
      <c r="AA4475" s="359"/>
      <c r="AB4475" s="360"/>
    </row>
    <row r="4476" spans="1:36" s="361" customFormat="1" ht="15" hidden="1">
      <c r="A4476" s="354"/>
      <c r="B4476" s="755" t="s">
        <v>2060</v>
      </c>
      <c r="C4476" s="28" t="s">
        <v>1584</v>
      </c>
      <c r="D4476" s="18"/>
      <c r="E4476" s="19"/>
      <c r="F4476" s="20"/>
      <c r="G4476" s="18"/>
      <c r="H4476" s="19"/>
      <c r="I4476" s="20"/>
      <c r="J4476" s="21">
        <v>31.225000000000001</v>
      </c>
      <c r="K4476" s="22"/>
      <c r="L4476" s="23">
        <v>5</v>
      </c>
      <c r="M4476" s="24"/>
      <c r="N4476" s="728"/>
      <c r="O4476" s="845">
        <f t="shared" si="449"/>
        <v>206.965</v>
      </c>
      <c r="P4476" s="23"/>
      <c r="Q4476" s="729"/>
      <c r="R4476" s="445">
        <f t="shared" si="450"/>
        <v>206.965</v>
      </c>
      <c r="S4476" s="792" t="s">
        <v>853</v>
      </c>
      <c r="T4476" s="446" t="s">
        <v>56</v>
      </c>
      <c r="U4476" s="2041"/>
      <c r="V4476" s="1418">
        <f t="shared" si="448"/>
        <v>0</v>
      </c>
      <c r="W4476" s="357"/>
      <c r="X4476" s="357"/>
      <c r="Y4476" s="357"/>
      <c r="Z4476" s="358"/>
      <c r="AA4476" s="359"/>
      <c r="AB4476" s="360"/>
    </row>
    <row r="4477" spans="1:36" s="361" customFormat="1" ht="15" hidden="1">
      <c r="A4477" s="354"/>
      <c r="B4477" s="755" t="s">
        <v>2061</v>
      </c>
      <c r="C4477" s="28" t="s">
        <v>1586</v>
      </c>
      <c r="D4477" s="18"/>
      <c r="E4477" s="19"/>
      <c r="F4477" s="20"/>
      <c r="G4477" s="18"/>
      <c r="H4477" s="19"/>
      <c r="I4477" s="20"/>
      <c r="J4477" s="21">
        <v>53.228000000000002</v>
      </c>
      <c r="K4477" s="22"/>
      <c r="L4477" s="23">
        <v>5</v>
      </c>
      <c r="M4477" s="24"/>
      <c r="N4477" s="728"/>
      <c r="O4477" s="845">
        <f t="shared" si="449"/>
        <v>422.26499999999999</v>
      </c>
      <c r="P4477" s="23"/>
      <c r="Q4477" s="729"/>
      <c r="R4477" s="445">
        <f t="shared" si="450"/>
        <v>422.26499999999999</v>
      </c>
      <c r="S4477" s="792" t="s">
        <v>853</v>
      </c>
      <c r="T4477" s="446" t="s">
        <v>56</v>
      </c>
      <c r="U4477" s="2041"/>
      <c r="V4477" s="1418">
        <f t="shared" si="448"/>
        <v>0</v>
      </c>
      <c r="W4477" s="357"/>
      <c r="X4477" s="357"/>
      <c r="Y4477" s="357"/>
      <c r="Z4477" s="358"/>
      <c r="AA4477" s="359"/>
      <c r="AB4477" s="360"/>
    </row>
    <row r="4478" spans="1:36" s="361" customFormat="1" ht="15" hidden="1">
      <c r="A4478" s="354"/>
      <c r="B4478" s="755" t="s">
        <v>2062</v>
      </c>
      <c r="C4478" s="28" t="s">
        <v>1588</v>
      </c>
      <c r="D4478" s="18"/>
      <c r="E4478" s="19"/>
      <c r="F4478" s="20"/>
      <c r="G4478" s="18"/>
      <c r="H4478" s="19"/>
      <c r="I4478" s="20"/>
      <c r="J4478" s="21">
        <v>48.268999999999998</v>
      </c>
      <c r="K4478" s="22"/>
      <c r="L4478" s="23">
        <v>5</v>
      </c>
      <c r="M4478" s="24"/>
      <c r="N4478" s="728"/>
      <c r="O4478" s="845">
        <f t="shared" si="449"/>
        <v>507.48500000000001</v>
      </c>
      <c r="P4478" s="23"/>
      <c r="Q4478" s="729"/>
      <c r="R4478" s="445">
        <f t="shared" si="450"/>
        <v>507.48500000000001</v>
      </c>
      <c r="S4478" s="792" t="s">
        <v>853</v>
      </c>
      <c r="T4478" s="446" t="s">
        <v>56</v>
      </c>
      <c r="U4478" s="2041"/>
      <c r="V4478" s="1418">
        <f t="shared" si="448"/>
        <v>0</v>
      </c>
      <c r="W4478" s="357"/>
      <c r="X4478" s="357"/>
      <c r="Y4478" s="357"/>
      <c r="Z4478" s="358"/>
      <c r="AA4478" s="359"/>
      <c r="AB4478" s="360"/>
    </row>
    <row r="4479" spans="1:36" s="361" customFormat="1" ht="15" hidden="1">
      <c r="A4479" s="354"/>
      <c r="B4479" s="755" t="s">
        <v>2063</v>
      </c>
      <c r="C4479" s="28" t="s">
        <v>1641</v>
      </c>
      <c r="D4479" s="18"/>
      <c r="E4479" s="19"/>
      <c r="F4479" s="20"/>
      <c r="G4479" s="18"/>
      <c r="H4479" s="19"/>
      <c r="I4479" s="20"/>
      <c r="J4479" s="21">
        <v>76.45</v>
      </c>
      <c r="K4479" s="22"/>
      <c r="L4479" s="23">
        <v>5</v>
      </c>
      <c r="M4479" s="24"/>
      <c r="N4479" s="728"/>
      <c r="O4479" s="845">
        <f t="shared" si="449"/>
        <v>623.59500000000003</v>
      </c>
      <c r="P4479" s="23"/>
      <c r="Q4479" s="729"/>
      <c r="R4479" s="445">
        <f t="shared" si="450"/>
        <v>623.59500000000003</v>
      </c>
      <c r="S4479" s="792" t="s">
        <v>853</v>
      </c>
      <c r="T4479" s="446" t="s">
        <v>56</v>
      </c>
      <c r="U4479" s="2041"/>
      <c r="V4479" s="1418">
        <f t="shared" si="448"/>
        <v>0</v>
      </c>
      <c r="W4479" s="357"/>
      <c r="X4479" s="357"/>
      <c r="Y4479" s="357"/>
      <c r="Z4479" s="358"/>
      <c r="AA4479" s="359"/>
      <c r="AB4479" s="360"/>
    </row>
    <row r="4480" spans="1:36" s="361" customFormat="1" ht="15" hidden="1">
      <c r="A4480" s="354"/>
      <c r="B4480" s="755" t="s">
        <v>2064</v>
      </c>
      <c r="C4480" s="28" t="s">
        <v>1643</v>
      </c>
      <c r="D4480" s="18"/>
      <c r="E4480" s="19"/>
      <c r="F4480" s="20"/>
      <c r="G4480" s="18"/>
      <c r="H4480" s="19"/>
      <c r="I4480" s="20"/>
      <c r="J4480" s="21">
        <v>72.986999999999995</v>
      </c>
      <c r="K4480" s="22"/>
      <c r="L4480" s="23">
        <v>5</v>
      </c>
      <c r="M4480" s="24"/>
      <c r="N4480" s="728"/>
      <c r="O4480" s="845">
        <f t="shared" si="449"/>
        <v>747.18500000000006</v>
      </c>
      <c r="P4480" s="23"/>
      <c r="Q4480" s="729"/>
      <c r="R4480" s="445">
        <f t="shared" si="450"/>
        <v>747.18500000000006</v>
      </c>
      <c r="S4480" s="792" t="s">
        <v>853</v>
      </c>
      <c r="T4480" s="446" t="s">
        <v>56</v>
      </c>
      <c r="U4480" s="2041"/>
      <c r="V4480" s="1418">
        <f t="shared" si="448"/>
        <v>0</v>
      </c>
      <c r="W4480" s="357"/>
      <c r="X4480" s="357"/>
      <c r="Y4480" s="357"/>
      <c r="Z4480" s="358"/>
      <c r="AA4480" s="359"/>
      <c r="AB4480" s="360"/>
    </row>
    <row r="4481" spans="1:28" s="361" customFormat="1" ht="15" hidden="1">
      <c r="A4481" s="354"/>
      <c r="B4481" s="755" t="s">
        <v>2065</v>
      </c>
      <c r="C4481" s="28" t="s">
        <v>1645</v>
      </c>
      <c r="D4481" s="18"/>
      <c r="E4481" s="19"/>
      <c r="F4481" s="20"/>
      <c r="G4481" s="18"/>
      <c r="H4481" s="19"/>
      <c r="I4481" s="20"/>
      <c r="J4481" s="21">
        <v>44.817</v>
      </c>
      <c r="K4481" s="22"/>
      <c r="L4481" s="23">
        <v>5</v>
      </c>
      <c r="M4481" s="24"/>
      <c r="N4481" s="728"/>
      <c r="O4481" s="845">
        <f t="shared" si="449"/>
        <v>589.02</v>
      </c>
      <c r="P4481" s="23"/>
      <c r="Q4481" s="729"/>
      <c r="R4481" s="445">
        <f t="shared" si="450"/>
        <v>589.02</v>
      </c>
      <c r="S4481" s="792" t="s">
        <v>853</v>
      </c>
      <c r="T4481" s="446" t="s">
        <v>56</v>
      </c>
      <c r="U4481" s="2041"/>
      <c r="V4481" s="1418">
        <f t="shared" si="448"/>
        <v>0</v>
      </c>
      <c r="W4481" s="357"/>
      <c r="X4481" s="357"/>
      <c r="Y4481" s="357"/>
      <c r="Z4481" s="358"/>
      <c r="AA4481" s="359"/>
      <c r="AB4481" s="360"/>
    </row>
    <row r="4482" spans="1:28" s="361" customFormat="1" ht="15" hidden="1">
      <c r="A4482" s="354"/>
      <c r="B4482" s="755" t="s">
        <v>2066</v>
      </c>
      <c r="C4482" s="28" t="s">
        <v>1647</v>
      </c>
      <c r="D4482" s="18"/>
      <c r="E4482" s="19"/>
      <c r="F4482" s="20"/>
      <c r="G4482" s="18"/>
      <c r="H4482" s="19"/>
      <c r="I4482" s="20"/>
      <c r="J4482" s="21">
        <v>40.201000000000001</v>
      </c>
      <c r="K4482" s="22"/>
      <c r="L4482" s="23">
        <v>5</v>
      </c>
      <c r="M4482" s="24"/>
      <c r="N4482" s="728"/>
      <c r="O4482" s="845">
        <f t="shared" si="449"/>
        <v>425.09000000000003</v>
      </c>
      <c r="P4482" s="23"/>
      <c r="Q4482" s="729"/>
      <c r="R4482" s="445">
        <f t="shared" si="450"/>
        <v>425.09000000000003</v>
      </c>
      <c r="S4482" s="792" t="s">
        <v>853</v>
      </c>
      <c r="T4482" s="446" t="s">
        <v>56</v>
      </c>
      <c r="U4482" s="2041"/>
      <c r="V4482" s="1418">
        <f t="shared" si="448"/>
        <v>0</v>
      </c>
      <c r="W4482" s="357"/>
      <c r="X4482" s="357"/>
      <c r="Y4482" s="357"/>
      <c r="Z4482" s="358"/>
      <c r="AA4482" s="359"/>
      <c r="AB4482" s="360"/>
    </row>
    <row r="4483" spans="1:28" s="361" customFormat="1" ht="15" hidden="1">
      <c r="A4483" s="354"/>
      <c r="B4483" s="755" t="s">
        <v>2067</v>
      </c>
      <c r="C4483" s="28" t="s">
        <v>1649</v>
      </c>
      <c r="D4483" s="18"/>
      <c r="E4483" s="19"/>
      <c r="F4483" s="20"/>
      <c r="G4483" s="18"/>
      <c r="H4483" s="19"/>
      <c r="I4483" s="20"/>
      <c r="J4483" s="21">
        <v>25.821000000000002</v>
      </c>
      <c r="K4483" s="22"/>
      <c r="L4483" s="23">
        <v>5</v>
      </c>
      <c r="M4483" s="24"/>
      <c r="N4483" s="728"/>
      <c r="O4483" s="845">
        <f t="shared" si="449"/>
        <v>330.11</v>
      </c>
      <c r="P4483" s="23"/>
      <c r="Q4483" s="729"/>
      <c r="R4483" s="445">
        <f t="shared" si="450"/>
        <v>330.11</v>
      </c>
      <c r="S4483" s="792" t="s">
        <v>853</v>
      </c>
      <c r="T4483" s="446" t="s">
        <v>56</v>
      </c>
      <c r="U4483" s="2041"/>
      <c r="V4483" s="1418">
        <f t="shared" si="448"/>
        <v>0</v>
      </c>
      <c r="W4483" s="357"/>
      <c r="X4483" s="357"/>
      <c r="Y4483" s="357"/>
      <c r="Z4483" s="358"/>
      <c r="AA4483" s="359"/>
      <c r="AB4483" s="360"/>
    </row>
    <row r="4484" spans="1:28" s="361" customFormat="1" ht="15" hidden="1">
      <c r="A4484" s="354"/>
      <c r="B4484" s="755" t="s">
        <v>2068</v>
      </c>
      <c r="C4484" s="28" t="s">
        <v>1651</v>
      </c>
      <c r="D4484" s="18"/>
      <c r="E4484" s="19"/>
      <c r="F4484" s="20"/>
      <c r="G4484" s="18"/>
      <c r="H4484" s="19"/>
      <c r="I4484" s="20"/>
      <c r="J4484" s="21">
        <v>2.2629999999999999</v>
      </c>
      <c r="K4484" s="22"/>
      <c r="L4484" s="23">
        <v>5</v>
      </c>
      <c r="M4484" s="24"/>
      <c r="N4484" s="728"/>
      <c r="O4484" s="845">
        <f t="shared" si="449"/>
        <v>140.42000000000002</v>
      </c>
      <c r="P4484" s="23"/>
      <c r="Q4484" s="729"/>
      <c r="R4484" s="445">
        <f t="shared" si="450"/>
        <v>140.42000000000002</v>
      </c>
      <c r="S4484" s="792" t="s">
        <v>853</v>
      </c>
      <c r="T4484" s="446" t="s">
        <v>56</v>
      </c>
      <c r="U4484" s="2041"/>
      <c r="V4484" s="1418">
        <f t="shared" si="448"/>
        <v>0</v>
      </c>
      <c r="W4484" s="357"/>
      <c r="X4484" s="357"/>
      <c r="Y4484" s="357"/>
      <c r="Z4484" s="358"/>
      <c r="AA4484" s="359"/>
      <c r="AB4484" s="360"/>
    </row>
    <row r="4485" spans="1:28" s="361" customFormat="1" ht="15" hidden="1">
      <c r="A4485" s="354"/>
      <c r="B4485" s="755" t="s">
        <v>2069</v>
      </c>
      <c r="C4485" s="28" t="s">
        <v>2070</v>
      </c>
      <c r="D4485" s="18"/>
      <c r="E4485" s="19"/>
      <c r="F4485" s="20"/>
      <c r="G4485" s="18"/>
      <c r="H4485" s="19"/>
      <c r="I4485" s="20"/>
      <c r="J4485" s="21">
        <v>0</v>
      </c>
      <c r="K4485" s="22"/>
      <c r="L4485" s="23">
        <v>1.8759999999999999</v>
      </c>
      <c r="M4485" s="24"/>
      <c r="N4485" s="728"/>
      <c r="O4485" s="845">
        <v>4.2439999999999998</v>
      </c>
      <c r="P4485" s="23"/>
      <c r="Q4485" s="729"/>
      <c r="R4485" s="445">
        <f>O4485</f>
        <v>4.2439999999999998</v>
      </c>
      <c r="S4485" s="792" t="s">
        <v>853</v>
      </c>
      <c r="T4485" s="446" t="s">
        <v>56</v>
      </c>
      <c r="U4485" s="2042"/>
      <c r="V4485" s="1418">
        <f t="shared" si="448"/>
        <v>0</v>
      </c>
      <c r="W4485" s="357"/>
      <c r="X4485" s="357"/>
      <c r="Y4485" s="357"/>
      <c r="Z4485" s="358"/>
      <c r="AA4485" s="359"/>
      <c r="AB4485" s="360"/>
    </row>
    <row r="4486" spans="1:28" s="361" customFormat="1" ht="15" hidden="1">
      <c r="A4486" s="354"/>
      <c r="B4486" s="755" t="s">
        <v>2071</v>
      </c>
      <c r="C4486" s="28" t="s">
        <v>1657</v>
      </c>
      <c r="D4486" s="18"/>
      <c r="E4486" s="19"/>
      <c r="F4486" s="20"/>
      <c r="G4486" s="18"/>
      <c r="H4486" s="19"/>
      <c r="I4486" s="20"/>
      <c r="J4486" s="21">
        <v>0.85099999999999998</v>
      </c>
      <c r="K4486" s="22"/>
      <c r="L4486" s="23">
        <v>5</v>
      </c>
      <c r="M4486" s="24"/>
      <c r="N4486" s="728"/>
      <c r="O4486" s="845" t="s">
        <v>1593</v>
      </c>
      <c r="P4486" s="23"/>
      <c r="Q4486" s="729"/>
      <c r="R4486" s="445" t="s">
        <v>1593</v>
      </c>
      <c r="S4486" s="445" t="s">
        <v>853</v>
      </c>
      <c r="T4486" s="446" t="s">
        <v>308</v>
      </c>
      <c r="U4486" s="2037" t="s">
        <v>2072</v>
      </c>
      <c r="V4486" s="1418">
        <f t="shared" si="448"/>
        <v>0</v>
      </c>
      <c r="W4486" s="357"/>
      <c r="X4486" s="357"/>
      <c r="Y4486" s="357"/>
      <c r="Z4486" s="358"/>
      <c r="AA4486" s="359"/>
      <c r="AB4486" s="360"/>
    </row>
    <row r="4487" spans="1:28" s="361" customFormat="1" ht="15" hidden="1">
      <c r="A4487" s="354"/>
      <c r="B4487" s="755" t="s">
        <v>2073</v>
      </c>
      <c r="C4487" s="28" t="s">
        <v>1572</v>
      </c>
      <c r="D4487" s="18"/>
      <c r="E4487" s="19"/>
      <c r="F4487" s="20"/>
      <c r="G4487" s="18"/>
      <c r="H4487" s="19"/>
      <c r="I4487" s="20"/>
      <c r="J4487" s="21">
        <v>28.513999999999999</v>
      </c>
      <c r="K4487" s="22"/>
      <c r="L4487" s="23">
        <v>5</v>
      </c>
      <c r="M4487" s="24"/>
      <c r="N4487" s="728"/>
      <c r="O4487" s="845">
        <f t="shared" ref="O4487:O4498" si="451">(J4486+J4487)*L4487</f>
        <v>146.82499999999999</v>
      </c>
      <c r="P4487" s="23"/>
      <c r="Q4487" s="729"/>
      <c r="R4487" s="445">
        <f t="shared" ref="R4487:R4515" si="452">O4487</f>
        <v>146.82499999999999</v>
      </c>
      <c r="S4487" s="445" t="s">
        <v>853</v>
      </c>
      <c r="T4487" s="446" t="s">
        <v>308</v>
      </c>
      <c r="U4487" s="2038"/>
      <c r="V4487" s="1418">
        <f t="shared" si="448"/>
        <v>0</v>
      </c>
      <c r="W4487" s="357"/>
      <c r="X4487" s="357"/>
      <c r="Y4487" s="357"/>
      <c r="Z4487" s="358"/>
      <c r="AA4487" s="359"/>
      <c r="AB4487" s="360"/>
    </row>
    <row r="4488" spans="1:28" s="361" customFormat="1" ht="15" hidden="1">
      <c r="A4488" s="354"/>
      <c r="B4488" s="755" t="s">
        <v>2074</v>
      </c>
      <c r="C4488" s="28" t="s">
        <v>1574</v>
      </c>
      <c r="D4488" s="18"/>
      <c r="E4488" s="19"/>
      <c r="F4488" s="20"/>
      <c r="G4488" s="18"/>
      <c r="H4488" s="19"/>
      <c r="I4488" s="20"/>
      <c r="J4488" s="21">
        <v>34.473999999999997</v>
      </c>
      <c r="K4488" s="22"/>
      <c r="L4488" s="23">
        <v>5</v>
      </c>
      <c r="M4488" s="24"/>
      <c r="N4488" s="728"/>
      <c r="O4488" s="845">
        <f t="shared" si="451"/>
        <v>314.94</v>
      </c>
      <c r="P4488" s="23"/>
      <c r="Q4488" s="729"/>
      <c r="R4488" s="445">
        <f t="shared" si="452"/>
        <v>314.94</v>
      </c>
      <c r="S4488" s="445" t="s">
        <v>853</v>
      </c>
      <c r="T4488" s="446" t="s">
        <v>308</v>
      </c>
      <c r="U4488" s="2038"/>
      <c r="V4488" s="1418">
        <f t="shared" si="448"/>
        <v>0</v>
      </c>
      <c r="W4488" s="357"/>
      <c r="X4488" s="357"/>
      <c r="Y4488" s="357"/>
      <c r="Z4488" s="358"/>
      <c r="AA4488" s="359"/>
      <c r="AB4488" s="360"/>
    </row>
    <row r="4489" spans="1:28" s="361" customFormat="1" ht="15" hidden="1">
      <c r="A4489" s="354"/>
      <c r="B4489" s="755" t="s">
        <v>2075</v>
      </c>
      <c r="C4489" s="28" t="s">
        <v>1576</v>
      </c>
      <c r="D4489" s="18"/>
      <c r="E4489" s="19"/>
      <c r="F4489" s="20"/>
      <c r="G4489" s="18"/>
      <c r="H4489" s="19"/>
      <c r="I4489" s="20"/>
      <c r="J4489" s="21">
        <v>24.75</v>
      </c>
      <c r="K4489" s="22"/>
      <c r="L4489" s="23">
        <v>5</v>
      </c>
      <c r="M4489" s="24"/>
      <c r="N4489" s="728"/>
      <c r="O4489" s="845">
        <f t="shared" si="451"/>
        <v>296.12</v>
      </c>
      <c r="P4489" s="23"/>
      <c r="Q4489" s="729"/>
      <c r="R4489" s="445">
        <f t="shared" si="452"/>
        <v>296.12</v>
      </c>
      <c r="S4489" s="445" t="s">
        <v>853</v>
      </c>
      <c r="T4489" s="446" t="s">
        <v>308</v>
      </c>
      <c r="U4489" s="2038"/>
      <c r="V4489" s="1418">
        <f t="shared" si="448"/>
        <v>0</v>
      </c>
      <c r="W4489" s="357"/>
      <c r="X4489" s="357"/>
      <c r="Y4489" s="357"/>
      <c r="Z4489" s="358"/>
      <c r="AA4489" s="359"/>
      <c r="AB4489" s="360"/>
    </row>
    <row r="4490" spans="1:28" s="361" customFormat="1" ht="15" hidden="1">
      <c r="A4490" s="354"/>
      <c r="B4490" s="755" t="s">
        <v>2076</v>
      </c>
      <c r="C4490" s="28" t="s">
        <v>1578</v>
      </c>
      <c r="D4490" s="18"/>
      <c r="E4490" s="19"/>
      <c r="F4490" s="20"/>
      <c r="G4490" s="18"/>
      <c r="H4490" s="19"/>
      <c r="I4490" s="20"/>
      <c r="J4490" s="21">
        <v>16.411000000000001</v>
      </c>
      <c r="K4490" s="22"/>
      <c r="L4490" s="23">
        <v>5</v>
      </c>
      <c r="M4490" s="24"/>
      <c r="N4490" s="728"/>
      <c r="O4490" s="845">
        <f t="shared" si="451"/>
        <v>205.80500000000001</v>
      </c>
      <c r="P4490" s="23"/>
      <c r="Q4490" s="729"/>
      <c r="R4490" s="445">
        <f t="shared" si="452"/>
        <v>205.80500000000001</v>
      </c>
      <c r="S4490" s="445" t="s">
        <v>853</v>
      </c>
      <c r="T4490" s="446" t="s">
        <v>308</v>
      </c>
      <c r="U4490" s="2038"/>
      <c r="V4490" s="1418">
        <f t="shared" si="448"/>
        <v>0</v>
      </c>
      <c r="W4490" s="357"/>
      <c r="X4490" s="357"/>
      <c r="Y4490" s="357"/>
      <c r="Z4490" s="358"/>
      <c r="AA4490" s="359"/>
      <c r="AB4490" s="360"/>
    </row>
    <row r="4491" spans="1:28" s="361" customFormat="1" ht="15" hidden="1">
      <c r="A4491" s="354"/>
      <c r="B4491" s="755" t="s">
        <v>2077</v>
      </c>
      <c r="C4491" s="28" t="s">
        <v>1580</v>
      </c>
      <c r="D4491" s="18"/>
      <c r="E4491" s="19"/>
      <c r="F4491" s="20"/>
      <c r="G4491" s="18"/>
      <c r="H4491" s="19"/>
      <c r="I4491" s="20"/>
      <c r="J4491" s="21">
        <v>19.324000000000002</v>
      </c>
      <c r="K4491" s="22"/>
      <c r="L4491" s="23">
        <v>5</v>
      </c>
      <c r="M4491" s="24"/>
      <c r="N4491" s="728"/>
      <c r="O4491" s="845">
        <f t="shared" si="451"/>
        <v>178.67500000000001</v>
      </c>
      <c r="P4491" s="23"/>
      <c r="Q4491" s="729"/>
      <c r="R4491" s="445">
        <f t="shared" si="452"/>
        <v>178.67500000000001</v>
      </c>
      <c r="S4491" s="445" t="s">
        <v>853</v>
      </c>
      <c r="T4491" s="446" t="s">
        <v>308</v>
      </c>
      <c r="U4491" s="2038"/>
      <c r="V4491" s="1418">
        <f t="shared" si="448"/>
        <v>0</v>
      </c>
      <c r="W4491" s="357"/>
      <c r="X4491" s="357"/>
      <c r="Y4491" s="357"/>
      <c r="Z4491" s="358"/>
      <c r="AA4491" s="359"/>
      <c r="AB4491" s="360"/>
    </row>
    <row r="4492" spans="1:28" s="361" customFormat="1" ht="15" hidden="1">
      <c r="A4492" s="354"/>
      <c r="B4492" s="755" t="s">
        <v>2078</v>
      </c>
      <c r="C4492" s="28" t="s">
        <v>1582</v>
      </c>
      <c r="D4492" s="18"/>
      <c r="E4492" s="19"/>
      <c r="F4492" s="20"/>
      <c r="G4492" s="18"/>
      <c r="H4492" s="19"/>
      <c r="I4492" s="20"/>
      <c r="J4492" s="21">
        <v>17.190000000000001</v>
      </c>
      <c r="K4492" s="22"/>
      <c r="L4492" s="23">
        <v>5</v>
      </c>
      <c r="M4492" s="24"/>
      <c r="N4492" s="728"/>
      <c r="O4492" s="845">
        <f t="shared" si="451"/>
        <v>182.57000000000002</v>
      </c>
      <c r="P4492" s="23"/>
      <c r="Q4492" s="729"/>
      <c r="R4492" s="445">
        <f t="shared" si="452"/>
        <v>182.57000000000002</v>
      </c>
      <c r="S4492" s="445" t="s">
        <v>853</v>
      </c>
      <c r="T4492" s="446" t="s">
        <v>308</v>
      </c>
      <c r="U4492" s="2038"/>
      <c r="V4492" s="1418">
        <f t="shared" si="448"/>
        <v>0</v>
      </c>
      <c r="W4492" s="357"/>
      <c r="X4492" s="357"/>
      <c r="Y4492" s="357"/>
      <c r="Z4492" s="358"/>
      <c r="AA4492" s="359"/>
      <c r="AB4492" s="360"/>
    </row>
    <row r="4493" spans="1:28" s="361" customFormat="1" ht="15" hidden="1">
      <c r="A4493" s="354"/>
      <c r="B4493" s="755" t="s">
        <v>2079</v>
      </c>
      <c r="C4493" s="28" t="s">
        <v>1584</v>
      </c>
      <c r="D4493" s="18"/>
      <c r="E4493" s="19"/>
      <c r="F4493" s="20"/>
      <c r="G4493" s="18"/>
      <c r="H4493" s="19"/>
      <c r="I4493" s="20"/>
      <c r="J4493" s="21">
        <v>17.864000000000001</v>
      </c>
      <c r="K4493" s="22"/>
      <c r="L4493" s="23">
        <v>5</v>
      </c>
      <c r="M4493" s="24"/>
      <c r="N4493" s="728"/>
      <c r="O4493" s="845">
        <f t="shared" si="451"/>
        <v>175.27</v>
      </c>
      <c r="P4493" s="23"/>
      <c r="Q4493" s="729"/>
      <c r="R4493" s="445">
        <f t="shared" si="452"/>
        <v>175.27</v>
      </c>
      <c r="S4493" s="445" t="s">
        <v>853</v>
      </c>
      <c r="T4493" s="446" t="s">
        <v>308</v>
      </c>
      <c r="U4493" s="2038"/>
      <c r="V4493" s="1418">
        <f t="shared" si="448"/>
        <v>0</v>
      </c>
      <c r="W4493" s="357"/>
      <c r="X4493" s="357"/>
      <c r="Y4493" s="357"/>
      <c r="Z4493" s="358"/>
      <c r="AA4493" s="359"/>
      <c r="AB4493" s="360"/>
    </row>
    <row r="4494" spans="1:28" s="361" customFormat="1" ht="15" hidden="1">
      <c r="A4494" s="354"/>
      <c r="B4494" s="755" t="s">
        <v>2080</v>
      </c>
      <c r="C4494" s="28" t="s">
        <v>1586</v>
      </c>
      <c r="D4494" s="18"/>
      <c r="E4494" s="19"/>
      <c r="F4494" s="20"/>
      <c r="G4494" s="18"/>
      <c r="H4494" s="19"/>
      <c r="I4494" s="20"/>
      <c r="J4494" s="21">
        <v>16.611000000000001</v>
      </c>
      <c r="K4494" s="22"/>
      <c r="L4494" s="23">
        <v>5</v>
      </c>
      <c r="M4494" s="24"/>
      <c r="N4494" s="728"/>
      <c r="O4494" s="845">
        <f t="shared" si="451"/>
        <v>172.375</v>
      </c>
      <c r="P4494" s="23"/>
      <c r="Q4494" s="729"/>
      <c r="R4494" s="445">
        <f t="shared" si="452"/>
        <v>172.375</v>
      </c>
      <c r="S4494" s="445" t="s">
        <v>853</v>
      </c>
      <c r="T4494" s="446" t="s">
        <v>308</v>
      </c>
      <c r="U4494" s="2038"/>
      <c r="V4494" s="1418">
        <f t="shared" si="448"/>
        <v>0</v>
      </c>
      <c r="W4494" s="357"/>
      <c r="X4494" s="357"/>
      <c r="Y4494" s="357"/>
      <c r="Z4494" s="358"/>
      <c r="AA4494" s="359"/>
      <c r="AB4494" s="360"/>
    </row>
    <row r="4495" spans="1:28" s="361" customFormat="1" ht="15" hidden="1">
      <c r="A4495" s="354"/>
      <c r="B4495" s="755" t="s">
        <v>2081</v>
      </c>
      <c r="C4495" s="28" t="s">
        <v>1588</v>
      </c>
      <c r="D4495" s="18"/>
      <c r="E4495" s="19"/>
      <c r="F4495" s="20"/>
      <c r="G4495" s="18"/>
      <c r="H4495" s="19"/>
      <c r="I4495" s="20"/>
      <c r="J4495" s="21">
        <v>19.367000000000001</v>
      </c>
      <c r="K4495" s="22"/>
      <c r="L4495" s="23">
        <v>5</v>
      </c>
      <c r="M4495" s="24"/>
      <c r="N4495" s="728"/>
      <c r="O4495" s="845">
        <f t="shared" si="451"/>
        <v>179.89000000000001</v>
      </c>
      <c r="P4495" s="23"/>
      <c r="Q4495" s="729"/>
      <c r="R4495" s="445">
        <f t="shared" si="452"/>
        <v>179.89000000000001</v>
      </c>
      <c r="S4495" s="445" t="s">
        <v>853</v>
      </c>
      <c r="T4495" s="446" t="s">
        <v>308</v>
      </c>
      <c r="U4495" s="2038"/>
      <c r="V4495" s="1418">
        <f t="shared" si="448"/>
        <v>0</v>
      </c>
      <c r="W4495" s="357"/>
      <c r="X4495" s="357"/>
      <c r="Y4495" s="357"/>
      <c r="Z4495" s="358"/>
      <c r="AA4495" s="359"/>
      <c r="AB4495" s="360"/>
    </row>
    <row r="4496" spans="1:28" s="361" customFormat="1" ht="15" hidden="1">
      <c r="A4496" s="354"/>
      <c r="B4496" s="755" t="s">
        <v>2082</v>
      </c>
      <c r="C4496" s="28" t="s">
        <v>1641</v>
      </c>
      <c r="D4496" s="18"/>
      <c r="E4496" s="19"/>
      <c r="F4496" s="20"/>
      <c r="G4496" s="18"/>
      <c r="H4496" s="19"/>
      <c r="I4496" s="20"/>
      <c r="J4496" s="21">
        <v>7.6760000000000002</v>
      </c>
      <c r="K4496" s="22"/>
      <c r="L4496" s="23">
        <v>5</v>
      </c>
      <c r="M4496" s="24"/>
      <c r="N4496" s="728"/>
      <c r="O4496" s="845">
        <f t="shared" si="451"/>
        <v>135.215</v>
      </c>
      <c r="P4496" s="23"/>
      <c r="Q4496" s="729"/>
      <c r="R4496" s="445">
        <f t="shared" si="452"/>
        <v>135.215</v>
      </c>
      <c r="S4496" s="445" t="s">
        <v>853</v>
      </c>
      <c r="T4496" s="446" t="s">
        <v>308</v>
      </c>
      <c r="U4496" s="2038"/>
      <c r="V4496" s="1418">
        <f t="shared" si="448"/>
        <v>0</v>
      </c>
      <c r="W4496" s="357"/>
      <c r="X4496" s="357"/>
      <c r="Y4496" s="357"/>
      <c r="Z4496" s="358"/>
      <c r="AA4496" s="359"/>
      <c r="AB4496" s="360"/>
    </row>
    <row r="4497" spans="1:28" s="361" customFormat="1" ht="15" hidden="1">
      <c r="A4497" s="354"/>
      <c r="B4497" s="755" t="s">
        <v>2083</v>
      </c>
      <c r="C4497" s="28" t="s">
        <v>1643</v>
      </c>
      <c r="D4497" s="18"/>
      <c r="E4497" s="19"/>
      <c r="F4497" s="20"/>
      <c r="G4497" s="18"/>
      <c r="H4497" s="19"/>
      <c r="I4497" s="20"/>
      <c r="J4497" s="21">
        <v>7.8120000000000003</v>
      </c>
      <c r="K4497" s="22"/>
      <c r="L4497" s="23">
        <v>5</v>
      </c>
      <c r="M4497" s="24"/>
      <c r="N4497" s="728"/>
      <c r="O4497" s="845">
        <f t="shared" si="451"/>
        <v>77.44</v>
      </c>
      <c r="P4497" s="23"/>
      <c r="Q4497" s="729"/>
      <c r="R4497" s="445">
        <f t="shared" si="452"/>
        <v>77.44</v>
      </c>
      <c r="S4497" s="445" t="s">
        <v>853</v>
      </c>
      <c r="T4497" s="446" t="s">
        <v>308</v>
      </c>
      <c r="U4497" s="2038"/>
      <c r="V4497" s="1418">
        <f t="shared" si="448"/>
        <v>0</v>
      </c>
      <c r="W4497" s="357"/>
      <c r="X4497" s="357"/>
      <c r="Y4497" s="357"/>
      <c r="Z4497" s="358"/>
      <c r="AA4497" s="359"/>
      <c r="AB4497" s="360"/>
    </row>
    <row r="4498" spans="1:28" s="361" customFormat="1" ht="15" hidden="1">
      <c r="A4498" s="354"/>
      <c r="B4498" s="755" t="s">
        <v>2084</v>
      </c>
      <c r="C4498" s="28" t="s">
        <v>1645</v>
      </c>
      <c r="D4498" s="18"/>
      <c r="E4498" s="19"/>
      <c r="F4498" s="20"/>
      <c r="G4498" s="18"/>
      <c r="H4498" s="19"/>
      <c r="I4498" s="20"/>
      <c r="J4498" s="21">
        <v>3.8780000000000001</v>
      </c>
      <c r="K4498" s="22"/>
      <c r="L4498" s="23">
        <v>5</v>
      </c>
      <c r="M4498" s="24"/>
      <c r="N4498" s="728"/>
      <c r="O4498" s="845">
        <f t="shared" si="451"/>
        <v>58.45</v>
      </c>
      <c r="P4498" s="23"/>
      <c r="Q4498" s="729"/>
      <c r="R4498" s="445">
        <f t="shared" si="452"/>
        <v>58.45</v>
      </c>
      <c r="S4498" s="445" t="s">
        <v>853</v>
      </c>
      <c r="T4498" s="446" t="s">
        <v>308</v>
      </c>
      <c r="U4498" s="2039"/>
      <c r="V4498" s="1418">
        <f t="shared" si="448"/>
        <v>0</v>
      </c>
      <c r="W4498" s="357"/>
      <c r="X4498" s="357"/>
      <c r="Y4498" s="357"/>
      <c r="Z4498" s="358"/>
      <c r="AA4498" s="359"/>
      <c r="AB4498" s="360"/>
    </row>
    <row r="4499" spans="1:28" s="361" customFormat="1" ht="15" hidden="1">
      <c r="A4499" s="354"/>
      <c r="B4499" s="755"/>
      <c r="C4499" s="836"/>
      <c r="D4499" s="18"/>
      <c r="E4499" s="19"/>
      <c r="F4499" s="20"/>
      <c r="G4499" s="18"/>
      <c r="H4499" s="19"/>
      <c r="I4499" s="20"/>
      <c r="J4499" s="21"/>
      <c r="K4499" s="22"/>
      <c r="L4499" s="23"/>
      <c r="M4499" s="24"/>
      <c r="N4499" s="728"/>
      <c r="O4499" s="845"/>
      <c r="P4499" s="23"/>
      <c r="Q4499" s="729"/>
      <c r="R4499" s="445"/>
      <c r="S4499" s="792"/>
      <c r="T4499" s="835"/>
      <c r="U4499" s="793"/>
      <c r="V4499" s="1418">
        <f t="shared" si="448"/>
        <v>0</v>
      </c>
      <c r="W4499" s="357"/>
      <c r="X4499" s="357"/>
      <c r="Y4499" s="357"/>
      <c r="Z4499" s="358"/>
      <c r="AA4499" s="359"/>
      <c r="AB4499" s="360"/>
    </row>
    <row r="4500" spans="1:28" s="361" customFormat="1" ht="15" hidden="1">
      <c r="A4500" s="354"/>
      <c r="B4500" s="755" t="s">
        <v>2085</v>
      </c>
      <c r="C4500" s="28" t="s">
        <v>1657</v>
      </c>
      <c r="D4500" s="18"/>
      <c r="E4500" s="19"/>
      <c r="F4500" s="20"/>
      <c r="G4500" s="18"/>
      <c r="H4500" s="19"/>
      <c r="I4500" s="20"/>
      <c r="J4500" s="21">
        <v>0</v>
      </c>
      <c r="K4500" s="22"/>
      <c r="L4500" s="23">
        <v>5</v>
      </c>
      <c r="M4500" s="24"/>
      <c r="N4500" s="728"/>
      <c r="O4500" s="845" t="s">
        <v>1593</v>
      </c>
      <c r="P4500" s="23"/>
      <c r="Q4500" s="729"/>
      <c r="R4500" s="445" t="str">
        <f t="shared" si="452"/>
        <v>-</v>
      </c>
      <c r="S4500" s="445" t="s">
        <v>853</v>
      </c>
      <c r="T4500" s="446" t="s">
        <v>308</v>
      </c>
      <c r="U4500" s="2037" t="s">
        <v>2086</v>
      </c>
      <c r="V4500" s="1418">
        <f t="shared" si="448"/>
        <v>0</v>
      </c>
      <c r="W4500" s="357"/>
      <c r="X4500" s="357"/>
      <c r="Y4500" s="357"/>
      <c r="Z4500" s="358"/>
      <c r="AA4500" s="359"/>
      <c r="AB4500" s="360"/>
    </row>
    <row r="4501" spans="1:28" s="361" customFormat="1" ht="15" hidden="1">
      <c r="A4501" s="354"/>
      <c r="B4501" s="755" t="s">
        <v>2087</v>
      </c>
      <c r="C4501" s="28" t="s">
        <v>1572</v>
      </c>
      <c r="D4501" s="18"/>
      <c r="E4501" s="19"/>
      <c r="F4501" s="20"/>
      <c r="G4501" s="18"/>
      <c r="H4501" s="19"/>
      <c r="I4501" s="20"/>
      <c r="J4501" s="21">
        <v>5.1950000000000003</v>
      </c>
      <c r="K4501" s="22"/>
      <c r="L4501" s="23">
        <v>5</v>
      </c>
      <c r="M4501" s="24"/>
      <c r="N4501" s="728"/>
      <c r="O4501" s="845">
        <f t="shared" ref="O4501:O4515" si="453">(J4500+J4501)*L4501</f>
        <v>25.975000000000001</v>
      </c>
      <c r="P4501" s="23"/>
      <c r="Q4501" s="729"/>
      <c r="R4501" s="445">
        <f t="shared" si="452"/>
        <v>25.975000000000001</v>
      </c>
      <c r="S4501" s="445" t="s">
        <v>853</v>
      </c>
      <c r="T4501" s="446" t="s">
        <v>308</v>
      </c>
      <c r="U4501" s="2038"/>
      <c r="V4501" s="1418">
        <f t="shared" si="448"/>
        <v>0</v>
      </c>
      <c r="W4501" s="357"/>
      <c r="X4501" s="357"/>
      <c r="Y4501" s="357"/>
      <c r="Z4501" s="358"/>
      <c r="AA4501" s="359"/>
      <c r="AB4501" s="360"/>
    </row>
    <row r="4502" spans="1:28" s="361" customFormat="1" ht="15" hidden="1">
      <c r="A4502" s="354"/>
      <c r="B4502" s="755" t="s">
        <v>2088</v>
      </c>
      <c r="C4502" s="28" t="s">
        <v>2089</v>
      </c>
      <c r="D4502" s="18"/>
      <c r="E4502" s="19"/>
      <c r="F4502" s="20"/>
      <c r="G4502" s="18"/>
      <c r="H4502" s="19"/>
      <c r="I4502" s="20"/>
      <c r="J4502" s="21">
        <v>4.1959999999999997</v>
      </c>
      <c r="K4502" s="22"/>
      <c r="L4502" s="783">
        <v>0.75900000000000001</v>
      </c>
      <c r="M4502" s="24"/>
      <c r="N4502" s="728"/>
      <c r="O4502" s="845">
        <f t="shared" si="453"/>
        <v>7.1277689999999998</v>
      </c>
      <c r="P4502" s="23"/>
      <c r="Q4502" s="729"/>
      <c r="R4502" s="445">
        <f t="shared" si="452"/>
        <v>7.1277689999999998</v>
      </c>
      <c r="S4502" s="445" t="s">
        <v>853</v>
      </c>
      <c r="T4502" s="446" t="s">
        <v>308</v>
      </c>
      <c r="U4502" s="2038"/>
      <c r="V4502" s="1418">
        <f t="shared" si="448"/>
        <v>0</v>
      </c>
      <c r="W4502" s="357"/>
      <c r="X4502" s="357"/>
      <c r="Y4502" s="357"/>
      <c r="Z4502" s="358"/>
      <c r="AA4502" s="359"/>
      <c r="AB4502" s="360"/>
    </row>
    <row r="4503" spans="1:28" s="361" customFormat="1" ht="15" hidden="1">
      <c r="A4503" s="354"/>
      <c r="B4503" s="755" t="s">
        <v>2090</v>
      </c>
      <c r="C4503" s="28" t="s">
        <v>1574</v>
      </c>
      <c r="D4503" s="18"/>
      <c r="E4503" s="19"/>
      <c r="F4503" s="20"/>
      <c r="G4503" s="18"/>
      <c r="H4503" s="19"/>
      <c r="I4503" s="20"/>
      <c r="J4503" s="21">
        <v>7.7009999999999996</v>
      </c>
      <c r="K4503" s="22"/>
      <c r="L4503" s="783">
        <v>4.2409999999999997</v>
      </c>
      <c r="M4503" s="24"/>
      <c r="N4503" s="728"/>
      <c r="O4503" s="845">
        <f t="shared" si="453"/>
        <v>50.455176999999992</v>
      </c>
      <c r="P4503" s="23"/>
      <c r="Q4503" s="729"/>
      <c r="R4503" s="445">
        <f t="shared" si="452"/>
        <v>50.455176999999992</v>
      </c>
      <c r="S4503" s="445" t="s">
        <v>853</v>
      </c>
      <c r="T4503" s="446" t="s">
        <v>308</v>
      </c>
      <c r="U4503" s="2038"/>
      <c r="V4503" s="1418">
        <f t="shared" si="448"/>
        <v>0</v>
      </c>
      <c r="W4503" s="357"/>
      <c r="X4503" s="357"/>
      <c r="Y4503" s="357"/>
      <c r="Z4503" s="358"/>
      <c r="AA4503" s="359"/>
      <c r="AB4503" s="360"/>
    </row>
    <row r="4504" spans="1:28" s="361" customFormat="1" ht="15" hidden="1">
      <c r="A4504" s="354"/>
      <c r="B4504" s="755" t="s">
        <v>2091</v>
      </c>
      <c r="C4504" s="28" t="s">
        <v>1576</v>
      </c>
      <c r="D4504" s="18"/>
      <c r="E4504" s="19"/>
      <c r="F4504" s="20"/>
      <c r="G4504" s="18"/>
      <c r="H4504" s="19"/>
      <c r="I4504" s="20"/>
      <c r="J4504" s="21">
        <v>10.162000000000001</v>
      </c>
      <c r="K4504" s="22"/>
      <c r="L4504" s="23">
        <v>5</v>
      </c>
      <c r="M4504" s="24"/>
      <c r="N4504" s="728"/>
      <c r="O4504" s="845">
        <f t="shared" si="453"/>
        <v>89.314999999999998</v>
      </c>
      <c r="P4504" s="23"/>
      <c r="Q4504" s="729"/>
      <c r="R4504" s="445">
        <f t="shared" si="452"/>
        <v>89.314999999999998</v>
      </c>
      <c r="S4504" s="445" t="s">
        <v>853</v>
      </c>
      <c r="T4504" s="446" t="s">
        <v>308</v>
      </c>
      <c r="U4504" s="2038"/>
      <c r="V4504" s="1418">
        <f t="shared" si="448"/>
        <v>0</v>
      </c>
      <c r="W4504" s="357"/>
      <c r="X4504" s="357"/>
      <c r="Y4504" s="357"/>
      <c r="Z4504" s="358"/>
      <c r="AA4504" s="359"/>
      <c r="AB4504" s="360"/>
    </row>
    <row r="4505" spans="1:28" s="361" customFormat="1" ht="15" hidden="1">
      <c r="A4505" s="354"/>
      <c r="B4505" s="755" t="s">
        <v>2092</v>
      </c>
      <c r="C4505" s="28" t="s">
        <v>1578</v>
      </c>
      <c r="D4505" s="18"/>
      <c r="E4505" s="19"/>
      <c r="F4505" s="20"/>
      <c r="G4505" s="18"/>
      <c r="H4505" s="19"/>
      <c r="I4505" s="20"/>
      <c r="J4505" s="21">
        <v>9.5850000000000009</v>
      </c>
      <c r="K4505" s="22"/>
      <c r="L4505" s="23">
        <v>5</v>
      </c>
      <c r="M4505" s="24"/>
      <c r="N4505" s="728"/>
      <c r="O4505" s="845">
        <f t="shared" si="453"/>
        <v>98.734999999999999</v>
      </c>
      <c r="P4505" s="23"/>
      <c r="Q4505" s="729"/>
      <c r="R4505" s="445">
        <f t="shared" si="452"/>
        <v>98.734999999999999</v>
      </c>
      <c r="S4505" s="445" t="s">
        <v>853</v>
      </c>
      <c r="T4505" s="446" t="s">
        <v>308</v>
      </c>
      <c r="U4505" s="2038"/>
      <c r="V4505" s="1418">
        <f t="shared" si="448"/>
        <v>0</v>
      </c>
      <c r="W4505" s="357"/>
      <c r="X4505" s="357"/>
      <c r="Y4505" s="357"/>
      <c r="Z4505" s="358"/>
      <c r="AA4505" s="359"/>
      <c r="AB4505" s="360"/>
    </row>
    <row r="4506" spans="1:28" s="361" customFormat="1" ht="15" hidden="1">
      <c r="A4506" s="354"/>
      <c r="B4506" s="755" t="s">
        <v>2093</v>
      </c>
      <c r="C4506" s="28" t="s">
        <v>1580</v>
      </c>
      <c r="D4506" s="18"/>
      <c r="E4506" s="19"/>
      <c r="F4506" s="20"/>
      <c r="G4506" s="18"/>
      <c r="H4506" s="19"/>
      <c r="I4506" s="20"/>
      <c r="J4506" s="21">
        <v>8.4570000000000007</v>
      </c>
      <c r="K4506" s="22"/>
      <c r="L4506" s="23">
        <v>5</v>
      </c>
      <c r="M4506" s="24"/>
      <c r="N4506" s="728"/>
      <c r="O4506" s="845">
        <f t="shared" si="453"/>
        <v>90.210000000000008</v>
      </c>
      <c r="P4506" s="23"/>
      <c r="Q4506" s="729"/>
      <c r="R4506" s="445">
        <f t="shared" si="452"/>
        <v>90.210000000000008</v>
      </c>
      <c r="S4506" s="445" t="s">
        <v>853</v>
      </c>
      <c r="T4506" s="446" t="s">
        <v>308</v>
      </c>
      <c r="U4506" s="2038"/>
      <c r="V4506" s="1418">
        <f t="shared" si="448"/>
        <v>0</v>
      </c>
      <c r="W4506" s="357"/>
      <c r="X4506" s="357"/>
      <c r="Y4506" s="357"/>
      <c r="Z4506" s="358"/>
      <c r="AA4506" s="359"/>
      <c r="AB4506" s="360"/>
    </row>
    <row r="4507" spans="1:28" s="361" customFormat="1" ht="15" hidden="1">
      <c r="A4507" s="354"/>
      <c r="B4507" s="755" t="s">
        <v>2094</v>
      </c>
      <c r="C4507" s="28" t="s">
        <v>1582</v>
      </c>
      <c r="D4507" s="18"/>
      <c r="E4507" s="19"/>
      <c r="F4507" s="20"/>
      <c r="G4507" s="18"/>
      <c r="H4507" s="19"/>
      <c r="I4507" s="20"/>
      <c r="J4507" s="21">
        <v>12.747</v>
      </c>
      <c r="K4507" s="22"/>
      <c r="L4507" s="23">
        <v>5</v>
      </c>
      <c r="M4507" s="24"/>
      <c r="N4507" s="728"/>
      <c r="O4507" s="845">
        <f t="shared" si="453"/>
        <v>106.02000000000001</v>
      </c>
      <c r="P4507" s="23"/>
      <c r="Q4507" s="729"/>
      <c r="R4507" s="445">
        <f t="shared" si="452"/>
        <v>106.02000000000001</v>
      </c>
      <c r="S4507" s="445" t="s">
        <v>853</v>
      </c>
      <c r="T4507" s="446" t="s">
        <v>308</v>
      </c>
      <c r="U4507" s="2038"/>
      <c r="V4507" s="1418">
        <f t="shared" si="448"/>
        <v>0</v>
      </c>
      <c r="W4507" s="357"/>
      <c r="X4507" s="357"/>
      <c r="Y4507" s="357"/>
      <c r="Z4507" s="358"/>
      <c r="AA4507" s="359"/>
      <c r="AB4507" s="360"/>
    </row>
    <row r="4508" spans="1:28" s="361" customFormat="1" ht="15" hidden="1">
      <c r="A4508" s="354"/>
      <c r="B4508" s="755" t="s">
        <v>2095</v>
      </c>
      <c r="C4508" s="28" t="s">
        <v>1584</v>
      </c>
      <c r="D4508" s="18"/>
      <c r="E4508" s="19"/>
      <c r="F4508" s="20"/>
      <c r="G4508" s="18"/>
      <c r="H4508" s="19"/>
      <c r="I4508" s="20"/>
      <c r="J4508" s="21">
        <v>15.646000000000001</v>
      </c>
      <c r="K4508" s="22"/>
      <c r="L4508" s="23">
        <v>5</v>
      </c>
      <c r="M4508" s="24"/>
      <c r="N4508" s="728"/>
      <c r="O4508" s="845">
        <f t="shared" si="453"/>
        <v>141.965</v>
      </c>
      <c r="P4508" s="23"/>
      <c r="Q4508" s="729"/>
      <c r="R4508" s="445">
        <f t="shared" si="452"/>
        <v>141.965</v>
      </c>
      <c r="S4508" s="445" t="s">
        <v>853</v>
      </c>
      <c r="T4508" s="446" t="s">
        <v>308</v>
      </c>
      <c r="U4508" s="2038"/>
      <c r="V4508" s="1418">
        <f t="shared" si="448"/>
        <v>0</v>
      </c>
      <c r="W4508" s="357"/>
      <c r="X4508" s="357"/>
      <c r="Y4508" s="357"/>
      <c r="Z4508" s="358"/>
      <c r="AA4508" s="359"/>
      <c r="AB4508" s="360"/>
    </row>
    <row r="4509" spans="1:28" s="361" customFormat="1" ht="15" hidden="1">
      <c r="A4509" s="354"/>
      <c r="B4509" s="755" t="s">
        <v>2096</v>
      </c>
      <c r="C4509" s="28" t="s">
        <v>1586</v>
      </c>
      <c r="D4509" s="18"/>
      <c r="E4509" s="19"/>
      <c r="F4509" s="20"/>
      <c r="G4509" s="18"/>
      <c r="H4509" s="19"/>
      <c r="I4509" s="20"/>
      <c r="J4509" s="21">
        <v>21.602</v>
      </c>
      <c r="K4509" s="22"/>
      <c r="L4509" s="23">
        <v>5</v>
      </c>
      <c r="M4509" s="24"/>
      <c r="N4509" s="728"/>
      <c r="O4509" s="845">
        <f t="shared" si="453"/>
        <v>186.24</v>
      </c>
      <c r="P4509" s="23"/>
      <c r="Q4509" s="729"/>
      <c r="R4509" s="445">
        <f t="shared" si="452"/>
        <v>186.24</v>
      </c>
      <c r="S4509" s="445" t="s">
        <v>853</v>
      </c>
      <c r="T4509" s="446" t="s">
        <v>308</v>
      </c>
      <c r="U4509" s="2038"/>
      <c r="V4509" s="1418">
        <f t="shared" si="448"/>
        <v>0</v>
      </c>
      <c r="W4509" s="357"/>
      <c r="X4509" s="357"/>
      <c r="Y4509" s="357"/>
      <c r="Z4509" s="358"/>
      <c r="AA4509" s="359"/>
      <c r="AB4509" s="360"/>
    </row>
    <row r="4510" spans="1:28" s="361" customFormat="1" ht="15" hidden="1">
      <c r="A4510" s="354"/>
      <c r="B4510" s="755" t="s">
        <v>2097</v>
      </c>
      <c r="C4510" s="28" t="s">
        <v>1588</v>
      </c>
      <c r="D4510" s="18"/>
      <c r="E4510" s="19"/>
      <c r="F4510" s="20"/>
      <c r="G4510" s="18"/>
      <c r="H4510" s="19"/>
      <c r="I4510" s="20"/>
      <c r="J4510" s="21">
        <v>13.972</v>
      </c>
      <c r="K4510" s="22"/>
      <c r="L4510" s="23">
        <v>5</v>
      </c>
      <c r="M4510" s="24"/>
      <c r="N4510" s="728"/>
      <c r="O4510" s="845">
        <f t="shared" si="453"/>
        <v>177.87</v>
      </c>
      <c r="P4510" s="23"/>
      <c r="Q4510" s="729"/>
      <c r="R4510" s="445">
        <f t="shared" si="452"/>
        <v>177.87</v>
      </c>
      <c r="S4510" s="445" t="s">
        <v>853</v>
      </c>
      <c r="T4510" s="446" t="s">
        <v>308</v>
      </c>
      <c r="U4510" s="2038"/>
      <c r="V4510" s="1418">
        <f t="shared" si="448"/>
        <v>0</v>
      </c>
      <c r="W4510" s="357"/>
      <c r="X4510" s="357"/>
      <c r="Y4510" s="357"/>
      <c r="Z4510" s="358"/>
      <c r="AA4510" s="359"/>
      <c r="AB4510" s="360"/>
    </row>
    <row r="4511" spans="1:28" s="361" customFormat="1" ht="15" hidden="1">
      <c r="A4511" s="354"/>
      <c r="B4511" s="755" t="s">
        <v>2098</v>
      </c>
      <c r="C4511" s="28" t="s">
        <v>1641</v>
      </c>
      <c r="D4511" s="18"/>
      <c r="E4511" s="19"/>
      <c r="F4511" s="20"/>
      <c r="G4511" s="18"/>
      <c r="H4511" s="19"/>
      <c r="I4511" s="20"/>
      <c r="J4511" s="21">
        <v>22.018999999999998</v>
      </c>
      <c r="K4511" s="22"/>
      <c r="L4511" s="23">
        <v>5</v>
      </c>
      <c r="M4511" s="24"/>
      <c r="N4511" s="728"/>
      <c r="O4511" s="845">
        <f t="shared" si="453"/>
        <v>179.95499999999998</v>
      </c>
      <c r="P4511" s="23"/>
      <c r="Q4511" s="729"/>
      <c r="R4511" s="445">
        <f t="shared" si="452"/>
        <v>179.95499999999998</v>
      </c>
      <c r="S4511" s="445" t="s">
        <v>853</v>
      </c>
      <c r="T4511" s="446" t="s">
        <v>308</v>
      </c>
      <c r="U4511" s="2038"/>
      <c r="V4511" s="1418">
        <f t="shared" si="448"/>
        <v>0</v>
      </c>
      <c r="W4511" s="357"/>
      <c r="X4511" s="357"/>
      <c r="Y4511" s="357"/>
      <c r="Z4511" s="358"/>
      <c r="AA4511" s="359"/>
      <c r="AB4511" s="360"/>
    </row>
    <row r="4512" spans="1:28" s="361" customFormat="1" ht="15" hidden="1">
      <c r="A4512" s="354"/>
      <c r="B4512" s="755" t="s">
        <v>2099</v>
      </c>
      <c r="C4512" s="28" t="s">
        <v>1643</v>
      </c>
      <c r="D4512" s="18"/>
      <c r="E4512" s="19"/>
      <c r="F4512" s="20"/>
      <c r="G4512" s="18"/>
      <c r="H4512" s="19"/>
      <c r="I4512" s="20"/>
      <c r="J4512" s="21">
        <v>18.853000000000002</v>
      </c>
      <c r="K4512" s="22"/>
      <c r="L4512" s="23">
        <v>5</v>
      </c>
      <c r="M4512" s="24"/>
      <c r="N4512" s="728"/>
      <c r="O4512" s="845">
        <f t="shared" si="453"/>
        <v>204.36</v>
      </c>
      <c r="P4512" s="23"/>
      <c r="Q4512" s="729"/>
      <c r="R4512" s="445">
        <f t="shared" si="452"/>
        <v>204.36</v>
      </c>
      <c r="S4512" s="445" t="s">
        <v>853</v>
      </c>
      <c r="T4512" s="446" t="s">
        <v>308</v>
      </c>
      <c r="U4512" s="2038"/>
      <c r="V4512" s="1418">
        <f t="shared" si="448"/>
        <v>0</v>
      </c>
      <c r="W4512" s="357"/>
      <c r="X4512" s="357"/>
      <c r="Y4512" s="357"/>
      <c r="Z4512" s="358"/>
      <c r="AA4512" s="359"/>
      <c r="AB4512" s="360"/>
    </row>
    <row r="4513" spans="1:28" s="361" customFormat="1" ht="15" hidden="1">
      <c r="A4513" s="354"/>
      <c r="B4513" s="755" t="s">
        <v>2100</v>
      </c>
      <c r="C4513" s="28" t="s">
        <v>1645</v>
      </c>
      <c r="D4513" s="18"/>
      <c r="E4513" s="19"/>
      <c r="F4513" s="20"/>
      <c r="G4513" s="18"/>
      <c r="H4513" s="19"/>
      <c r="I4513" s="20"/>
      <c r="J4513" s="21">
        <v>18.035</v>
      </c>
      <c r="K4513" s="22"/>
      <c r="L4513" s="23">
        <v>5</v>
      </c>
      <c r="M4513" s="24"/>
      <c r="N4513" s="728"/>
      <c r="O4513" s="845">
        <f t="shared" si="453"/>
        <v>184.44000000000003</v>
      </c>
      <c r="P4513" s="23"/>
      <c r="Q4513" s="729"/>
      <c r="R4513" s="445">
        <f t="shared" si="452"/>
        <v>184.44000000000003</v>
      </c>
      <c r="S4513" s="445" t="s">
        <v>853</v>
      </c>
      <c r="T4513" s="446" t="s">
        <v>308</v>
      </c>
      <c r="U4513" s="2038"/>
      <c r="V4513" s="1418">
        <f t="shared" si="448"/>
        <v>0</v>
      </c>
      <c r="W4513" s="357"/>
      <c r="X4513" s="357"/>
      <c r="Y4513" s="357"/>
      <c r="Z4513" s="358"/>
      <c r="AA4513" s="359"/>
      <c r="AB4513" s="360"/>
    </row>
    <row r="4514" spans="1:28" s="361" customFormat="1" ht="15" hidden="1">
      <c r="A4514" s="354"/>
      <c r="B4514" s="755" t="s">
        <v>2101</v>
      </c>
      <c r="C4514" s="28" t="s">
        <v>1647</v>
      </c>
      <c r="D4514" s="18"/>
      <c r="E4514" s="19"/>
      <c r="F4514" s="20"/>
      <c r="G4514" s="18"/>
      <c r="H4514" s="19"/>
      <c r="I4514" s="20"/>
      <c r="J4514" s="21">
        <v>17.402999999999999</v>
      </c>
      <c r="K4514" s="22"/>
      <c r="L4514" s="23">
        <v>5</v>
      </c>
      <c r="M4514" s="24"/>
      <c r="N4514" s="728"/>
      <c r="O4514" s="845">
        <f t="shared" si="453"/>
        <v>177.19</v>
      </c>
      <c r="P4514" s="23"/>
      <c r="Q4514" s="729"/>
      <c r="R4514" s="445">
        <f t="shared" si="452"/>
        <v>177.19</v>
      </c>
      <c r="S4514" s="445" t="s">
        <v>853</v>
      </c>
      <c r="T4514" s="446" t="s">
        <v>308</v>
      </c>
      <c r="U4514" s="2038"/>
      <c r="V4514" s="1418">
        <f t="shared" si="448"/>
        <v>0</v>
      </c>
      <c r="W4514" s="357"/>
      <c r="X4514" s="357"/>
      <c r="Y4514" s="357"/>
      <c r="Z4514" s="358"/>
      <c r="AA4514" s="359"/>
      <c r="AB4514" s="360"/>
    </row>
    <row r="4515" spans="1:28" s="361" customFormat="1" ht="15" hidden="1">
      <c r="A4515" s="354"/>
      <c r="B4515" s="755" t="s">
        <v>2102</v>
      </c>
      <c r="C4515" s="28" t="s">
        <v>1649</v>
      </c>
      <c r="D4515" s="18"/>
      <c r="E4515" s="19"/>
      <c r="F4515" s="20"/>
      <c r="G4515" s="18"/>
      <c r="H4515" s="19"/>
      <c r="I4515" s="20"/>
      <c r="J4515" s="21">
        <v>1.6879999999999999</v>
      </c>
      <c r="K4515" s="22"/>
      <c r="L4515" s="23">
        <v>5</v>
      </c>
      <c r="M4515" s="24"/>
      <c r="N4515" s="728"/>
      <c r="O4515" s="845">
        <f t="shared" si="453"/>
        <v>95.454999999999984</v>
      </c>
      <c r="P4515" s="23"/>
      <c r="Q4515" s="729"/>
      <c r="R4515" s="445">
        <f t="shared" si="452"/>
        <v>95.454999999999984</v>
      </c>
      <c r="S4515" s="445" t="s">
        <v>853</v>
      </c>
      <c r="T4515" s="446" t="s">
        <v>308</v>
      </c>
      <c r="U4515" s="2039"/>
      <c r="V4515" s="1418">
        <f t="shared" si="448"/>
        <v>0</v>
      </c>
      <c r="W4515" s="357"/>
      <c r="X4515" s="357"/>
      <c r="Y4515" s="357"/>
      <c r="Z4515" s="358"/>
      <c r="AA4515" s="359"/>
      <c r="AB4515" s="360"/>
    </row>
    <row r="4516" spans="1:28" s="361" customFormat="1" ht="15" hidden="1">
      <c r="A4516" s="354"/>
      <c r="B4516" s="755"/>
      <c r="C4516" s="836"/>
      <c r="D4516" s="18"/>
      <c r="E4516" s="19"/>
      <c r="F4516" s="20"/>
      <c r="G4516" s="18"/>
      <c r="H4516" s="19"/>
      <c r="I4516" s="20"/>
      <c r="J4516" s="21"/>
      <c r="K4516" s="22"/>
      <c r="L4516" s="23"/>
      <c r="M4516" s="24"/>
      <c r="N4516" s="728"/>
      <c r="O4516" s="845"/>
      <c r="P4516" s="23"/>
      <c r="Q4516" s="729"/>
      <c r="R4516" s="445"/>
      <c r="S4516" s="792"/>
      <c r="T4516" s="835"/>
      <c r="U4516" s="955"/>
      <c r="V4516" s="1418">
        <f t="shared" si="448"/>
        <v>0</v>
      </c>
      <c r="W4516" s="357"/>
      <c r="X4516" s="357"/>
      <c r="Y4516" s="357"/>
      <c r="Z4516" s="358"/>
      <c r="AA4516" s="359"/>
      <c r="AB4516" s="360"/>
    </row>
    <row r="4517" spans="1:28" s="361" customFormat="1" ht="15" hidden="1" customHeight="1">
      <c r="A4517" s="354"/>
      <c r="B4517" s="755" t="s">
        <v>2103</v>
      </c>
      <c r="C4517" s="28" t="s">
        <v>1592</v>
      </c>
      <c r="D4517" s="18"/>
      <c r="E4517" s="19"/>
      <c r="F4517" s="20"/>
      <c r="G4517" s="18"/>
      <c r="H4517" s="19"/>
      <c r="I4517" s="20"/>
      <c r="J4517" s="782">
        <v>28.565999999999999</v>
      </c>
      <c r="K4517" s="22"/>
      <c r="L4517" s="23">
        <v>5</v>
      </c>
      <c r="M4517" s="24"/>
      <c r="N4517" s="783"/>
      <c r="O4517" s="25" t="s">
        <v>1593</v>
      </c>
      <c r="P4517" s="23"/>
      <c r="Q4517" s="729"/>
      <c r="R4517" s="445" t="s">
        <v>1593</v>
      </c>
      <c r="S4517" s="445" t="s">
        <v>853</v>
      </c>
      <c r="T4517" s="446" t="s">
        <v>308</v>
      </c>
      <c r="U4517" s="2037" t="s">
        <v>2104</v>
      </c>
      <c r="V4517" s="1418">
        <f t="shared" si="448"/>
        <v>0</v>
      </c>
      <c r="W4517" s="357"/>
      <c r="X4517" s="357"/>
      <c r="Y4517" s="357"/>
      <c r="Z4517" s="358"/>
      <c r="AA4517" s="359"/>
      <c r="AB4517" s="360"/>
    </row>
    <row r="4518" spans="1:28" s="361" customFormat="1" ht="15" hidden="1">
      <c r="A4518" s="354"/>
      <c r="B4518" s="755" t="s">
        <v>2105</v>
      </c>
      <c r="C4518" s="28" t="s">
        <v>1595</v>
      </c>
      <c r="D4518" s="18"/>
      <c r="E4518" s="19"/>
      <c r="F4518" s="20"/>
      <c r="G4518" s="18"/>
      <c r="H4518" s="19"/>
      <c r="I4518" s="20"/>
      <c r="J4518" s="782">
        <v>49.408999999999999</v>
      </c>
      <c r="K4518" s="22"/>
      <c r="L4518" s="23">
        <v>5</v>
      </c>
      <c r="M4518" s="24"/>
      <c r="N4518" s="783"/>
      <c r="O4518" s="845">
        <f t="shared" ref="O4518:O4528" si="454">(J4517+J4518)*L4518</f>
        <v>389.875</v>
      </c>
      <c r="P4518" s="23"/>
      <c r="Q4518" s="729"/>
      <c r="R4518" s="445">
        <f>O4518</f>
        <v>389.875</v>
      </c>
      <c r="S4518" s="445" t="s">
        <v>853</v>
      </c>
      <c r="T4518" s="446" t="s">
        <v>308</v>
      </c>
      <c r="U4518" s="2038"/>
      <c r="V4518" s="1418">
        <f t="shared" si="448"/>
        <v>0</v>
      </c>
      <c r="W4518" s="357"/>
      <c r="X4518" s="357"/>
      <c r="Y4518" s="357"/>
      <c r="Z4518" s="358"/>
      <c r="AA4518" s="359"/>
      <c r="AB4518" s="360"/>
    </row>
    <row r="4519" spans="1:28" s="361" customFormat="1" ht="15" hidden="1">
      <c r="A4519" s="354"/>
      <c r="B4519" s="755" t="s">
        <v>2106</v>
      </c>
      <c r="C4519" s="28" t="s">
        <v>1597</v>
      </c>
      <c r="D4519" s="18"/>
      <c r="E4519" s="19"/>
      <c r="F4519" s="20"/>
      <c r="G4519" s="18"/>
      <c r="H4519" s="19"/>
      <c r="I4519" s="20"/>
      <c r="J4519" s="782">
        <v>158.821</v>
      </c>
      <c r="K4519" s="22"/>
      <c r="L4519" s="23">
        <v>5</v>
      </c>
      <c r="M4519" s="24"/>
      <c r="N4519" s="783"/>
      <c r="O4519" s="845">
        <f t="shared" si="454"/>
        <v>1041.1499999999999</v>
      </c>
      <c r="P4519" s="23"/>
      <c r="Q4519" s="729"/>
      <c r="R4519" s="445">
        <f t="shared" ref="R4519:R4529" si="455">O4519</f>
        <v>1041.1499999999999</v>
      </c>
      <c r="S4519" s="445" t="s">
        <v>853</v>
      </c>
      <c r="T4519" s="446" t="s">
        <v>308</v>
      </c>
      <c r="U4519" s="2038"/>
      <c r="V4519" s="1418">
        <f t="shared" si="448"/>
        <v>0</v>
      </c>
      <c r="W4519" s="357"/>
      <c r="X4519" s="357"/>
      <c r="Y4519" s="357"/>
      <c r="Z4519" s="358"/>
      <c r="AA4519" s="359"/>
      <c r="AB4519" s="360"/>
    </row>
    <row r="4520" spans="1:28" s="361" customFormat="1" ht="15" hidden="1">
      <c r="A4520" s="354"/>
      <c r="B4520" s="755" t="s">
        <v>2107</v>
      </c>
      <c r="C4520" s="28" t="s">
        <v>1599</v>
      </c>
      <c r="D4520" s="18"/>
      <c r="E4520" s="19"/>
      <c r="F4520" s="20"/>
      <c r="G4520" s="18"/>
      <c r="H4520" s="19"/>
      <c r="I4520" s="20"/>
      <c r="J4520" s="782">
        <v>208.68600000000001</v>
      </c>
      <c r="K4520" s="22"/>
      <c r="L4520" s="23">
        <v>5</v>
      </c>
      <c r="M4520" s="24"/>
      <c r="N4520" s="783"/>
      <c r="O4520" s="845">
        <f t="shared" si="454"/>
        <v>1837.5350000000001</v>
      </c>
      <c r="P4520" s="23"/>
      <c r="Q4520" s="729"/>
      <c r="R4520" s="445">
        <f t="shared" si="455"/>
        <v>1837.5350000000001</v>
      </c>
      <c r="S4520" s="445" t="s">
        <v>853</v>
      </c>
      <c r="T4520" s="446" t="s">
        <v>308</v>
      </c>
      <c r="U4520" s="2038"/>
      <c r="V4520" s="1418">
        <f t="shared" si="448"/>
        <v>0</v>
      </c>
      <c r="W4520" s="357"/>
      <c r="X4520" s="357"/>
      <c r="Y4520" s="357"/>
      <c r="Z4520" s="358"/>
      <c r="AA4520" s="359"/>
      <c r="AB4520" s="360"/>
    </row>
    <row r="4521" spans="1:28" s="361" customFormat="1" ht="15" hidden="1">
      <c r="A4521" s="354"/>
      <c r="B4521" s="755" t="s">
        <v>2108</v>
      </c>
      <c r="C4521" s="28" t="s">
        <v>1601</v>
      </c>
      <c r="D4521" s="18"/>
      <c r="E4521" s="19"/>
      <c r="F4521" s="20"/>
      <c r="G4521" s="18"/>
      <c r="H4521" s="19"/>
      <c r="I4521" s="20"/>
      <c r="J4521" s="782">
        <v>271.64499999999998</v>
      </c>
      <c r="K4521" s="22"/>
      <c r="L4521" s="23">
        <v>5</v>
      </c>
      <c r="M4521" s="24"/>
      <c r="N4521" s="783"/>
      <c r="O4521" s="845">
        <f t="shared" si="454"/>
        <v>2401.6550000000002</v>
      </c>
      <c r="P4521" s="23"/>
      <c r="Q4521" s="729"/>
      <c r="R4521" s="445">
        <f t="shared" si="455"/>
        <v>2401.6550000000002</v>
      </c>
      <c r="S4521" s="445" t="s">
        <v>853</v>
      </c>
      <c r="T4521" s="446" t="s">
        <v>308</v>
      </c>
      <c r="U4521" s="2038"/>
      <c r="V4521" s="1418">
        <f t="shared" si="448"/>
        <v>0</v>
      </c>
      <c r="W4521" s="357"/>
      <c r="X4521" s="357"/>
      <c r="Y4521" s="357"/>
      <c r="Z4521" s="358"/>
      <c r="AA4521" s="359"/>
      <c r="AB4521" s="360"/>
    </row>
    <row r="4522" spans="1:28" s="361" customFormat="1" ht="15" hidden="1">
      <c r="A4522" s="354"/>
      <c r="B4522" s="755" t="s">
        <v>2109</v>
      </c>
      <c r="C4522" s="28" t="s">
        <v>1603</v>
      </c>
      <c r="D4522" s="18"/>
      <c r="E4522" s="19"/>
      <c r="F4522" s="20"/>
      <c r="G4522" s="18"/>
      <c r="H4522" s="19"/>
      <c r="I4522" s="20"/>
      <c r="J4522" s="782">
        <v>315.43</v>
      </c>
      <c r="K4522" s="22"/>
      <c r="L4522" s="23">
        <v>5</v>
      </c>
      <c r="M4522" s="24"/>
      <c r="N4522" s="783"/>
      <c r="O4522" s="845">
        <f t="shared" si="454"/>
        <v>2935.375</v>
      </c>
      <c r="P4522" s="23"/>
      <c r="Q4522" s="729"/>
      <c r="R4522" s="445">
        <f t="shared" si="455"/>
        <v>2935.375</v>
      </c>
      <c r="S4522" s="445" t="s">
        <v>853</v>
      </c>
      <c r="T4522" s="446" t="s">
        <v>308</v>
      </c>
      <c r="U4522" s="2038"/>
      <c r="V4522" s="1418">
        <f t="shared" si="448"/>
        <v>0</v>
      </c>
      <c r="W4522" s="357"/>
      <c r="X4522" s="357"/>
      <c r="Y4522" s="357"/>
      <c r="Z4522" s="358"/>
      <c r="AA4522" s="359"/>
      <c r="AB4522" s="360"/>
    </row>
    <row r="4523" spans="1:28" s="361" customFormat="1" ht="15" hidden="1">
      <c r="A4523" s="354"/>
      <c r="B4523" s="755" t="s">
        <v>2110</v>
      </c>
      <c r="C4523" s="28" t="s">
        <v>1605</v>
      </c>
      <c r="D4523" s="18"/>
      <c r="E4523" s="19"/>
      <c r="F4523" s="20"/>
      <c r="G4523" s="18"/>
      <c r="H4523" s="19"/>
      <c r="I4523" s="20"/>
      <c r="J4523" s="782">
        <v>318.31400000000002</v>
      </c>
      <c r="K4523" s="22"/>
      <c r="L4523" s="23">
        <v>5</v>
      </c>
      <c r="M4523" s="24"/>
      <c r="N4523" s="783"/>
      <c r="O4523" s="845">
        <f t="shared" si="454"/>
        <v>3168.7200000000003</v>
      </c>
      <c r="P4523" s="23"/>
      <c r="Q4523" s="729"/>
      <c r="R4523" s="445">
        <f t="shared" si="455"/>
        <v>3168.7200000000003</v>
      </c>
      <c r="S4523" s="445" t="s">
        <v>853</v>
      </c>
      <c r="T4523" s="446" t="s">
        <v>308</v>
      </c>
      <c r="U4523" s="2038"/>
      <c r="V4523" s="1418">
        <f t="shared" si="448"/>
        <v>0</v>
      </c>
      <c r="W4523" s="357"/>
      <c r="X4523" s="357"/>
      <c r="Y4523" s="357"/>
      <c r="Z4523" s="358"/>
      <c r="AA4523" s="359"/>
      <c r="AB4523" s="360"/>
    </row>
    <row r="4524" spans="1:28" s="361" customFormat="1" ht="15" hidden="1">
      <c r="A4524" s="354"/>
      <c r="B4524" s="755" t="s">
        <v>2111</v>
      </c>
      <c r="C4524" s="28" t="s">
        <v>1607</v>
      </c>
      <c r="D4524" s="18"/>
      <c r="E4524" s="19"/>
      <c r="F4524" s="20"/>
      <c r="G4524" s="18"/>
      <c r="H4524" s="19"/>
      <c r="I4524" s="20"/>
      <c r="J4524" s="782">
        <v>310.065</v>
      </c>
      <c r="K4524" s="22"/>
      <c r="L4524" s="23">
        <v>5</v>
      </c>
      <c r="M4524" s="24"/>
      <c r="N4524" s="783"/>
      <c r="O4524" s="845">
        <f t="shared" si="454"/>
        <v>3141.895</v>
      </c>
      <c r="P4524" s="23"/>
      <c r="Q4524" s="729"/>
      <c r="R4524" s="445">
        <f t="shared" si="455"/>
        <v>3141.895</v>
      </c>
      <c r="S4524" s="445" t="s">
        <v>853</v>
      </c>
      <c r="T4524" s="446" t="s">
        <v>308</v>
      </c>
      <c r="U4524" s="2038"/>
      <c r="V4524" s="1418">
        <f t="shared" si="448"/>
        <v>0</v>
      </c>
      <c r="W4524" s="357"/>
      <c r="X4524" s="357"/>
      <c r="Y4524" s="357"/>
      <c r="Z4524" s="358"/>
      <c r="AA4524" s="359"/>
      <c r="AB4524" s="360"/>
    </row>
    <row r="4525" spans="1:28" s="361" customFormat="1" ht="15" hidden="1">
      <c r="A4525" s="354"/>
      <c r="B4525" s="755" t="s">
        <v>2112</v>
      </c>
      <c r="C4525" s="28" t="s">
        <v>1609</v>
      </c>
      <c r="D4525" s="18"/>
      <c r="E4525" s="19"/>
      <c r="F4525" s="20"/>
      <c r="G4525" s="18"/>
      <c r="H4525" s="19"/>
      <c r="I4525" s="20"/>
      <c r="J4525" s="782">
        <v>255.983</v>
      </c>
      <c r="K4525" s="22"/>
      <c r="L4525" s="23">
        <v>5</v>
      </c>
      <c r="M4525" s="24"/>
      <c r="N4525" s="783"/>
      <c r="O4525" s="845">
        <f t="shared" si="454"/>
        <v>2830.24</v>
      </c>
      <c r="P4525" s="23"/>
      <c r="Q4525" s="729"/>
      <c r="R4525" s="445">
        <f t="shared" si="455"/>
        <v>2830.24</v>
      </c>
      <c r="S4525" s="445" t="s">
        <v>853</v>
      </c>
      <c r="T4525" s="446" t="s">
        <v>308</v>
      </c>
      <c r="U4525" s="2038"/>
      <c r="V4525" s="1418">
        <f t="shared" si="448"/>
        <v>0</v>
      </c>
      <c r="W4525" s="357"/>
      <c r="X4525" s="357"/>
      <c r="Y4525" s="357"/>
      <c r="Z4525" s="358"/>
      <c r="AA4525" s="359"/>
      <c r="AB4525" s="360"/>
    </row>
    <row r="4526" spans="1:28" s="361" customFormat="1" ht="15" hidden="1">
      <c r="A4526" s="354"/>
      <c r="B4526" s="755" t="s">
        <v>2113</v>
      </c>
      <c r="C4526" s="28" t="s">
        <v>1611</v>
      </c>
      <c r="D4526" s="18"/>
      <c r="E4526" s="19"/>
      <c r="F4526" s="20"/>
      <c r="G4526" s="18"/>
      <c r="H4526" s="19"/>
      <c r="I4526" s="20"/>
      <c r="J4526" s="782">
        <v>187.249</v>
      </c>
      <c r="K4526" s="22"/>
      <c r="L4526" s="23">
        <v>5</v>
      </c>
      <c r="M4526" s="24"/>
      <c r="N4526" s="783"/>
      <c r="O4526" s="845">
        <f t="shared" si="454"/>
        <v>2216.16</v>
      </c>
      <c r="P4526" s="23"/>
      <c r="Q4526" s="729"/>
      <c r="R4526" s="445">
        <f t="shared" si="455"/>
        <v>2216.16</v>
      </c>
      <c r="S4526" s="445" t="s">
        <v>853</v>
      </c>
      <c r="T4526" s="446" t="s">
        <v>308</v>
      </c>
      <c r="U4526" s="2038"/>
      <c r="V4526" s="1418">
        <f t="shared" si="448"/>
        <v>0</v>
      </c>
      <c r="W4526" s="357"/>
      <c r="X4526" s="357"/>
      <c r="Y4526" s="357"/>
      <c r="Z4526" s="358"/>
      <c r="AA4526" s="359"/>
      <c r="AB4526" s="360"/>
    </row>
    <row r="4527" spans="1:28" s="361" customFormat="1" ht="15" hidden="1">
      <c r="A4527" s="354"/>
      <c r="B4527" s="755" t="s">
        <v>2114</v>
      </c>
      <c r="C4527" s="28" t="s">
        <v>1613</v>
      </c>
      <c r="D4527" s="18"/>
      <c r="E4527" s="19"/>
      <c r="F4527" s="20"/>
      <c r="G4527" s="18"/>
      <c r="H4527" s="19"/>
      <c r="I4527" s="20"/>
      <c r="J4527" s="782">
        <v>117.39700000000001</v>
      </c>
      <c r="K4527" s="22"/>
      <c r="L4527" s="23">
        <v>5</v>
      </c>
      <c r="M4527" s="24"/>
      <c r="N4527" s="783"/>
      <c r="O4527" s="845">
        <f t="shared" si="454"/>
        <v>1523.23</v>
      </c>
      <c r="P4527" s="23"/>
      <c r="Q4527" s="729"/>
      <c r="R4527" s="445">
        <f t="shared" si="455"/>
        <v>1523.23</v>
      </c>
      <c r="S4527" s="445" t="s">
        <v>853</v>
      </c>
      <c r="T4527" s="446" t="s">
        <v>308</v>
      </c>
      <c r="U4527" s="2038"/>
      <c r="V4527" s="1418">
        <f t="shared" si="448"/>
        <v>0</v>
      </c>
      <c r="W4527" s="357"/>
      <c r="X4527" s="357"/>
      <c r="Y4527" s="357"/>
      <c r="Z4527" s="358"/>
      <c r="AA4527" s="359"/>
      <c r="AB4527" s="360"/>
    </row>
    <row r="4528" spans="1:28" s="361" customFormat="1" ht="15" hidden="1">
      <c r="A4528" s="354"/>
      <c r="B4528" s="755" t="s">
        <v>2115</v>
      </c>
      <c r="C4528" s="28" t="s">
        <v>1615</v>
      </c>
      <c r="D4528" s="18"/>
      <c r="E4528" s="19"/>
      <c r="F4528" s="20"/>
      <c r="G4528" s="18"/>
      <c r="H4528" s="19"/>
      <c r="I4528" s="20"/>
      <c r="J4528" s="782">
        <v>34.853000000000002</v>
      </c>
      <c r="K4528" s="22"/>
      <c r="L4528" s="23">
        <v>5</v>
      </c>
      <c r="M4528" s="24"/>
      <c r="N4528" s="783"/>
      <c r="O4528" s="845">
        <f t="shared" si="454"/>
        <v>761.25</v>
      </c>
      <c r="P4528" s="23"/>
      <c r="Q4528" s="729"/>
      <c r="R4528" s="445">
        <f t="shared" si="455"/>
        <v>761.25</v>
      </c>
      <c r="S4528" s="445" t="s">
        <v>853</v>
      </c>
      <c r="T4528" s="446" t="s">
        <v>308</v>
      </c>
      <c r="U4528" s="2038"/>
      <c r="V4528" s="1418">
        <f t="shared" si="448"/>
        <v>0</v>
      </c>
      <c r="W4528" s="357"/>
      <c r="X4528" s="357"/>
      <c r="Y4528" s="357"/>
      <c r="Z4528" s="358"/>
      <c r="AA4528" s="359"/>
      <c r="AB4528" s="360"/>
    </row>
    <row r="4529" spans="1:36" s="361" customFormat="1" ht="15" hidden="1">
      <c r="A4529" s="354"/>
      <c r="B4529" s="755" t="s">
        <v>2116</v>
      </c>
      <c r="C4529" s="28" t="s">
        <v>1617</v>
      </c>
      <c r="D4529" s="18"/>
      <c r="E4529" s="19"/>
      <c r="F4529" s="20"/>
      <c r="G4529" s="18"/>
      <c r="H4529" s="19"/>
      <c r="I4529" s="20"/>
      <c r="J4529" s="782">
        <v>53.4</v>
      </c>
      <c r="K4529" s="22"/>
      <c r="L4529" s="783">
        <v>3.8820000000000001</v>
      </c>
      <c r="M4529" s="24"/>
      <c r="N4529" s="783"/>
      <c r="O4529" s="845">
        <f>(J4528+J4529)*L4529</f>
        <v>342.59814599999999</v>
      </c>
      <c r="P4529" s="23"/>
      <c r="Q4529" s="729"/>
      <c r="R4529" s="445">
        <f t="shared" si="455"/>
        <v>342.59814599999999</v>
      </c>
      <c r="S4529" s="445" t="s">
        <v>853</v>
      </c>
      <c r="T4529" s="446" t="s">
        <v>308</v>
      </c>
      <c r="U4529" s="2039"/>
      <c r="V4529" s="1418">
        <f t="shared" si="448"/>
        <v>0</v>
      </c>
      <c r="W4529" s="357"/>
      <c r="X4529" s="357"/>
      <c r="Y4529" s="357"/>
      <c r="Z4529" s="358"/>
      <c r="AA4529" s="359"/>
      <c r="AB4529" s="360"/>
    </row>
    <row r="4530" spans="1:36" s="361" customFormat="1" ht="15" hidden="1" customHeight="1">
      <c r="A4530" s="354"/>
      <c r="B4530" s="831" t="s">
        <v>2117</v>
      </c>
      <c r="C4530" s="836" t="s">
        <v>2118</v>
      </c>
      <c r="D4530" s="891"/>
      <c r="E4530" s="865"/>
      <c r="F4530" s="892"/>
      <c r="G4530" s="891"/>
      <c r="H4530" s="865"/>
      <c r="I4530" s="892"/>
      <c r="J4530" s="867"/>
      <c r="K4530" s="868"/>
      <c r="L4530" s="873"/>
      <c r="M4530" s="870"/>
      <c r="N4530" s="875"/>
      <c r="O4530" s="940"/>
      <c r="P4530" s="869"/>
      <c r="Q4530" s="889"/>
      <c r="R4530" s="871">
        <v>3319.76</v>
      </c>
      <c r="S4530" s="445" t="s">
        <v>853</v>
      </c>
      <c r="T4530" s="446" t="s">
        <v>308</v>
      </c>
      <c r="U4530" s="793" t="s">
        <v>2119</v>
      </c>
      <c r="V4530" s="1418">
        <f t="shared" si="448"/>
        <v>0</v>
      </c>
      <c r="W4530" s="357"/>
      <c r="X4530" s="357"/>
      <c r="Y4530" s="357"/>
      <c r="Z4530" s="358"/>
      <c r="AA4530" s="359"/>
      <c r="AB4530" s="360"/>
    </row>
    <row r="4531" spans="1:36" s="361" customFormat="1" ht="15" hidden="1" customHeight="1">
      <c r="A4531" s="354"/>
      <c r="B4531" s="831" t="s">
        <v>2120</v>
      </c>
      <c r="C4531" s="836" t="s">
        <v>2121</v>
      </c>
      <c r="D4531" s="891"/>
      <c r="E4531" s="865"/>
      <c r="F4531" s="892"/>
      <c r="G4531" s="891"/>
      <c r="H4531" s="865"/>
      <c r="I4531" s="892"/>
      <c r="J4531" s="867"/>
      <c r="K4531" s="868"/>
      <c r="L4531" s="873"/>
      <c r="M4531" s="870"/>
      <c r="N4531" s="875"/>
      <c r="O4531" s="940"/>
      <c r="P4531" s="869"/>
      <c r="Q4531" s="889"/>
      <c r="R4531" s="871">
        <v>4379.2</v>
      </c>
      <c r="S4531" s="445" t="s">
        <v>853</v>
      </c>
      <c r="T4531" s="835" t="s">
        <v>318</v>
      </c>
      <c r="U4531" s="843" t="s">
        <v>2122</v>
      </c>
      <c r="V4531" s="1418">
        <f t="shared" si="448"/>
        <v>0</v>
      </c>
      <c r="W4531" s="357"/>
      <c r="X4531" s="357"/>
      <c r="Y4531" s="357"/>
      <c r="Z4531" s="358"/>
      <c r="AA4531" s="359"/>
      <c r="AB4531" s="360"/>
    </row>
    <row r="4532" spans="1:36" s="361" customFormat="1" ht="15" hidden="1">
      <c r="A4532" s="354"/>
      <c r="B4532" s="831" t="s">
        <v>2120</v>
      </c>
      <c r="C4532" s="836" t="s">
        <v>2123</v>
      </c>
      <c r="D4532" s="891"/>
      <c r="E4532" s="865"/>
      <c r="F4532" s="892"/>
      <c r="G4532" s="891"/>
      <c r="H4532" s="865"/>
      <c r="I4532" s="892"/>
      <c r="J4532" s="867"/>
      <c r="K4532" s="868"/>
      <c r="L4532" s="873"/>
      <c r="M4532" s="870"/>
      <c r="N4532" s="875"/>
      <c r="O4532" s="940"/>
      <c r="P4532" s="869"/>
      <c r="Q4532" s="889"/>
      <c r="R4532" s="871">
        <v>5010.99</v>
      </c>
      <c r="S4532" s="445" t="s">
        <v>853</v>
      </c>
      <c r="T4532" s="835" t="s">
        <v>322</v>
      </c>
      <c r="U4532" s="843" t="s">
        <v>2124</v>
      </c>
      <c r="V4532" s="1418">
        <f t="shared" si="448"/>
        <v>0</v>
      </c>
      <c r="W4532" s="357"/>
      <c r="X4532" s="357"/>
      <c r="Y4532" s="357"/>
      <c r="Z4532" s="358"/>
      <c r="AA4532" s="359"/>
      <c r="AB4532" s="360"/>
    </row>
    <row r="4533" spans="1:36" s="77" customFormat="1" ht="33" hidden="1" customHeight="1">
      <c r="A4533" s="370"/>
      <c r="B4533" s="766" t="s">
        <v>2125</v>
      </c>
      <c r="C4533" s="890" t="s">
        <v>2123</v>
      </c>
      <c r="D4533" s="891"/>
      <c r="E4533" s="865"/>
      <c r="F4533" s="892"/>
      <c r="G4533" s="891"/>
      <c r="H4533" s="865"/>
      <c r="I4533" s="892"/>
      <c r="J4533" s="867"/>
      <c r="K4533" s="868"/>
      <c r="L4533" s="873"/>
      <c r="M4533" s="870"/>
      <c r="N4533" s="875"/>
      <c r="O4533" s="940"/>
      <c r="P4533" s="869"/>
      <c r="Q4533" s="889"/>
      <c r="R4533" s="871">
        <v>1815.27</v>
      </c>
      <c r="S4533" s="445" t="s">
        <v>853</v>
      </c>
      <c r="T4533" s="774" t="s">
        <v>323</v>
      </c>
      <c r="U4533" s="1225" t="s">
        <v>2124</v>
      </c>
      <c r="V4533" s="1418">
        <f t="shared" si="448"/>
        <v>0</v>
      </c>
      <c r="AB4533" s="15"/>
    </row>
    <row r="4534" spans="1:36" s="77" customFormat="1" ht="15.6" hidden="1">
      <c r="A4534" s="370"/>
      <c r="B4534" s="499"/>
      <c r="C4534" s="37"/>
      <c r="D4534" s="1929" t="s">
        <v>1520</v>
      </c>
      <c r="E4534" s="1930"/>
      <c r="F4534" s="1930"/>
      <c r="G4534" s="1930"/>
      <c r="H4534" s="1930"/>
      <c r="I4534" s="1931"/>
      <c r="J4534" s="1932">
        <f>VLOOKUP(A4536,'11 - FINANCEIRA'!_xlnm.Print_Area,6,FALSE)</f>
        <v>45689.9</v>
      </c>
      <c r="K4534" s="1933"/>
      <c r="L4534" s="1343" t="str">
        <f>VLOOKUP(A4536,'11 - FINANCEIRA'!_xlnm.Print_Area,4,FALSE)</f>
        <v>m³</v>
      </c>
      <c r="M4534" s="1934" t="s">
        <v>1521</v>
      </c>
      <c r="N4534" s="1935"/>
      <c r="O4534" s="1935"/>
      <c r="P4534" s="1935"/>
      <c r="Q4534" s="1936"/>
      <c r="R4534" s="726">
        <f>SUM(R4469:R4533)</f>
        <v>45689.900091999989</v>
      </c>
      <c r="S4534" s="1344" t="str">
        <f>L4534</f>
        <v>m³</v>
      </c>
      <c r="T4534" s="373"/>
      <c r="U4534" s="486"/>
      <c r="V4534" s="1418">
        <f t="shared" si="448"/>
        <v>0</v>
      </c>
      <c r="AB4534" s="15"/>
    </row>
    <row r="4535" spans="1:36" s="77" customFormat="1" ht="15.6" hidden="1">
      <c r="A4535" s="370"/>
      <c r="B4535" s="499"/>
      <c r="C4535" s="725"/>
      <c r="D4535" s="1937" t="s">
        <v>1522</v>
      </c>
      <c r="E4535" s="1938"/>
      <c r="F4535" s="1938"/>
      <c r="G4535" s="1938"/>
      <c r="H4535" s="1938"/>
      <c r="I4535" s="1939"/>
      <c r="J4535" s="1943">
        <f>R4534/J4534</f>
        <v>1.0000000020135738</v>
      </c>
      <c r="K4535" s="1944"/>
      <c r="L4535" s="1947"/>
      <c r="M4535" s="1934" t="s">
        <v>1523</v>
      </c>
      <c r="N4535" s="1935"/>
      <c r="O4535" s="1935"/>
      <c r="P4535" s="1935"/>
      <c r="Q4535" s="1936"/>
      <c r="R4535" s="726">
        <f>VLOOKUP(A4536,'11 - FINANCEIRA'!_xlnm.Print_Area,8,FALSE)</f>
        <v>45689.900091999989</v>
      </c>
      <c r="S4535" s="727" t="str">
        <f>L4534</f>
        <v>m³</v>
      </c>
      <c r="T4535" s="373"/>
      <c r="U4535" s="486"/>
      <c r="V4535" s="1418">
        <f t="shared" si="448"/>
        <v>0</v>
      </c>
      <c r="AB4535" s="15"/>
    </row>
    <row r="4536" spans="1:36" s="77" customFormat="1" ht="15.6" hidden="1">
      <c r="A4536" s="364" t="s">
        <v>758</v>
      </c>
      <c r="B4536" s="499"/>
      <c r="C4536" s="37"/>
      <c r="D4536" s="2013"/>
      <c r="E4536" s="2014"/>
      <c r="F4536" s="2014"/>
      <c r="G4536" s="2014"/>
      <c r="H4536" s="2014"/>
      <c r="I4536" s="2015"/>
      <c r="J4536" s="2016"/>
      <c r="K4536" s="2017"/>
      <c r="L4536" s="1962"/>
      <c r="M4536" s="2007" t="s">
        <v>1524</v>
      </c>
      <c r="N4536" s="2008"/>
      <c r="O4536" s="2008"/>
      <c r="P4536" s="2008"/>
      <c r="Q4536" s="2009"/>
      <c r="R4536" s="1345">
        <f>R4534-R4535</f>
        <v>0</v>
      </c>
      <c r="S4536" s="1346" t="str">
        <f>L4534</f>
        <v>m³</v>
      </c>
      <c r="T4536" s="373"/>
      <c r="U4536" s="486"/>
      <c r="V4536" s="1418">
        <f>R4536</f>
        <v>0</v>
      </c>
      <c r="AB4536" s="15"/>
    </row>
    <row r="4537" spans="1:36" s="77" customFormat="1" ht="15.6" hidden="1">
      <c r="A4537" s="370"/>
      <c r="B4537" s="1347"/>
      <c r="C4537" s="1348"/>
      <c r="D4537" s="1349"/>
      <c r="E4537" s="1350"/>
      <c r="F4537" s="1349"/>
      <c r="G4537" s="1349"/>
      <c r="H4537" s="1349"/>
      <c r="I4537" s="1349"/>
      <c r="J4537" s="1351"/>
      <c r="K4537" s="1352"/>
      <c r="L4537" s="1353"/>
      <c r="M4537" s="1354"/>
      <c r="N4537" s="1354"/>
      <c r="O4537" s="1354"/>
      <c r="P4537" s="1354"/>
      <c r="Q4537" s="1354"/>
      <c r="R4537" s="1355"/>
      <c r="S4537" s="1356"/>
      <c r="T4537" s="1357"/>
      <c r="U4537" s="1358"/>
      <c r="V4537" s="1420">
        <f>SUM(V4467:V4536)</f>
        <v>0</v>
      </c>
      <c r="AB4537" s="15"/>
    </row>
    <row r="4538" spans="1:36" s="352" customFormat="1" ht="15.6" hidden="1">
      <c r="A4538" s="351"/>
      <c r="B4538" s="1963" t="str">
        <f>VLOOKUP(A4555,'11 - FINANCEIRA'!_xlnm.Print_Area,1,FALSE)</f>
        <v>4.1.3</v>
      </c>
      <c r="C4538" s="1965" t="str">
        <f>VLOOKUP(A4555,'11 - FINANCEIRA'!_xlnm.Print_Area,3,FALSE)</f>
        <v>Grupo gerador de 81 a 125 KVA</v>
      </c>
      <c r="D4538" s="1967" t="s">
        <v>205</v>
      </c>
      <c r="E4538" s="1968"/>
      <c r="F4538" s="1968"/>
      <c r="G4538" s="1968"/>
      <c r="H4538" s="1968"/>
      <c r="I4538" s="1969"/>
      <c r="J4538" s="1914" t="s">
        <v>2126</v>
      </c>
      <c r="K4538" s="1914" t="s">
        <v>1505</v>
      </c>
      <c r="L4538" s="1914" t="s">
        <v>1506</v>
      </c>
      <c r="M4538" s="1914" t="s">
        <v>1507</v>
      </c>
      <c r="N4538" s="1914" t="s">
        <v>1508</v>
      </c>
      <c r="O4538" s="1914" t="s">
        <v>1509</v>
      </c>
      <c r="P4538" s="1341" t="s">
        <v>1510</v>
      </c>
      <c r="Q4538" s="1914" t="s">
        <v>1493</v>
      </c>
      <c r="R4538" s="1916" t="s">
        <v>804</v>
      </c>
      <c r="S4538" s="1914" t="s">
        <v>1511</v>
      </c>
      <c r="T4538" s="1914" t="s">
        <v>1512</v>
      </c>
      <c r="U4538" s="1918" t="s">
        <v>1513</v>
      </c>
      <c r="V4538" s="1418">
        <f t="shared" ref="V4538:V4554" si="456">V4539</f>
        <v>0</v>
      </c>
      <c r="W4538" s="16"/>
      <c r="X4538" s="16"/>
      <c r="Y4538" s="16"/>
      <c r="Z4538" s="17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</row>
    <row r="4539" spans="1:36" s="352" customFormat="1" ht="15.6" hidden="1">
      <c r="A4539" s="351"/>
      <c r="B4539" s="1964" t="e">
        <f>LEFT(#REF!,5)</f>
        <v>#REF!</v>
      </c>
      <c r="C4539" s="1966" t="e">
        <f>VLOOKUP(LEFT(#REF!,5),'11 - FINANCEIRA'!_xlnm.Print_Area,2,FALSE)</f>
        <v>#REF!</v>
      </c>
      <c r="D4539" s="1920" t="s">
        <v>1514</v>
      </c>
      <c r="E4539" s="1921"/>
      <c r="F4539" s="1922"/>
      <c r="G4539" s="1923" t="s">
        <v>1515</v>
      </c>
      <c r="H4539" s="1924"/>
      <c r="I4539" s="1925"/>
      <c r="J4539" s="1915"/>
      <c r="K4539" s="1915"/>
      <c r="L4539" s="1915"/>
      <c r="M4539" s="1915"/>
      <c r="N4539" s="1915"/>
      <c r="O4539" s="1915"/>
      <c r="P4539" s="353" t="s">
        <v>1516</v>
      </c>
      <c r="Q4539" s="1915"/>
      <c r="R4539" s="1917"/>
      <c r="S4539" s="1915"/>
      <c r="T4539" s="1915"/>
      <c r="U4539" s="1919"/>
      <c r="V4539" s="1418">
        <f t="shared" si="456"/>
        <v>0</v>
      </c>
      <c r="W4539" s="16"/>
      <c r="X4539" s="16"/>
      <c r="Y4539" s="16"/>
      <c r="Z4539" s="17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</row>
    <row r="4540" spans="1:36" s="361" customFormat="1" ht="15" hidden="1">
      <c r="A4540" s="354"/>
      <c r="B4540" s="755"/>
      <c r="C4540" s="28" t="s">
        <v>2127</v>
      </c>
      <c r="D4540" s="2068">
        <v>44385</v>
      </c>
      <c r="E4540" s="2069"/>
      <c r="F4540" s="2070"/>
      <c r="G4540" s="2068">
        <v>44712</v>
      </c>
      <c r="H4540" s="2069"/>
      <c r="I4540" s="2070"/>
      <c r="J4540" s="907">
        <f>DATEDIF(D4540,G4540,"ym")</f>
        <v>10</v>
      </c>
      <c r="K4540" s="22"/>
      <c r="L4540" s="23"/>
      <c r="M4540" s="24"/>
      <c r="N4540" s="728"/>
      <c r="O4540" s="25"/>
      <c r="P4540" s="23"/>
      <c r="Q4540" s="729"/>
      <c r="R4540" s="1109">
        <f>J4540</f>
        <v>10</v>
      </c>
      <c r="S4540" s="730" t="s">
        <v>862</v>
      </c>
      <c r="T4540" s="446" t="s">
        <v>56</v>
      </c>
      <c r="U4540" s="44"/>
      <c r="V4540" s="1418">
        <f t="shared" si="456"/>
        <v>0</v>
      </c>
      <c r="W4540" s="357"/>
      <c r="X4540" s="357"/>
      <c r="Y4540" s="357"/>
      <c r="Z4540" s="358"/>
      <c r="AA4540" s="359"/>
      <c r="AB4540" s="360"/>
    </row>
    <row r="4541" spans="1:36" s="361" customFormat="1" ht="15" hidden="1">
      <c r="A4541" s="354"/>
      <c r="B4541" s="755"/>
      <c r="C4541" s="28" t="s">
        <v>2127</v>
      </c>
      <c r="D4541" s="1949">
        <v>44348</v>
      </c>
      <c r="E4541" s="1950"/>
      <c r="F4541" s="1951"/>
      <c r="G4541" s="1949">
        <v>44742</v>
      </c>
      <c r="H4541" s="1950"/>
      <c r="I4541" s="1951"/>
      <c r="J4541" s="907">
        <v>1</v>
      </c>
      <c r="K4541" s="22"/>
      <c r="L4541" s="23"/>
      <c r="M4541" s="24"/>
      <c r="N4541" s="728"/>
      <c r="O4541" s="25"/>
      <c r="P4541" s="23"/>
      <c r="Q4541" s="729"/>
      <c r="R4541" s="445">
        <v>1</v>
      </c>
      <c r="S4541" s="792" t="s">
        <v>862</v>
      </c>
      <c r="T4541" s="446" t="s">
        <v>306</v>
      </c>
      <c r="U4541" s="44"/>
      <c r="V4541" s="1418">
        <f t="shared" si="456"/>
        <v>0</v>
      </c>
      <c r="W4541" s="357"/>
      <c r="X4541" s="357"/>
      <c r="Y4541" s="357"/>
      <c r="Z4541" s="358"/>
      <c r="AA4541" s="359"/>
      <c r="AB4541" s="360"/>
    </row>
    <row r="4542" spans="1:36" s="369" customFormat="1" ht="15" hidden="1">
      <c r="A4542" s="364"/>
      <c r="B4542" s="755"/>
      <c r="C4542" s="28" t="s">
        <v>2127</v>
      </c>
      <c r="D4542" s="1949">
        <v>44378</v>
      </c>
      <c r="E4542" s="1950"/>
      <c r="F4542" s="1951"/>
      <c r="G4542" s="1949">
        <v>44772</v>
      </c>
      <c r="H4542" s="1950"/>
      <c r="I4542" s="1951"/>
      <c r="J4542" s="907">
        <v>1</v>
      </c>
      <c r="K4542" s="22"/>
      <c r="L4542" s="23"/>
      <c r="M4542" s="24"/>
      <c r="N4542" s="728"/>
      <c r="O4542" s="25"/>
      <c r="P4542" s="23"/>
      <c r="Q4542" s="729"/>
      <c r="R4542" s="445">
        <v>1</v>
      </c>
      <c r="S4542" s="792" t="s">
        <v>862</v>
      </c>
      <c r="T4542" s="446" t="s">
        <v>307</v>
      </c>
      <c r="U4542" s="44"/>
      <c r="V4542" s="1418">
        <f t="shared" si="456"/>
        <v>0</v>
      </c>
      <c r="W4542" s="367"/>
      <c r="X4542" s="367"/>
      <c r="Y4542" s="367"/>
      <c r="Z4542" s="368"/>
    </row>
    <row r="4543" spans="1:36" s="369" customFormat="1" ht="15" hidden="1">
      <c r="A4543" s="364"/>
      <c r="B4543" s="755"/>
      <c r="C4543" s="28" t="s">
        <v>2127</v>
      </c>
      <c r="D4543" s="1949">
        <v>44409</v>
      </c>
      <c r="E4543" s="1950"/>
      <c r="F4543" s="1951"/>
      <c r="G4543" s="1949">
        <v>44926</v>
      </c>
      <c r="H4543" s="1950"/>
      <c r="I4543" s="1951"/>
      <c r="J4543" s="907">
        <v>5</v>
      </c>
      <c r="K4543" s="22"/>
      <c r="L4543" s="23"/>
      <c r="M4543" s="24"/>
      <c r="N4543" s="728"/>
      <c r="O4543" s="25"/>
      <c r="P4543" s="23"/>
      <c r="Q4543" s="729"/>
      <c r="R4543" s="445">
        <v>5</v>
      </c>
      <c r="S4543" s="792" t="s">
        <v>862</v>
      </c>
      <c r="T4543" s="446" t="s">
        <v>312</v>
      </c>
      <c r="U4543" s="742"/>
      <c r="V4543" s="1418">
        <f t="shared" si="456"/>
        <v>0</v>
      </c>
      <c r="W4543" s="367"/>
      <c r="X4543" s="367"/>
      <c r="Y4543" s="367"/>
      <c r="Z4543" s="368"/>
    </row>
    <row r="4544" spans="1:36" s="369" customFormat="1" ht="15" hidden="1">
      <c r="A4544" s="364"/>
      <c r="B4544" s="831"/>
      <c r="C4544" s="28" t="s">
        <v>2127</v>
      </c>
      <c r="D4544" s="1949">
        <v>44927</v>
      </c>
      <c r="E4544" s="1950"/>
      <c r="F4544" s="1951"/>
      <c r="G4544" s="1949">
        <v>44957</v>
      </c>
      <c r="H4544" s="1950"/>
      <c r="I4544" s="1951"/>
      <c r="J4544" s="907">
        <v>1</v>
      </c>
      <c r="K4544" s="22"/>
      <c r="L4544" s="23"/>
      <c r="M4544" s="24"/>
      <c r="N4544" s="728"/>
      <c r="O4544" s="25"/>
      <c r="P4544" s="23"/>
      <c r="Q4544" s="729"/>
      <c r="R4544" s="445">
        <v>1</v>
      </c>
      <c r="S4544" s="792" t="s">
        <v>862</v>
      </c>
      <c r="T4544" s="446" t="s">
        <v>313</v>
      </c>
      <c r="U4544" s="742"/>
      <c r="V4544" s="1418">
        <f t="shared" si="456"/>
        <v>0</v>
      </c>
      <c r="W4544" s="367"/>
      <c r="X4544" s="367"/>
      <c r="Y4544" s="367"/>
      <c r="Z4544" s="368"/>
    </row>
    <row r="4545" spans="1:36" s="369" customFormat="1" ht="15" hidden="1">
      <c r="A4545" s="364"/>
      <c r="B4545" s="831"/>
      <c r="C4545" s="28" t="s">
        <v>2127</v>
      </c>
      <c r="D4545" s="1949">
        <v>44958</v>
      </c>
      <c r="E4545" s="1950"/>
      <c r="F4545" s="1951"/>
      <c r="G4545" s="1949">
        <v>44985</v>
      </c>
      <c r="H4545" s="1950"/>
      <c r="I4545" s="1951"/>
      <c r="J4545" s="907">
        <v>1</v>
      </c>
      <c r="K4545" s="22"/>
      <c r="L4545" s="23"/>
      <c r="M4545" s="24"/>
      <c r="N4545" s="728"/>
      <c r="O4545" s="25"/>
      <c r="P4545" s="23"/>
      <c r="Q4545" s="729"/>
      <c r="R4545" s="445">
        <v>1</v>
      </c>
      <c r="S4545" s="792" t="s">
        <v>862</v>
      </c>
      <c r="T4545" s="446" t="s">
        <v>314</v>
      </c>
      <c r="U4545" s="742"/>
      <c r="V4545" s="1418">
        <f t="shared" si="456"/>
        <v>0</v>
      </c>
      <c r="W4545" s="367"/>
      <c r="X4545" s="367"/>
      <c r="Y4545" s="367"/>
      <c r="Z4545" s="368"/>
    </row>
    <row r="4546" spans="1:36" s="77" customFormat="1" ht="15" hidden="1">
      <c r="A4546" s="370"/>
      <c r="B4546" s="831"/>
      <c r="C4546" s="28" t="s">
        <v>2127</v>
      </c>
      <c r="D4546" s="1949">
        <v>44986</v>
      </c>
      <c r="E4546" s="1950"/>
      <c r="F4546" s="1951"/>
      <c r="G4546" s="1949">
        <v>45016</v>
      </c>
      <c r="H4546" s="1950"/>
      <c r="I4546" s="1951"/>
      <c r="J4546" s="907">
        <v>1</v>
      </c>
      <c r="K4546" s="22"/>
      <c r="L4546" s="23"/>
      <c r="M4546" s="24"/>
      <c r="N4546" s="728"/>
      <c r="O4546" s="25"/>
      <c r="P4546" s="23"/>
      <c r="Q4546" s="729"/>
      <c r="R4546" s="445">
        <v>1</v>
      </c>
      <c r="S4546" s="792" t="s">
        <v>862</v>
      </c>
      <c r="T4546" s="446" t="s">
        <v>315</v>
      </c>
      <c r="U4546" s="742"/>
      <c r="V4546" s="1418">
        <f t="shared" si="456"/>
        <v>0</v>
      </c>
      <c r="AB4546" s="15"/>
    </row>
    <row r="4547" spans="1:36" s="77" customFormat="1" ht="15" hidden="1" customHeight="1">
      <c r="A4547" s="370"/>
      <c r="B4547" s="831"/>
      <c r="C4547" s="28" t="s">
        <v>2127</v>
      </c>
      <c r="D4547" s="1949">
        <v>45017</v>
      </c>
      <c r="E4547" s="1950"/>
      <c r="F4547" s="1951"/>
      <c r="G4547" s="1949" t="s">
        <v>2128</v>
      </c>
      <c r="H4547" s="1950"/>
      <c r="I4547" s="1951"/>
      <c r="J4547" s="907">
        <v>1</v>
      </c>
      <c r="K4547" s="22"/>
      <c r="L4547" s="23"/>
      <c r="M4547" s="24"/>
      <c r="N4547" s="728"/>
      <c r="O4547" s="25"/>
      <c r="P4547" s="23"/>
      <c r="Q4547" s="729"/>
      <c r="R4547" s="445">
        <v>1</v>
      </c>
      <c r="S4547" s="792" t="s">
        <v>862</v>
      </c>
      <c r="T4547" s="446" t="s">
        <v>316</v>
      </c>
      <c r="U4547" s="742"/>
      <c r="V4547" s="1418">
        <f t="shared" si="456"/>
        <v>0</v>
      </c>
      <c r="AB4547" s="15"/>
    </row>
    <row r="4548" spans="1:36" s="77" customFormat="1" ht="15" hidden="1" customHeight="1">
      <c r="A4548" s="370"/>
      <c r="B4548" s="831"/>
      <c r="C4548" s="1107" t="s">
        <v>2127</v>
      </c>
      <c r="D4548" s="2004">
        <v>45047</v>
      </c>
      <c r="E4548" s="2005"/>
      <c r="F4548" s="2005"/>
      <c r="G4548" s="2004">
        <v>45077</v>
      </c>
      <c r="H4548" s="2005"/>
      <c r="I4548" s="2006"/>
      <c r="J4548" s="957">
        <v>1</v>
      </c>
      <c r="K4548" s="837"/>
      <c r="L4548" s="833"/>
      <c r="M4548" s="840"/>
      <c r="N4548" s="841"/>
      <c r="O4548" s="841"/>
      <c r="P4548" s="837"/>
      <c r="Q4548" s="834"/>
      <c r="R4548" s="834">
        <v>1</v>
      </c>
      <c r="S4548" s="1111" t="s">
        <v>862</v>
      </c>
      <c r="T4548" s="1099" t="s">
        <v>317</v>
      </c>
      <c r="U4548" s="795"/>
      <c r="V4548" s="1418">
        <f t="shared" si="456"/>
        <v>0</v>
      </c>
      <c r="AB4548" s="15"/>
    </row>
    <row r="4549" spans="1:36" s="77" customFormat="1" ht="15" hidden="1">
      <c r="A4549" s="370"/>
      <c r="B4549" s="831"/>
      <c r="C4549" s="1107" t="s">
        <v>2127</v>
      </c>
      <c r="D4549" s="2004">
        <v>45078</v>
      </c>
      <c r="E4549" s="2005"/>
      <c r="F4549" s="2005"/>
      <c r="G4549" s="2004">
        <v>45148</v>
      </c>
      <c r="H4549" s="2005"/>
      <c r="I4549" s="2006"/>
      <c r="J4549" s="957">
        <v>2</v>
      </c>
      <c r="K4549" s="837"/>
      <c r="L4549" s="833"/>
      <c r="M4549" s="840"/>
      <c r="N4549" s="841"/>
      <c r="O4549" s="841"/>
      <c r="P4549" s="837"/>
      <c r="Q4549" s="834"/>
      <c r="R4549" s="834">
        <v>2</v>
      </c>
      <c r="S4549" s="1111" t="s">
        <v>862</v>
      </c>
      <c r="T4549" s="1099" t="s">
        <v>318</v>
      </c>
      <c r="U4549" s="795" t="s">
        <v>2129</v>
      </c>
      <c r="V4549" s="1418">
        <f t="shared" si="456"/>
        <v>0</v>
      </c>
      <c r="AB4549" s="15"/>
    </row>
    <row r="4550" spans="1:36" s="77" customFormat="1" ht="15" hidden="1">
      <c r="A4550" s="370"/>
      <c r="B4550" s="831"/>
      <c r="C4550" s="1107" t="s">
        <v>2127</v>
      </c>
      <c r="D4550" s="1949">
        <v>45148</v>
      </c>
      <c r="E4550" s="1950"/>
      <c r="F4550" s="1951"/>
      <c r="G4550" s="1949">
        <v>45382</v>
      </c>
      <c r="H4550" s="1950"/>
      <c r="I4550" s="1951"/>
      <c r="J4550" s="957">
        <v>8</v>
      </c>
      <c r="K4550" s="837"/>
      <c r="L4550" s="833"/>
      <c r="M4550" s="840"/>
      <c r="N4550" s="841"/>
      <c r="O4550" s="841"/>
      <c r="P4550" s="837"/>
      <c r="Q4550" s="834"/>
      <c r="R4550" s="834">
        <v>8</v>
      </c>
      <c r="S4550" s="1111" t="s">
        <v>862</v>
      </c>
      <c r="T4550" s="1099" t="s">
        <v>326</v>
      </c>
      <c r="U4550" s="795"/>
      <c r="V4550" s="1418">
        <f t="shared" si="456"/>
        <v>0</v>
      </c>
      <c r="AB4550" s="15"/>
    </row>
    <row r="4551" spans="1:36" s="77" customFormat="1" ht="15" hidden="1">
      <c r="A4551" s="370"/>
      <c r="B4551" s="831"/>
      <c r="C4551" s="1107" t="s">
        <v>2127</v>
      </c>
      <c r="D4551" s="1949">
        <v>45017</v>
      </c>
      <c r="E4551" s="1950"/>
      <c r="F4551" s="1951"/>
      <c r="G4551" s="1949">
        <v>45412</v>
      </c>
      <c r="H4551" s="1950"/>
      <c r="I4551" s="1951"/>
      <c r="J4551" s="957">
        <v>1</v>
      </c>
      <c r="K4551" s="837"/>
      <c r="L4551" s="833"/>
      <c r="M4551" s="840"/>
      <c r="N4551" s="841"/>
      <c r="O4551" s="841"/>
      <c r="P4551" s="837"/>
      <c r="Q4551" s="834"/>
      <c r="R4551" s="834">
        <v>1</v>
      </c>
      <c r="S4551" s="1111" t="s">
        <v>862</v>
      </c>
      <c r="T4551" s="1099" t="s">
        <v>327</v>
      </c>
      <c r="U4551" s="795"/>
      <c r="V4551" s="1418">
        <f t="shared" si="456"/>
        <v>0</v>
      </c>
      <c r="AB4551" s="15"/>
    </row>
    <row r="4552" spans="1:36" s="77" customFormat="1" ht="15" hidden="1">
      <c r="A4552" s="370"/>
      <c r="B4552" s="455"/>
      <c r="C4552" s="1166" t="s">
        <v>2127</v>
      </c>
      <c r="D4552" s="2118">
        <v>45047</v>
      </c>
      <c r="E4552" s="2119"/>
      <c r="F4552" s="2119"/>
      <c r="G4552" s="2118">
        <v>45443</v>
      </c>
      <c r="H4552" s="2119"/>
      <c r="I4552" s="2120"/>
      <c r="J4552" s="1201">
        <v>1</v>
      </c>
      <c r="K4552" s="1145"/>
      <c r="L4552" s="1146"/>
      <c r="M4552" s="1202"/>
      <c r="N4552" s="1203"/>
      <c r="O4552" s="1203"/>
      <c r="P4552" s="1145"/>
      <c r="Q4552" s="1204"/>
      <c r="R4552" s="1204">
        <v>1</v>
      </c>
      <c r="S4552" s="1205" t="s">
        <v>862</v>
      </c>
      <c r="T4552" s="1206" t="s">
        <v>328</v>
      </c>
      <c r="U4552" s="1094"/>
      <c r="V4552" s="1418">
        <f>V4553</f>
        <v>0</v>
      </c>
      <c r="AB4552" s="15"/>
    </row>
    <row r="4553" spans="1:36" s="77" customFormat="1" ht="15.6" hidden="1">
      <c r="A4553" s="370"/>
      <c r="B4553" s="499"/>
      <c r="C4553" s="37"/>
      <c r="D4553" s="1929" t="s">
        <v>1520</v>
      </c>
      <c r="E4553" s="1930"/>
      <c r="F4553" s="1930"/>
      <c r="G4553" s="1930"/>
      <c r="H4553" s="1930"/>
      <c r="I4553" s="1931"/>
      <c r="J4553" s="1932">
        <f>VLOOKUP(A4555,'11 - FINANCEIRA'!_xlnm.Print_Area,6,FALSE)</f>
        <v>34</v>
      </c>
      <c r="K4553" s="1933"/>
      <c r="L4553" s="1343" t="str">
        <f>VLOOKUP(A4555,'11 - FINANCEIRA'!_xlnm.Print_Area,4,FALSE)</f>
        <v>mês</v>
      </c>
      <c r="M4553" s="1934" t="s">
        <v>1521</v>
      </c>
      <c r="N4553" s="1935"/>
      <c r="O4553" s="1935"/>
      <c r="P4553" s="1935"/>
      <c r="Q4553" s="1936"/>
      <c r="R4553" s="726">
        <f>SUM(R4540:R4552)</f>
        <v>34</v>
      </c>
      <c r="S4553" s="1344" t="str">
        <f>L4553</f>
        <v>mês</v>
      </c>
      <c r="T4553" s="373"/>
      <c r="U4553" s="486"/>
      <c r="V4553" s="1418">
        <f t="shared" si="456"/>
        <v>0</v>
      </c>
      <c r="AB4553" s="15"/>
    </row>
    <row r="4554" spans="1:36" s="77" customFormat="1" ht="15.6" hidden="1">
      <c r="A4554" s="370"/>
      <c r="B4554" s="499"/>
      <c r="C4554" s="725"/>
      <c r="D4554" s="1937" t="s">
        <v>1522</v>
      </c>
      <c r="E4554" s="1938"/>
      <c r="F4554" s="1938"/>
      <c r="G4554" s="1938"/>
      <c r="H4554" s="1938"/>
      <c r="I4554" s="1939"/>
      <c r="J4554" s="1943">
        <f>R4553/J4553</f>
        <v>1</v>
      </c>
      <c r="K4554" s="1944"/>
      <c r="L4554" s="1947"/>
      <c r="M4554" s="1934" t="s">
        <v>1523</v>
      </c>
      <c r="N4554" s="1935"/>
      <c r="O4554" s="1935"/>
      <c r="P4554" s="1935"/>
      <c r="Q4554" s="1936"/>
      <c r="R4554" s="726">
        <f>VLOOKUP(A4555,'11 - FINANCEIRA'!_xlnm.Print_Area,8,FALSE)</f>
        <v>34</v>
      </c>
      <c r="S4554" s="727" t="str">
        <f>L4553</f>
        <v>mês</v>
      </c>
      <c r="T4554" s="373"/>
      <c r="U4554" s="486"/>
      <c r="V4554" s="1418">
        <f t="shared" si="456"/>
        <v>0</v>
      </c>
      <c r="AB4554" s="15"/>
    </row>
    <row r="4555" spans="1:36" s="77" customFormat="1" ht="15.6" hidden="1">
      <c r="A4555" s="364" t="s">
        <v>759</v>
      </c>
      <c r="B4555" s="499"/>
      <c r="C4555" s="37"/>
      <c r="D4555" s="2013"/>
      <c r="E4555" s="2014"/>
      <c r="F4555" s="2014"/>
      <c r="G4555" s="2014"/>
      <c r="H4555" s="2014"/>
      <c r="I4555" s="2015"/>
      <c r="J4555" s="2016"/>
      <c r="K4555" s="2017"/>
      <c r="L4555" s="1962"/>
      <c r="M4555" s="2007" t="s">
        <v>1524</v>
      </c>
      <c r="N4555" s="2008"/>
      <c r="O4555" s="2008"/>
      <c r="P4555" s="2008"/>
      <c r="Q4555" s="2009"/>
      <c r="R4555" s="1345">
        <f>R4553-R4554</f>
        <v>0</v>
      </c>
      <c r="S4555" s="1346" t="str">
        <f>L4553</f>
        <v>mês</v>
      </c>
      <c r="T4555" s="373"/>
      <c r="U4555" s="486"/>
      <c r="V4555" s="1418">
        <f>R4555</f>
        <v>0</v>
      </c>
      <c r="AB4555" s="15"/>
    </row>
    <row r="4556" spans="1:36" s="77" customFormat="1" ht="15.6" hidden="1">
      <c r="A4556" s="370"/>
      <c r="B4556" s="1347"/>
      <c r="C4556" s="1348"/>
      <c r="D4556" s="1349"/>
      <c r="E4556" s="1350"/>
      <c r="F4556" s="1349"/>
      <c r="G4556" s="1349"/>
      <c r="H4556" s="1349"/>
      <c r="I4556" s="1349"/>
      <c r="J4556" s="1351"/>
      <c r="K4556" s="1352"/>
      <c r="L4556" s="1353"/>
      <c r="M4556" s="1354"/>
      <c r="N4556" s="1354"/>
      <c r="O4556" s="1354"/>
      <c r="P4556" s="1354"/>
      <c r="Q4556" s="1354"/>
      <c r="R4556" s="1355"/>
      <c r="S4556" s="1356"/>
      <c r="T4556" s="1357"/>
      <c r="U4556" s="1358"/>
      <c r="V4556" s="1420">
        <f>SUM(V4538:V4555)</f>
        <v>0</v>
      </c>
      <c r="AB4556" s="15"/>
    </row>
    <row r="4557" spans="1:36" s="352" customFormat="1" ht="15.6" hidden="1">
      <c r="A4557" s="351"/>
      <c r="B4557" s="1963" t="str">
        <f>VLOOKUP(A4565,'11 - FINANCEIRA'!_xlnm.Print_Area,1,FALSE)</f>
        <v>4.1.4</v>
      </c>
      <c r="C4557" s="1965" t="str">
        <f>VLOOKUP(A4565,'11 - FINANCEIRA'!_xlnm.Print_Area,3,FALSE)</f>
        <v>Grupo gerador de 21 a 80 KVA</v>
      </c>
      <c r="D4557" s="1967" t="s">
        <v>205</v>
      </c>
      <c r="E4557" s="1968"/>
      <c r="F4557" s="1968"/>
      <c r="G4557" s="1968"/>
      <c r="H4557" s="1968"/>
      <c r="I4557" s="1969"/>
      <c r="J4557" s="1914" t="s">
        <v>2126</v>
      </c>
      <c r="K4557" s="1914" t="s">
        <v>1505</v>
      </c>
      <c r="L4557" s="1914" t="s">
        <v>1506</v>
      </c>
      <c r="M4557" s="1914" t="s">
        <v>1507</v>
      </c>
      <c r="N4557" s="1914" t="s">
        <v>1508</v>
      </c>
      <c r="O4557" s="1914" t="s">
        <v>1509</v>
      </c>
      <c r="P4557" s="1341" t="s">
        <v>1510</v>
      </c>
      <c r="Q4557" s="1914" t="s">
        <v>1493</v>
      </c>
      <c r="R4557" s="1916" t="s">
        <v>804</v>
      </c>
      <c r="S4557" s="1914" t="s">
        <v>1511</v>
      </c>
      <c r="T4557" s="1914" t="s">
        <v>1512</v>
      </c>
      <c r="U4557" s="1918" t="s">
        <v>1513</v>
      </c>
      <c r="V4557" s="1418">
        <f t="shared" ref="V4557:V4564" si="457">V4558</f>
        <v>0</v>
      </c>
      <c r="W4557" s="16"/>
      <c r="X4557" s="16"/>
      <c r="Y4557" s="16"/>
      <c r="Z4557" s="17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</row>
    <row r="4558" spans="1:36" s="352" customFormat="1" ht="15.6" hidden="1">
      <c r="A4558" s="351"/>
      <c r="B4558" s="1964" t="e">
        <f>LEFT(#REF!,5)</f>
        <v>#REF!</v>
      </c>
      <c r="C4558" s="1966" t="e">
        <f>VLOOKUP(LEFT(#REF!,5),'11 - FINANCEIRA'!_xlnm.Print_Area,2,FALSE)</f>
        <v>#REF!</v>
      </c>
      <c r="D4558" s="1920" t="s">
        <v>1514</v>
      </c>
      <c r="E4558" s="1921"/>
      <c r="F4558" s="1922"/>
      <c r="G4558" s="1923" t="s">
        <v>1515</v>
      </c>
      <c r="H4558" s="1924"/>
      <c r="I4558" s="1925"/>
      <c r="J4558" s="1915"/>
      <c r="K4558" s="1915"/>
      <c r="L4558" s="1915"/>
      <c r="M4558" s="1915"/>
      <c r="N4558" s="1915"/>
      <c r="O4558" s="1915"/>
      <c r="P4558" s="353" t="s">
        <v>1516</v>
      </c>
      <c r="Q4558" s="1915"/>
      <c r="R4558" s="1917"/>
      <c r="S4558" s="1915"/>
      <c r="T4558" s="1915"/>
      <c r="U4558" s="1919"/>
      <c r="V4558" s="1418">
        <f t="shared" si="457"/>
        <v>0</v>
      </c>
      <c r="W4558" s="16"/>
      <c r="X4558" s="16"/>
      <c r="Y4558" s="16"/>
      <c r="Z4558" s="17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</row>
    <row r="4559" spans="1:36" s="361" customFormat="1" ht="15" hidden="1">
      <c r="A4559" s="354"/>
      <c r="B4559" s="755" t="s">
        <v>2130</v>
      </c>
      <c r="C4559" s="28" t="s">
        <v>2131</v>
      </c>
      <c r="D4559" s="2068">
        <v>44462</v>
      </c>
      <c r="E4559" s="2069"/>
      <c r="F4559" s="2070"/>
      <c r="G4559" s="2068">
        <v>44712</v>
      </c>
      <c r="H4559" s="2069"/>
      <c r="I4559" s="2070"/>
      <c r="J4559" s="21">
        <f>DATEDIF(D4559,G4559,"ym")</f>
        <v>8</v>
      </c>
      <c r="K4559" s="22"/>
      <c r="L4559" s="23"/>
      <c r="M4559" s="24"/>
      <c r="N4559" s="728"/>
      <c r="O4559" s="25"/>
      <c r="P4559" s="23"/>
      <c r="Q4559" s="729"/>
      <c r="R4559" s="1109">
        <f>J4559</f>
        <v>8</v>
      </c>
      <c r="S4559" s="730" t="s">
        <v>862</v>
      </c>
      <c r="T4559" s="446" t="s">
        <v>56</v>
      </c>
      <c r="U4559" s="44"/>
      <c r="V4559" s="1418">
        <f t="shared" si="457"/>
        <v>0</v>
      </c>
      <c r="W4559" s="357"/>
      <c r="X4559" s="357"/>
      <c r="Y4559" s="357"/>
      <c r="Z4559" s="358"/>
      <c r="AA4559" s="359"/>
      <c r="AB4559" s="360"/>
    </row>
    <row r="4560" spans="1:36" s="361" customFormat="1" ht="15" hidden="1">
      <c r="A4560" s="354"/>
      <c r="B4560" s="755" t="s">
        <v>2132</v>
      </c>
      <c r="C4560" s="28" t="s">
        <v>2131</v>
      </c>
      <c r="D4560" s="1949">
        <v>44348</v>
      </c>
      <c r="E4560" s="1950"/>
      <c r="F4560" s="1951"/>
      <c r="G4560" s="1949">
        <v>44797</v>
      </c>
      <c r="H4560" s="1950"/>
      <c r="I4560" s="1951"/>
      <c r="J4560" s="21">
        <v>3</v>
      </c>
      <c r="K4560" s="22"/>
      <c r="L4560" s="23"/>
      <c r="M4560" s="24"/>
      <c r="N4560" s="728"/>
      <c r="O4560" s="25"/>
      <c r="P4560" s="23"/>
      <c r="Q4560" s="729"/>
      <c r="R4560" s="445">
        <f>J4560</f>
        <v>3</v>
      </c>
      <c r="S4560" s="792" t="s">
        <v>862</v>
      </c>
      <c r="T4560" s="446" t="s">
        <v>312</v>
      </c>
      <c r="U4560" s="44"/>
      <c r="V4560" s="1418">
        <f t="shared" si="457"/>
        <v>0</v>
      </c>
      <c r="W4560" s="357"/>
      <c r="X4560" s="357"/>
      <c r="Y4560" s="357"/>
      <c r="Z4560" s="358"/>
      <c r="AA4560" s="359"/>
      <c r="AB4560" s="360"/>
    </row>
    <row r="4561" spans="1:36" s="369" customFormat="1" ht="15" hidden="1">
      <c r="A4561" s="364"/>
      <c r="B4561" s="355"/>
      <c r="C4561" s="32"/>
      <c r="D4561" s="1949"/>
      <c r="E4561" s="1950"/>
      <c r="F4561" s="1951"/>
      <c r="G4561" s="1949"/>
      <c r="H4561" s="1950"/>
      <c r="I4561" s="1951"/>
      <c r="J4561" s="43"/>
      <c r="K4561" s="42"/>
      <c r="L4561" s="39"/>
      <c r="M4561" s="41"/>
      <c r="N4561" s="40"/>
      <c r="O4561" s="40"/>
      <c r="P4561" s="39"/>
      <c r="Q4561" s="38"/>
      <c r="R4561" s="365"/>
      <c r="S4561" s="366"/>
      <c r="T4561" s="46"/>
      <c r="U4561" s="44"/>
      <c r="V4561" s="1418">
        <f t="shared" si="457"/>
        <v>0</v>
      </c>
      <c r="W4561" s="367"/>
      <c r="X4561" s="367"/>
      <c r="Y4561" s="367"/>
      <c r="Z4561" s="368"/>
    </row>
    <row r="4562" spans="1:36" s="77" customFormat="1" ht="15" hidden="1">
      <c r="A4562" s="370"/>
      <c r="B4562" s="29"/>
      <c r="C4562" s="30"/>
      <c r="D4562" s="18"/>
      <c r="E4562" s="19"/>
      <c r="F4562" s="20"/>
      <c r="G4562" s="18"/>
      <c r="H4562" s="19"/>
      <c r="I4562" s="20"/>
      <c r="J4562" s="21"/>
      <c r="K4562" s="22"/>
      <c r="L4562" s="23"/>
      <c r="M4562" s="24"/>
      <c r="N4562" s="25"/>
      <c r="O4562" s="25"/>
      <c r="P4562" s="23"/>
      <c r="Q4562" s="26"/>
      <c r="R4562" s="371"/>
      <c r="S4562" s="27"/>
      <c r="T4562" s="372"/>
      <c r="U4562" s="31"/>
      <c r="V4562" s="1418">
        <f t="shared" si="457"/>
        <v>0</v>
      </c>
      <c r="AB4562" s="15"/>
    </row>
    <row r="4563" spans="1:36" s="77" customFormat="1" ht="15.6" hidden="1">
      <c r="A4563" s="370"/>
      <c r="B4563" s="499"/>
      <c r="C4563" s="37"/>
      <c r="D4563" s="1929" t="s">
        <v>1520</v>
      </c>
      <c r="E4563" s="1930"/>
      <c r="F4563" s="1930"/>
      <c r="G4563" s="1930"/>
      <c r="H4563" s="1930"/>
      <c r="I4563" s="1931"/>
      <c r="J4563" s="1932">
        <f>VLOOKUP(A4565,'11 - FINANCEIRA'!_xlnm.Print_Area,6,FALSE)</f>
        <v>11</v>
      </c>
      <c r="K4563" s="1933"/>
      <c r="L4563" s="1343" t="str">
        <f>VLOOKUP(A4565,'11 - FINANCEIRA'!_xlnm.Print_Area,4,FALSE)</f>
        <v>mês</v>
      </c>
      <c r="M4563" s="1934" t="s">
        <v>1521</v>
      </c>
      <c r="N4563" s="1935"/>
      <c r="O4563" s="1935"/>
      <c r="P4563" s="1935"/>
      <c r="Q4563" s="1936"/>
      <c r="R4563" s="726">
        <f>SUM(R4559:R4562)</f>
        <v>11</v>
      </c>
      <c r="S4563" s="1344" t="str">
        <f>L4563</f>
        <v>mês</v>
      </c>
      <c r="T4563" s="373"/>
      <c r="U4563" s="486"/>
      <c r="V4563" s="1418">
        <f t="shared" si="457"/>
        <v>0</v>
      </c>
      <c r="AB4563" s="15"/>
    </row>
    <row r="4564" spans="1:36" s="77" customFormat="1" ht="15.6" hidden="1">
      <c r="A4564" s="370"/>
      <c r="B4564" s="499"/>
      <c r="C4564" s="725"/>
      <c r="D4564" s="1937" t="s">
        <v>1522</v>
      </c>
      <c r="E4564" s="1938"/>
      <c r="F4564" s="1938"/>
      <c r="G4564" s="1938"/>
      <c r="H4564" s="1938"/>
      <c r="I4564" s="1939"/>
      <c r="J4564" s="1943">
        <f>R4563/J4563</f>
        <v>1</v>
      </c>
      <c r="K4564" s="1944"/>
      <c r="L4564" s="1947"/>
      <c r="M4564" s="1934" t="s">
        <v>1523</v>
      </c>
      <c r="N4564" s="1935"/>
      <c r="O4564" s="1935"/>
      <c r="P4564" s="1935"/>
      <c r="Q4564" s="1936"/>
      <c r="R4564" s="726">
        <f>VLOOKUP(A4565,'11 - FINANCEIRA'!_xlnm.Print_Area,8,FALSE)</f>
        <v>11</v>
      </c>
      <c r="S4564" s="727" t="str">
        <f>L4563</f>
        <v>mês</v>
      </c>
      <c r="T4564" s="373"/>
      <c r="U4564" s="486"/>
      <c r="V4564" s="1418">
        <f t="shared" si="457"/>
        <v>0</v>
      </c>
      <c r="AB4564" s="15"/>
    </row>
    <row r="4565" spans="1:36" s="77" customFormat="1" ht="15.6" hidden="1">
      <c r="A4565" s="364" t="s">
        <v>760</v>
      </c>
      <c r="B4565" s="499"/>
      <c r="C4565" s="37"/>
      <c r="D4565" s="2013"/>
      <c r="E4565" s="2014"/>
      <c r="F4565" s="2014"/>
      <c r="G4565" s="2014"/>
      <c r="H4565" s="2014"/>
      <c r="I4565" s="2015"/>
      <c r="J4565" s="2016"/>
      <c r="K4565" s="2017"/>
      <c r="L4565" s="1962"/>
      <c r="M4565" s="2007" t="s">
        <v>1524</v>
      </c>
      <c r="N4565" s="2008"/>
      <c r="O4565" s="2008"/>
      <c r="P4565" s="2008"/>
      <c r="Q4565" s="2009"/>
      <c r="R4565" s="1345">
        <f>R4563-R4564</f>
        <v>0</v>
      </c>
      <c r="S4565" s="1346" t="str">
        <f>L4563</f>
        <v>mês</v>
      </c>
      <c r="T4565" s="373"/>
      <c r="U4565" s="486"/>
      <c r="V4565" s="1418">
        <f>R4565</f>
        <v>0</v>
      </c>
      <c r="AB4565" s="15"/>
    </row>
    <row r="4566" spans="1:36" s="77" customFormat="1" ht="15.6" hidden="1">
      <c r="A4566" s="370"/>
      <c r="B4566" s="1347"/>
      <c r="C4566" s="1348"/>
      <c r="D4566" s="1349"/>
      <c r="E4566" s="1350"/>
      <c r="F4566" s="1349"/>
      <c r="G4566" s="1349"/>
      <c r="H4566" s="1349"/>
      <c r="I4566" s="1349"/>
      <c r="J4566" s="1351"/>
      <c r="K4566" s="1352"/>
      <c r="L4566" s="1353"/>
      <c r="M4566" s="1354"/>
      <c r="N4566" s="1354"/>
      <c r="O4566" s="1354"/>
      <c r="P4566" s="1354"/>
      <c r="Q4566" s="1354"/>
      <c r="R4566" s="1355"/>
      <c r="S4566" s="1356"/>
      <c r="T4566" s="1357"/>
      <c r="U4566" s="1358"/>
      <c r="V4566" s="1420">
        <f>SUM(V4557:V4565)</f>
        <v>0</v>
      </c>
      <c r="AB4566" s="15"/>
    </row>
    <row r="4567" spans="1:36" s="352" customFormat="1" ht="31.2" hidden="1">
      <c r="A4567" s="351"/>
      <c r="B4567" s="1963" t="str">
        <f>VLOOKUP(A4575,'11 - FINANCEIRA'!_xlnm.Print_Area,1,FALSE)</f>
        <v>4.1.5</v>
      </c>
      <c r="C4567" s="1965" t="str">
        <f>VLOOKUP(A4575,'11 - FINANCEIRA'!_xlnm.Print_Area,3,FALSE)</f>
        <v>Estaca prancha metálica - Fornecimento, solda e cravação com comprimento de 15 metros a 25 metros, conforme projeto</v>
      </c>
      <c r="D4567" s="1967" t="s">
        <v>205</v>
      </c>
      <c r="E4567" s="1968"/>
      <c r="F4567" s="1968"/>
      <c r="G4567" s="1968"/>
      <c r="H4567" s="1968"/>
      <c r="I4567" s="1969"/>
      <c r="J4567" s="1914" t="s">
        <v>804</v>
      </c>
      <c r="K4567" s="1914" t="s">
        <v>1505</v>
      </c>
      <c r="L4567" s="1914" t="s">
        <v>1506</v>
      </c>
      <c r="M4567" s="1914" t="s">
        <v>1507</v>
      </c>
      <c r="N4567" s="1914" t="s">
        <v>1508</v>
      </c>
      <c r="O4567" s="1914" t="s">
        <v>1509</v>
      </c>
      <c r="P4567" s="1341" t="s">
        <v>2133</v>
      </c>
      <c r="Q4567" s="1914" t="s">
        <v>1493</v>
      </c>
      <c r="R4567" s="1916" t="s">
        <v>804</v>
      </c>
      <c r="S4567" s="1914" t="s">
        <v>1511</v>
      </c>
      <c r="T4567" s="1914" t="s">
        <v>1512</v>
      </c>
      <c r="U4567" s="1918" t="s">
        <v>1513</v>
      </c>
      <c r="V4567" s="1418">
        <f t="shared" ref="V4567:V4574" si="458">V4568</f>
        <v>0</v>
      </c>
      <c r="W4567" s="16"/>
      <c r="X4567" s="16"/>
      <c r="Y4567" s="16"/>
      <c r="Z4567" s="17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</row>
    <row r="4568" spans="1:36" s="352" customFormat="1" ht="15.6" hidden="1">
      <c r="A4568" s="351"/>
      <c r="B4568" s="1964" t="e">
        <f>LEFT(#REF!,5)</f>
        <v>#REF!</v>
      </c>
      <c r="C4568" s="1966" t="e">
        <f>VLOOKUP(LEFT(#REF!,5),'11 - FINANCEIRA'!_xlnm.Print_Area,2,FALSE)</f>
        <v>#REF!</v>
      </c>
      <c r="D4568" s="1920" t="s">
        <v>1514</v>
      </c>
      <c r="E4568" s="1921"/>
      <c r="F4568" s="1922"/>
      <c r="G4568" s="1923" t="s">
        <v>1515</v>
      </c>
      <c r="H4568" s="1924"/>
      <c r="I4568" s="1925"/>
      <c r="J4568" s="1915"/>
      <c r="K4568" s="1915"/>
      <c r="L4568" s="1915"/>
      <c r="M4568" s="1915"/>
      <c r="N4568" s="1915"/>
      <c r="O4568" s="1915"/>
      <c r="P4568" s="353" t="s">
        <v>2134</v>
      </c>
      <c r="Q4568" s="1915"/>
      <c r="R4568" s="1917"/>
      <c r="S4568" s="1915"/>
      <c r="T4568" s="1915"/>
      <c r="U4568" s="1919"/>
      <c r="V4568" s="1418">
        <f t="shared" si="458"/>
        <v>0</v>
      </c>
      <c r="W4568" s="16"/>
      <c r="X4568" s="16"/>
      <c r="Y4568" s="16"/>
      <c r="Z4568" s="17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</row>
    <row r="4569" spans="1:36" s="361" customFormat="1" ht="30" hidden="1">
      <c r="A4569" s="354"/>
      <c r="B4569" s="755"/>
      <c r="C4569" s="28" t="s">
        <v>2135</v>
      </c>
      <c r="D4569" s="2068"/>
      <c r="E4569" s="2069"/>
      <c r="F4569" s="2070"/>
      <c r="G4569" s="2068"/>
      <c r="H4569" s="2069"/>
      <c r="I4569" s="2070"/>
      <c r="J4569" s="21">
        <v>25</v>
      </c>
      <c r="K4569" s="22">
        <v>15</v>
      </c>
      <c r="L4569" s="23"/>
      <c r="M4569" s="24"/>
      <c r="N4569" s="728"/>
      <c r="O4569" s="25"/>
      <c r="P4569" s="23">
        <v>146.19999999999999</v>
      </c>
      <c r="Q4569" s="729"/>
      <c r="R4569" s="1109">
        <f>J4569*K4569*P4569</f>
        <v>54824.999999999993</v>
      </c>
      <c r="S4569" s="730" t="s">
        <v>1448</v>
      </c>
      <c r="T4569" s="446" t="s">
        <v>314</v>
      </c>
      <c r="U4569" s="44"/>
      <c r="V4569" s="1418">
        <f t="shared" si="458"/>
        <v>0</v>
      </c>
      <c r="W4569" s="357"/>
      <c r="X4569" s="357"/>
      <c r="Y4569" s="357"/>
      <c r="Z4569" s="358"/>
      <c r="AA4569" s="359"/>
      <c r="AB4569" s="360"/>
    </row>
    <row r="4570" spans="1:36" s="361" customFormat="1" ht="30" hidden="1">
      <c r="A4570" s="354"/>
      <c r="B4570" s="355"/>
      <c r="C4570" s="28" t="s">
        <v>2135</v>
      </c>
      <c r="D4570" s="18"/>
      <c r="E4570" s="19"/>
      <c r="F4570" s="20"/>
      <c r="G4570" s="18"/>
      <c r="H4570" s="19"/>
      <c r="I4570" s="20"/>
      <c r="J4570" s="21">
        <v>55</v>
      </c>
      <c r="K4570" s="22">
        <v>15</v>
      </c>
      <c r="L4570" s="23"/>
      <c r="M4570" s="24"/>
      <c r="N4570" s="728"/>
      <c r="O4570" s="25"/>
      <c r="P4570" s="23">
        <v>146.19999999999999</v>
      </c>
      <c r="Q4570" s="729"/>
      <c r="R4570" s="445">
        <f>J4570*K4570*P4570</f>
        <v>120614.99999999999</v>
      </c>
      <c r="S4570" s="792" t="s">
        <v>1448</v>
      </c>
      <c r="T4570" s="446" t="s">
        <v>315</v>
      </c>
      <c r="U4570" s="44"/>
      <c r="V4570" s="1418">
        <f t="shared" si="458"/>
        <v>0</v>
      </c>
      <c r="W4570" s="357"/>
      <c r="X4570" s="357"/>
      <c r="Y4570" s="357"/>
      <c r="Z4570" s="358"/>
      <c r="AA4570" s="359"/>
      <c r="AB4570" s="360"/>
    </row>
    <row r="4571" spans="1:36" s="369" customFormat="1" ht="15" hidden="1">
      <c r="A4571" s="364"/>
      <c r="B4571" s="355"/>
      <c r="C4571" s="32"/>
      <c r="D4571" s="33"/>
      <c r="E4571" s="34"/>
      <c r="F4571" s="35"/>
      <c r="G4571" s="33"/>
      <c r="H4571" s="34"/>
      <c r="I4571" s="35"/>
      <c r="J4571" s="43"/>
      <c r="K4571" s="42"/>
      <c r="L4571" s="39"/>
      <c r="M4571" s="41"/>
      <c r="N4571" s="40"/>
      <c r="O4571" s="40"/>
      <c r="P4571" s="39"/>
      <c r="Q4571" s="38"/>
      <c r="R4571" s="365"/>
      <c r="S4571" s="366"/>
      <c r="T4571" s="46"/>
      <c r="U4571" s="44"/>
      <c r="V4571" s="1418">
        <f t="shared" si="458"/>
        <v>0</v>
      </c>
      <c r="W4571" s="367"/>
      <c r="X4571" s="367"/>
      <c r="Y4571" s="367"/>
      <c r="Z4571" s="368"/>
    </row>
    <row r="4572" spans="1:36" s="77" customFormat="1" ht="15" hidden="1">
      <c r="A4572" s="370"/>
      <c r="B4572" s="29"/>
      <c r="C4572" s="30"/>
      <c r="D4572" s="18"/>
      <c r="E4572" s="19"/>
      <c r="F4572" s="20"/>
      <c r="G4572" s="18"/>
      <c r="H4572" s="19"/>
      <c r="I4572" s="20"/>
      <c r="J4572" s="21"/>
      <c r="K4572" s="22"/>
      <c r="L4572" s="23"/>
      <c r="M4572" s="24"/>
      <c r="N4572" s="25"/>
      <c r="O4572" s="25"/>
      <c r="P4572" s="23"/>
      <c r="Q4572" s="26"/>
      <c r="R4572" s="371"/>
      <c r="S4572" s="27"/>
      <c r="T4572" s="372"/>
      <c r="U4572" s="31"/>
      <c r="V4572" s="1418">
        <f t="shared" si="458"/>
        <v>0</v>
      </c>
      <c r="AB4572" s="15"/>
    </row>
    <row r="4573" spans="1:36" s="77" customFormat="1" ht="15.6" hidden="1">
      <c r="A4573" s="370"/>
      <c r="B4573" s="499"/>
      <c r="C4573" s="37"/>
      <c r="D4573" s="1929" t="s">
        <v>1520</v>
      </c>
      <c r="E4573" s="1930"/>
      <c r="F4573" s="1930"/>
      <c r="G4573" s="1930"/>
      <c r="H4573" s="1930"/>
      <c r="I4573" s="1931"/>
      <c r="J4573" s="1932">
        <f>VLOOKUP(A4575,'11 - FINANCEIRA'!_xlnm.Print_Area,6,FALSE)</f>
        <v>175440</v>
      </c>
      <c r="K4573" s="1933"/>
      <c r="L4573" s="1343" t="str">
        <f>VLOOKUP(A4575,'11 - FINANCEIRA'!_xlnm.Print_Area,4,FALSE)</f>
        <v>kg</v>
      </c>
      <c r="M4573" s="1934" t="s">
        <v>1521</v>
      </c>
      <c r="N4573" s="1935"/>
      <c r="O4573" s="1935"/>
      <c r="P4573" s="1935"/>
      <c r="Q4573" s="1936"/>
      <c r="R4573" s="726">
        <f>SUM(R4569:R4572)</f>
        <v>175439.99999999997</v>
      </c>
      <c r="S4573" s="1344" t="str">
        <f>L4573</f>
        <v>kg</v>
      </c>
      <c r="T4573" s="373"/>
      <c r="U4573" s="486"/>
      <c r="V4573" s="1418">
        <f t="shared" si="458"/>
        <v>0</v>
      </c>
      <c r="AB4573" s="15"/>
    </row>
    <row r="4574" spans="1:36" s="77" customFormat="1" ht="15.6" hidden="1">
      <c r="A4574" s="370"/>
      <c r="B4574" s="499"/>
      <c r="C4574" s="725"/>
      <c r="D4574" s="1937" t="s">
        <v>1522</v>
      </c>
      <c r="E4574" s="1938"/>
      <c r="F4574" s="1938"/>
      <c r="G4574" s="1938"/>
      <c r="H4574" s="1938"/>
      <c r="I4574" s="1939"/>
      <c r="J4574" s="1943">
        <f>R4573/J4573</f>
        <v>0.99999999999999989</v>
      </c>
      <c r="K4574" s="1944"/>
      <c r="L4574" s="1947"/>
      <c r="M4574" s="1934" t="s">
        <v>1523</v>
      </c>
      <c r="N4574" s="1935"/>
      <c r="O4574" s="1935"/>
      <c r="P4574" s="1935"/>
      <c r="Q4574" s="1936"/>
      <c r="R4574" s="726">
        <f>VLOOKUP(A4575,'11 - FINANCEIRA'!_xlnm.Print_Area,8,FALSE)</f>
        <v>175439.99999999997</v>
      </c>
      <c r="S4574" s="727" t="str">
        <f>L4573</f>
        <v>kg</v>
      </c>
      <c r="T4574" s="373"/>
      <c r="U4574" s="486"/>
      <c r="V4574" s="1418">
        <f t="shared" si="458"/>
        <v>0</v>
      </c>
      <c r="AB4574" s="15"/>
    </row>
    <row r="4575" spans="1:36" s="77" customFormat="1" ht="15.6" hidden="1">
      <c r="A4575" s="364" t="s">
        <v>761</v>
      </c>
      <c r="B4575" s="499"/>
      <c r="C4575" s="37"/>
      <c r="D4575" s="2013"/>
      <c r="E4575" s="2014"/>
      <c r="F4575" s="2014"/>
      <c r="G4575" s="2014"/>
      <c r="H4575" s="2014"/>
      <c r="I4575" s="2015"/>
      <c r="J4575" s="2016"/>
      <c r="K4575" s="2017"/>
      <c r="L4575" s="1962"/>
      <c r="M4575" s="2007" t="s">
        <v>1524</v>
      </c>
      <c r="N4575" s="2008"/>
      <c r="O4575" s="2008"/>
      <c r="P4575" s="2008"/>
      <c r="Q4575" s="2009"/>
      <c r="R4575" s="1345">
        <f>R4573-R4574</f>
        <v>0</v>
      </c>
      <c r="S4575" s="1346" t="str">
        <f>L4573</f>
        <v>kg</v>
      </c>
      <c r="T4575" s="373"/>
      <c r="U4575" s="486"/>
      <c r="V4575" s="1418">
        <f>R4575</f>
        <v>0</v>
      </c>
      <c r="AB4575" s="15"/>
    </row>
    <row r="4576" spans="1:36" s="77" customFormat="1" ht="15.6" hidden="1">
      <c r="A4576" s="370"/>
      <c r="B4576" s="1347"/>
      <c r="C4576" s="1348"/>
      <c r="D4576" s="1349"/>
      <c r="E4576" s="1350"/>
      <c r="F4576" s="1349"/>
      <c r="G4576" s="1349"/>
      <c r="H4576" s="1349"/>
      <c r="I4576" s="1349"/>
      <c r="J4576" s="1351"/>
      <c r="K4576" s="1352"/>
      <c r="L4576" s="1353"/>
      <c r="M4576" s="1354"/>
      <c r="N4576" s="1354"/>
      <c r="O4576" s="1354"/>
      <c r="P4576" s="1354"/>
      <c r="Q4576" s="1354"/>
      <c r="R4576" s="1355"/>
      <c r="S4576" s="1356"/>
      <c r="T4576" s="1357"/>
      <c r="U4576" s="1358"/>
      <c r="V4576" s="1420">
        <f>SUM(V4567:V4575)</f>
        <v>0</v>
      </c>
      <c r="AB4576" s="15"/>
    </row>
    <row r="4577" spans="1:36" s="352" customFormat="1" ht="15.6" hidden="1">
      <c r="A4577" s="351"/>
      <c r="B4577" s="1963" t="str">
        <f>VLOOKUP(A4585,'11 - FINANCEIRA'!_xlnm.Print_Area,1,FALSE)</f>
        <v>4.1.6</v>
      </c>
      <c r="C4577" s="1965" t="str">
        <f>VLOOKUP(A4585,'11 - FINANCEIRA'!_xlnm.Print_Area,3,FALSE)</f>
        <v>LASTRO COM MATERIAL GRANULAR (PEDRA BRITADA N.1 E PEDRA BRITADA N.2), APLICADO EM PISOS OU RADIERS, ESPESSURA DE *10 CM*. AF_07/2019</v>
      </c>
      <c r="D4577" s="1967" t="s">
        <v>205</v>
      </c>
      <c r="E4577" s="1968"/>
      <c r="F4577" s="1968"/>
      <c r="G4577" s="1968"/>
      <c r="H4577" s="1968"/>
      <c r="I4577" s="1969"/>
      <c r="J4577" s="1914" t="s">
        <v>2126</v>
      </c>
      <c r="K4577" s="1914" t="s">
        <v>1505</v>
      </c>
      <c r="L4577" s="1914" t="s">
        <v>1506</v>
      </c>
      <c r="M4577" s="1914" t="s">
        <v>1507</v>
      </c>
      <c r="N4577" s="1914" t="s">
        <v>1508</v>
      </c>
      <c r="O4577" s="1914" t="s">
        <v>1509</v>
      </c>
      <c r="P4577" s="1341" t="s">
        <v>1510</v>
      </c>
      <c r="Q4577" s="1914" t="s">
        <v>1493</v>
      </c>
      <c r="R4577" s="1916" t="s">
        <v>804</v>
      </c>
      <c r="S4577" s="1914" t="s">
        <v>1511</v>
      </c>
      <c r="T4577" s="1914" t="s">
        <v>1512</v>
      </c>
      <c r="U4577" s="1918" t="s">
        <v>1513</v>
      </c>
      <c r="V4577" s="1418">
        <f t="shared" ref="V4577:V4584" si="459">V4578</f>
        <v>0</v>
      </c>
      <c r="W4577" s="16"/>
      <c r="X4577" s="16"/>
      <c r="Y4577" s="16"/>
      <c r="Z4577" s="17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</row>
    <row r="4578" spans="1:36" s="352" customFormat="1" ht="15.6" hidden="1">
      <c r="A4578" s="351"/>
      <c r="B4578" s="1964" t="e">
        <f>LEFT(#REF!,5)</f>
        <v>#REF!</v>
      </c>
      <c r="C4578" s="1966" t="e">
        <f>VLOOKUP(LEFT(#REF!,5),'11 - FINANCEIRA'!_xlnm.Print_Area,2,FALSE)</f>
        <v>#REF!</v>
      </c>
      <c r="D4578" s="1920" t="s">
        <v>1514</v>
      </c>
      <c r="E4578" s="1921"/>
      <c r="F4578" s="1922"/>
      <c r="G4578" s="1923" t="s">
        <v>1515</v>
      </c>
      <c r="H4578" s="1924"/>
      <c r="I4578" s="1925"/>
      <c r="J4578" s="1915"/>
      <c r="K4578" s="1915"/>
      <c r="L4578" s="1915"/>
      <c r="M4578" s="1915"/>
      <c r="N4578" s="1915"/>
      <c r="O4578" s="1915"/>
      <c r="P4578" s="353" t="s">
        <v>1516</v>
      </c>
      <c r="Q4578" s="1915"/>
      <c r="R4578" s="1917"/>
      <c r="S4578" s="1915"/>
      <c r="T4578" s="1915"/>
      <c r="U4578" s="1919"/>
      <c r="V4578" s="1418">
        <f t="shared" si="459"/>
        <v>0</v>
      </c>
      <c r="W4578" s="16"/>
      <c r="X4578" s="16"/>
      <c r="Y4578" s="16"/>
      <c r="Z4578" s="17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</row>
    <row r="4579" spans="1:36" s="361" customFormat="1" ht="15" hidden="1">
      <c r="A4579" s="354"/>
      <c r="B4579" s="755"/>
      <c r="C4579" s="28"/>
      <c r="D4579" s="2068"/>
      <c r="E4579" s="2069"/>
      <c r="F4579" s="2070"/>
      <c r="G4579" s="2068"/>
      <c r="H4579" s="2069"/>
      <c r="I4579" s="2070"/>
      <c r="J4579" s="21"/>
      <c r="K4579" s="22"/>
      <c r="L4579" s="23"/>
      <c r="M4579" s="24"/>
      <c r="N4579" s="728"/>
      <c r="O4579" s="25"/>
      <c r="P4579" s="23"/>
      <c r="Q4579" s="729"/>
      <c r="R4579" s="1109"/>
      <c r="S4579" s="730"/>
      <c r="T4579" s="446"/>
      <c r="U4579" s="44"/>
      <c r="V4579" s="1418">
        <f t="shared" si="459"/>
        <v>0</v>
      </c>
      <c r="W4579" s="357"/>
      <c r="X4579" s="357"/>
      <c r="Y4579" s="357"/>
      <c r="Z4579" s="358"/>
      <c r="AA4579" s="359"/>
      <c r="AB4579" s="360"/>
    </row>
    <row r="4580" spans="1:36" s="361" customFormat="1" ht="15" hidden="1">
      <c r="A4580" s="354"/>
      <c r="B4580" s="355"/>
      <c r="C4580" s="32"/>
      <c r="D4580" s="33"/>
      <c r="E4580" s="34"/>
      <c r="F4580" s="35"/>
      <c r="G4580" s="33"/>
      <c r="H4580" s="34"/>
      <c r="I4580" s="35"/>
      <c r="J4580" s="43"/>
      <c r="K4580" s="42"/>
      <c r="L4580" s="39"/>
      <c r="M4580" s="41"/>
      <c r="N4580" s="356"/>
      <c r="O4580" s="40"/>
      <c r="P4580" s="39"/>
      <c r="Q4580" s="45"/>
      <c r="R4580" s="362"/>
      <c r="S4580" s="363"/>
      <c r="T4580" s="46"/>
      <c r="U4580" s="44"/>
      <c r="V4580" s="1418">
        <f t="shared" si="459"/>
        <v>0</v>
      </c>
      <c r="W4580" s="357"/>
      <c r="X4580" s="357"/>
      <c r="Y4580" s="357"/>
      <c r="Z4580" s="358"/>
      <c r="AA4580" s="359"/>
      <c r="AB4580" s="360"/>
    </row>
    <row r="4581" spans="1:36" s="369" customFormat="1" ht="15" hidden="1">
      <c r="A4581" s="364"/>
      <c r="B4581" s="355"/>
      <c r="C4581" s="32"/>
      <c r="D4581" s="33"/>
      <c r="E4581" s="34"/>
      <c r="F4581" s="35"/>
      <c r="G4581" s="33"/>
      <c r="H4581" s="34"/>
      <c r="I4581" s="35"/>
      <c r="J4581" s="43"/>
      <c r="K4581" s="42"/>
      <c r="L4581" s="39"/>
      <c r="M4581" s="41"/>
      <c r="N4581" s="40"/>
      <c r="O4581" s="40"/>
      <c r="P4581" s="39"/>
      <c r="Q4581" s="38"/>
      <c r="R4581" s="365"/>
      <c r="S4581" s="366"/>
      <c r="T4581" s="46"/>
      <c r="U4581" s="44"/>
      <c r="V4581" s="1418">
        <f t="shared" si="459"/>
        <v>0</v>
      </c>
      <c r="W4581" s="367"/>
      <c r="X4581" s="367"/>
      <c r="Y4581" s="367"/>
      <c r="Z4581" s="368"/>
    </row>
    <row r="4582" spans="1:36" s="77" customFormat="1" ht="15" hidden="1">
      <c r="A4582" s="370"/>
      <c r="B4582" s="29"/>
      <c r="C4582" s="30"/>
      <c r="D4582" s="18"/>
      <c r="E4582" s="19"/>
      <c r="F4582" s="20"/>
      <c r="G4582" s="18"/>
      <c r="H4582" s="19"/>
      <c r="I4582" s="20"/>
      <c r="J4582" s="21"/>
      <c r="K4582" s="22"/>
      <c r="L4582" s="23"/>
      <c r="M4582" s="24"/>
      <c r="N4582" s="25"/>
      <c r="O4582" s="25"/>
      <c r="P4582" s="23"/>
      <c r="Q4582" s="26"/>
      <c r="R4582" s="371"/>
      <c r="S4582" s="27"/>
      <c r="T4582" s="372"/>
      <c r="U4582" s="31"/>
      <c r="V4582" s="1418">
        <f t="shared" si="459"/>
        <v>0</v>
      </c>
      <c r="AB4582" s="15"/>
    </row>
    <row r="4583" spans="1:36" s="77" customFormat="1" ht="15.6" hidden="1">
      <c r="A4583" s="370"/>
      <c r="B4583" s="499"/>
      <c r="C4583" s="37"/>
      <c r="D4583" s="1929" t="s">
        <v>1520</v>
      </c>
      <c r="E4583" s="1930"/>
      <c r="F4583" s="1930"/>
      <c r="G4583" s="1930"/>
      <c r="H4583" s="1930"/>
      <c r="I4583" s="1931"/>
      <c r="J4583" s="1932">
        <f>VLOOKUP(A4585,'11 - FINANCEIRA'!_xlnm.Print_Area,6,FALSE)</f>
        <v>0</v>
      </c>
      <c r="K4583" s="1933"/>
      <c r="L4583" s="1343" t="str">
        <f>VLOOKUP(A4585,'11 - FINANCEIRA'!_xlnm.Print_Area,4,FALSE)</f>
        <v>m³</v>
      </c>
      <c r="M4583" s="1934" t="s">
        <v>1521</v>
      </c>
      <c r="N4583" s="1935"/>
      <c r="O4583" s="1935"/>
      <c r="P4583" s="1935"/>
      <c r="Q4583" s="1936"/>
      <c r="R4583" s="726">
        <f>SUM(R4579:R4582)</f>
        <v>0</v>
      </c>
      <c r="S4583" s="1344" t="str">
        <f>L4583</f>
        <v>m³</v>
      </c>
      <c r="T4583" s="373"/>
      <c r="U4583" s="486"/>
      <c r="V4583" s="1418">
        <f t="shared" si="459"/>
        <v>0</v>
      </c>
      <c r="AB4583" s="15"/>
    </row>
    <row r="4584" spans="1:36" s="77" customFormat="1" ht="15.6" hidden="1">
      <c r="A4584" s="370"/>
      <c r="B4584" s="499"/>
      <c r="C4584" s="725"/>
      <c r="D4584" s="1937" t="s">
        <v>1522</v>
      </c>
      <c r="E4584" s="1938"/>
      <c r="F4584" s="1938"/>
      <c r="G4584" s="1938"/>
      <c r="H4584" s="1938"/>
      <c r="I4584" s="1939"/>
      <c r="J4584" s="1943" t="e">
        <f>R4583/J4583</f>
        <v>#DIV/0!</v>
      </c>
      <c r="K4584" s="1944"/>
      <c r="L4584" s="1947"/>
      <c r="M4584" s="1934" t="s">
        <v>1523</v>
      </c>
      <c r="N4584" s="1935"/>
      <c r="O4584" s="1935"/>
      <c r="P4584" s="1935"/>
      <c r="Q4584" s="1936"/>
      <c r="R4584" s="726">
        <f>VLOOKUP(A4585,'11 - FINANCEIRA'!_xlnm.Print_Area,8,FALSE)</f>
        <v>0</v>
      </c>
      <c r="S4584" s="727" t="str">
        <f>L4583</f>
        <v>m³</v>
      </c>
      <c r="T4584" s="373"/>
      <c r="U4584" s="486"/>
      <c r="V4584" s="1418">
        <f t="shared" si="459"/>
        <v>0</v>
      </c>
      <c r="AB4584" s="15"/>
    </row>
    <row r="4585" spans="1:36" s="77" customFormat="1" ht="15.6" hidden="1">
      <c r="A4585" s="364" t="s">
        <v>762</v>
      </c>
      <c r="B4585" s="499"/>
      <c r="C4585" s="37"/>
      <c r="D4585" s="2013"/>
      <c r="E4585" s="2014"/>
      <c r="F4585" s="2014"/>
      <c r="G4585" s="2014"/>
      <c r="H4585" s="2014"/>
      <c r="I4585" s="2015"/>
      <c r="J4585" s="2016"/>
      <c r="K4585" s="2017"/>
      <c r="L4585" s="1962"/>
      <c r="M4585" s="2007" t="s">
        <v>1524</v>
      </c>
      <c r="N4585" s="2008"/>
      <c r="O4585" s="2008"/>
      <c r="P4585" s="2008"/>
      <c r="Q4585" s="2009"/>
      <c r="R4585" s="1345">
        <f>R4583-R4584</f>
        <v>0</v>
      </c>
      <c r="S4585" s="1346" t="str">
        <f>L4583</f>
        <v>m³</v>
      </c>
      <c r="T4585" s="373"/>
      <c r="U4585" s="486"/>
      <c r="V4585" s="1418">
        <f>R4585</f>
        <v>0</v>
      </c>
      <c r="AB4585" s="15"/>
    </row>
    <row r="4586" spans="1:36" s="77" customFormat="1" ht="15.6" hidden="1">
      <c r="A4586" s="370"/>
      <c r="B4586" s="1347"/>
      <c r="C4586" s="1348"/>
      <c r="D4586" s="1349"/>
      <c r="E4586" s="1350"/>
      <c r="F4586" s="1349"/>
      <c r="G4586" s="1349"/>
      <c r="H4586" s="1349"/>
      <c r="I4586" s="1349"/>
      <c r="J4586" s="1351"/>
      <c r="K4586" s="1352"/>
      <c r="L4586" s="1353"/>
      <c r="M4586" s="1354"/>
      <c r="N4586" s="1354"/>
      <c r="O4586" s="1354"/>
      <c r="P4586" s="1354"/>
      <c r="Q4586" s="1354"/>
      <c r="R4586" s="1355"/>
      <c r="S4586" s="1356"/>
      <c r="T4586" s="1357"/>
      <c r="U4586" s="1358"/>
      <c r="V4586" s="1420">
        <f>SUM(V4577:V4585)</f>
        <v>0</v>
      </c>
      <c r="AB4586" s="15"/>
    </row>
    <row r="4587" spans="1:36" s="352" customFormat="1" ht="15.6" hidden="1">
      <c r="A4587" s="351"/>
      <c r="B4587" s="1963" t="str">
        <f>VLOOKUP(A4595,'11 - FINANCEIRA'!_xlnm.Print_Area,1,FALSE)</f>
        <v>4.1.7</v>
      </c>
      <c r="C4587" s="1965" t="str">
        <f>VLOOKUP(A4595,'11 - FINANCEIRA'!_xlnm.Print_Area,3,FALSE)</f>
        <v>Geogrelha bidirecional com resistência a tração de 30 kN/m - deformação &lt; 5% - malha de 36 x 34 mm - para reforço de base  granular</v>
      </c>
      <c r="D4587" s="1967" t="s">
        <v>205</v>
      </c>
      <c r="E4587" s="1968"/>
      <c r="F4587" s="1968"/>
      <c r="G4587" s="1968"/>
      <c r="H4587" s="1968"/>
      <c r="I4587" s="1969"/>
      <c r="J4587" s="1914" t="s">
        <v>2126</v>
      </c>
      <c r="K4587" s="1914" t="s">
        <v>1505</v>
      </c>
      <c r="L4587" s="1914" t="s">
        <v>1506</v>
      </c>
      <c r="M4587" s="1914" t="s">
        <v>1507</v>
      </c>
      <c r="N4587" s="1914" t="s">
        <v>1508</v>
      </c>
      <c r="O4587" s="1914" t="s">
        <v>1509</v>
      </c>
      <c r="P4587" s="1341" t="s">
        <v>1510</v>
      </c>
      <c r="Q4587" s="1914" t="s">
        <v>1493</v>
      </c>
      <c r="R4587" s="1916" t="s">
        <v>804</v>
      </c>
      <c r="S4587" s="1914" t="s">
        <v>1511</v>
      </c>
      <c r="T4587" s="1914" t="s">
        <v>1512</v>
      </c>
      <c r="U4587" s="1918" t="s">
        <v>1513</v>
      </c>
      <c r="V4587" s="1418">
        <f t="shared" ref="V4587:V4594" si="460">V4588</f>
        <v>0</v>
      </c>
      <c r="W4587" s="16"/>
      <c r="X4587" s="16"/>
      <c r="Y4587" s="16"/>
      <c r="Z4587" s="17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</row>
    <row r="4588" spans="1:36" s="352" customFormat="1" ht="15.6" hidden="1">
      <c r="A4588" s="351"/>
      <c r="B4588" s="1964" t="e">
        <f>LEFT(#REF!,5)</f>
        <v>#REF!</v>
      </c>
      <c r="C4588" s="1966" t="e">
        <f>VLOOKUP(LEFT(#REF!,5),'11 - FINANCEIRA'!_xlnm.Print_Area,2,FALSE)</f>
        <v>#REF!</v>
      </c>
      <c r="D4588" s="1920" t="s">
        <v>1514</v>
      </c>
      <c r="E4588" s="1921"/>
      <c r="F4588" s="1922"/>
      <c r="G4588" s="1923" t="s">
        <v>1515</v>
      </c>
      <c r="H4588" s="1924"/>
      <c r="I4588" s="1925"/>
      <c r="J4588" s="1915"/>
      <c r="K4588" s="1915"/>
      <c r="L4588" s="1915"/>
      <c r="M4588" s="1915"/>
      <c r="N4588" s="1915"/>
      <c r="O4588" s="1915"/>
      <c r="P4588" s="353" t="s">
        <v>1516</v>
      </c>
      <c r="Q4588" s="1915"/>
      <c r="R4588" s="1917"/>
      <c r="S4588" s="1915"/>
      <c r="T4588" s="1915"/>
      <c r="U4588" s="1919"/>
      <c r="V4588" s="1418">
        <f t="shared" si="460"/>
        <v>0</v>
      </c>
      <c r="W4588" s="16"/>
      <c r="X4588" s="16"/>
      <c r="Y4588" s="16"/>
      <c r="Z4588" s="17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</row>
    <row r="4589" spans="1:36" s="361" customFormat="1" ht="15" hidden="1">
      <c r="A4589" s="354"/>
      <c r="B4589" s="755" t="s">
        <v>2136</v>
      </c>
      <c r="C4589" s="28" t="s">
        <v>2137</v>
      </c>
      <c r="D4589" s="2068"/>
      <c r="E4589" s="2069"/>
      <c r="F4589" s="2070"/>
      <c r="G4589" s="2068"/>
      <c r="H4589" s="2069"/>
      <c r="I4589" s="2070"/>
      <c r="J4589" s="21"/>
      <c r="K4589" s="22"/>
      <c r="L4589" s="23"/>
      <c r="M4589" s="24"/>
      <c r="N4589" s="728"/>
      <c r="O4589" s="25"/>
      <c r="P4589" s="23"/>
      <c r="Q4589" s="729"/>
      <c r="R4589" s="1109">
        <v>885.87</v>
      </c>
      <c r="S4589" s="730" t="s">
        <v>821</v>
      </c>
      <c r="T4589" s="446" t="s">
        <v>318</v>
      </c>
      <c r="U4589" s="793" t="s">
        <v>2138</v>
      </c>
      <c r="V4589" s="1418">
        <f t="shared" si="460"/>
        <v>0</v>
      </c>
      <c r="W4589" s="357"/>
      <c r="X4589" s="357"/>
      <c r="Y4589" s="357"/>
      <c r="Z4589" s="358"/>
      <c r="AA4589" s="359"/>
      <c r="AB4589" s="360"/>
    </row>
    <row r="4590" spans="1:36" s="361" customFormat="1" ht="15" hidden="1">
      <c r="A4590" s="354"/>
      <c r="B4590" s="355"/>
      <c r="C4590" s="32"/>
      <c r="D4590" s="33"/>
      <c r="E4590" s="34"/>
      <c r="F4590" s="35"/>
      <c r="G4590" s="33"/>
      <c r="H4590" s="34"/>
      <c r="I4590" s="35"/>
      <c r="J4590" s="43"/>
      <c r="K4590" s="42"/>
      <c r="L4590" s="39"/>
      <c r="M4590" s="41"/>
      <c r="N4590" s="356"/>
      <c r="O4590" s="40"/>
      <c r="P4590" s="39"/>
      <c r="Q4590" s="45"/>
      <c r="R4590" s="362"/>
      <c r="S4590" s="363"/>
      <c r="T4590" s="46"/>
      <c r="U4590" s="44"/>
      <c r="V4590" s="1418">
        <f t="shared" si="460"/>
        <v>0</v>
      </c>
      <c r="W4590" s="357"/>
      <c r="X4590" s="357"/>
      <c r="Y4590" s="357"/>
      <c r="Z4590" s="358"/>
      <c r="AA4590" s="359"/>
      <c r="AB4590" s="360"/>
    </row>
    <row r="4591" spans="1:36" s="369" customFormat="1" ht="15" hidden="1">
      <c r="A4591" s="364"/>
      <c r="B4591" s="355"/>
      <c r="C4591" s="32"/>
      <c r="D4591" s="33"/>
      <c r="E4591" s="34"/>
      <c r="F4591" s="35"/>
      <c r="G4591" s="33"/>
      <c r="H4591" s="34"/>
      <c r="I4591" s="35"/>
      <c r="J4591" s="43"/>
      <c r="K4591" s="42"/>
      <c r="L4591" s="39"/>
      <c r="M4591" s="41"/>
      <c r="N4591" s="40"/>
      <c r="O4591" s="40"/>
      <c r="P4591" s="39"/>
      <c r="Q4591" s="38"/>
      <c r="R4591" s="365"/>
      <c r="S4591" s="366"/>
      <c r="T4591" s="46"/>
      <c r="U4591" s="44"/>
      <c r="V4591" s="1418">
        <f t="shared" si="460"/>
        <v>0</v>
      </c>
      <c r="W4591" s="367"/>
      <c r="X4591" s="367"/>
      <c r="Y4591" s="367"/>
      <c r="Z4591" s="368"/>
    </row>
    <row r="4592" spans="1:36" s="77" customFormat="1" ht="15" hidden="1">
      <c r="A4592" s="370"/>
      <c r="B4592" s="29"/>
      <c r="C4592" s="30"/>
      <c r="D4592" s="18"/>
      <c r="E4592" s="19"/>
      <c r="F4592" s="20"/>
      <c r="G4592" s="18"/>
      <c r="H4592" s="19"/>
      <c r="I4592" s="20"/>
      <c r="J4592" s="21"/>
      <c r="K4592" s="22"/>
      <c r="L4592" s="23"/>
      <c r="M4592" s="24"/>
      <c r="N4592" s="25"/>
      <c r="O4592" s="25"/>
      <c r="P4592" s="23"/>
      <c r="Q4592" s="26"/>
      <c r="R4592" s="371"/>
      <c r="S4592" s="27"/>
      <c r="T4592" s="372"/>
      <c r="U4592" s="31"/>
      <c r="V4592" s="1418">
        <f t="shared" si="460"/>
        <v>0</v>
      </c>
      <c r="AB4592" s="15"/>
    </row>
    <row r="4593" spans="1:36" s="77" customFormat="1" ht="15.6" hidden="1">
      <c r="A4593" s="370"/>
      <c r="B4593" s="499"/>
      <c r="C4593" s="37"/>
      <c r="D4593" s="1929" t="s">
        <v>1520</v>
      </c>
      <c r="E4593" s="1930"/>
      <c r="F4593" s="1930"/>
      <c r="G4593" s="1930"/>
      <c r="H4593" s="1930"/>
      <c r="I4593" s="1931"/>
      <c r="J4593" s="1932">
        <f>VLOOKUP(A4595,'11 - FINANCEIRA'!_xlnm.Print_Area,6,FALSE)</f>
        <v>885.87</v>
      </c>
      <c r="K4593" s="1933"/>
      <c r="L4593" s="1343" t="str">
        <f>VLOOKUP(A4595,'11 - FINANCEIRA'!_xlnm.Print_Area,4,FALSE)</f>
        <v>m³</v>
      </c>
      <c r="M4593" s="1934" t="s">
        <v>1521</v>
      </c>
      <c r="N4593" s="1935"/>
      <c r="O4593" s="1935"/>
      <c r="P4593" s="1935"/>
      <c r="Q4593" s="1936"/>
      <c r="R4593" s="726">
        <f>SUM(R4589:R4592)</f>
        <v>885.87</v>
      </c>
      <c r="S4593" s="1344" t="str">
        <f>L4593</f>
        <v>m³</v>
      </c>
      <c r="T4593" s="373"/>
      <c r="U4593" s="486"/>
      <c r="V4593" s="1418">
        <f t="shared" si="460"/>
        <v>0</v>
      </c>
      <c r="AB4593" s="15"/>
    </row>
    <row r="4594" spans="1:36" s="77" customFormat="1" ht="15.6" hidden="1">
      <c r="A4594" s="370"/>
      <c r="B4594" s="499"/>
      <c r="C4594" s="725"/>
      <c r="D4594" s="1937" t="s">
        <v>1522</v>
      </c>
      <c r="E4594" s="1938"/>
      <c r="F4594" s="1938"/>
      <c r="G4594" s="1938"/>
      <c r="H4594" s="1938"/>
      <c r="I4594" s="1939"/>
      <c r="J4594" s="1943">
        <f>R4593/J4593</f>
        <v>1</v>
      </c>
      <c r="K4594" s="1944"/>
      <c r="L4594" s="1947"/>
      <c r="M4594" s="1934" t="s">
        <v>1523</v>
      </c>
      <c r="N4594" s="1935"/>
      <c r="O4594" s="1935"/>
      <c r="P4594" s="1935"/>
      <c r="Q4594" s="1936"/>
      <c r="R4594" s="726">
        <f>VLOOKUP(A4595,'11 - FINANCEIRA'!_xlnm.Print_Area,8,FALSE)</f>
        <v>885.87</v>
      </c>
      <c r="S4594" s="727" t="str">
        <f>L4593</f>
        <v>m³</v>
      </c>
      <c r="T4594" s="373"/>
      <c r="U4594" s="486"/>
      <c r="V4594" s="1418">
        <f t="shared" si="460"/>
        <v>0</v>
      </c>
      <c r="AB4594" s="15"/>
    </row>
    <row r="4595" spans="1:36" s="77" customFormat="1" ht="15.6" hidden="1">
      <c r="A4595" s="364" t="s">
        <v>763</v>
      </c>
      <c r="B4595" s="499"/>
      <c r="C4595" s="37"/>
      <c r="D4595" s="2013"/>
      <c r="E4595" s="2014"/>
      <c r="F4595" s="2014"/>
      <c r="G4595" s="2014"/>
      <c r="H4595" s="2014"/>
      <c r="I4595" s="2015"/>
      <c r="J4595" s="2016"/>
      <c r="K4595" s="2017"/>
      <c r="L4595" s="1962"/>
      <c r="M4595" s="2007" t="s">
        <v>1524</v>
      </c>
      <c r="N4595" s="2008"/>
      <c r="O4595" s="2008"/>
      <c r="P4595" s="2008"/>
      <c r="Q4595" s="2009"/>
      <c r="R4595" s="1345">
        <f>R4593-R4594</f>
        <v>0</v>
      </c>
      <c r="S4595" s="1346" t="str">
        <f>L4593</f>
        <v>m³</v>
      </c>
      <c r="T4595" s="373"/>
      <c r="U4595" s="486"/>
      <c r="V4595" s="1418">
        <f>R4595</f>
        <v>0</v>
      </c>
      <c r="AB4595" s="15"/>
    </row>
    <row r="4596" spans="1:36" s="77" customFormat="1" ht="15.6" hidden="1">
      <c r="A4596" s="370"/>
      <c r="B4596" s="1347"/>
      <c r="C4596" s="1348"/>
      <c r="D4596" s="1349"/>
      <c r="E4596" s="1350"/>
      <c r="F4596" s="1349"/>
      <c r="G4596" s="1349"/>
      <c r="H4596" s="1349"/>
      <c r="I4596" s="1349"/>
      <c r="J4596" s="1351"/>
      <c r="K4596" s="1352"/>
      <c r="L4596" s="1353"/>
      <c r="M4596" s="1354"/>
      <c r="N4596" s="1354"/>
      <c r="O4596" s="1354"/>
      <c r="P4596" s="1354"/>
      <c r="Q4596" s="1354"/>
      <c r="R4596" s="1355"/>
      <c r="S4596" s="1356"/>
      <c r="T4596" s="1357"/>
      <c r="U4596" s="1358"/>
      <c r="V4596" s="1420">
        <f>SUM(V4587:V4595)</f>
        <v>0</v>
      </c>
      <c r="AB4596" s="15"/>
    </row>
    <row r="4597" spans="1:36" s="352" customFormat="1" ht="15.6" hidden="1">
      <c r="A4597" s="351"/>
      <c r="B4597" s="1963" t="str">
        <f>VLOOKUP(A4605,'11 - FINANCEIRA'!_xlnm.Print_Area,1,FALSE)</f>
        <v>4.1.8</v>
      </c>
      <c r="C4597" s="1965" t="str">
        <f>VLOOKUP(A4605,'11 - FINANCEIRA'!_xlnm.Print_Area,3,FALSE)</f>
        <v>Dreno vertical D = 75 mm em PVC, com geotêxtil não tecido resistência longitudinal 16 kn/m</v>
      </c>
      <c r="D4597" s="1967" t="s">
        <v>205</v>
      </c>
      <c r="E4597" s="1968"/>
      <c r="F4597" s="1968"/>
      <c r="G4597" s="1968"/>
      <c r="H4597" s="1968"/>
      <c r="I4597" s="1969"/>
      <c r="J4597" s="1914" t="s">
        <v>2126</v>
      </c>
      <c r="K4597" s="1914" t="s">
        <v>1505</v>
      </c>
      <c r="L4597" s="1914" t="s">
        <v>1506</v>
      </c>
      <c r="M4597" s="1914" t="s">
        <v>1507</v>
      </c>
      <c r="N4597" s="1914" t="s">
        <v>1508</v>
      </c>
      <c r="O4597" s="1914" t="s">
        <v>1509</v>
      </c>
      <c r="P4597" s="1341" t="s">
        <v>1510</v>
      </c>
      <c r="Q4597" s="1914" t="s">
        <v>1493</v>
      </c>
      <c r="R4597" s="1916" t="s">
        <v>804</v>
      </c>
      <c r="S4597" s="1914" t="s">
        <v>1511</v>
      </c>
      <c r="T4597" s="1914" t="s">
        <v>1512</v>
      </c>
      <c r="U4597" s="1918" t="s">
        <v>1513</v>
      </c>
      <c r="V4597" s="1418">
        <f t="shared" ref="V4597:V4604" si="461">V4598</f>
        <v>0</v>
      </c>
      <c r="W4597" s="16"/>
      <c r="X4597" s="16"/>
      <c r="Y4597" s="16"/>
      <c r="Z4597" s="17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</row>
    <row r="4598" spans="1:36" s="352" customFormat="1" ht="15.6" hidden="1">
      <c r="A4598" s="351"/>
      <c r="B4598" s="1964" t="e">
        <f>LEFT(#REF!,5)</f>
        <v>#REF!</v>
      </c>
      <c r="C4598" s="1966" t="e">
        <f>VLOOKUP(LEFT(#REF!,5),'11 - FINANCEIRA'!_xlnm.Print_Area,2,FALSE)</f>
        <v>#REF!</v>
      </c>
      <c r="D4598" s="1920" t="s">
        <v>1514</v>
      </c>
      <c r="E4598" s="1921"/>
      <c r="F4598" s="1922"/>
      <c r="G4598" s="1923" t="s">
        <v>1515</v>
      </c>
      <c r="H4598" s="1924"/>
      <c r="I4598" s="1925"/>
      <c r="J4598" s="1915"/>
      <c r="K4598" s="1915"/>
      <c r="L4598" s="1915"/>
      <c r="M4598" s="1915"/>
      <c r="N4598" s="1915"/>
      <c r="O4598" s="1915"/>
      <c r="P4598" s="353" t="s">
        <v>1516</v>
      </c>
      <c r="Q4598" s="1915"/>
      <c r="R4598" s="1917"/>
      <c r="S4598" s="1915"/>
      <c r="T4598" s="1915"/>
      <c r="U4598" s="1919"/>
      <c r="V4598" s="1418">
        <f t="shared" si="461"/>
        <v>0</v>
      </c>
      <c r="W4598" s="16"/>
      <c r="X4598" s="16"/>
      <c r="Y4598" s="16"/>
      <c r="Z4598" s="17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</row>
    <row r="4599" spans="1:36" s="361" customFormat="1" ht="15" hidden="1">
      <c r="A4599" s="354"/>
      <c r="B4599" s="755"/>
      <c r="C4599" s="28"/>
      <c r="D4599" s="2068"/>
      <c r="E4599" s="2069"/>
      <c r="F4599" s="2070"/>
      <c r="G4599" s="2068"/>
      <c r="H4599" s="2069"/>
      <c r="I4599" s="2070"/>
      <c r="J4599" s="21"/>
      <c r="K4599" s="22"/>
      <c r="L4599" s="23"/>
      <c r="M4599" s="24"/>
      <c r="N4599" s="728"/>
      <c r="O4599" s="25"/>
      <c r="P4599" s="23"/>
      <c r="Q4599" s="729"/>
      <c r="R4599" s="1109"/>
      <c r="S4599" s="730"/>
      <c r="T4599" s="446"/>
      <c r="U4599" s="44"/>
      <c r="V4599" s="1418">
        <f t="shared" si="461"/>
        <v>0</v>
      </c>
      <c r="W4599" s="357"/>
      <c r="X4599" s="357"/>
      <c r="Y4599" s="357"/>
      <c r="Z4599" s="358"/>
      <c r="AA4599" s="359"/>
      <c r="AB4599" s="360"/>
    </row>
    <row r="4600" spans="1:36" s="361" customFormat="1" ht="15" hidden="1">
      <c r="A4600" s="354"/>
      <c r="B4600" s="355"/>
      <c r="C4600" s="32"/>
      <c r="D4600" s="33"/>
      <c r="E4600" s="34"/>
      <c r="F4600" s="35"/>
      <c r="G4600" s="33"/>
      <c r="H4600" s="34"/>
      <c r="I4600" s="35"/>
      <c r="J4600" s="43"/>
      <c r="K4600" s="42"/>
      <c r="L4600" s="39"/>
      <c r="M4600" s="41"/>
      <c r="N4600" s="356"/>
      <c r="O4600" s="40"/>
      <c r="P4600" s="39"/>
      <c r="Q4600" s="45"/>
      <c r="R4600" s="362"/>
      <c r="S4600" s="363"/>
      <c r="T4600" s="46"/>
      <c r="U4600" s="44"/>
      <c r="V4600" s="1418">
        <f t="shared" si="461"/>
        <v>0</v>
      </c>
      <c r="W4600" s="357"/>
      <c r="X4600" s="357"/>
      <c r="Y4600" s="357"/>
      <c r="Z4600" s="358"/>
      <c r="AA4600" s="359"/>
      <c r="AB4600" s="360"/>
    </row>
    <row r="4601" spans="1:36" s="369" customFormat="1" ht="15" hidden="1">
      <c r="A4601" s="364"/>
      <c r="B4601" s="355"/>
      <c r="C4601" s="32"/>
      <c r="D4601" s="33"/>
      <c r="E4601" s="34"/>
      <c r="F4601" s="35"/>
      <c r="G4601" s="33"/>
      <c r="H4601" s="34"/>
      <c r="I4601" s="35"/>
      <c r="J4601" s="43"/>
      <c r="K4601" s="42"/>
      <c r="L4601" s="39"/>
      <c r="M4601" s="41"/>
      <c r="N4601" s="40"/>
      <c r="O4601" s="40"/>
      <c r="P4601" s="39"/>
      <c r="Q4601" s="38"/>
      <c r="R4601" s="365"/>
      <c r="S4601" s="366"/>
      <c r="T4601" s="46"/>
      <c r="U4601" s="44"/>
      <c r="V4601" s="1418">
        <f t="shared" si="461"/>
        <v>0</v>
      </c>
      <c r="W4601" s="367"/>
      <c r="X4601" s="367"/>
      <c r="Y4601" s="367"/>
      <c r="Z4601" s="368"/>
    </row>
    <row r="4602" spans="1:36" s="77" customFormat="1" ht="15" hidden="1">
      <c r="A4602" s="370"/>
      <c r="B4602" s="29"/>
      <c r="C4602" s="30"/>
      <c r="D4602" s="18"/>
      <c r="E4602" s="19"/>
      <c r="F4602" s="20"/>
      <c r="G4602" s="18"/>
      <c r="H4602" s="19"/>
      <c r="I4602" s="20"/>
      <c r="J4602" s="21"/>
      <c r="K4602" s="22"/>
      <c r="L4602" s="23"/>
      <c r="M4602" s="24"/>
      <c r="N4602" s="25"/>
      <c r="O4602" s="25"/>
      <c r="P4602" s="23"/>
      <c r="Q4602" s="26"/>
      <c r="R4602" s="371"/>
      <c r="S4602" s="27"/>
      <c r="T4602" s="372"/>
      <c r="U4602" s="31"/>
      <c r="V4602" s="1418">
        <f t="shared" si="461"/>
        <v>0</v>
      </c>
      <c r="AB4602" s="15"/>
    </row>
    <row r="4603" spans="1:36" s="77" customFormat="1" ht="15.6" hidden="1">
      <c r="A4603" s="370"/>
      <c r="B4603" s="499"/>
      <c r="C4603" s="37"/>
      <c r="D4603" s="1929" t="s">
        <v>1520</v>
      </c>
      <c r="E4603" s="1930"/>
      <c r="F4603" s="1930"/>
      <c r="G4603" s="1930"/>
      <c r="H4603" s="1930"/>
      <c r="I4603" s="1931"/>
      <c r="J4603" s="1932">
        <f>VLOOKUP(A4605,'11 - FINANCEIRA'!_xlnm.Print_Area,6,FALSE)</f>
        <v>0</v>
      </c>
      <c r="K4603" s="1933"/>
      <c r="L4603" s="1343" t="str">
        <f>VLOOKUP(A4605,'11 - FINANCEIRA'!_xlnm.Print_Area,4,FALSE)</f>
        <v>m</v>
      </c>
      <c r="M4603" s="1934" t="s">
        <v>1521</v>
      </c>
      <c r="N4603" s="1935"/>
      <c r="O4603" s="1935"/>
      <c r="P4603" s="1935"/>
      <c r="Q4603" s="1936"/>
      <c r="R4603" s="726">
        <f>SUM(R4599:R4602)</f>
        <v>0</v>
      </c>
      <c r="S4603" s="1344" t="str">
        <f>L4603</f>
        <v>m</v>
      </c>
      <c r="T4603" s="373"/>
      <c r="U4603" s="486"/>
      <c r="V4603" s="1418">
        <f t="shared" si="461"/>
        <v>0</v>
      </c>
      <c r="AB4603" s="15"/>
    </row>
    <row r="4604" spans="1:36" s="77" customFormat="1" ht="15.6" hidden="1">
      <c r="A4604" s="370"/>
      <c r="B4604" s="499"/>
      <c r="C4604" s="725"/>
      <c r="D4604" s="1937" t="s">
        <v>1522</v>
      </c>
      <c r="E4604" s="1938"/>
      <c r="F4604" s="1938"/>
      <c r="G4604" s="1938"/>
      <c r="H4604" s="1938"/>
      <c r="I4604" s="1939"/>
      <c r="J4604" s="1943" t="e">
        <f>R4603/J4603</f>
        <v>#DIV/0!</v>
      </c>
      <c r="K4604" s="1944"/>
      <c r="L4604" s="1947"/>
      <c r="M4604" s="1934" t="s">
        <v>1523</v>
      </c>
      <c r="N4604" s="1935"/>
      <c r="O4604" s="1935"/>
      <c r="P4604" s="1935"/>
      <c r="Q4604" s="1936"/>
      <c r="R4604" s="726">
        <f>VLOOKUP(A4605,'11 - FINANCEIRA'!_xlnm.Print_Area,8,FALSE)</f>
        <v>0</v>
      </c>
      <c r="S4604" s="727" t="str">
        <f>L4603</f>
        <v>m</v>
      </c>
      <c r="T4604" s="373"/>
      <c r="U4604" s="486"/>
      <c r="V4604" s="1418">
        <f t="shared" si="461"/>
        <v>0</v>
      </c>
      <c r="AB4604" s="15"/>
    </row>
    <row r="4605" spans="1:36" s="77" customFormat="1" ht="15.6" hidden="1">
      <c r="A4605" s="364" t="s">
        <v>764</v>
      </c>
      <c r="B4605" s="499"/>
      <c r="C4605" s="37"/>
      <c r="D4605" s="2013"/>
      <c r="E4605" s="2014"/>
      <c r="F4605" s="2014"/>
      <c r="G4605" s="2014"/>
      <c r="H4605" s="2014"/>
      <c r="I4605" s="2015"/>
      <c r="J4605" s="2016"/>
      <c r="K4605" s="2017"/>
      <c r="L4605" s="1962"/>
      <c r="M4605" s="2007" t="s">
        <v>1524</v>
      </c>
      <c r="N4605" s="2008"/>
      <c r="O4605" s="2008"/>
      <c r="P4605" s="2008"/>
      <c r="Q4605" s="2009"/>
      <c r="R4605" s="1345">
        <f>R4603-R4604</f>
        <v>0</v>
      </c>
      <c r="S4605" s="1346" t="str">
        <f>L4603</f>
        <v>m</v>
      </c>
      <c r="T4605" s="373"/>
      <c r="U4605" s="486"/>
      <c r="V4605" s="1418">
        <f>R4605</f>
        <v>0</v>
      </c>
      <c r="AB4605" s="15"/>
    </row>
    <row r="4606" spans="1:36" s="77" customFormat="1" ht="15.6" hidden="1">
      <c r="A4606" s="370"/>
      <c r="B4606" s="1347"/>
      <c r="C4606" s="1348"/>
      <c r="D4606" s="1349"/>
      <c r="E4606" s="1350"/>
      <c r="F4606" s="1349"/>
      <c r="G4606" s="1349"/>
      <c r="H4606" s="1349"/>
      <c r="I4606" s="1349"/>
      <c r="J4606" s="1351"/>
      <c r="K4606" s="1352"/>
      <c r="L4606" s="1353"/>
      <c r="M4606" s="1354"/>
      <c r="N4606" s="1354"/>
      <c r="O4606" s="1354"/>
      <c r="P4606" s="1354"/>
      <c r="Q4606" s="1354"/>
      <c r="R4606" s="1355"/>
      <c r="S4606" s="1356"/>
      <c r="T4606" s="1357"/>
      <c r="U4606" s="1358"/>
      <c r="V4606" s="1420">
        <f>SUM(V4597:V4605)</f>
        <v>0</v>
      </c>
      <c r="AB4606" s="15"/>
    </row>
    <row r="4607" spans="1:36" s="352" customFormat="1" ht="15.6" hidden="1">
      <c r="A4607" s="351"/>
      <c r="B4607" s="1963" t="str">
        <f>VLOOKUP(A4615,'11 - FINANCEIRA'!_xlnm.Print_Area,1,FALSE)</f>
        <v>4.1.9</v>
      </c>
      <c r="C4607" s="1965" t="str">
        <f>VLOOKUP(A4615,'11 - FINANCEIRA'!_xlnm.Print_Area,3,FALSE)</f>
        <v>Projeto estrutural, inclusive fundação</v>
      </c>
      <c r="D4607" s="1967" t="s">
        <v>205</v>
      </c>
      <c r="E4607" s="1968"/>
      <c r="F4607" s="1968"/>
      <c r="G4607" s="1968"/>
      <c r="H4607" s="1968"/>
      <c r="I4607" s="1969"/>
      <c r="J4607" s="1914" t="s">
        <v>2126</v>
      </c>
      <c r="K4607" s="1914" t="s">
        <v>1505</v>
      </c>
      <c r="L4607" s="1914" t="s">
        <v>1506</v>
      </c>
      <c r="M4607" s="1914" t="s">
        <v>1507</v>
      </c>
      <c r="N4607" s="1914" t="s">
        <v>1508</v>
      </c>
      <c r="O4607" s="1914" t="s">
        <v>1509</v>
      </c>
      <c r="P4607" s="1341" t="s">
        <v>1510</v>
      </c>
      <c r="Q4607" s="1914" t="s">
        <v>1493</v>
      </c>
      <c r="R4607" s="1916" t="s">
        <v>804</v>
      </c>
      <c r="S4607" s="1914" t="s">
        <v>1511</v>
      </c>
      <c r="T4607" s="1914" t="s">
        <v>1512</v>
      </c>
      <c r="U4607" s="1918" t="s">
        <v>1513</v>
      </c>
      <c r="V4607" s="1418">
        <f t="shared" ref="V4607:V4614" si="462">V4608</f>
        <v>0</v>
      </c>
      <c r="W4607" s="16"/>
      <c r="X4607" s="16"/>
      <c r="Y4607" s="16"/>
      <c r="Z4607" s="17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</row>
    <row r="4608" spans="1:36" s="352" customFormat="1" ht="15.6" hidden="1">
      <c r="A4608" s="351"/>
      <c r="B4608" s="1964" t="e">
        <f>LEFT(#REF!,5)</f>
        <v>#REF!</v>
      </c>
      <c r="C4608" s="1966" t="e">
        <f>VLOOKUP(LEFT(#REF!,5),'11 - FINANCEIRA'!_xlnm.Print_Area,2,FALSE)</f>
        <v>#REF!</v>
      </c>
      <c r="D4608" s="1920" t="s">
        <v>1514</v>
      </c>
      <c r="E4608" s="1921"/>
      <c r="F4608" s="1922"/>
      <c r="G4608" s="1923" t="s">
        <v>1515</v>
      </c>
      <c r="H4608" s="1924"/>
      <c r="I4608" s="1925"/>
      <c r="J4608" s="1915"/>
      <c r="K4608" s="1915"/>
      <c r="L4608" s="1915"/>
      <c r="M4608" s="1915"/>
      <c r="N4608" s="1915"/>
      <c r="O4608" s="1915"/>
      <c r="P4608" s="353" t="s">
        <v>1516</v>
      </c>
      <c r="Q4608" s="1915"/>
      <c r="R4608" s="1917"/>
      <c r="S4608" s="1915"/>
      <c r="T4608" s="1915"/>
      <c r="U4608" s="1919"/>
      <c r="V4608" s="1418">
        <f t="shared" si="462"/>
        <v>0</v>
      </c>
      <c r="W4608" s="16"/>
      <c r="X4608" s="16"/>
      <c r="Y4608" s="16"/>
      <c r="Z4608" s="17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</row>
    <row r="4609" spans="1:36" s="361" customFormat="1" ht="15" hidden="1">
      <c r="A4609" s="354"/>
      <c r="B4609" s="863" t="s">
        <v>2139</v>
      </c>
      <c r="C4609" s="710" t="s">
        <v>1453</v>
      </c>
      <c r="D4609" s="2125"/>
      <c r="E4609" s="2126"/>
      <c r="F4609" s="2127"/>
      <c r="G4609" s="2125"/>
      <c r="H4609" s="2126"/>
      <c r="I4609" s="2127"/>
      <c r="J4609" s="867"/>
      <c r="K4609" s="868"/>
      <c r="L4609" s="869"/>
      <c r="M4609" s="870"/>
      <c r="N4609" s="874"/>
      <c r="O4609" s="875"/>
      <c r="P4609" s="869"/>
      <c r="Q4609" s="878"/>
      <c r="R4609" s="1127">
        <v>1190.96</v>
      </c>
      <c r="S4609" s="950" t="s">
        <v>821</v>
      </c>
      <c r="T4609" s="872" t="s">
        <v>312</v>
      </c>
      <c r="U4609" s="998"/>
      <c r="V4609" s="1418">
        <f t="shared" si="462"/>
        <v>0</v>
      </c>
      <c r="W4609" s="357"/>
      <c r="X4609" s="357"/>
      <c r="Y4609" s="357"/>
      <c r="Z4609" s="358"/>
      <c r="AA4609" s="359"/>
      <c r="AB4609" s="360"/>
    </row>
    <row r="4610" spans="1:36" s="361" customFormat="1" ht="15" hidden="1">
      <c r="A4610" s="354"/>
      <c r="B4610" s="755" t="s">
        <v>2140</v>
      </c>
      <c r="C4610" s="28" t="s">
        <v>2141</v>
      </c>
      <c r="D4610" s="18"/>
      <c r="E4610" s="19"/>
      <c r="F4610" s="20"/>
      <c r="G4610" s="18"/>
      <c r="H4610" s="19"/>
      <c r="I4610" s="20"/>
      <c r="J4610" s="21"/>
      <c r="K4610" s="22"/>
      <c r="L4610" s="23"/>
      <c r="M4610" s="24"/>
      <c r="N4610" s="728"/>
      <c r="O4610" s="25"/>
      <c r="P4610" s="23"/>
      <c r="Q4610" s="729"/>
      <c r="R4610" s="445">
        <v>768.24</v>
      </c>
      <c r="S4610" s="792" t="s">
        <v>821</v>
      </c>
      <c r="T4610" s="446" t="s">
        <v>318</v>
      </c>
      <c r="U4610" s="793" t="s">
        <v>2142</v>
      </c>
      <c r="V4610" s="1418">
        <f t="shared" si="462"/>
        <v>0</v>
      </c>
      <c r="W4610" s="357"/>
      <c r="X4610" s="357"/>
      <c r="Y4610" s="357"/>
      <c r="Z4610" s="358"/>
      <c r="AA4610" s="359"/>
      <c r="AB4610" s="360"/>
    </row>
    <row r="4611" spans="1:36" s="369" customFormat="1" ht="15" hidden="1">
      <c r="A4611" s="364"/>
      <c r="B4611" s="355"/>
      <c r="C4611" s="32"/>
      <c r="D4611" s="33"/>
      <c r="E4611" s="34"/>
      <c r="F4611" s="35"/>
      <c r="G4611" s="33"/>
      <c r="H4611" s="34"/>
      <c r="I4611" s="35"/>
      <c r="J4611" s="43"/>
      <c r="K4611" s="42"/>
      <c r="L4611" s="39"/>
      <c r="M4611" s="41"/>
      <c r="N4611" s="40"/>
      <c r="O4611" s="40"/>
      <c r="P4611" s="39"/>
      <c r="Q4611" s="38"/>
      <c r="R4611" s="365"/>
      <c r="S4611" s="366"/>
      <c r="T4611" s="46"/>
      <c r="U4611" s="44"/>
      <c r="V4611" s="1418">
        <f t="shared" si="462"/>
        <v>0</v>
      </c>
      <c r="W4611" s="367"/>
      <c r="X4611" s="367"/>
      <c r="Y4611" s="367"/>
      <c r="Z4611" s="368"/>
    </row>
    <row r="4612" spans="1:36" s="77" customFormat="1" ht="15" hidden="1">
      <c r="A4612" s="370"/>
      <c r="B4612" s="29"/>
      <c r="C4612" s="30"/>
      <c r="D4612" s="18"/>
      <c r="E4612" s="19"/>
      <c r="F4612" s="20"/>
      <c r="G4612" s="18"/>
      <c r="H4612" s="19"/>
      <c r="I4612" s="20"/>
      <c r="J4612" s="21"/>
      <c r="K4612" s="22"/>
      <c r="L4612" s="23"/>
      <c r="M4612" s="24"/>
      <c r="N4612" s="25"/>
      <c r="O4612" s="25"/>
      <c r="P4612" s="23"/>
      <c r="Q4612" s="26"/>
      <c r="R4612" s="371"/>
      <c r="S4612" s="27"/>
      <c r="T4612" s="372"/>
      <c r="U4612" s="31"/>
      <c r="V4612" s="1418">
        <f t="shared" si="462"/>
        <v>0</v>
      </c>
      <c r="AB4612" s="15"/>
    </row>
    <row r="4613" spans="1:36" s="77" customFormat="1" ht="15.6" hidden="1">
      <c r="A4613" s="370"/>
      <c r="B4613" s="499"/>
      <c r="C4613" s="37"/>
      <c r="D4613" s="1929" t="s">
        <v>1520</v>
      </c>
      <c r="E4613" s="1930"/>
      <c r="F4613" s="1930"/>
      <c r="G4613" s="1930"/>
      <c r="H4613" s="1930"/>
      <c r="I4613" s="1931"/>
      <c r="J4613" s="1932">
        <f>VLOOKUP(A4615,'11 - FINANCEIRA'!_xlnm.Print_Area,6,FALSE)</f>
        <v>1959.2</v>
      </c>
      <c r="K4613" s="1933"/>
      <c r="L4613" s="1343" t="str">
        <f>VLOOKUP(A4615,'11 - FINANCEIRA'!_xlnm.Print_Area,4,FALSE)</f>
        <v>m²</v>
      </c>
      <c r="M4613" s="1934" t="s">
        <v>1521</v>
      </c>
      <c r="N4613" s="1935"/>
      <c r="O4613" s="1935"/>
      <c r="P4613" s="1935"/>
      <c r="Q4613" s="1936"/>
      <c r="R4613" s="726">
        <f>SUM(R4609:R4612)</f>
        <v>1959.2</v>
      </c>
      <c r="S4613" s="1344" t="str">
        <f>L4613</f>
        <v>m²</v>
      </c>
      <c r="T4613" s="373"/>
      <c r="U4613" s="486"/>
      <c r="V4613" s="1418">
        <f t="shared" si="462"/>
        <v>0</v>
      </c>
      <c r="AB4613" s="15"/>
    </row>
    <row r="4614" spans="1:36" s="77" customFormat="1" ht="15.6" hidden="1">
      <c r="A4614" s="370"/>
      <c r="B4614" s="499"/>
      <c r="C4614" s="725"/>
      <c r="D4614" s="1937" t="s">
        <v>1522</v>
      </c>
      <c r="E4614" s="1938"/>
      <c r="F4614" s="1938"/>
      <c r="G4614" s="1938"/>
      <c r="H4614" s="1938"/>
      <c r="I4614" s="1939"/>
      <c r="J4614" s="1943">
        <f>R4613/J4613</f>
        <v>1</v>
      </c>
      <c r="K4614" s="1944"/>
      <c r="L4614" s="1947"/>
      <c r="M4614" s="1934" t="s">
        <v>1523</v>
      </c>
      <c r="N4614" s="1935"/>
      <c r="O4614" s="1935"/>
      <c r="P4614" s="1935"/>
      <c r="Q4614" s="1936"/>
      <c r="R4614" s="726">
        <f>VLOOKUP(A4615,'11 - FINANCEIRA'!_xlnm.Print_Area,8,FALSE)</f>
        <v>1959.2</v>
      </c>
      <c r="S4614" s="727" t="str">
        <f>L4613</f>
        <v>m²</v>
      </c>
      <c r="T4614" s="373"/>
      <c r="U4614" s="486"/>
      <c r="V4614" s="1418">
        <f t="shared" si="462"/>
        <v>0</v>
      </c>
      <c r="AB4614" s="15"/>
    </row>
    <row r="4615" spans="1:36" s="77" customFormat="1" ht="15.6" hidden="1">
      <c r="A4615" s="364" t="s">
        <v>765</v>
      </c>
      <c r="B4615" s="499"/>
      <c r="C4615" s="37"/>
      <c r="D4615" s="2013"/>
      <c r="E4615" s="2014"/>
      <c r="F4615" s="2014"/>
      <c r="G4615" s="2014"/>
      <c r="H4615" s="2014"/>
      <c r="I4615" s="2015"/>
      <c r="J4615" s="2016"/>
      <c r="K4615" s="2017"/>
      <c r="L4615" s="1962"/>
      <c r="M4615" s="2007" t="s">
        <v>1524</v>
      </c>
      <c r="N4615" s="2008"/>
      <c r="O4615" s="2008"/>
      <c r="P4615" s="2008"/>
      <c r="Q4615" s="2009"/>
      <c r="R4615" s="1345">
        <f>R4613-R4614</f>
        <v>0</v>
      </c>
      <c r="S4615" s="1346" t="str">
        <f>L4613</f>
        <v>m²</v>
      </c>
      <c r="T4615" s="373"/>
      <c r="U4615" s="486"/>
      <c r="V4615" s="1418">
        <f>R4615</f>
        <v>0</v>
      </c>
      <c r="AB4615" s="15"/>
    </row>
    <row r="4616" spans="1:36" s="77" customFormat="1" ht="15.6" hidden="1">
      <c r="A4616" s="370"/>
      <c r="B4616" s="1347"/>
      <c r="C4616" s="1348"/>
      <c r="D4616" s="1349"/>
      <c r="E4616" s="1350"/>
      <c r="F4616" s="1349"/>
      <c r="G4616" s="1349"/>
      <c r="H4616" s="1349"/>
      <c r="I4616" s="1349"/>
      <c r="J4616" s="1351"/>
      <c r="K4616" s="1352"/>
      <c r="L4616" s="1353"/>
      <c r="M4616" s="1354"/>
      <c r="N4616" s="1354"/>
      <c r="O4616" s="1354"/>
      <c r="P4616" s="1354"/>
      <c r="Q4616" s="1354"/>
      <c r="R4616" s="1355"/>
      <c r="S4616" s="1356"/>
      <c r="T4616" s="1357"/>
      <c r="U4616" s="1358"/>
      <c r="V4616" s="1420">
        <f>SUM(V4607:V4615)</f>
        <v>0</v>
      </c>
      <c r="AB4616" s="15"/>
    </row>
    <row r="4617" spans="1:36" s="352" customFormat="1" ht="15.6" hidden="1">
      <c r="A4617" s="351"/>
      <c r="B4617" s="1963" t="str">
        <f>VLOOKUP(A4625,'11 - FINANCEIRA'!_xlnm.Print_Area,1,FALSE)</f>
        <v>4.1.10</v>
      </c>
      <c r="C4617" s="1965" t="str">
        <f>VLOOKUP(A4625,'11 - FINANCEIRA'!_xlnm.Print_Area,3,FALSE)</f>
        <v xml:space="preserve">Drenagem dos terrenos adjacentes (foram utilizados drenos de concreto de 1500 mm) </v>
      </c>
      <c r="D4617" s="1967" t="s">
        <v>205</v>
      </c>
      <c r="E4617" s="1968"/>
      <c r="F4617" s="1968"/>
      <c r="G4617" s="1968"/>
      <c r="H4617" s="1968"/>
      <c r="I4617" s="1969"/>
      <c r="J4617" s="1914" t="s">
        <v>2126</v>
      </c>
      <c r="K4617" s="1914" t="s">
        <v>1505</v>
      </c>
      <c r="L4617" s="1914" t="s">
        <v>1506</v>
      </c>
      <c r="M4617" s="1914" t="s">
        <v>1507</v>
      </c>
      <c r="N4617" s="1914" t="s">
        <v>1508</v>
      </c>
      <c r="O4617" s="1914" t="s">
        <v>1509</v>
      </c>
      <c r="P4617" s="1341" t="s">
        <v>1510</v>
      </c>
      <c r="Q4617" s="1914" t="s">
        <v>1493</v>
      </c>
      <c r="R4617" s="1916" t="s">
        <v>804</v>
      </c>
      <c r="S4617" s="1914" t="s">
        <v>1511</v>
      </c>
      <c r="T4617" s="1914" t="s">
        <v>1512</v>
      </c>
      <c r="U4617" s="1918" t="s">
        <v>1513</v>
      </c>
      <c r="V4617" s="1418">
        <f t="shared" ref="V4617:V4624" si="463">V4618</f>
        <v>0</v>
      </c>
      <c r="W4617" s="16"/>
      <c r="X4617" s="16"/>
      <c r="Y4617" s="16"/>
      <c r="Z4617" s="17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</row>
    <row r="4618" spans="1:36" s="352" customFormat="1" ht="15.6" hidden="1">
      <c r="A4618" s="351"/>
      <c r="B4618" s="1964" t="e">
        <f>LEFT(#REF!,5)</f>
        <v>#REF!</v>
      </c>
      <c r="C4618" s="1966" t="e">
        <f>VLOOKUP(LEFT(#REF!,5),'11 - FINANCEIRA'!_xlnm.Print_Area,2,FALSE)</f>
        <v>#REF!</v>
      </c>
      <c r="D4618" s="1920" t="s">
        <v>1514</v>
      </c>
      <c r="E4618" s="1921"/>
      <c r="F4618" s="1922"/>
      <c r="G4618" s="1923" t="s">
        <v>1515</v>
      </c>
      <c r="H4618" s="1924"/>
      <c r="I4618" s="1925"/>
      <c r="J4618" s="1915"/>
      <c r="K4618" s="1915"/>
      <c r="L4618" s="1915"/>
      <c r="M4618" s="1915"/>
      <c r="N4618" s="1915"/>
      <c r="O4618" s="1915"/>
      <c r="P4618" s="353" t="s">
        <v>1516</v>
      </c>
      <c r="Q4618" s="1915"/>
      <c r="R4618" s="1917"/>
      <c r="S4618" s="1915"/>
      <c r="T4618" s="1915"/>
      <c r="U4618" s="1919"/>
      <c r="V4618" s="1418">
        <f t="shared" si="463"/>
        <v>0</v>
      </c>
      <c r="W4618" s="16"/>
      <c r="X4618" s="16"/>
      <c r="Y4618" s="16"/>
      <c r="Z4618" s="17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</row>
    <row r="4619" spans="1:36" s="361" customFormat="1" ht="15" hidden="1">
      <c r="A4619" s="354"/>
      <c r="B4619" s="863" t="s">
        <v>2143</v>
      </c>
      <c r="C4619" s="710" t="s">
        <v>2144</v>
      </c>
      <c r="D4619" s="2125"/>
      <c r="E4619" s="2126"/>
      <c r="F4619" s="2127"/>
      <c r="G4619" s="2125"/>
      <c r="H4619" s="2126"/>
      <c r="I4619" s="2127"/>
      <c r="J4619" s="867"/>
      <c r="K4619" s="868"/>
      <c r="L4619" s="869"/>
      <c r="M4619" s="870"/>
      <c r="N4619" s="874"/>
      <c r="O4619" s="875"/>
      <c r="P4619" s="869"/>
      <c r="Q4619" s="878"/>
      <c r="R4619" s="1127">
        <v>42.5</v>
      </c>
      <c r="S4619" s="950" t="s">
        <v>809</v>
      </c>
      <c r="T4619" s="872" t="s">
        <v>318</v>
      </c>
      <c r="U4619" s="998"/>
      <c r="V4619" s="1418">
        <f t="shared" si="463"/>
        <v>0</v>
      </c>
      <c r="W4619" s="357"/>
      <c r="X4619" s="357"/>
      <c r="Y4619" s="357"/>
      <c r="Z4619" s="358"/>
      <c r="AA4619" s="359"/>
      <c r="AB4619" s="360"/>
    </row>
    <row r="4620" spans="1:36" s="361" customFormat="1" ht="15" hidden="1">
      <c r="A4620" s="354"/>
      <c r="B4620" s="355"/>
      <c r="C4620" s="32"/>
      <c r="D4620" s="33"/>
      <c r="E4620" s="34"/>
      <c r="F4620" s="35"/>
      <c r="G4620" s="33"/>
      <c r="H4620" s="34"/>
      <c r="I4620" s="35"/>
      <c r="J4620" s="43"/>
      <c r="K4620" s="42"/>
      <c r="L4620" s="39"/>
      <c r="M4620" s="41"/>
      <c r="N4620" s="356"/>
      <c r="O4620" s="40"/>
      <c r="P4620" s="39"/>
      <c r="Q4620" s="45"/>
      <c r="R4620" s="362"/>
      <c r="S4620" s="363"/>
      <c r="T4620" s="46"/>
      <c r="U4620" s="44"/>
      <c r="V4620" s="1418">
        <f t="shared" si="463"/>
        <v>0</v>
      </c>
      <c r="W4620" s="357"/>
      <c r="X4620" s="357"/>
      <c r="Y4620" s="357"/>
      <c r="Z4620" s="358"/>
      <c r="AA4620" s="359"/>
      <c r="AB4620" s="360"/>
    </row>
    <row r="4621" spans="1:36" s="369" customFormat="1" ht="15" hidden="1">
      <c r="A4621" s="364"/>
      <c r="B4621" s="355"/>
      <c r="C4621" s="32"/>
      <c r="D4621" s="33"/>
      <c r="E4621" s="34"/>
      <c r="F4621" s="35"/>
      <c r="G4621" s="33"/>
      <c r="H4621" s="34"/>
      <c r="I4621" s="35"/>
      <c r="J4621" s="43"/>
      <c r="K4621" s="42"/>
      <c r="L4621" s="39"/>
      <c r="M4621" s="41"/>
      <c r="N4621" s="40"/>
      <c r="O4621" s="40"/>
      <c r="P4621" s="39"/>
      <c r="Q4621" s="38"/>
      <c r="R4621" s="365"/>
      <c r="S4621" s="366"/>
      <c r="T4621" s="46"/>
      <c r="U4621" s="44"/>
      <c r="V4621" s="1418">
        <f t="shared" si="463"/>
        <v>0</v>
      </c>
      <c r="W4621" s="367"/>
      <c r="X4621" s="367"/>
      <c r="Y4621" s="367"/>
      <c r="Z4621" s="368"/>
    </row>
    <row r="4622" spans="1:36" s="77" customFormat="1" ht="15" hidden="1">
      <c r="A4622" s="370"/>
      <c r="B4622" s="29"/>
      <c r="C4622" s="30"/>
      <c r="D4622" s="18"/>
      <c r="E4622" s="19"/>
      <c r="F4622" s="20"/>
      <c r="G4622" s="18"/>
      <c r="H4622" s="19"/>
      <c r="I4622" s="20"/>
      <c r="J4622" s="21"/>
      <c r="K4622" s="22"/>
      <c r="L4622" s="23"/>
      <c r="M4622" s="24"/>
      <c r="N4622" s="25"/>
      <c r="O4622" s="25"/>
      <c r="P4622" s="23"/>
      <c r="Q4622" s="26"/>
      <c r="R4622" s="371"/>
      <c r="S4622" s="27"/>
      <c r="T4622" s="372"/>
      <c r="U4622" s="31"/>
      <c r="V4622" s="1418">
        <f t="shared" si="463"/>
        <v>0</v>
      </c>
      <c r="AB4622" s="15"/>
    </row>
    <row r="4623" spans="1:36" s="77" customFormat="1" ht="15.6" hidden="1">
      <c r="A4623" s="370"/>
      <c r="B4623" s="499"/>
      <c r="C4623" s="37"/>
      <c r="D4623" s="1929" t="s">
        <v>1520</v>
      </c>
      <c r="E4623" s="1930"/>
      <c r="F4623" s="1930"/>
      <c r="G4623" s="1930"/>
      <c r="H4623" s="1930"/>
      <c r="I4623" s="1931"/>
      <c r="J4623" s="1932">
        <f>VLOOKUP(A4625,'11 - FINANCEIRA'!_xlnm.Print_Area,6,FALSE)</f>
        <v>42.5</v>
      </c>
      <c r="K4623" s="1933"/>
      <c r="L4623" s="1343" t="str">
        <f>VLOOKUP(A4625,'11 - FINANCEIRA'!_xlnm.Print_Area,4,FALSE)</f>
        <v>m</v>
      </c>
      <c r="M4623" s="1934" t="s">
        <v>1521</v>
      </c>
      <c r="N4623" s="1935"/>
      <c r="O4623" s="1935"/>
      <c r="P4623" s="1935"/>
      <c r="Q4623" s="1936"/>
      <c r="R4623" s="726">
        <f>SUM(R4619:R4622)</f>
        <v>42.5</v>
      </c>
      <c r="S4623" s="1344" t="str">
        <f>L4623</f>
        <v>m</v>
      </c>
      <c r="T4623" s="373"/>
      <c r="U4623" s="486"/>
      <c r="V4623" s="1418">
        <f t="shared" si="463"/>
        <v>0</v>
      </c>
      <c r="AB4623" s="15"/>
    </row>
    <row r="4624" spans="1:36" s="77" customFormat="1" ht="15.6" hidden="1">
      <c r="A4624" s="370"/>
      <c r="B4624" s="499"/>
      <c r="C4624" s="725"/>
      <c r="D4624" s="1937" t="s">
        <v>1522</v>
      </c>
      <c r="E4624" s="1938"/>
      <c r="F4624" s="1938"/>
      <c r="G4624" s="1938"/>
      <c r="H4624" s="1938"/>
      <c r="I4624" s="1939"/>
      <c r="J4624" s="1943">
        <f>R4623/J4623</f>
        <v>1</v>
      </c>
      <c r="K4624" s="1944"/>
      <c r="L4624" s="1947"/>
      <c r="M4624" s="1934" t="s">
        <v>1523</v>
      </c>
      <c r="N4624" s="1935"/>
      <c r="O4624" s="1935"/>
      <c r="P4624" s="1935"/>
      <c r="Q4624" s="1936"/>
      <c r="R4624" s="726">
        <f>VLOOKUP(A4625,'11 - FINANCEIRA'!_xlnm.Print_Area,8,FALSE)</f>
        <v>42.5</v>
      </c>
      <c r="S4624" s="727" t="str">
        <f>L4623</f>
        <v>m</v>
      </c>
      <c r="T4624" s="373"/>
      <c r="U4624" s="486"/>
      <c r="V4624" s="1418">
        <f t="shared" si="463"/>
        <v>0</v>
      </c>
      <c r="AB4624" s="15"/>
    </row>
    <row r="4625" spans="1:36" s="77" customFormat="1" ht="15.6" hidden="1">
      <c r="A4625" s="364" t="s">
        <v>766</v>
      </c>
      <c r="B4625" s="499"/>
      <c r="C4625" s="37"/>
      <c r="D4625" s="2013"/>
      <c r="E4625" s="2014"/>
      <c r="F4625" s="2014"/>
      <c r="G4625" s="2014"/>
      <c r="H4625" s="2014"/>
      <c r="I4625" s="2015"/>
      <c r="J4625" s="2016"/>
      <c r="K4625" s="2017"/>
      <c r="L4625" s="1962"/>
      <c r="M4625" s="2007" t="s">
        <v>1524</v>
      </c>
      <c r="N4625" s="2008"/>
      <c r="O4625" s="2008"/>
      <c r="P4625" s="2008"/>
      <c r="Q4625" s="2009"/>
      <c r="R4625" s="1345">
        <f>R4623-R4624</f>
        <v>0</v>
      </c>
      <c r="S4625" s="1346" t="str">
        <f>L4623</f>
        <v>m</v>
      </c>
      <c r="T4625" s="373"/>
      <c r="U4625" s="486"/>
      <c r="V4625" s="1418">
        <f>R4625</f>
        <v>0</v>
      </c>
      <c r="AB4625" s="15"/>
    </row>
    <row r="4626" spans="1:36" s="77" customFormat="1" ht="15.6" hidden="1">
      <c r="A4626" s="370"/>
      <c r="B4626" s="1347"/>
      <c r="C4626" s="1348"/>
      <c r="D4626" s="1349"/>
      <c r="E4626" s="1350"/>
      <c r="F4626" s="1349"/>
      <c r="G4626" s="1349"/>
      <c r="H4626" s="1349"/>
      <c r="I4626" s="1349"/>
      <c r="J4626" s="1351"/>
      <c r="K4626" s="1352"/>
      <c r="L4626" s="1353"/>
      <c r="M4626" s="1354"/>
      <c r="N4626" s="1354"/>
      <c r="O4626" s="1354"/>
      <c r="P4626" s="1354"/>
      <c r="Q4626" s="1354"/>
      <c r="R4626" s="1355"/>
      <c r="S4626" s="1356"/>
      <c r="T4626" s="1357"/>
      <c r="U4626" s="1358"/>
      <c r="V4626" s="1420">
        <f>SUM(V4617:V4625)</f>
        <v>0</v>
      </c>
      <c r="AB4626" s="15"/>
    </row>
    <row r="4627" spans="1:36" s="352" customFormat="1" ht="15.6" hidden="1">
      <c r="A4627" s="351"/>
      <c r="B4627" s="1963" t="str">
        <f>VLOOKUP(A4636,'11 - FINANCEIRA'!_xlnm.Print_Area,1,FALSE)</f>
        <v>4.1.11</v>
      </c>
      <c r="C4627" s="1965" t="str">
        <f>VLOOKUP(A4636,'11 - FINANCEIRA'!_xlnm.Print_Area,3,FALSE)</f>
        <v>Escavação e carga de material de jazida com escavadeira hidráulica (Remanejamento de solo para reforço do Dique)</v>
      </c>
      <c r="D4627" s="1967" t="s">
        <v>205</v>
      </c>
      <c r="E4627" s="1968"/>
      <c r="F4627" s="1968"/>
      <c r="G4627" s="1968"/>
      <c r="H4627" s="1968"/>
      <c r="I4627" s="1969"/>
      <c r="J4627" s="1914" t="s">
        <v>2126</v>
      </c>
      <c r="K4627" s="1914" t="s">
        <v>1505</v>
      </c>
      <c r="L4627" s="1914" t="s">
        <v>1506</v>
      </c>
      <c r="M4627" s="1914" t="s">
        <v>1507</v>
      </c>
      <c r="N4627" s="1914" t="s">
        <v>1508</v>
      </c>
      <c r="O4627" s="1914" t="s">
        <v>1509</v>
      </c>
      <c r="P4627" s="1341" t="s">
        <v>1510</v>
      </c>
      <c r="Q4627" s="1914" t="s">
        <v>1493</v>
      </c>
      <c r="R4627" s="1916" t="s">
        <v>804</v>
      </c>
      <c r="S4627" s="1914" t="s">
        <v>1511</v>
      </c>
      <c r="T4627" s="1914" t="s">
        <v>1512</v>
      </c>
      <c r="U4627" s="1918" t="s">
        <v>1513</v>
      </c>
      <c r="V4627" s="1418">
        <f t="shared" ref="V4627:V4635" si="464">V4628</f>
        <v>0</v>
      </c>
      <c r="W4627" s="16"/>
      <c r="X4627" s="16"/>
      <c r="Y4627" s="16"/>
      <c r="Z4627" s="17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</row>
    <row r="4628" spans="1:36" s="352" customFormat="1" ht="15.6" hidden="1">
      <c r="A4628" s="351"/>
      <c r="B4628" s="1964" t="e">
        <f>LEFT(#REF!,5)</f>
        <v>#REF!</v>
      </c>
      <c r="C4628" s="1966" t="e">
        <f>VLOOKUP(LEFT(#REF!,5),'11 - FINANCEIRA'!_xlnm.Print_Area,2,FALSE)</f>
        <v>#REF!</v>
      </c>
      <c r="D4628" s="1920" t="s">
        <v>1514</v>
      </c>
      <c r="E4628" s="1921"/>
      <c r="F4628" s="1922"/>
      <c r="G4628" s="1923" t="s">
        <v>1515</v>
      </c>
      <c r="H4628" s="1924"/>
      <c r="I4628" s="1925"/>
      <c r="J4628" s="1915"/>
      <c r="K4628" s="1915"/>
      <c r="L4628" s="1915"/>
      <c r="M4628" s="1915"/>
      <c r="N4628" s="1915"/>
      <c r="O4628" s="1915"/>
      <c r="P4628" s="353" t="s">
        <v>1516</v>
      </c>
      <c r="Q4628" s="1915"/>
      <c r="R4628" s="1917"/>
      <c r="S4628" s="1915"/>
      <c r="T4628" s="1915"/>
      <c r="U4628" s="1919"/>
      <c r="V4628" s="1418">
        <f t="shared" si="464"/>
        <v>0</v>
      </c>
      <c r="W4628" s="16"/>
      <c r="X4628" s="16"/>
      <c r="Y4628" s="16"/>
      <c r="Z4628" s="17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</row>
    <row r="4629" spans="1:36" s="361" customFormat="1" ht="15" hidden="1">
      <c r="A4629" s="354"/>
      <c r="B4629" s="863" t="s">
        <v>2145</v>
      </c>
      <c r="C4629" s="710" t="s">
        <v>2146</v>
      </c>
      <c r="D4629" s="2125"/>
      <c r="E4629" s="2126"/>
      <c r="F4629" s="2127"/>
      <c r="G4629" s="2125"/>
      <c r="H4629" s="2126"/>
      <c r="I4629" s="2127"/>
      <c r="J4629" s="867"/>
      <c r="K4629" s="868"/>
      <c r="L4629" s="869"/>
      <c r="M4629" s="870"/>
      <c r="N4629" s="874"/>
      <c r="O4629" s="875"/>
      <c r="P4629" s="869"/>
      <c r="Q4629" s="878"/>
      <c r="R4629" s="1127">
        <v>9958.1929999999993</v>
      </c>
      <c r="S4629" s="729" t="s">
        <v>853</v>
      </c>
      <c r="T4629" s="872" t="s">
        <v>318</v>
      </c>
      <c r="U4629" s="843" t="s">
        <v>2043</v>
      </c>
      <c r="V4629" s="1418">
        <f t="shared" si="464"/>
        <v>0</v>
      </c>
      <c r="W4629" s="357"/>
      <c r="X4629" s="357"/>
      <c r="Y4629" s="357"/>
      <c r="Z4629" s="358"/>
      <c r="AA4629" s="359"/>
      <c r="AB4629" s="360"/>
    </row>
    <row r="4630" spans="1:36" s="361" customFormat="1" ht="15" hidden="1">
      <c r="A4630" s="354"/>
      <c r="B4630" s="863" t="s">
        <v>2147</v>
      </c>
      <c r="C4630" s="28" t="s">
        <v>2148</v>
      </c>
      <c r="D4630" s="18"/>
      <c r="E4630" s="19"/>
      <c r="F4630" s="20"/>
      <c r="G4630" s="18"/>
      <c r="H4630" s="19"/>
      <c r="I4630" s="20"/>
      <c r="J4630" s="21"/>
      <c r="K4630" s="22"/>
      <c r="L4630" s="23"/>
      <c r="M4630" s="24"/>
      <c r="N4630" s="728"/>
      <c r="O4630" s="25"/>
      <c r="P4630" s="23"/>
      <c r="Q4630" s="729"/>
      <c r="R4630" s="445">
        <v>3431.46</v>
      </c>
      <c r="S4630" s="729" t="s">
        <v>853</v>
      </c>
      <c r="T4630" s="872" t="s">
        <v>318</v>
      </c>
      <c r="U4630" s="793" t="s">
        <v>2149</v>
      </c>
      <c r="V4630" s="1418">
        <f t="shared" si="464"/>
        <v>0</v>
      </c>
      <c r="W4630" s="357"/>
      <c r="X4630" s="357"/>
      <c r="Y4630" s="357"/>
      <c r="Z4630" s="358"/>
      <c r="AA4630" s="359"/>
      <c r="AB4630" s="360"/>
    </row>
    <row r="4631" spans="1:36" s="369" customFormat="1" ht="15" hidden="1">
      <c r="A4631" s="364"/>
      <c r="B4631" s="863" t="s">
        <v>2150</v>
      </c>
      <c r="C4631" s="28" t="s">
        <v>2151</v>
      </c>
      <c r="D4631" s="18"/>
      <c r="E4631" s="19"/>
      <c r="F4631" s="20"/>
      <c r="G4631" s="18"/>
      <c r="H4631" s="19"/>
      <c r="I4631" s="20"/>
      <c r="J4631" s="21"/>
      <c r="K4631" s="22"/>
      <c r="L4631" s="23"/>
      <c r="M4631" s="24"/>
      <c r="N4631" s="25"/>
      <c r="O4631" s="25"/>
      <c r="P4631" s="23"/>
      <c r="Q4631" s="26"/>
      <c r="R4631" s="849">
        <v>2510.13</v>
      </c>
      <c r="S4631" s="729" t="s">
        <v>853</v>
      </c>
      <c r="T4631" s="872" t="s">
        <v>318</v>
      </c>
      <c r="U4631" s="843" t="s">
        <v>2152</v>
      </c>
      <c r="V4631" s="1418">
        <f t="shared" si="464"/>
        <v>0</v>
      </c>
      <c r="W4631" s="367"/>
      <c r="X4631" s="367"/>
      <c r="Y4631" s="367"/>
      <c r="Z4631" s="368"/>
    </row>
    <row r="4632" spans="1:36" s="369" customFormat="1" ht="15" hidden="1">
      <c r="A4632" s="364"/>
      <c r="B4632" s="863" t="s">
        <v>2153</v>
      </c>
      <c r="C4632" s="28" t="s">
        <v>2154</v>
      </c>
      <c r="D4632" s="18"/>
      <c r="E4632" s="19"/>
      <c r="F4632" s="20"/>
      <c r="G4632" s="18"/>
      <c r="H4632" s="19"/>
      <c r="I4632" s="20"/>
      <c r="J4632" s="21"/>
      <c r="K4632" s="22"/>
      <c r="L4632" s="23"/>
      <c r="M4632" s="24"/>
      <c r="N4632" s="25"/>
      <c r="O4632" s="25"/>
      <c r="P4632" s="23"/>
      <c r="Q4632" s="26"/>
      <c r="R4632" s="1128">
        <v>2791.61</v>
      </c>
      <c r="S4632" s="729" t="s">
        <v>853</v>
      </c>
      <c r="T4632" s="872" t="s">
        <v>318</v>
      </c>
      <c r="U4632" s="843" t="s">
        <v>2152</v>
      </c>
      <c r="V4632" s="1418">
        <f t="shared" si="464"/>
        <v>0</v>
      </c>
      <c r="W4632" s="367"/>
      <c r="X4632" s="367"/>
      <c r="Y4632" s="367"/>
      <c r="Z4632" s="368"/>
    </row>
    <row r="4633" spans="1:36" s="77" customFormat="1" ht="15" hidden="1">
      <c r="A4633" s="370"/>
      <c r="B4633" s="29"/>
      <c r="C4633" s="30"/>
      <c r="D4633" s="18"/>
      <c r="E4633" s="19"/>
      <c r="F4633" s="20"/>
      <c r="G4633" s="18"/>
      <c r="H4633" s="19"/>
      <c r="I4633" s="20"/>
      <c r="J4633" s="21"/>
      <c r="K4633" s="22"/>
      <c r="L4633" s="23"/>
      <c r="M4633" s="24"/>
      <c r="N4633" s="25"/>
      <c r="O4633" s="25"/>
      <c r="P4633" s="23"/>
      <c r="Q4633" s="26"/>
      <c r="R4633" s="371"/>
      <c r="S4633" s="27"/>
      <c r="T4633" s="372"/>
      <c r="U4633" s="31"/>
      <c r="V4633" s="1418">
        <f t="shared" si="464"/>
        <v>0</v>
      </c>
      <c r="AB4633" s="15"/>
    </row>
    <row r="4634" spans="1:36" s="77" customFormat="1" ht="15.6" hidden="1">
      <c r="A4634" s="370"/>
      <c r="B4634" s="499"/>
      <c r="C4634" s="37"/>
      <c r="D4634" s="1929" t="s">
        <v>1520</v>
      </c>
      <c r="E4634" s="1930"/>
      <c r="F4634" s="1930"/>
      <c r="G4634" s="1930"/>
      <c r="H4634" s="1930"/>
      <c r="I4634" s="1931"/>
      <c r="J4634" s="1932">
        <f>VLOOKUP(A4636,'11 - FINANCEIRA'!_xlnm.Print_Area,6,FALSE)</f>
        <v>18691.39</v>
      </c>
      <c r="K4634" s="1933"/>
      <c r="L4634" s="1343" t="str">
        <f>VLOOKUP(A4636,'11 - FINANCEIRA'!_xlnm.Print_Area,4,FALSE)</f>
        <v>m³</v>
      </c>
      <c r="M4634" s="1934" t="s">
        <v>1521</v>
      </c>
      <c r="N4634" s="1935"/>
      <c r="O4634" s="1935"/>
      <c r="P4634" s="1935"/>
      <c r="Q4634" s="1936"/>
      <c r="R4634" s="726">
        <f>SUM(R4629:R4633)</f>
        <v>18691.393</v>
      </c>
      <c r="S4634" s="1344" t="str">
        <f>L4634</f>
        <v>m³</v>
      </c>
      <c r="T4634" s="373"/>
      <c r="U4634" s="486"/>
      <c r="V4634" s="1418">
        <f t="shared" si="464"/>
        <v>0</v>
      </c>
      <c r="AB4634" s="15"/>
    </row>
    <row r="4635" spans="1:36" s="77" customFormat="1" ht="15.6" hidden="1">
      <c r="A4635" s="370"/>
      <c r="B4635" s="499"/>
      <c r="C4635" s="725"/>
      <c r="D4635" s="1937" t="s">
        <v>1522</v>
      </c>
      <c r="E4635" s="1938"/>
      <c r="F4635" s="1938"/>
      <c r="G4635" s="1938"/>
      <c r="H4635" s="1938"/>
      <c r="I4635" s="1939"/>
      <c r="J4635" s="1943">
        <f>R4634/J4634</f>
        <v>1.000000160501707</v>
      </c>
      <c r="K4635" s="1944"/>
      <c r="L4635" s="1947"/>
      <c r="M4635" s="1934" t="s">
        <v>1523</v>
      </c>
      <c r="N4635" s="1935"/>
      <c r="O4635" s="1935"/>
      <c r="P4635" s="1935"/>
      <c r="Q4635" s="1936"/>
      <c r="R4635" s="726">
        <f>VLOOKUP(A4636,'11 - FINANCEIRA'!_xlnm.Print_Area,8,FALSE)</f>
        <v>18691.393</v>
      </c>
      <c r="S4635" s="727" t="str">
        <f>L4634</f>
        <v>m³</v>
      </c>
      <c r="T4635" s="373"/>
      <c r="U4635" s="486"/>
      <c r="V4635" s="1418">
        <f t="shared" si="464"/>
        <v>0</v>
      </c>
      <c r="AB4635" s="15"/>
    </row>
    <row r="4636" spans="1:36" s="77" customFormat="1" ht="15.6" hidden="1">
      <c r="A4636" s="364" t="s">
        <v>767</v>
      </c>
      <c r="B4636" s="499"/>
      <c r="C4636" s="37"/>
      <c r="D4636" s="2013"/>
      <c r="E4636" s="2014"/>
      <c r="F4636" s="2014"/>
      <c r="G4636" s="2014"/>
      <c r="H4636" s="2014"/>
      <c r="I4636" s="2015"/>
      <c r="J4636" s="2016"/>
      <c r="K4636" s="2017"/>
      <c r="L4636" s="1962"/>
      <c r="M4636" s="2007" t="s">
        <v>1524</v>
      </c>
      <c r="N4636" s="2008"/>
      <c r="O4636" s="2008"/>
      <c r="P4636" s="2008"/>
      <c r="Q4636" s="2009"/>
      <c r="R4636" s="1345">
        <f>R4634-R4635</f>
        <v>0</v>
      </c>
      <c r="S4636" s="1346" t="str">
        <f>L4634</f>
        <v>m³</v>
      </c>
      <c r="T4636" s="373"/>
      <c r="U4636" s="486"/>
      <c r="V4636" s="1418">
        <f>R4636</f>
        <v>0</v>
      </c>
      <c r="AB4636" s="15"/>
    </row>
    <row r="4637" spans="1:36" s="77" customFormat="1" ht="15.6" hidden="1">
      <c r="A4637" s="370"/>
      <c r="B4637" s="1347"/>
      <c r="C4637" s="1348"/>
      <c r="D4637" s="1349"/>
      <c r="E4637" s="1350"/>
      <c r="F4637" s="1349"/>
      <c r="G4637" s="1349"/>
      <c r="H4637" s="1349"/>
      <c r="I4637" s="1349"/>
      <c r="J4637" s="1351"/>
      <c r="K4637" s="1352"/>
      <c r="L4637" s="1353"/>
      <c r="M4637" s="1354"/>
      <c r="N4637" s="1354"/>
      <c r="O4637" s="1354"/>
      <c r="P4637" s="1354"/>
      <c r="Q4637" s="1354"/>
      <c r="R4637" s="1355"/>
      <c r="S4637" s="1356"/>
      <c r="T4637" s="1357"/>
      <c r="U4637" s="1358"/>
      <c r="V4637" s="1420">
        <f>SUM(V4627:V4636)</f>
        <v>0</v>
      </c>
      <c r="AB4637" s="15"/>
    </row>
    <row r="4638" spans="1:36" s="352" customFormat="1" ht="15.6" hidden="1">
      <c r="A4638" s="351"/>
      <c r="B4638" s="1963" t="str">
        <f>VLOOKUP(A4646,'11 - FINANCEIRA'!_xlnm.Print_Area,1,FALSE)</f>
        <v>4.1.12</v>
      </c>
      <c r="C4638" s="1965" t="str">
        <f>VLOOKUP(A4646,'11 - FINANCEIRA'!_xlnm.Print_Area,3,FALSE)</f>
        <v>Colchão com pedra tipo rachão, para base de galeria, inclusive compactação mecânica e transporte - fornecimento e assentamento</v>
      </c>
      <c r="D4638" s="1967" t="s">
        <v>205</v>
      </c>
      <c r="E4638" s="1968"/>
      <c r="F4638" s="1968"/>
      <c r="G4638" s="1968"/>
      <c r="H4638" s="1968"/>
      <c r="I4638" s="1969"/>
      <c r="J4638" s="1914" t="s">
        <v>2126</v>
      </c>
      <c r="K4638" s="1914" t="s">
        <v>1505</v>
      </c>
      <c r="L4638" s="1914" t="s">
        <v>1506</v>
      </c>
      <c r="M4638" s="1914" t="s">
        <v>1507</v>
      </c>
      <c r="N4638" s="1914" t="s">
        <v>1508</v>
      </c>
      <c r="O4638" s="1914" t="s">
        <v>1509</v>
      </c>
      <c r="P4638" s="1341" t="s">
        <v>1510</v>
      </c>
      <c r="Q4638" s="1914" t="s">
        <v>1493</v>
      </c>
      <c r="R4638" s="1916" t="s">
        <v>804</v>
      </c>
      <c r="S4638" s="1914" t="s">
        <v>1511</v>
      </c>
      <c r="T4638" s="1914" t="s">
        <v>1512</v>
      </c>
      <c r="U4638" s="1918" t="s">
        <v>1513</v>
      </c>
      <c r="V4638" s="1418">
        <f t="shared" ref="V4638:V4645" si="465">V4639</f>
        <v>0</v>
      </c>
      <c r="W4638" s="16"/>
      <c r="X4638" s="16"/>
      <c r="Y4638" s="16"/>
      <c r="Z4638" s="17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</row>
    <row r="4639" spans="1:36" s="352" customFormat="1" ht="15.6" hidden="1">
      <c r="A4639" s="351"/>
      <c r="B4639" s="1964" t="e">
        <f>LEFT(#REF!,5)</f>
        <v>#REF!</v>
      </c>
      <c r="C4639" s="1966" t="e">
        <f>VLOOKUP(LEFT(#REF!,5),'11 - FINANCEIRA'!_xlnm.Print_Area,2,FALSE)</f>
        <v>#REF!</v>
      </c>
      <c r="D4639" s="1920" t="s">
        <v>1514</v>
      </c>
      <c r="E4639" s="1921"/>
      <c r="F4639" s="1922"/>
      <c r="G4639" s="1923" t="s">
        <v>1515</v>
      </c>
      <c r="H4639" s="1924"/>
      <c r="I4639" s="1925"/>
      <c r="J4639" s="1915"/>
      <c r="K4639" s="1915"/>
      <c r="L4639" s="1915"/>
      <c r="M4639" s="1915"/>
      <c r="N4639" s="1915"/>
      <c r="O4639" s="1915"/>
      <c r="P4639" s="353" t="s">
        <v>1516</v>
      </c>
      <c r="Q4639" s="1915"/>
      <c r="R4639" s="1917"/>
      <c r="S4639" s="1915"/>
      <c r="T4639" s="1915"/>
      <c r="U4639" s="1919"/>
      <c r="V4639" s="1418">
        <f t="shared" si="465"/>
        <v>0</v>
      </c>
      <c r="W4639" s="16"/>
      <c r="X4639" s="16"/>
      <c r="Y4639" s="16"/>
      <c r="Z4639" s="17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</row>
    <row r="4640" spans="1:36" s="361" customFormat="1" ht="30" hidden="1">
      <c r="A4640" s="354"/>
      <c r="B4640" s="863" t="s">
        <v>2155</v>
      </c>
      <c r="C4640" s="710" t="s">
        <v>1457</v>
      </c>
      <c r="D4640" s="2125"/>
      <c r="E4640" s="2126"/>
      <c r="F4640" s="2127"/>
      <c r="G4640" s="2125"/>
      <c r="H4640" s="2126"/>
      <c r="I4640" s="2127"/>
      <c r="J4640" s="867"/>
      <c r="K4640" s="868"/>
      <c r="L4640" s="869"/>
      <c r="M4640" s="870"/>
      <c r="N4640" s="874"/>
      <c r="O4640" s="875"/>
      <c r="P4640" s="869"/>
      <c r="Q4640" s="878"/>
      <c r="R4640" s="1127">
        <v>2290.29</v>
      </c>
      <c r="S4640" s="950" t="s">
        <v>853</v>
      </c>
      <c r="T4640" s="872" t="s">
        <v>318</v>
      </c>
      <c r="U4640" s="843" t="s">
        <v>2152</v>
      </c>
      <c r="V4640" s="1418">
        <f t="shared" si="465"/>
        <v>0</v>
      </c>
      <c r="W4640" s="357"/>
      <c r="X4640" s="357"/>
      <c r="Y4640" s="357"/>
      <c r="Z4640" s="358"/>
      <c r="AA4640" s="359"/>
      <c r="AB4640" s="360"/>
    </row>
    <row r="4641" spans="1:36" s="361" customFormat="1" ht="30" hidden="1">
      <c r="A4641" s="354"/>
      <c r="B4641" s="355"/>
      <c r="C4641" s="28" t="s">
        <v>1457</v>
      </c>
      <c r="D4641" s="18"/>
      <c r="E4641" s="19"/>
      <c r="F4641" s="20"/>
      <c r="G4641" s="18"/>
      <c r="H4641" s="19"/>
      <c r="I4641" s="20"/>
      <c r="J4641" s="21"/>
      <c r="K4641" s="22"/>
      <c r="L4641" s="23"/>
      <c r="M4641" s="24"/>
      <c r="N4641" s="728"/>
      <c r="O4641" s="25"/>
      <c r="P4641" s="23"/>
      <c r="Q4641" s="729"/>
      <c r="R4641" s="445">
        <v>456.72</v>
      </c>
      <c r="S4641" s="792" t="s">
        <v>853</v>
      </c>
      <c r="T4641" s="446" t="s">
        <v>319</v>
      </c>
      <c r="U4641" s="843" t="s">
        <v>2156</v>
      </c>
      <c r="V4641" s="1418">
        <f t="shared" si="465"/>
        <v>0</v>
      </c>
      <c r="W4641" s="357"/>
      <c r="X4641" s="357"/>
      <c r="Y4641" s="357"/>
      <c r="Z4641" s="358"/>
      <c r="AA4641" s="359"/>
      <c r="AB4641" s="360"/>
    </row>
    <row r="4642" spans="1:36" s="369" customFormat="1" ht="30" hidden="1">
      <c r="A4642" s="364"/>
      <c r="B4642" s="355"/>
      <c r="C4642" s="28" t="s">
        <v>1457</v>
      </c>
      <c r="D4642" s="18"/>
      <c r="E4642" s="19"/>
      <c r="F4642" s="20"/>
      <c r="G4642" s="18"/>
      <c r="H4642" s="19"/>
      <c r="I4642" s="20"/>
      <c r="J4642" s="21"/>
      <c r="K4642" s="22"/>
      <c r="L4642" s="23"/>
      <c r="M4642" s="24"/>
      <c r="N4642" s="728"/>
      <c r="O4642" s="25"/>
      <c r="P4642" s="23"/>
      <c r="Q4642" s="729"/>
      <c r="R4642" s="445">
        <v>202.18</v>
      </c>
      <c r="S4642" s="792" t="s">
        <v>853</v>
      </c>
      <c r="T4642" s="446" t="s">
        <v>320</v>
      </c>
      <c r="U4642" s="843" t="s">
        <v>2157</v>
      </c>
      <c r="V4642" s="1418">
        <f t="shared" si="465"/>
        <v>0</v>
      </c>
      <c r="W4642" s="367"/>
      <c r="X4642" s="367"/>
      <c r="Y4642" s="367"/>
      <c r="Z4642" s="368"/>
    </row>
    <row r="4643" spans="1:36" s="77" customFormat="1" ht="15" hidden="1">
      <c r="A4643" s="370"/>
      <c r="B4643" s="29"/>
      <c r="C4643" s="30"/>
      <c r="D4643" s="18"/>
      <c r="E4643" s="19"/>
      <c r="F4643" s="20"/>
      <c r="G4643" s="18"/>
      <c r="H4643" s="19"/>
      <c r="I4643" s="20"/>
      <c r="J4643" s="21"/>
      <c r="K4643" s="22"/>
      <c r="L4643" s="23"/>
      <c r="M4643" s="24"/>
      <c r="N4643" s="25"/>
      <c r="O4643" s="25"/>
      <c r="P4643" s="23"/>
      <c r="Q4643" s="26"/>
      <c r="R4643" s="371"/>
      <c r="S4643" s="27"/>
      <c r="T4643" s="372"/>
      <c r="U4643" s="31"/>
      <c r="V4643" s="1418">
        <f t="shared" si="465"/>
        <v>0</v>
      </c>
      <c r="AB4643" s="15"/>
    </row>
    <row r="4644" spans="1:36" s="77" customFormat="1" ht="15.6" hidden="1">
      <c r="A4644" s="370"/>
      <c r="B4644" s="499"/>
      <c r="C4644" s="37"/>
      <c r="D4644" s="1929" t="s">
        <v>1520</v>
      </c>
      <c r="E4644" s="1930"/>
      <c r="F4644" s="1930"/>
      <c r="G4644" s="1930"/>
      <c r="H4644" s="1930"/>
      <c r="I4644" s="1931"/>
      <c r="J4644" s="1932">
        <f>VLOOKUP(A4646,'11 - FINANCEIRA'!_xlnm.Print_Area,6,FALSE)</f>
        <v>2949.19</v>
      </c>
      <c r="K4644" s="1933"/>
      <c r="L4644" s="1343" t="str">
        <f>VLOOKUP(A4646,'11 - FINANCEIRA'!_xlnm.Print_Area,4,FALSE)</f>
        <v>m³</v>
      </c>
      <c r="M4644" s="1934" t="s">
        <v>1521</v>
      </c>
      <c r="N4644" s="1935"/>
      <c r="O4644" s="1935"/>
      <c r="P4644" s="1935"/>
      <c r="Q4644" s="1936"/>
      <c r="R4644" s="726">
        <f>SUM(R4640:R4643)</f>
        <v>2949.19</v>
      </c>
      <c r="S4644" s="1344" t="str">
        <f>L4644</f>
        <v>m³</v>
      </c>
      <c r="T4644" s="373"/>
      <c r="U4644" s="486"/>
      <c r="V4644" s="1418">
        <f t="shared" si="465"/>
        <v>0</v>
      </c>
      <c r="AB4644" s="15"/>
    </row>
    <row r="4645" spans="1:36" s="77" customFormat="1" ht="15.6" hidden="1">
      <c r="A4645" s="370"/>
      <c r="B4645" s="499"/>
      <c r="C4645" s="725"/>
      <c r="D4645" s="1937" t="s">
        <v>1522</v>
      </c>
      <c r="E4645" s="1938"/>
      <c r="F4645" s="1938"/>
      <c r="G4645" s="1938"/>
      <c r="H4645" s="1938"/>
      <c r="I4645" s="1939"/>
      <c r="J4645" s="1943">
        <f>R4644/J4644</f>
        <v>1</v>
      </c>
      <c r="K4645" s="1944"/>
      <c r="L4645" s="1947"/>
      <c r="M4645" s="1934" t="s">
        <v>1523</v>
      </c>
      <c r="N4645" s="1935"/>
      <c r="O4645" s="1935"/>
      <c r="P4645" s="1935"/>
      <c r="Q4645" s="1936"/>
      <c r="R4645" s="726">
        <f>VLOOKUP(A4646,'11 - FINANCEIRA'!_xlnm.Print_Area,8,FALSE)</f>
        <v>2949.19</v>
      </c>
      <c r="S4645" s="727" t="str">
        <f>L4644</f>
        <v>m³</v>
      </c>
      <c r="T4645" s="373"/>
      <c r="U4645" s="486"/>
      <c r="V4645" s="1418">
        <f t="shared" si="465"/>
        <v>0</v>
      </c>
      <c r="AB4645" s="15"/>
    </row>
    <row r="4646" spans="1:36" s="77" customFormat="1" ht="15.6" hidden="1">
      <c r="A4646" s="364" t="s">
        <v>768</v>
      </c>
      <c r="B4646" s="499"/>
      <c r="C4646" s="37"/>
      <c r="D4646" s="2013"/>
      <c r="E4646" s="2014"/>
      <c r="F4646" s="2014"/>
      <c r="G4646" s="2014"/>
      <c r="H4646" s="2014"/>
      <c r="I4646" s="2015"/>
      <c r="J4646" s="2016"/>
      <c r="K4646" s="2017"/>
      <c r="L4646" s="1962"/>
      <c r="M4646" s="2007" t="s">
        <v>1524</v>
      </c>
      <c r="N4646" s="2008"/>
      <c r="O4646" s="2008"/>
      <c r="P4646" s="2008"/>
      <c r="Q4646" s="2009"/>
      <c r="R4646" s="1345">
        <f>R4644-R4645</f>
        <v>0</v>
      </c>
      <c r="S4646" s="1346" t="str">
        <f>L4644</f>
        <v>m³</v>
      </c>
      <c r="T4646" s="373"/>
      <c r="U4646" s="486"/>
      <c r="V4646" s="1418">
        <f>R4646</f>
        <v>0</v>
      </c>
      <c r="AB4646" s="15"/>
    </row>
    <row r="4647" spans="1:36" s="77" customFormat="1" ht="15.6" hidden="1">
      <c r="A4647" s="370"/>
      <c r="B4647" s="1347"/>
      <c r="C4647" s="1348"/>
      <c r="D4647" s="1349"/>
      <c r="E4647" s="1350"/>
      <c r="F4647" s="1349"/>
      <c r="G4647" s="1349"/>
      <c r="H4647" s="1349"/>
      <c r="I4647" s="1349"/>
      <c r="J4647" s="1351"/>
      <c r="K4647" s="1352"/>
      <c r="L4647" s="1353"/>
      <c r="M4647" s="1354"/>
      <c r="N4647" s="1354"/>
      <c r="O4647" s="1354"/>
      <c r="P4647" s="1354"/>
      <c r="Q4647" s="1354"/>
      <c r="R4647" s="1355"/>
      <c r="S4647" s="1356"/>
      <c r="T4647" s="1357"/>
      <c r="U4647" s="1358"/>
      <c r="V4647" s="1420">
        <f>SUM(V4638:V4646)</f>
        <v>0</v>
      </c>
      <c r="AB4647" s="15"/>
    </row>
    <row r="4648" spans="1:36" s="352" customFormat="1" ht="15.6" hidden="1">
      <c r="A4648" s="351"/>
      <c r="B4648" s="1963" t="str">
        <f>VLOOKUP(A4656,'11 - FINANCEIRA'!_xlnm.Print_Area,1,FALSE)</f>
        <v>4.1.13</v>
      </c>
      <c r="C4648" s="1965" t="str">
        <f>VLOOKUP(A4656,'11 - FINANCEIRA'!_xlnm.Print_Area,3,FALSE)</f>
        <v>TAMPA CIRCULAR PARA ESGOTO E DRENAGEM, EM FERRO FUNDIDO, DIÂMETRO INTERNO = 0,6 M.</v>
      </c>
      <c r="D4648" s="1967" t="s">
        <v>205</v>
      </c>
      <c r="E4648" s="1968"/>
      <c r="F4648" s="1968"/>
      <c r="G4648" s="1968"/>
      <c r="H4648" s="1968"/>
      <c r="I4648" s="1969"/>
      <c r="J4648" s="1914" t="s">
        <v>2126</v>
      </c>
      <c r="K4648" s="1914" t="s">
        <v>1505</v>
      </c>
      <c r="L4648" s="1914" t="s">
        <v>1506</v>
      </c>
      <c r="M4648" s="1914" t="s">
        <v>1507</v>
      </c>
      <c r="N4648" s="1914" t="s">
        <v>1508</v>
      </c>
      <c r="O4648" s="1914" t="s">
        <v>1509</v>
      </c>
      <c r="P4648" s="1341" t="s">
        <v>1510</v>
      </c>
      <c r="Q4648" s="1914" t="s">
        <v>1493</v>
      </c>
      <c r="R4648" s="1916" t="s">
        <v>804</v>
      </c>
      <c r="S4648" s="1914" t="s">
        <v>1511</v>
      </c>
      <c r="T4648" s="1914" t="s">
        <v>1512</v>
      </c>
      <c r="U4648" s="1918" t="s">
        <v>1513</v>
      </c>
      <c r="V4648" s="1418">
        <f t="shared" ref="V4648:V4655" si="466">V4649</f>
        <v>0</v>
      </c>
      <c r="W4648" s="16"/>
      <c r="X4648" s="16"/>
      <c r="Y4648" s="16"/>
      <c r="Z4648" s="17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</row>
    <row r="4649" spans="1:36" s="352" customFormat="1" ht="15.6" hidden="1">
      <c r="A4649" s="351"/>
      <c r="B4649" s="1964" t="e">
        <f>LEFT(#REF!,5)</f>
        <v>#REF!</v>
      </c>
      <c r="C4649" s="1966" t="e">
        <f>VLOOKUP(LEFT(#REF!,5),'11 - FINANCEIRA'!_xlnm.Print_Area,2,FALSE)</f>
        <v>#REF!</v>
      </c>
      <c r="D4649" s="1920" t="s">
        <v>1514</v>
      </c>
      <c r="E4649" s="1921"/>
      <c r="F4649" s="1922"/>
      <c r="G4649" s="1923" t="s">
        <v>1515</v>
      </c>
      <c r="H4649" s="1924"/>
      <c r="I4649" s="1925"/>
      <c r="J4649" s="1915"/>
      <c r="K4649" s="1915"/>
      <c r="L4649" s="1915"/>
      <c r="M4649" s="1915"/>
      <c r="N4649" s="1915"/>
      <c r="O4649" s="1915"/>
      <c r="P4649" s="353" t="s">
        <v>1516</v>
      </c>
      <c r="Q4649" s="1915"/>
      <c r="R4649" s="1917"/>
      <c r="S4649" s="1915"/>
      <c r="T4649" s="1915"/>
      <c r="U4649" s="1919"/>
      <c r="V4649" s="1418">
        <f t="shared" si="466"/>
        <v>0</v>
      </c>
      <c r="W4649" s="16"/>
      <c r="X4649" s="16"/>
      <c r="Y4649" s="16"/>
      <c r="Z4649" s="17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</row>
    <row r="4650" spans="1:36" s="361" customFormat="1" ht="15" hidden="1">
      <c r="A4650" s="354"/>
      <c r="B4650" s="863" t="s">
        <v>2158</v>
      </c>
      <c r="C4650" s="710" t="s">
        <v>2159</v>
      </c>
      <c r="D4650" s="2125"/>
      <c r="E4650" s="2126"/>
      <c r="F4650" s="2127"/>
      <c r="G4650" s="2125"/>
      <c r="H4650" s="2126"/>
      <c r="I4650" s="2127"/>
      <c r="J4650" s="867"/>
      <c r="K4650" s="868"/>
      <c r="L4650" s="869"/>
      <c r="M4650" s="870"/>
      <c r="N4650" s="874"/>
      <c r="O4650" s="875"/>
      <c r="P4650" s="869"/>
      <c r="Q4650" s="878"/>
      <c r="R4650" s="1127">
        <v>5</v>
      </c>
      <c r="S4650" s="950" t="s">
        <v>816</v>
      </c>
      <c r="T4650" s="872" t="s">
        <v>318</v>
      </c>
      <c r="U4650" s="846" t="s">
        <v>2160</v>
      </c>
      <c r="V4650" s="1418">
        <f t="shared" si="466"/>
        <v>0</v>
      </c>
      <c r="W4650" s="357"/>
      <c r="X4650" s="357"/>
      <c r="Y4650" s="357"/>
      <c r="Z4650" s="358"/>
      <c r="AA4650" s="359"/>
      <c r="AB4650" s="360"/>
    </row>
    <row r="4651" spans="1:36" s="361" customFormat="1" ht="15" hidden="1">
      <c r="A4651" s="354"/>
      <c r="B4651" s="355"/>
      <c r="C4651" s="32"/>
      <c r="D4651" s="33"/>
      <c r="E4651" s="34"/>
      <c r="F4651" s="35"/>
      <c r="G4651" s="33"/>
      <c r="H4651" s="34"/>
      <c r="I4651" s="35"/>
      <c r="J4651" s="43"/>
      <c r="K4651" s="42"/>
      <c r="L4651" s="39"/>
      <c r="M4651" s="41"/>
      <c r="N4651" s="356"/>
      <c r="O4651" s="40"/>
      <c r="P4651" s="39"/>
      <c r="Q4651" s="45"/>
      <c r="R4651" s="362"/>
      <c r="S4651" s="363"/>
      <c r="T4651" s="46"/>
      <c r="U4651" s="44"/>
      <c r="V4651" s="1418">
        <f t="shared" si="466"/>
        <v>0</v>
      </c>
      <c r="W4651" s="357"/>
      <c r="X4651" s="357"/>
      <c r="Y4651" s="357"/>
      <c r="Z4651" s="358"/>
      <c r="AA4651" s="359"/>
      <c r="AB4651" s="360"/>
    </row>
    <row r="4652" spans="1:36" s="369" customFormat="1" ht="15" hidden="1">
      <c r="A4652" s="364"/>
      <c r="B4652" s="355"/>
      <c r="C4652" s="32"/>
      <c r="D4652" s="33"/>
      <c r="E4652" s="34"/>
      <c r="F4652" s="35"/>
      <c r="G4652" s="33"/>
      <c r="H4652" s="34"/>
      <c r="I4652" s="35"/>
      <c r="J4652" s="43"/>
      <c r="K4652" s="42"/>
      <c r="L4652" s="39"/>
      <c r="M4652" s="41"/>
      <c r="N4652" s="40"/>
      <c r="O4652" s="40"/>
      <c r="P4652" s="39"/>
      <c r="Q4652" s="38"/>
      <c r="R4652" s="365"/>
      <c r="S4652" s="366"/>
      <c r="T4652" s="46"/>
      <c r="U4652" s="44"/>
      <c r="V4652" s="1418">
        <f t="shared" si="466"/>
        <v>0</v>
      </c>
      <c r="W4652" s="367"/>
      <c r="X4652" s="367"/>
      <c r="Y4652" s="367"/>
      <c r="Z4652" s="368"/>
    </row>
    <row r="4653" spans="1:36" s="77" customFormat="1" ht="15" hidden="1">
      <c r="A4653" s="370"/>
      <c r="B4653" s="29"/>
      <c r="C4653" s="30"/>
      <c r="D4653" s="18"/>
      <c r="E4653" s="19"/>
      <c r="F4653" s="20"/>
      <c r="G4653" s="18"/>
      <c r="H4653" s="19"/>
      <c r="I4653" s="20"/>
      <c r="J4653" s="21"/>
      <c r="K4653" s="22"/>
      <c r="L4653" s="23"/>
      <c r="M4653" s="24"/>
      <c r="N4653" s="25"/>
      <c r="O4653" s="25"/>
      <c r="P4653" s="23"/>
      <c r="Q4653" s="26"/>
      <c r="R4653" s="371"/>
      <c r="S4653" s="27"/>
      <c r="T4653" s="372"/>
      <c r="U4653" s="31"/>
      <c r="V4653" s="1418">
        <f t="shared" si="466"/>
        <v>0</v>
      </c>
      <c r="AB4653" s="15"/>
    </row>
    <row r="4654" spans="1:36" s="77" customFormat="1" ht="15.6" hidden="1">
      <c r="A4654" s="370"/>
      <c r="B4654" s="499"/>
      <c r="C4654" s="37"/>
      <c r="D4654" s="1929" t="s">
        <v>1520</v>
      </c>
      <c r="E4654" s="1930"/>
      <c r="F4654" s="1930"/>
      <c r="G4654" s="1930"/>
      <c r="H4654" s="1930"/>
      <c r="I4654" s="1931"/>
      <c r="J4654" s="1932">
        <f>VLOOKUP(A4656,'11 - FINANCEIRA'!_xlnm.Print_Area,6,FALSE)</f>
        <v>5</v>
      </c>
      <c r="K4654" s="1933"/>
      <c r="L4654" s="1343" t="str">
        <f>VLOOKUP(A4656,'11 - FINANCEIRA'!_xlnm.Print_Area,4,FALSE)</f>
        <v>und</v>
      </c>
      <c r="M4654" s="1934" t="s">
        <v>1521</v>
      </c>
      <c r="N4654" s="1935"/>
      <c r="O4654" s="1935"/>
      <c r="P4654" s="1935"/>
      <c r="Q4654" s="1936"/>
      <c r="R4654" s="726">
        <f>SUM(R4650:R4653)</f>
        <v>5</v>
      </c>
      <c r="S4654" s="1344" t="str">
        <f>L4654</f>
        <v>und</v>
      </c>
      <c r="T4654" s="373"/>
      <c r="U4654" s="486"/>
      <c r="V4654" s="1418">
        <f t="shared" si="466"/>
        <v>0</v>
      </c>
      <c r="AB4654" s="15"/>
    </row>
    <row r="4655" spans="1:36" s="77" customFormat="1" ht="15.6" hidden="1">
      <c r="A4655" s="370"/>
      <c r="B4655" s="499"/>
      <c r="C4655" s="725"/>
      <c r="D4655" s="1937" t="s">
        <v>1522</v>
      </c>
      <c r="E4655" s="1938"/>
      <c r="F4655" s="1938"/>
      <c r="G4655" s="1938"/>
      <c r="H4655" s="1938"/>
      <c r="I4655" s="1939"/>
      <c r="J4655" s="1943">
        <f>R4654/J4654</f>
        <v>1</v>
      </c>
      <c r="K4655" s="1944"/>
      <c r="L4655" s="1947"/>
      <c r="M4655" s="1934" t="s">
        <v>1523</v>
      </c>
      <c r="N4655" s="1935"/>
      <c r="O4655" s="1935"/>
      <c r="P4655" s="1935"/>
      <c r="Q4655" s="1936"/>
      <c r="R4655" s="726">
        <f>VLOOKUP(A4656,'11 - FINANCEIRA'!_xlnm.Print_Area,8,FALSE)</f>
        <v>5</v>
      </c>
      <c r="S4655" s="727" t="str">
        <f>L4654</f>
        <v>und</v>
      </c>
      <c r="T4655" s="373"/>
      <c r="U4655" s="486"/>
      <c r="V4655" s="1418">
        <f t="shared" si="466"/>
        <v>0</v>
      </c>
      <c r="AB4655" s="15"/>
    </row>
    <row r="4656" spans="1:36" s="77" customFormat="1" ht="15.6" hidden="1">
      <c r="A4656" s="364" t="s">
        <v>769</v>
      </c>
      <c r="B4656" s="499"/>
      <c r="C4656" s="37"/>
      <c r="D4656" s="2013"/>
      <c r="E4656" s="2014"/>
      <c r="F4656" s="2014"/>
      <c r="G4656" s="2014"/>
      <c r="H4656" s="2014"/>
      <c r="I4656" s="2015"/>
      <c r="J4656" s="2016"/>
      <c r="K4656" s="2017"/>
      <c r="L4656" s="1962"/>
      <c r="M4656" s="2007" t="s">
        <v>1524</v>
      </c>
      <c r="N4656" s="2008"/>
      <c r="O4656" s="2008"/>
      <c r="P4656" s="2008"/>
      <c r="Q4656" s="2009"/>
      <c r="R4656" s="1345">
        <f>R4654-R4655</f>
        <v>0</v>
      </c>
      <c r="S4656" s="1346" t="str">
        <f>L4654</f>
        <v>und</v>
      </c>
      <c r="T4656" s="373"/>
      <c r="U4656" s="486"/>
      <c r="V4656" s="1418">
        <f>R4656</f>
        <v>0</v>
      </c>
      <c r="AB4656" s="15"/>
    </row>
    <row r="4657" spans="1:36" s="77" customFormat="1" ht="15.6" hidden="1">
      <c r="A4657" s="370"/>
      <c r="B4657" s="1347"/>
      <c r="C4657" s="1348"/>
      <c r="D4657" s="1349"/>
      <c r="E4657" s="1350"/>
      <c r="F4657" s="1349"/>
      <c r="G4657" s="1349"/>
      <c r="H4657" s="1349"/>
      <c r="I4657" s="1349"/>
      <c r="J4657" s="1351"/>
      <c r="K4657" s="1352"/>
      <c r="L4657" s="1353"/>
      <c r="M4657" s="1354"/>
      <c r="N4657" s="1354"/>
      <c r="O4657" s="1354"/>
      <c r="P4657" s="1354"/>
      <c r="Q4657" s="1354"/>
      <c r="R4657" s="1355"/>
      <c r="S4657" s="1356"/>
      <c r="T4657" s="1357"/>
      <c r="U4657" s="1358"/>
      <c r="V4657" s="1420">
        <f>SUM(V4648:V4656)</f>
        <v>0</v>
      </c>
      <c r="AB4657" s="15"/>
    </row>
    <row r="4658" spans="1:36" s="352" customFormat="1" ht="15.75" hidden="1" customHeight="1">
      <c r="A4658" s="351"/>
      <c r="B4658" s="1963" t="str">
        <f>VLOOKUP(A4666,'11 - FINANCEIRA'!_xlnm.Print_Area,1,FALSE)</f>
        <v>4.1.14</v>
      </c>
      <c r="C4658" s="1965" t="str">
        <f>VLOOKUP(A4666,'11 - FINANCEIRA'!_xlnm.Print_Area,3,FALSE)</f>
        <v>Elaboração de Plano de Recuperação de Áreas Degradadas - PRAD</v>
      </c>
      <c r="D4658" s="1967" t="s">
        <v>205</v>
      </c>
      <c r="E4658" s="1968"/>
      <c r="F4658" s="1968"/>
      <c r="G4658" s="1968"/>
      <c r="H4658" s="1968"/>
      <c r="I4658" s="1969"/>
      <c r="J4658" s="1914" t="s">
        <v>2126</v>
      </c>
      <c r="K4658" s="1914" t="s">
        <v>1505</v>
      </c>
      <c r="L4658" s="1914" t="s">
        <v>1506</v>
      </c>
      <c r="M4658" s="1914" t="s">
        <v>1507</v>
      </c>
      <c r="N4658" s="1914" t="s">
        <v>1508</v>
      </c>
      <c r="O4658" s="1914" t="s">
        <v>1509</v>
      </c>
      <c r="P4658" s="1341" t="s">
        <v>1510</v>
      </c>
      <c r="Q4658" s="1914" t="s">
        <v>1493</v>
      </c>
      <c r="R4658" s="1916" t="s">
        <v>804</v>
      </c>
      <c r="S4658" s="1914" t="s">
        <v>1511</v>
      </c>
      <c r="T4658" s="1914" t="s">
        <v>1512</v>
      </c>
      <c r="U4658" s="1918" t="s">
        <v>1513</v>
      </c>
      <c r="V4658" s="1418">
        <f t="shared" ref="V4658:V4665" si="467">V4659</f>
        <v>0</v>
      </c>
      <c r="W4658" s="16"/>
      <c r="X4658" s="16"/>
      <c r="Y4658" s="16"/>
      <c r="Z4658" s="17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</row>
    <row r="4659" spans="1:36" s="352" customFormat="1" ht="15.6" hidden="1">
      <c r="A4659" s="351"/>
      <c r="B4659" s="1964" t="e">
        <f>LEFT(#REF!,5)</f>
        <v>#REF!</v>
      </c>
      <c r="C4659" s="1966" t="e">
        <f>VLOOKUP(LEFT(#REF!,5),'11 - FINANCEIRA'!_xlnm.Print_Area,2,FALSE)</f>
        <v>#REF!</v>
      </c>
      <c r="D4659" s="1920" t="s">
        <v>1514</v>
      </c>
      <c r="E4659" s="1921"/>
      <c r="F4659" s="1922"/>
      <c r="G4659" s="1923" t="s">
        <v>1515</v>
      </c>
      <c r="H4659" s="1924"/>
      <c r="I4659" s="1925"/>
      <c r="J4659" s="1915"/>
      <c r="K4659" s="1915"/>
      <c r="L4659" s="1915"/>
      <c r="M4659" s="1915"/>
      <c r="N4659" s="1915"/>
      <c r="O4659" s="1915"/>
      <c r="P4659" s="353" t="s">
        <v>1516</v>
      </c>
      <c r="Q4659" s="1915"/>
      <c r="R4659" s="1917"/>
      <c r="S4659" s="1915"/>
      <c r="T4659" s="1915"/>
      <c r="U4659" s="1919"/>
      <c r="V4659" s="1418">
        <f t="shared" si="467"/>
        <v>0</v>
      </c>
      <c r="W4659" s="16"/>
      <c r="X4659" s="16"/>
      <c r="Y4659" s="16"/>
      <c r="Z4659" s="17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</row>
    <row r="4660" spans="1:36" s="361" customFormat="1" ht="15" hidden="1">
      <c r="A4660" s="354"/>
      <c r="B4660" s="988"/>
      <c r="C4660" s="989"/>
      <c r="D4660" s="1926"/>
      <c r="E4660" s="1927"/>
      <c r="F4660" s="1928"/>
      <c r="G4660" s="1926"/>
      <c r="H4660" s="1927"/>
      <c r="I4660" s="1928"/>
      <c r="J4660" s="990"/>
      <c r="K4660" s="991"/>
      <c r="L4660" s="992"/>
      <c r="M4660" s="993"/>
      <c r="N4660" s="994"/>
      <c r="O4660" s="995"/>
      <c r="P4660" s="992"/>
      <c r="Q4660" s="996"/>
      <c r="R4660" s="1405"/>
      <c r="S4660" s="1406"/>
      <c r="T4660" s="997"/>
      <c r="U4660" s="998"/>
      <c r="V4660" s="1418">
        <f t="shared" si="467"/>
        <v>0</v>
      </c>
      <c r="W4660" s="357"/>
      <c r="X4660" s="357"/>
      <c r="Y4660" s="357"/>
      <c r="Z4660" s="358"/>
      <c r="AA4660" s="359"/>
      <c r="AB4660" s="360"/>
    </row>
    <row r="4661" spans="1:36" s="361" customFormat="1" ht="15" hidden="1">
      <c r="A4661" s="354"/>
      <c r="B4661" s="355"/>
      <c r="C4661" s="32"/>
      <c r="D4661" s="33"/>
      <c r="E4661" s="34"/>
      <c r="F4661" s="35"/>
      <c r="G4661" s="33"/>
      <c r="H4661" s="34"/>
      <c r="I4661" s="35"/>
      <c r="J4661" s="43"/>
      <c r="K4661" s="42"/>
      <c r="L4661" s="39"/>
      <c r="M4661" s="41"/>
      <c r="N4661" s="356"/>
      <c r="O4661" s="40"/>
      <c r="P4661" s="39"/>
      <c r="Q4661" s="45"/>
      <c r="R4661" s="362"/>
      <c r="S4661" s="363"/>
      <c r="T4661" s="46"/>
      <c r="U4661" s="44"/>
      <c r="V4661" s="1418">
        <f t="shared" si="467"/>
        <v>0</v>
      </c>
      <c r="W4661" s="357"/>
      <c r="X4661" s="357"/>
      <c r="Y4661" s="357"/>
      <c r="Z4661" s="358"/>
      <c r="AA4661" s="359"/>
      <c r="AB4661" s="360"/>
    </row>
    <row r="4662" spans="1:36" s="369" customFormat="1" ht="15" hidden="1">
      <c r="A4662" s="364"/>
      <c r="B4662" s="355"/>
      <c r="C4662" s="32"/>
      <c r="D4662" s="33"/>
      <c r="E4662" s="34"/>
      <c r="F4662" s="35"/>
      <c r="G4662" s="33"/>
      <c r="H4662" s="34"/>
      <c r="I4662" s="35"/>
      <c r="J4662" s="43"/>
      <c r="K4662" s="42"/>
      <c r="L4662" s="39"/>
      <c r="M4662" s="41"/>
      <c r="N4662" s="40"/>
      <c r="O4662" s="40"/>
      <c r="P4662" s="39"/>
      <c r="Q4662" s="38"/>
      <c r="R4662" s="365"/>
      <c r="S4662" s="366"/>
      <c r="T4662" s="46"/>
      <c r="U4662" s="44"/>
      <c r="V4662" s="1418">
        <f t="shared" si="467"/>
        <v>0</v>
      </c>
      <c r="W4662" s="367"/>
      <c r="X4662" s="367"/>
      <c r="Y4662" s="367"/>
      <c r="Z4662" s="368"/>
    </row>
    <row r="4663" spans="1:36" s="77" customFormat="1" ht="15" hidden="1">
      <c r="A4663" s="370"/>
      <c r="B4663" s="29"/>
      <c r="C4663" s="30"/>
      <c r="D4663" s="18"/>
      <c r="E4663" s="19"/>
      <c r="F4663" s="20"/>
      <c r="G4663" s="18"/>
      <c r="H4663" s="19"/>
      <c r="I4663" s="20"/>
      <c r="J4663" s="21"/>
      <c r="K4663" s="22"/>
      <c r="L4663" s="23"/>
      <c r="M4663" s="24"/>
      <c r="N4663" s="25"/>
      <c r="O4663" s="25"/>
      <c r="P4663" s="23"/>
      <c r="Q4663" s="26"/>
      <c r="R4663" s="371"/>
      <c r="S4663" s="27"/>
      <c r="T4663" s="372"/>
      <c r="U4663" s="31"/>
      <c r="V4663" s="1418">
        <f t="shared" si="467"/>
        <v>0</v>
      </c>
      <c r="AB4663" s="15"/>
    </row>
    <row r="4664" spans="1:36" s="77" customFormat="1" ht="15.75" hidden="1" customHeight="1">
      <c r="A4664" s="370"/>
      <c r="B4664" s="499"/>
      <c r="C4664" s="37"/>
      <c r="D4664" s="1929" t="s">
        <v>1520</v>
      </c>
      <c r="E4664" s="1930"/>
      <c r="F4664" s="1930"/>
      <c r="G4664" s="1930"/>
      <c r="H4664" s="1930"/>
      <c r="I4664" s="1931"/>
      <c r="J4664" s="1932">
        <f>VLOOKUP(A4666,'11 - FINANCEIRA'!_xlnm.Print_Area,6,FALSE)</f>
        <v>0</v>
      </c>
      <c r="K4664" s="1933"/>
      <c r="L4664" s="1343" t="str">
        <f>VLOOKUP(A4666,'11 - FINANCEIRA'!_xlnm.Print_Area,4,FALSE)</f>
        <v>und</v>
      </c>
      <c r="M4664" s="1934" t="s">
        <v>1521</v>
      </c>
      <c r="N4664" s="1935"/>
      <c r="O4664" s="1935"/>
      <c r="P4664" s="1935"/>
      <c r="Q4664" s="1936"/>
      <c r="R4664" s="726">
        <f>SUM(R4660:R4663)</f>
        <v>0</v>
      </c>
      <c r="S4664" s="1344" t="str">
        <f>L4664</f>
        <v>und</v>
      </c>
      <c r="T4664" s="373"/>
      <c r="U4664" s="486"/>
      <c r="V4664" s="1418">
        <f t="shared" si="467"/>
        <v>0</v>
      </c>
      <c r="AB4664" s="15"/>
    </row>
    <row r="4665" spans="1:36" s="77" customFormat="1" ht="15.75" hidden="1" customHeight="1">
      <c r="A4665" s="370"/>
      <c r="B4665" s="499"/>
      <c r="C4665" s="725"/>
      <c r="D4665" s="1937" t="s">
        <v>1522</v>
      </c>
      <c r="E4665" s="1938"/>
      <c r="F4665" s="1938"/>
      <c r="G4665" s="1938"/>
      <c r="H4665" s="1938"/>
      <c r="I4665" s="1939"/>
      <c r="J4665" s="1943" t="e">
        <f>R4664/J4664</f>
        <v>#DIV/0!</v>
      </c>
      <c r="K4665" s="1944"/>
      <c r="L4665" s="1947"/>
      <c r="M4665" s="1934" t="s">
        <v>1523</v>
      </c>
      <c r="N4665" s="1935"/>
      <c r="O4665" s="1935"/>
      <c r="P4665" s="1935"/>
      <c r="Q4665" s="1936"/>
      <c r="R4665" s="726">
        <f>VLOOKUP(A4666,'11 - FINANCEIRA'!_xlnm.Print_Area,8,FALSE)</f>
        <v>0</v>
      </c>
      <c r="S4665" s="727" t="str">
        <f>L4664</f>
        <v>und</v>
      </c>
      <c r="T4665" s="373"/>
      <c r="U4665" s="486"/>
      <c r="V4665" s="1418">
        <f t="shared" si="467"/>
        <v>0</v>
      </c>
      <c r="AB4665" s="15"/>
    </row>
    <row r="4666" spans="1:36" s="77" customFormat="1" ht="15.75" hidden="1" customHeight="1">
      <c r="A4666" s="364" t="s">
        <v>770</v>
      </c>
      <c r="B4666" s="499"/>
      <c r="C4666" s="37"/>
      <c r="D4666" s="1940"/>
      <c r="E4666" s="1941"/>
      <c r="F4666" s="1941"/>
      <c r="G4666" s="1941"/>
      <c r="H4666" s="1941"/>
      <c r="I4666" s="1942"/>
      <c r="J4666" s="1945"/>
      <c r="K4666" s="1946"/>
      <c r="L4666" s="1948"/>
      <c r="M4666" s="1934" t="s">
        <v>1524</v>
      </c>
      <c r="N4666" s="1935"/>
      <c r="O4666" s="1935"/>
      <c r="P4666" s="1935"/>
      <c r="Q4666" s="1936"/>
      <c r="R4666" s="1345">
        <f>R4664-R4665</f>
        <v>0</v>
      </c>
      <c r="S4666" s="1346" t="str">
        <f>L4664</f>
        <v>und</v>
      </c>
      <c r="T4666" s="373"/>
      <c r="U4666" s="486"/>
      <c r="V4666" s="1418">
        <f>R4666</f>
        <v>0</v>
      </c>
      <c r="AB4666" s="15"/>
    </row>
    <row r="4667" spans="1:36" s="77" customFormat="1" ht="15.6" hidden="1">
      <c r="A4667" s="370"/>
      <c r="B4667" s="1347"/>
      <c r="C4667" s="1348"/>
      <c r="D4667" s="1349"/>
      <c r="E4667" s="1350"/>
      <c r="F4667" s="1349"/>
      <c r="G4667" s="1349"/>
      <c r="H4667" s="1349"/>
      <c r="I4667" s="1349"/>
      <c r="J4667" s="1351"/>
      <c r="K4667" s="1352"/>
      <c r="L4667" s="1353"/>
      <c r="M4667" s="1354"/>
      <c r="N4667" s="1354"/>
      <c r="O4667" s="1354"/>
      <c r="P4667" s="1354"/>
      <c r="Q4667" s="1354"/>
      <c r="R4667" s="1355"/>
      <c r="S4667" s="1356"/>
      <c r="T4667" s="1357"/>
      <c r="U4667" s="1358"/>
      <c r="V4667" s="1420">
        <f>SUM(V4658:V4666)</f>
        <v>0</v>
      </c>
      <c r="AB4667" s="15"/>
    </row>
    <row r="4668" spans="1:36" s="352" customFormat="1" ht="15.75" hidden="1" customHeight="1">
      <c r="A4668" s="351"/>
      <c r="B4668" s="1963" t="str">
        <f>VLOOKUP(A4676,'11 - FINANCEIRA'!_xlnm.Print_Area,1,FALSE)</f>
        <v>4.1.15</v>
      </c>
      <c r="C4668" s="1965" t="str">
        <f>VLOOKUP(A4676,'11 - FINANCEIRA'!_xlnm.Print_Area,3,FALSE)</f>
        <v>Execução de junta de dilatação 2 x 2 cm considerando 1cm de aplicação de isopor e 1cm de aplicação de mastique elástico do tipo sikaflex 1a ou equivalente</v>
      </c>
      <c r="D4668" s="1967" t="s">
        <v>205</v>
      </c>
      <c r="E4668" s="1968"/>
      <c r="F4668" s="1968"/>
      <c r="G4668" s="1968"/>
      <c r="H4668" s="1968"/>
      <c r="I4668" s="1969"/>
      <c r="J4668" s="1914" t="s">
        <v>2126</v>
      </c>
      <c r="K4668" s="1914" t="s">
        <v>1505</v>
      </c>
      <c r="L4668" s="1914" t="s">
        <v>1506</v>
      </c>
      <c r="M4668" s="1914" t="s">
        <v>1507</v>
      </c>
      <c r="N4668" s="1914" t="s">
        <v>1508</v>
      </c>
      <c r="O4668" s="1914" t="s">
        <v>1509</v>
      </c>
      <c r="P4668" s="1341" t="s">
        <v>1510</v>
      </c>
      <c r="Q4668" s="1914" t="s">
        <v>1493</v>
      </c>
      <c r="R4668" s="1916" t="s">
        <v>804</v>
      </c>
      <c r="S4668" s="1914" t="s">
        <v>1511</v>
      </c>
      <c r="T4668" s="1914" t="s">
        <v>1512</v>
      </c>
      <c r="U4668" s="1918" t="s">
        <v>1513</v>
      </c>
      <c r="V4668" s="1418">
        <f t="shared" ref="V4668:V4675" si="468">V4669</f>
        <v>0</v>
      </c>
      <c r="W4668" s="16"/>
      <c r="X4668" s="16"/>
      <c r="Y4668" s="16"/>
      <c r="Z4668" s="17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</row>
    <row r="4669" spans="1:36" s="352" customFormat="1" ht="15.6" hidden="1">
      <c r="A4669" s="351"/>
      <c r="B4669" s="1964" t="e">
        <f>LEFT(#REF!,5)</f>
        <v>#REF!</v>
      </c>
      <c r="C4669" s="1966" t="e">
        <f>VLOOKUP(LEFT(#REF!,5),'11 - FINANCEIRA'!_xlnm.Print_Area,2,FALSE)</f>
        <v>#REF!</v>
      </c>
      <c r="D4669" s="1920" t="s">
        <v>1514</v>
      </c>
      <c r="E4669" s="1921"/>
      <c r="F4669" s="1922"/>
      <c r="G4669" s="1923" t="s">
        <v>1515</v>
      </c>
      <c r="H4669" s="1924"/>
      <c r="I4669" s="1925"/>
      <c r="J4669" s="1915"/>
      <c r="K4669" s="1915"/>
      <c r="L4669" s="1915"/>
      <c r="M4669" s="1915"/>
      <c r="N4669" s="1915"/>
      <c r="O4669" s="1915"/>
      <c r="P4669" s="353" t="s">
        <v>1516</v>
      </c>
      <c r="Q4669" s="1915"/>
      <c r="R4669" s="1917"/>
      <c r="S4669" s="1915"/>
      <c r="T4669" s="1915"/>
      <c r="U4669" s="1919"/>
      <c r="V4669" s="1418">
        <f t="shared" si="468"/>
        <v>0</v>
      </c>
      <c r="W4669" s="16"/>
      <c r="X4669" s="16"/>
      <c r="Y4669" s="16"/>
      <c r="Z4669" s="17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</row>
    <row r="4670" spans="1:36" s="361" customFormat="1" ht="15" hidden="1">
      <c r="A4670" s="354"/>
      <c r="B4670" s="988"/>
      <c r="C4670" s="989"/>
      <c r="D4670" s="1926"/>
      <c r="E4670" s="1927"/>
      <c r="F4670" s="1928"/>
      <c r="G4670" s="1926"/>
      <c r="H4670" s="1927"/>
      <c r="I4670" s="1928"/>
      <c r="J4670" s="990"/>
      <c r="K4670" s="991"/>
      <c r="L4670" s="992"/>
      <c r="M4670" s="993"/>
      <c r="N4670" s="994"/>
      <c r="O4670" s="995"/>
      <c r="P4670" s="992"/>
      <c r="Q4670" s="996"/>
      <c r="R4670" s="1405"/>
      <c r="S4670" s="1406"/>
      <c r="T4670" s="997"/>
      <c r="U4670" s="998"/>
      <c r="V4670" s="1418">
        <f t="shared" si="468"/>
        <v>0</v>
      </c>
      <c r="W4670" s="357"/>
      <c r="X4670" s="357"/>
      <c r="Y4670" s="357"/>
      <c r="Z4670" s="358"/>
      <c r="AA4670" s="359"/>
      <c r="AB4670" s="360"/>
    </row>
    <row r="4671" spans="1:36" s="361" customFormat="1" ht="15" hidden="1">
      <c r="A4671" s="354"/>
      <c r="B4671" s="355"/>
      <c r="C4671" s="32"/>
      <c r="D4671" s="33"/>
      <c r="E4671" s="34"/>
      <c r="F4671" s="35"/>
      <c r="G4671" s="33"/>
      <c r="H4671" s="34"/>
      <c r="I4671" s="35"/>
      <c r="J4671" s="43"/>
      <c r="K4671" s="42"/>
      <c r="L4671" s="39"/>
      <c r="M4671" s="41"/>
      <c r="N4671" s="356"/>
      <c r="O4671" s="40"/>
      <c r="P4671" s="39"/>
      <c r="Q4671" s="45"/>
      <c r="R4671" s="362"/>
      <c r="S4671" s="363"/>
      <c r="T4671" s="46"/>
      <c r="U4671" s="44"/>
      <c r="V4671" s="1418">
        <f t="shared" si="468"/>
        <v>0</v>
      </c>
      <c r="W4671" s="357"/>
      <c r="X4671" s="357"/>
      <c r="Y4671" s="357"/>
      <c r="Z4671" s="358"/>
      <c r="AA4671" s="359"/>
      <c r="AB4671" s="360"/>
    </row>
    <row r="4672" spans="1:36" s="369" customFormat="1" ht="15" hidden="1">
      <c r="A4672" s="364"/>
      <c r="B4672" s="355"/>
      <c r="C4672" s="32"/>
      <c r="D4672" s="33"/>
      <c r="E4672" s="34"/>
      <c r="F4672" s="35"/>
      <c r="G4672" s="33"/>
      <c r="H4672" s="34"/>
      <c r="I4672" s="35"/>
      <c r="J4672" s="43"/>
      <c r="K4672" s="42"/>
      <c r="L4672" s="39"/>
      <c r="M4672" s="41"/>
      <c r="N4672" s="40"/>
      <c r="O4672" s="40"/>
      <c r="P4672" s="39"/>
      <c r="Q4672" s="38"/>
      <c r="R4672" s="365"/>
      <c r="S4672" s="366"/>
      <c r="T4672" s="46"/>
      <c r="U4672" s="44"/>
      <c r="V4672" s="1418">
        <f t="shared" si="468"/>
        <v>0</v>
      </c>
      <c r="W4672" s="367"/>
      <c r="X4672" s="367"/>
      <c r="Y4672" s="367"/>
      <c r="Z4672" s="368"/>
    </row>
    <row r="4673" spans="1:36" s="77" customFormat="1" ht="15" hidden="1">
      <c r="A4673" s="370"/>
      <c r="B4673" s="29"/>
      <c r="C4673" s="30"/>
      <c r="D4673" s="18"/>
      <c r="E4673" s="19"/>
      <c r="F4673" s="20"/>
      <c r="G4673" s="18"/>
      <c r="H4673" s="19"/>
      <c r="I4673" s="20"/>
      <c r="J4673" s="21"/>
      <c r="K4673" s="22"/>
      <c r="L4673" s="23"/>
      <c r="M4673" s="24"/>
      <c r="N4673" s="25"/>
      <c r="O4673" s="25"/>
      <c r="P4673" s="23"/>
      <c r="Q4673" s="26"/>
      <c r="R4673" s="371"/>
      <c r="S4673" s="27"/>
      <c r="T4673" s="372"/>
      <c r="U4673" s="31"/>
      <c r="V4673" s="1418">
        <f t="shared" si="468"/>
        <v>0</v>
      </c>
      <c r="AB4673" s="15"/>
    </row>
    <row r="4674" spans="1:36" s="77" customFormat="1" ht="15.75" hidden="1" customHeight="1">
      <c r="A4674" s="370"/>
      <c r="B4674" s="499"/>
      <c r="C4674" s="37"/>
      <c r="D4674" s="1929" t="s">
        <v>1520</v>
      </c>
      <c r="E4674" s="1930"/>
      <c r="F4674" s="1930"/>
      <c r="G4674" s="1930"/>
      <c r="H4674" s="1930"/>
      <c r="I4674" s="1931"/>
      <c r="J4674" s="1932">
        <f>VLOOKUP(A4676,'11 - FINANCEIRA'!_xlnm.Print_Area,6,FALSE)</f>
        <v>0</v>
      </c>
      <c r="K4674" s="1933"/>
      <c r="L4674" s="1343" t="str">
        <f>VLOOKUP(A4676,'11 - FINANCEIRA'!_xlnm.Print_Area,4,FALSE)</f>
        <v>und</v>
      </c>
      <c r="M4674" s="1934" t="s">
        <v>1521</v>
      </c>
      <c r="N4674" s="1935"/>
      <c r="O4674" s="1935"/>
      <c r="P4674" s="1935"/>
      <c r="Q4674" s="1936"/>
      <c r="R4674" s="726">
        <f>SUM(R4670:R4673)</f>
        <v>0</v>
      </c>
      <c r="S4674" s="1344" t="str">
        <f>L4674</f>
        <v>und</v>
      </c>
      <c r="T4674" s="373"/>
      <c r="U4674" s="486"/>
      <c r="V4674" s="1418">
        <f t="shared" si="468"/>
        <v>0</v>
      </c>
      <c r="AB4674" s="15"/>
    </row>
    <row r="4675" spans="1:36" s="77" customFormat="1" ht="15.75" hidden="1" customHeight="1">
      <c r="A4675" s="370"/>
      <c r="B4675" s="499"/>
      <c r="C4675" s="725"/>
      <c r="D4675" s="1937" t="s">
        <v>1522</v>
      </c>
      <c r="E4675" s="1938"/>
      <c r="F4675" s="1938"/>
      <c r="G4675" s="1938"/>
      <c r="H4675" s="1938"/>
      <c r="I4675" s="1939"/>
      <c r="J4675" s="1943" t="e">
        <f>R4674/J4674</f>
        <v>#DIV/0!</v>
      </c>
      <c r="K4675" s="1944"/>
      <c r="L4675" s="1947"/>
      <c r="M4675" s="1934" t="s">
        <v>1523</v>
      </c>
      <c r="N4675" s="1935"/>
      <c r="O4675" s="1935"/>
      <c r="P4675" s="1935"/>
      <c r="Q4675" s="1936"/>
      <c r="R4675" s="726">
        <f>VLOOKUP(A4676,'11 - FINANCEIRA'!_xlnm.Print_Area,8,FALSE)</f>
        <v>0</v>
      </c>
      <c r="S4675" s="727" t="str">
        <f>L4674</f>
        <v>und</v>
      </c>
      <c r="T4675" s="373"/>
      <c r="U4675" s="486"/>
      <c r="V4675" s="1418">
        <f t="shared" si="468"/>
        <v>0</v>
      </c>
      <c r="AB4675" s="15"/>
    </row>
    <row r="4676" spans="1:36" s="77" customFormat="1" ht="15.75" hidden="1" customHeight="1">
      <c r="A4676" s="364" t="s">
        <v>771</v>
      </c>
      <c r="B4676" s="499"/>
      <c r="C4676" s="37"/>
      <c r="D4676" s="1940"/>
      <c r="E4676" s="1941"/>
      <c r="F4676" s="1941"/>
      <c r="G4676" s="1941"/>
      <c r="H4676" s="1941"/>
      <c r="I4676" s="1942"/>
      <c r="J4676" s="1945"/>
      <c r="K4676" s="1946"/>
      <c r="L4676" s="1948"/>
      <c r="M4676" s="1934" t="s">
        <v>1524</v>
      </c>
      <c r="N4676" s="1935"/>
      <c r="O4676" s="1935"/>
      <c r="P4676" s="1935"/>
      <c r="Q4676" s="1936"/>
      <c r="R4676" s="1345">
        <f>R4674-R4675</f>
        <v>0</v>
      </c>
      <c r="S4676" s="1346" t="str">
        <f>L4674</f>
        <v>und</v>
      </c>
      <c r="T4676" s="373"/>
      <c r="U4676" s="486"/>
      <c r="V4676" s="1418">
        <f>R4676</f>
        <v>0</v>
      </c>
      <c r="AB4676" s="15"/>
    </row>
    <row r="4677" spans="1:36" s="77" customFormat="1" ht="15.6" hidden="1">
      <c r="A4677" s="370"/>
      <c r="B4677" s="1347"/>
      <c r="C4677" s="1348"/>
      <c r="D4677" s="1349"/>
      <c r="E4677" s="1350"/>
      <c r="F4677" s="1349"/>
      <c r="G4677" s="1349"/>
      <c r="H4677" s="1349"/>
      <c r="I4677" s="1349"/>
      <c r="J4677" s="1351"/>
      <c r="K4677" s="1352"/>
      <c r="L4677" s="1353"/>
      <c r="M4677" s="1354"/>
      <c r="N4677" s="1354"/>
      <c r="O4677" s="1354"/>
      <c r="P4677" s="1354"/>
      <c r="Q4677" s="1354"/>
      <c r="R4677" s="1355"/>
      <c r="S4677" s="1356"/>
      <c r="T4677" s="1357"/>
      <c r="U4677" s="1358"/>
      <c r="V4677" s="1420">
        <f>SUM(V4668:V4676)</f>
        <v>0</v>
      </c>
      <c r="AB4677" s="15"/>
    </row>
    <row r="4678" spans="1:36" s="352" customFormat="1" ht="15.75" hidden="1" customHeight="1">
      <c r="A4678" s="351"/>
      <c r="B4678" s="1963" t="str">
        <f>VLOOKUP(A4686,'11 - FINANCEIRA'!_xlnm.Print_Area,1,FALSE)</f>
        <v>4.1.16</v>
      </c>
      <c r="C4678" s="1965" t="str">
        <f>VLOOKUP(A4686,'11 - FINANCEIRA'!_xlnm.Print_Area,3,FALSE)</f>
        <v>EXTREMIDADE FLANGE E BOLSA COM JUNTA ELASTICA JGS</v>
      </c>
      <c r="D4678" s="1967" t="s">
        <v>205</v>
      </c>
      <c r="E4678" s="1968"/>
      <c r="F4678" s="1968"/>
      <c r="G4678" s="1968"/>
      <c r="H4678" s="1968"/>
      <c r="I4678" s="1969"/>
      <c r="J4678" s="1914" t="s">
        <v>2126</v>
      </c>
      <c r="K4678" s="1914" t="s">
        <v>1505</v>
      </c>
      <c r="L4678" s="1914" t="s">
        <v>1506</v>
      </c>
      <c r="M4678" s="1914" t="s">
        <v>1507</v>
      </c>
      <c r="N4678" s="1914" t="s">
        <v>1508</v>
      </c>
      <c r="O4678" s="1914" t="s">
        <v>1509</v>
      </c>
      <c r="P4678" s="1341" t="s">
        <v>1510</v>
      </c>
      <c r="Q4678" s="1914" t="s">
        <v>1493</v>
      </c>
      <c r="R4678" s="1916" t="s">
        <v>804</v>
      </c>
      <c r="S4678" s="1914" t="s">
        <v>1511</v>
      </c>
      <c r="T4678" s="1914" t="s">
        <v>1512</v>
      </c>
      <c r="U4678" s="1918" t="s">
        <v>1513</v>
      </c>
      <c r="V4678" s="1418">
        <f t="shared" ref="V4678:V4685" si="469">V4679</f>
        <v>0</v>
      </c>
      <c r="W4678" s="16"/>
      <c r="X4678" s="16"/>
      <c r="Y4678" s="16"/>
      <c r="Z4678" s="17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</row>
    <row r="4679" spans="1:36" s="352" customFormat="1" ht="15.6" hidden="1">
      <c r="A4679" s="351"/>
      <c r="B4679" s="1964" t="e">
        <f>LEFT(#REF!,5)</f>
        <v>#REF!</v>
      </c>
      <c r="C4679" s="1966" t="e">
        <f>VLOOKUP(LEFT(#REF!,5),'11 - FINANCEIRA'!_xlnm.Print_Area,2,FALSE)</f>
        <v>#REF!</v>
      </c>
      <c r="D4679" s="1920" t="s">
        <v>1514</v>
      </c>
      <c r="E4679" s="1921"/>
      <c r="F4679" s="1922"/>
      <c r="G4679" s="1923" t="s">
        <v>1515</v>
      </c>
      <c r="H4679" s="1924"/>
      <c r="I4679" s="1925"/>
      <c r="J4679" s="1915"/>
      <c r="K4679" s="1915"/>
      <c r="L4679" s="1915"/>
      <c r="M4679" s="1915"/>
      <c r="N4679" s="1915"/>
      <c r="O4679" s="1915"/>
      <c r="P4679" s="353" t="s">
        <v>1516</v>
      </c>
      <c r="Q4679" s="1915"/>
      <c r="R4679" s="1917"/>
      <c r="S4679" s="1915"/>
      <c r="T4679" s="1915"/>
      <c r="U4679" s="1919"/>
      <c r="V4679" s="1418">
        <f t="shared" si="469"/>
        <v>0</v>
      </c>
      <c r="W4679" s="16"/>
      <c r="X4679" s="16"/>
      <c r="Y4679" s="16"/>
      <c r="Z4679" s="17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</row>
    <row r="4680" spans="1:36" s="361" customFormat="1" ht="15" hidden="1" customHeight="1">
      <c r="A4680" s="354"/>
      <c r="B4680" s="863" t="s">
        <v>2161</v>
      </c>
      <c r="C4680" s="710" t="s">
        <v>1463</v>
      </c>
      <c r="D4680" s="2125"/>
      <c r="E4680" s="2126"/>
      <c r="F4680" s="2127"/>
      <c r="G4680" s="2125"/>
      <c r="H4680" s="2126"/>
      <c r="I4680" s="2127"/>
      <c r="J4680" s="867"/>
      <c r="K4680" s="868"/>
      <c r="L4680" s="869"/>
      <c r="M4680" s="870"/>
      <c r="N4680" s="874"/>
      <c r="O4680" s="875"/>
      <c r="P4680" s="869"/>
      <c r="Q4680" s="878"/>
      <c r="R4680" s="1127">
        <v>10</v>
      </c>
      <c r="S4680" s="950" t="s">
        <v>816</v>
      </c>
      <c r="T4680" s="872" t="s">
        <v>324</v>
      </c>
      <c r="U4680" s="998"/>
      <c r="V4680" s="1418">
        <f t="shared" si="469"/>
        <v>0</v>
      </c>
      <c r="W4680" s="357"/>
      <c r="X4680" s="357"/>
      <c r="Y4680" s="357"/>
      <c r="Z4680" s="358"/>
      <c r="AA4680" s="359"/>
      <c r="AB4680" s="360"/>
    </row>
    <row r="4681" spans="1:36" s="361" customFormat="1" ht="15" hidden="1" customHeight="1">
      <c r="A4681" s="354"/>
      <c r="B4681" s="355"/>
      <c r="C4681" s="32"/>
      <c r="D4681" s="33"/>
      <c r="E4681" s="34"/>
      <c r="F4681" s="35"/>
      <c r="G4681" s="33"/>
      <c r="H4681" s="34"/>
      <c r="I4681" s="35"/>
      <c r="J4681" s="43"/>
      <c r="K4681" s="42"/>
      <c r="L4681" s="39"/>
      <c r="M4681" s="41"/>
      <c r="N4681" s="356"/>
      <c r="O4681" s="40"/>
      <c r="P4681" s="39"/>
      <c r="Q4681" s="45"/>
      <c r="R4681" s="362"/>
      <c r="S4681" s="363"/>
      <c r="T4681" s="46"/>
      <c r="U4681" s="44"/>
      <c r="V4681" s="1418">
        <f t="shared" si="469"/>
        <v>0</v>
      </c>
      <c r="W4681" s="357"/>
      <c r="X4681" s="357"/>
      <c r="Y4681" s="357"/>
      <c r="Z4681" s="358"/>
      <c r="AA4681" s="359"/>
      <c r="AB4681" s="360"/>
    </row>
    <row r="4682" spans="1:36" s="369" customFormat="1" ht="15" hidden="1">
      <c r="A4682" s="364"/>
      <c r="B4682" s="355"/>
      <c r="C4682" s="32"/>
      <c r="D4682" s="33"/>
      <c r="E4682" s="34"/>
      <c r="F4682" s="35"/>
      <c r="G4682" s="33"/>
      <c r="H4682" s="34"/>
      <c r="I4682" s="35"/>
      <c r="J4682" s="43"/>
      <c r="K4682" s="42"/>
      <c r="L4682" s="39"/>
      <c r="M4682" s="41"/>
      <c r="N4682" s="40"/>
      <c r="O4682" s="40"/>
      <c r="P4682" s="39"/>
      <c r="Q4682" s="38"/>
      <c r="R4682" s="365"/>
      <c r="S4682" s="366"/>
      <c r="T4682" s="46"/>
      <c r="U4682" s="44"/>
      <c r="V4682" s="1418">
        <f t="shared" si="469"/>
        <v>0</v>
      </c>
      <c r="W4682" s="367"/>
      <c r="X4682" s="367"/>
      <c r="Y4682" s="367"/>
      <c r="Z4682" s="368"/>
    </row>
    <row r="4683" spans="1:36" s="77" customFormat="1" ht="15" hidden="1">
      <c r="A4683" s="370"/>
      <c r="B4683" s="29"/>
      <c r="C4683" s="30"/>
      <c r="D4683" s="18"/>
      <c r="E4683" s="19"/>
      <c r="F4683" s="20"/>
      <c r="G4683" s="18"/>
      <c r="H4683" s="19"/>
      <c r="I4683" s="20"/>
      <c r="J4683" s="21"/>
      <c r="K4683" s="22"/>
      <c r="L4683" s="23"/>
      <c r="M4683" s="24"/>
      <c r="N4683" s="25"/>
      <c r="O4683" s="25"/>
      <c r="P4683" s="23"/>
      <c r="Q4683" s="26"/>
      <c r="R4683" s="371"/>
      <c r="S4683" s="27"/>
      <c r="T4683" s="372"/>
      <c r="U4683" s="31"/>
      <c r="V4683" s="1418">
        <f t="shared" si="469"/>
        <v>0</v>
      </c>
      <c r="AB4683" s="15"/>
    </row>
    <row r="4684" spans="1:36" s="77" customFormat="1" ht="15.75" hidden="1" customHeight="1">
      <c r="A4684" s="370"/>
      <c r="B4684" s="499"/>
      <c r="C4684" s="37"/>
      <c r="D4684" s="1929" t="s">
        <v>1520</v>
      </c>
      <c r="E4684" s="1930"/>
      <c r="F4684" s="1930"/>
      <c r="G4684" s="1930"/>
      <c r="H4684" s="1930"/>
      <c r="I4684" s="1931"/>
      <c r="J4684" s="1932">
        <f>VLOOKUP(A4686,'11 - FINANCEIRA'!_xlnm.Print_Area,6,FALSE)</f>
        <v>10</v>
      </c>
      <c r="K4684" s="1933"/>
      <c r="L4684" s="1343" t="str">
        <f>VLOOKUP(A4686,'11 - FINANCEIRA'!_xlnm.Print_Area,4,FALSE)</f>
        <v>und</v>
      </c>
      <c r="M4684" s="1934" t="s">
        <v>1521</v>
      </c>
      <c r="N4684" s="1935"/>
      <c r="O4684" s="1935"/>
      <c r="P4684" s="1935"/>
      <c r="Q4684" s="1936"/>
      <c r="R4684" s="726">
        <f>SUM(R4680:R4683)</f>
        <v>10</v>
      </c>
      <c r="S4684" s="1344" t="str">
        <f>L4684</f>
        <v>und</v>
      </c>
      <c r="T4684" s="373"/>
      <c r="U4684" s="486"/>
      <c r="V4684" s="1418">
        <f t="shared" si="469"/>
        <v>0</v>
      </c>
      <c r="AB4684" s="15"/>
    </row>
    <row r="4685" spans="1:36" s="77" customFormat="1" ht="15.75" hidden="1" customHeight="1">
      <c r="A4685" s="370"/>
      <c r="B4685" s="499"/>
      <c r="C4685" s="725"/>
      <c r="D4685" s="1937" t="s">
        <v>1522</v>
      </c>
      <c r="E4685" s="1938"/>
      <c r="F4685" s="1938"/>
      <c r="G4685" s="1938"/>
      <c r="H4685" s="1938"/>
      <c r="I4685" s="1939"/>
      <c r="J4685" s="1943">
        <f>R4684/J4684</f>
        <v>1</v>
      </c>
      <c r="K4685" s="1944"/>
      <c r="L4685" s="1947"/>
      <c r="M4685" s="1934" t="s">
        <v>1523</v>
      </c>
      <c r="N4685" s="1935"/>
      <c r="O4685" s="1935"/>
      <c r="P4685" s="1935"/>
      <c r="Q4685" s="1936"/>
      <c r="R4685" s="726">
        <f>VLOOKUP(A4686,'11 - FINANCEIRA'!_xlnm.Print_Area,8,FALSE)</f>
        <v>10</v>
      </c>
      <c r="S4685" s="727" t="str">
        <f>L4684</f>
        <v>und</v>
      </c>
      <c r="T4685" s="373"/>
      <c r="U4685" s="486"/>
      <c r="V4685" s="1418">
        <f t="shared" si="469"/>
        <v>0</v>
      </c>
      <c r="AB4685" s="15"/>
    </row>
    <row r="4686" spans="1:36" s="77" customFormat="1" ht="15.75" hidden="1" customHeight="1">
      <c r="A4686" s="364" t="s">
        <v>772</v>
      </c>
      <c r="B4686" s="499"/>
      <c r="C4686" s="37"/>
      <c r="D4686" s="1940"/>
      <c r="E4686" s="1941"/>
      <c r="F4686" s="1941"/>
      <c r="G4686" s="1941"/>
      <c r="H4686" s="1941"/>
      <c r="I4686" s="1942"/>
      <c r="J4686" s="1945"/>
      <c r="K4686" s="1946"/>
      <c r="L4686" s="1948"/>
      <c r="M4686" s="1934" t="s">
        <v>1524</v>
      </c>
      <c r="N4686" s="1935"/>
      <c r="O4686" s="1935"/>
      <c r="P4686" s="1935"/>
      <c r="Q4686" s="1936"/>
      <c r="R4686" s="1345">
        <f>R4684-R4685</f>
        <v>0</v>
      </c>
      <c r="S4686" s="1346" t="str">
        <f>L4684</f>
        <v>und</v>
      </c>
      <c r="T4686" s="373"/>
      <c r="U4686" s="486"/>
      <c r="V4686" s="1418">
        <f>R4686</f>
        <v>0</v>
      </c>
      <c r="AB4686" s="15"/>
    </row>
    <row r="4687" spans="1:36" s="77" customFormat="1" ht="15.6" hidden="1">
      <c r="A4687" s="370"/>
      <c r="B4687" s="1347"/>
      <c r="C4687" s="1348"/>
      <c r="D4687" s="1349"/>
      <c r="E4687" s="1350"/>
      <c r="F4687" s="1349"/>
      <c r="G4687" s="1349"/>
      <c r="H4687" s="1349"/>
      <c r="I4687" s="1349"/>
      <c r="J4687" s="1351"/>
      <c r="K4687" s="1352"/>
      <c r="L4687" s="1353"/>
      <c r="M4687" s="1354"/>
      <c r="N4687" s="1354"/>
      <c r="O4687" s="1354"/>
      <c r="P4687" s="1354"/>
      <c r="Q4687" s="1354"/>
      <c r="R4687" s="1355"/>
      <c r="S4687" s="1356"/>
      <c r="T4687" s="1357"/>
      <c r="U4687" s="1358"/>
      <c r="V4687" s="1420">
        <f>SUM(V4678:V4686)</f>
        <v>0</v>
      </c>
      <c r="AB4687" s="15"/>
    </row>
    <row r="4688" spans="1:36" s="352" customFormat="1" ht="15.75" hidden="1" customHeight="1">
      <c r="A4688" s="351"/>
      <c r="B4688" s="1963" t="str">
        <f>VLOOKUP(A4696,'11 - FINANCEIRA'!_xlnm.Print_Area,1,FALSE)</f>
        <v>4.1.17</v>
      </c>
      <c r="C4688" s="1965" t="str">
        <f>VLOOKUP(A4696,'11 - FINANCEIRA'!_xlnm.Print_Area,3,FALSE)</f>
        <v>EXTREMIDADE FLANGE E PONTA PARA JUNTAS JGS E JTI</v>
      </c>
      <c r="D4688" s="1967" t="s">
        <v>205</v>
      </c>
      <c r="E4688" s="1968"/>
      <c r="F4688" s="1968"/>
      <c r="G4688" s="1968"/>
      <c r="H4688" s="1968"/>
      <c r="I4688" s="1969"/>
      <c r="J4688" s="1914" t="s">
        <v>2126</v>
      </c>
      <c r="K4688" s="1914" t="s">
        <v>1505</v>
      </c>
      <c r="L4688" s="1914" t="s">
        <v>1506</v>
      </c>
      <c r="M4688" s="1914" t="s">
        <v>1507</v>
      </c>
      <c r="N4688" s="1914" t="s">
        <v>1508</v>
      </c>
      <c r="O4688" s="1914" t="s">
        <v>1509</v>
      </c>
      <c r="P4688" s="1341" t="s">
        <v>1510</v>
      </c>
      <c r="Q4688" s="1914" t="s">
        <v>1493</v>
      </c>
      <c r="R4688" s="1916" t="s">
        <v>804</v>
      </c>
      <c r="S4688" s="1914" t="s">
        <v>1511</v>
      </c>
      <c r="T4688" s="1914" t="s">
        <v>1512</v>
      </c>
      <c r="U4688" s="1918" t="s">
        <v>1513</v>
      </c>
      <c r="V4688" s="1418">
        <f t="shared" ref="V4688:V4695" si="470">V4689</f>
        <v>0</v>
      </c>
      <c r="W4688" s="16"/>
      <c r="X4688" s="16"/>
      <c r="Y4688" s="16"/>
      <c r="Z4688" s="17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</row>
    <row r="4689" spans="1:36" s="352" customFormat="1" ht="15.6" hidden="1">
      <c r="A4689" s="351"/>
      <c r="B4689" s="1964" t="e">
        <f>LEFT(#REF!,5)</f>
        <v>#REF!</v>
      </c>
      <c r="C4689" s="1966" t="e">
        <f>VLOOKUP(LEFT(#REF!,5),'11 - FINANCEIRA'!_xlnm.Print_Area,2,FALSE)</f>
        <v>#REF!</v>
      </c>
      <c r="D4689" s="1920" t="s">
        <v>1514</v>
      </c>
      <c r="E4689" s="1921"/>
      <c r="F4689" s="1922"/>
      <c r="G4689" s="1923" t="s">
        <v>1515</v>
      </c>
      <c r="H4689" s="1924"/>
      <c r="I4689" s="1925"/>
      <c r="J4689" s="1915"/>
      <c r="K4689" s="1915"/>
      <c r="L4689" s="1915"/>
      <c r="M4689" s="1915"/>
      <c r="N4689" s="1915"/>
      <c r="O4689" s="1915"/>
      <c r="P4689" s="353" t="s">
        <v>1516</v>
      </c>
      <c r="Q4689" s="1915"/>
      <c r="R4689" s="1917"/>
      <c r="S4689" s="1915"/>
      <c r="T4689" s="1915"/>
      <c r="U4689" s="1919"/>
      <c r="V4689" s="1418">
        <f t="shared" si="470"/>
        <v>0</v>
      </c>
      <c r="W4689" s="16"/>
      <c r="X4689" s="16"/>
      <c r="Y4689" s="16"/>
      <c r="Z4689" s="17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</row>
    <row r="4690" spans="1:36" s="361" customFormat="1" ht="15" hidden="1" customHeight="1">
      <c r="A4690" s="354"/>
      <c r="B4690" s="863" t="s">
        <v>2162</v>
      </c>
      <c r="C4690" s="710" t="s">
        <v>1465</v>
      </c>
      <c r="D4690" s="2125"/>
      <c r="E4690" s="2126"/>
      <c r="F4690" s="2127"/>
      <c r="G4690" s="2125"/>
      <c r="H4690" s="2126"/>
      <c r="I4690" s="2127"/>
      <c r="J4690" s="867"/>
      <c r="K4690" s="868"/>
      <c r="L4690" s="869"/>
      <c r="M4690" s="870"/>
      <c r="N4690" s="874"/>
      <c r="O4690" s="875"/>
      <c r="P4690" s="869"/>
      <c r="Q4690" s="878"/>
      <c r="R4690" s="1127">
        <v>10</v>
      </c>
      <c r="S4690" s="950" t="s">
        <v>816</v>
      </c>
      <c r="T4690" s="872" t="s">
        <v>324</v>
      </c>
      <c r="U4690" s="998"/>
      <c r="V4690" s="1418">
        <f t="shared" si="470"/>
        <v>0</v>
      </c>
      <c r="W4690" s="357"/>
      <c r="X4690" s="357"/>
      <c r="Y4690" s="357"/>
      <c r="Z4690" s="358"/>
      <c r="AA4690" s="359"/>
      <c r="AB4690" s="360"/>
    </row>
    <row r="4691" spans="1:36" s="361" customFormat="1" ht="15" hidden="1" customHeight="1">
      <c r="A4691" s="354"/>
      <c r="B4691" s="355"/>
      <c r="C4691" s="32"/>
      <c r="D4691" s="33"/>
      <c r="E4691" s="34"/>
      <c r="F4691" s="35"/>
      <c r="G4691" s="33"/>
      <c r="H4691" s="34"/>
      <c r="I4691" s="35"/>
      <c r="J4691" s="43"/>
      <c r="K4691" s="42"/>
      <c r="L4691" s="39"/>
      <c r="M4691" s="41"/>
      <c r="N4691" s="356"/>
      <c r="O4691" s="40"/>
      <c r="P4691" s="39"/>
      <c r="Q4691" s="45"/>
      <c r="R4691" s="362"/>
      <c r="S4691" s="363"/>
      <c r="T4691" s="46"/>
      <c r="U4691" s="44"/>
      <c r="V4691" s="1418">
        <f t="shared" si="470"/>
        <v>0</v>
      </c>
      <c r="W4691" s="357"/>
      <c r="X4691" s="357"/>
      <c r="Y4691" s="357"/>
      <c r="Z4691" s="358"/>
      <c r="AA4691" s="359"/>
      <c r="AB4691" s="360"/>
    </row>
    <row r="4692" spans="1:36" s="369" customFormat="1" ht="15" hidden="1">
      <c r="A4692" s="364"/>
      <c r="B4692" s="355"/>
      <c r="C4692" s="32"/>
      <c r="D4692" s="33"/>
      <c r="E4692" s="34"/>
      <c r="F4692" s="35"/>
      <c r="G4692" s="33"/>
      <c r="H4692" s="34"/>
      <c r="I4692" s="35"/>
      <c r="J4692" s="43"/>
      <c r="K4692" s="42"/>
      <c r="L4692" s="39"/>
      <c r="M4692" s="41"/>
      <c r="N4692" s="40"/>
      <c r="O4692" s="40"/>
      <c r="P4692" s="39"/>
      <c r="Q4692" s="38"/>
      <c r="R4692" s="365"/>
      <c r="S4692" s="366"/>
      <c r="T4692" s="46"/>
      <c r="U4692" s="44"/>
      <c r="V4692" s="1418">
        <f t="shared" si="470"/>
        <v>0</v>
      </c>
      <c r="W4692" s="367"/>
      <c r="X4692" s="367"/>
      <c r="Y4692" s="367"/>
      <c r="Z4692" s="368"/>
    </row>
    <row r="4693" spans="1:36" s="77" customFormat="1" ht="15" hidden="1">
      <c r="A4693" s="370"/>
      <c r="B4693" s="29"/>
      <c r="C4693" s="30"/>
      <c r="D4693" s="18"/>
      <c r="E4693" s="19"/>
      <c r="F4693" s="20"/>
      <c r="G4693" s="18"/>
      <c r="H4693" s="19"/>
      <c r="I4693" s="20"/>
      <c r="J4693" s="21"/>
      <c r="K4693" s="22"/>
      <c r="L4693" s="23"/>
      <c r="M4693" s="24"/>
      <c r="N4693" s="25"/>
      <c r="O4693" s="25"/>
      <c r="P4693" s="23"/>
      <c r="Q4693" s="26"/>
      <c r="R4693" s="371"/>
      <c r="S4693" s="27"/>
      <c r="T4693" s="372"/>
      <c r="U4693" s="31"/>
      <c r="V4693" s="1418">
        <f t="shared" si="470"/>
        <v>0</v>
      </c>
      <c r="AB4693" s="15"/>
    </row>
    <row r="4694" spans="1:36" s="77" customFormat="1" ht="15.75" hidden="1" customHeight="1">
      <c r="A4694" s="370"/>
      <c r="B4694" s="499"/>
      <c r="C4694" s="37"/>
      <c r="D4694" s="1929" t="s">
        <v>1520</v>
      </c>
      <c r="E4694" s="1930"/>
      <c r="F4694" s="1930"/>
      <c r="G4694" s="1930"/>
      <c r="H4694" s="1930"/>
      <c r="I4694" s="1931"/>
      <c r="J4694" s="1932">
        <f>VLOOKUP(A4696,'11 - FINANCEIRA'!_xlnm.Print_Area,6,FALSE)</f>
        <v>10</v>
      </c>
      <c r="K4694" s="1933"/>
      <c r="L4694" s="1343" t="str">
        <f>VLOOKUP(A4696,'11 - FINANCEIRA'!_xlnm.Print_Area,4,FALSE)</f>
        <v>und</v>
      </c>
      <c r="M4694" s="1934" t="s">
        <v>1521</v>
      </c>
      <c r="N4694" s="1935"/>
      <c r="O4694" s="1935"/>
      <c r="P4694" s="1935"/>
      <c r="Q4694" s="1936"/>
      <c r="R4694" s="726">
        <f>SUM(R4690:R4693)</f>
        <v>10</v>
      </c>
      <c r="S4694" s="1344" t="str">
        <f>L4694</f>
        <v>und</v>
      </c>
      <c r="T4694" s="373"/>
      <c r="U4694" s="486"/>
      <c r="V4694" s="1418">
        <f t="shared" si="470"/>
        <v>0</v>
      </c>
      <c r="AB4694" s="15"/>
    </row>
    <row r="4695" spans="1:36" s="77" customFormat="1" ht="15.75" hidden="1" customHeight="1">
      <c r="A4695" s="370"/>
      <c r="B4695" s="499"/>
      <c r="C4695" s="725"/>
      <c r="D4695" s="1937" t="s">
        <v>1522</v>
      </c>
      <c r="E4695" s="1938"/>
      <c r="F4695" s="1938"/>
      <c r="G4695" s="1938"/>
      <c r="H4695" s="1938"/>
      <c r="I4695" s="1939"/>
      <c r="J4695" s="1943">
        <f>R4694/J4694</f>
        <v>1</v>
      </c>
      <c r="K4695" s="1944"/>
      <c r="L4695" s="1947"/>
      <c r="M4695" s="1934" t="s">
        <v>1523</v>
      </c>
      <c r="N4695" s="1935"/>
      <c r="O4695" s="1935"/>
      <c r="P4695" s="1935"/>
      <c r="Q4695" s="1936"/>
      <c r="R4695" s="726">
        <f>VLOOKUP(A4696,'11 - FINANCEIRA'!_xlnm.Print_Area,8,FALSE)</f>
        <v>10</v>
      </c>
      <c r="S4695" s="727" t="str">
        <f>L4694</f>
        <v>und</v>
      </c>
      <c r="T4695" s="373"/>
      <c r="U4695" s="486"/>
      <c r="V4695" s="1418">
        <f t="shared" si="470"/>
        <v>0</v>
      </c>
      <c r="AB4695" s="15"/>
    </row>
    <row r="4696" spans="1:36" s="77" customFormat="1" ht="15.75" hidden="1" customHeight="1">
      <c r="A4696" s="364" t="s">
        <v>773</v>
      </c>
      <c r="B4696" s="499"/>
      <c r="C4696" s="37"/>
      <c r="D4696" s="1940"/>
      <c r="E4696" s="1941"/>
      <c r="F4696" s="1941"/>
      <c r="G4696" s="1941"/>
      <c r="H4696" s="1941"/>
      <c r="I4696" s="1942"/>
      <c r="J4696" s="1945"/>
      <c r="K4696" s="1946"/>
      <c r="L4696" s="1948"/>
      <c r="M4696" s="1934" t="s">
        <v>1524</v>
      </c>
      <c r="N4696" s="1935"/>
      <c r="O4696" s="1935"/>
      <c r="P4696" s="1935"/>
      <c r="Q4696" s="1936"/>
      <c r="R4696" s="1345">
        <f>R4694-R4695</f>
        <v>0</v>
      </c>
      <c r="S4696" s="1346" t="str">
        <f>L4694</f>
        <v>und</v>
      </c>
      <c r="T4696" s="373"/>
      <c r="U4696" s="486"/>
      <c r="V4696" s="1418">
        <f>R4696</f>
        <v>0</v>
      </c>
      <c r="AB4696" s="15"/>
    </row>
    <row r="4697" spans="1:36" s="77" customFormat="1" ht="15.6" hidden="1">
      <c r="A4697" s="370"/>
      <c r="B4697" s="1347"/>
      <c r="C4697" s="1348"/>
      <c r="D4697" s="1349"/>
      <c r="E4697" s="1350"/>
      <c r="F4697" s="1349"/>
      <c r="G4697" s="1349"/>
      <c r="H4697" s="1349"/>
      <c r="I4697" s="1349"/>
      <c r="J4697" s="1351"/>
      <c r="K4697" s="1352"/>
      <c r="L4697" s="1353"/>
      <c r="M4697" s="1354"/>
      <c r="N4697" s="1354"/>
      <c r="O4697" s="1354"/>
      <c r="P4697" s="1354"/>
      <c r="Q4697" s="1354"/>
      <c r="R4697" s="1355"/>
      <c r="S4697" s="1356"/>
      <c r="T4697" s="1357"/>
      <c r="U4697" s="1358"/>
      <c r="V4697" s="1420">
        <f>SUM(V4688:V4696)</f>
        <v>0</v>
      </c>
      <c r="AB4697" s="15"/>
    </row>
    <row r="4698" spans="1:36" s="352" customFormat="1" ht="15.75" hidden="1" customHeight="1">
      <c r="A4698" s="351"/>
      <c r="B4698" s="1963" t="str">
        <f>VLOOKUP(A4706,'11 - FINANCEIRA'!_xlnm.Print_Area,1,FALSE)</f>
        <v>4.1.18</v>
      </c>
      <c r="C4698" s="1965" t="str">
        <f>VLOOKUP(A4706,'11 - FINANCEIRA'!_xlnm.Print_Area,3,FALSE)</f>
        <v>TOCO COM FLANGES L= 0,50 M</v>
      </c>
      <c r="D4698" s="1967" t="s">
        <v>205</v>
      </c>
      <c r="E4698" s="1968"/>
      <c r="F4698" s="1968"/>
      <c r="G4698" s="1968"/>
      <c r="H4698" s="1968"/>
      <c r="I4698" s="1969"/>
      <c r="J4698" s="1914" t="s">
        <v>2126</v>
      </c>
      <c r="K4698" s="1914" t="s">
        <v>1505</v>
      </c>
      <c r="L4698" s="1914" t="s">
        <v>1506</v>
      </c>
      <c r="M4698" s="1914" t="s">
        <v>1507</v>
      </c>
      <c r="N4698" s="1914" t="s">
        <v>1508</v>
      </c>
      <c r="O4698" s="1914" t="s">
        <v>1509</v>
      </c>
      <c r="P4698" s="1341" t="s">
        <v>1510</v>
      </c>
      <c r="Q4698" s="1914" t="s">
        <v>1493</v>
      </c>
      <c r="R4698" s="1916" t="s">
        <v>804</v>
      </c>
      <c r="S4698" s="1914" t="s">
        <v>1511</v>
      </c>
      <c r="T4698" s="1914" t="s">
        <v>1512</v>
      </c>
      <c r="U4698" s="1918" t="s">
        <v>1513</v>
      </c>
      <c r="V4698" s="1418">
        <f t="shared" ref="V4698:V4705" si="471">V4699</f>
        <v>0</v>
      </c>
      <c r="W4698" s="16"/>
      <c r="X4698" s="16"/>
      <c r="Y4698" s="16"/>
      <c r="Z4698" s="17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</row>
    <row r="4699" spans="1:36" s="352" customFormat="1" ht="15.6" hidden="1">
      <c r="A4699" s="351"/>
      <c r="B4699" s="1964" t="e">
        <f>LEFT(#REF!,5)</f>
        <v>#REF!</v>
      </c>
      <c r="C4699" s="1966" t="e">
        <f>VLOOKUP(LEFT(#REF!,5),'11 - FINANCEIRA'!_xlnm.Print_Area,2,FALSE)</f>
        <v>#REF!</v>
      </c>
      <c r="D4699" s="1920" t="s">
        <v>1514</v>
      </c>
      <c r="E4699" s="1921"/>
      <c r="F4699" s="1922"/>
      <c r="G4699" s="1923" t="s">
        <v>1515</v>
      </c>
      <c r="H4699" s="1924"/>
      <c r="I4699" s="1925"/>
      <c r="J4699" s="1915"/>
      <c r="K4699" s="1915"/>
      <c r="L4699" s="1915"/>
      <c r="M4699" s="1915"/>
      <c r="N4699" s="1915"/>
      <c r="O4699" s="1915"/>
      <c r="P4699" s="353" t="s">
        <v>1516</v>
      </c>
      <c r="Q4699" s="1915"/>
      <c r="R4699" s="1917"/>
      <c r="S4699" s="1915"/>
      <c r="T4699" s="1915"/>
      <c r="U4699" s="1919"/>
      <c r="V4699" s="1418">
        <f t="shared" si="471"/>
        <v>0</v>
      </c>
      <c r="W4699" s="16"/>
      <c r="X4699" s="16"/>
      <c r="Y4699" s="16"/>
      <c r="Z4699" s="17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</row>
    <row r="4700" spans="1:36" s="361" customFormat="1" ht="15" hidden="1" customHeight="1">
      <c r="A4700" s="354"/>
      <c r="B4700" s="863" t="s">
        <v>2163</v>
      </c>
      <c r="C4700" s="710" t="s">
        <v>1467</v>
      </c>
      <c r="D4700" s="2125"/>
      <c r="E4700" s="2126"/>
      <c r="F4700" s="2127"/>
      <c r="G4700" s="2125"/>
      <c r="H4700" s="2126"/>
      <c r="I4700" s="2127"/>
      <c r="J4700" s="867"/>
      <c r="K4700" s="868"/>
      <c r="L4700" s="869"/>
      <c r="M4700" s="870"/>
      <c r="N4700" s="874"/>
      <c r="O4700" s="875"/>
      <c r="P4700" s="869"/>
      <c r="Q4700" s="878"/>
      <c r="R4700" s="1127">
        <v>10</v>
      </c>
      <c r="S4700" s="950" t="s">
        <v>816</v>
      </c>
      <c r="T4700" s="872" t="s">
        <v>324</v>
      </c>
      <c r="U4700" s="998"/>
      <c r="V4700" s="1418">
        <f t="shared" si="471"/>
        <v>0</v>
      </c>
      <c r="W4700" s="357"/>
      <c r="X4700" s="357"/>
      <c r="Y4700" s="357"/>
      <c r="Z4700" s="358"/>
      <c r="AA4700" s="359"/>
      <c r="AB4700" s="360"/>
    </row>
    <row r="4701" spans="1:36" s="361" customFormat="1" ht="15" hidden="1" customHeight="1">
      <c r="A4701" s="354"/>
      <c r="B4701" s="355"/>
      <c r="C4701" s="32"/>
      <c r="D4701" s="33"/>
      <c r="E4701" s="34"/>
      <c r="F4701" s="35"/>
      <c r="G4701" s="33"/>
      <c r="H4701" s="34"/>
      <c r="I4701" s="35"/>
      <c r="J4701" s="43"/>
      <c r="K4701" s="42"/>
      <c r="L4701" s="39"/>
      <c r="M4701" s="41"/>
      <c r="N4701" s="356"/>
      <c r="O4701" s="40"/>
      <c r="P4701" s="39"/>
      <c r="Q4701" s="45"/>
      <c r="R4701" s="362"/>
      <c r="S4701" s="363"/>
      <c r="T4701" s="46"/>
      <c r="U4701" s="44"/>
      <c r="V4701" s="1418">
        <f t="shared" si="471"/>
        <v>0</v>
      </c>
      <c r="W4701" s="357"/>
      <c r="X4701" s="357"/>
      <c r="Y4701" s="357"/>
      <c r="Z4701" s="358"/>
      <c r="AA4701" s="359"/>
      <c r="AB4701" s="360"/>
    </row>
    <row r="4702" spans="1:36" s="369" customFormat="1" ht="15" hidden="1">
      <c r="A4702" s="364"/>
      <c r="B4702" s="355"/>
      <c r="C4702" s="32"/>
      <c r="D4702" s="33"/>
      <c r="E4702" s="34"/>
      <c r="F4702" s="35"/>
      <c r="G4702" s="33"/>
      <c r="H4702" s="34"/>
      <c r="I4702" s="35"/>
      <c r="J4702" s="43"/>
      <c r="K4702" s="42"/>
      <c r="L4702" s="39"/>
      <c r="M4702" s="41"/>
      <c r="N4702" s="40"/>
      <c r="O4702" s="40"/>
      <c r="P4702" s="39"/>
      <c r="Q4702" s="38"/>
      <c r="R4702" s="365"/>
      <c r="S4702" s="366"/>
      <c r="T4702" s="46"/>
      <c r="U4702" s="44"/>
      <c r="V4702" s="1418">
        <f t="shared" si="471"/>
        <v>0</v>
      </c>
      <c r="W4702" s="367"/>
      <c r="X4702" s="367"/>
      <c r="Y4702" s="367"/>
      <c r="Z4702" s="368"/>
    </row>
    <row r="4703" spans="1:36" s="77" customFormat="1" ht="15" hidden="1">
      <c r="A4703" s="370"/>
      <c r="B4703" s="29"/>
      <c r="C4703" s="30"/>
      <c r="D4703" s="18"/>
      <c r="E4703" s="19"/>
      <c r="F4703" s="20"/>
      <c r="G4703" s="18"/>
      <c r="H4703" s="19"/>
      <c r="I4703" s="20"/>
      <c r="J4703" s="21"/>
      <c r="K4703" s="22"/>
      <c r="L4703" s="23"/>
      <c r="M4703" s="24"/>
      <c r="N4703" s="25"/>
      <c r="O4703" s="25"/>
      <c r="P4703" s="23"/>
      <c r="Q4703" s="26"/>
      <c r="R4703" s="371"/>
      <c r="S4703" s="27"/>
      <c r="T4703" s="372"/>
      <c r="U4703" s="31"/>
      <c r="V4703" s="1418">
        <f t="shared" si="471"/>
        <v>0</v>
      </c>
      <c r="AB4703" s="15"/>
    </row>
    <row r="4704" spans="1:36" s="77" customFormat="1" ht="15.75" hidden="1" customHeight="1">
      <c r="A4704" s="370"/>
      <c r="B4704" s="499"/>
      <c r="C4704" s="37"/>
      <c r="D4704" s="1929" t="s">
        <v>1520</v>
      </c>
      <c r="E4704" s="1930"/>
      <c r="F4704" s="1930"/>
      <c r="G4704" s="1930"/>
      <c r="H4704" s="1930"/>
      <c r="I4704" s="1931"/>
      <c r="J4704" s="1932">
        <f>VLOOKUP(A4706,'11 - FINANCEIRA'!_xlnm.Print_Area,6,FALSE)</f>
        <v>10</v>
      </c>
      <c r="K4704" s="1933"/>
      <c r="L4704" s="1343" t="str">
        <f>VLOOKUP(A4706,'11 - FINANCEIRA'!_xlnm.Print_Area,4,FALSE)</f>
        <v>und</v>
      </c>
      <c r="M4704" s="1934" t="s">
        <v>1521</v>
      </c>
      <c r="N4704" s="1935"/>
      <c r="O4704" s="1935"/>
      <c r="P4704" s="1935"/>
      <c r="Q4704" s="1936"/>
      <c r="R4704" s="726">
        <f>SUM(R4700:R4703)</f>
        <v>10</v>
      </c>
      <c r="S4704" s="1344" t="str">
        <f>L4704</f>
        <v>und</v>
      </c>
      <c r="T4704" s="373"/>
      <c r="U4704" s="486"/>
      <c r="V4704" s="1418">
        <f t="shared" si="471"/>
        <v>0</v>
      </c>
      <c r="AB4704" s="15"/>
    </row>
    <row r="4705" spans="1:36" s="77" customFormat="1" ht="15.75" hidden="1" customHeight="1">
      <c r="A4705" s="370"/>
      <c r="B4705" s="499"/>
      <c r="C4705" s="725"/>
      <c r="D4705" s="1937" t="s">
        <v>1522</v>
      </c>
      <c r="E4705" s="1938"/>
      <c r="F4705" s="1938"/>
      <c r="G4705" s="1938"/>
      <c r="H4705" s="1938"/>
      <c r="I4705" s="1939"/>
      <c r="J4705" s="1943">
        <f>R4704/J4704</f>
        <v>1</v>
      </c>
      <c r="K4705" s="1944"/>
      <c r="L4705" s="1947"/>
      <c r="M4705" s="1934" t="s">
        <v>1523</v>
      </c>
      <c r="N4705" s="1935"/>
      <c r="O4705" s="1935"/>
      <c r="P4705" s="1935"/>
      <c r="Q4705" s="1936"/>
      <c r="R4705" s="726">
        <f>VLOOKUP(A4706,'11 - FINANCEIRA'!_xlnm.Print_Area,8,FALSE)</f>
        <v>10</v>
      </c>
      <c r="S4705" s="727" t="str">
        <f>L4704</f>
        <v>und</v>
      </c>
      <c r="T4705" s="373"/>
      <c r="U4705" s="486"/>
      <c r="V4705" s="1418">
        <f t="shared" si="471"/>
        <v>0</v>
      </c>
      <c r="AB4705" s="15"/>
    </row>
    <row r="4706" spans="1:36" s="77" customFormat="1" ht="15.75" hidden="1" customHeight="1">
      <c r="A4706" s="364" t="s">
        <v>774</v>
      </c>
      <c r="B4706" s="499"/>
      <c r="C4706" s="37"/>
      <c r="D4706" s="1940"/>
      <c r="E4706" s="1941"/>
      <c r="F4706" s="1941"/>
      <c r="G4706" s="1941"/>
      <c r="H4706" s="1941"/>
      <c r="I4706" s="1942"/>
      <c r="J4706" s="1945"/>
      <c r="K4706" s="1946"/>
      <c r="L4706" s="1948"/>
      <c r="M4706" s="1934" t="s">
        <v>1524</v>
      </c>
      <c r="N4706" s="1935"/>
      <c r="O4706" s="1935"/>
      <c r="P4706" s="1935"/>
      <c r="Q4706" s="1936"/>
      <c r="R4706" s="1345">
        <f>R4704-R4705</f>
        <v>0</v>
      </c>
      <c r="S4706" s="1346" t="str">
        <f>L4704</f>
        <v>und</v>
      </c>
      <c r="T4706" s="373"/>
      <c r="U4706" s="486"/>
      <c r="V4706" s="1418">
        <f>R4706</f>
        <v>0</v>
      </c>
      <c r="AB4706" s="15"/>
    </row>
    <row r="4707" spans="1:36" s="77" customFormat="1" ht="15.6" hidden="1">
      <c r="A4707" s="370"/>
      <c r="B4707" s="1347"/>
      <c r="C4707" s="1348"/>
      <c r="D4707" s="1349"/>
      <c r="E4707" s="1350"/>
      <c r="F4707" s="1349"/>
      <c r="G4707" s="1349"/>
      <c r="H4707" s="1349"/>
      <c r="I4707" s="1349"/>
      <c r="J4707" s="1351"/>
      <c r="K4707" s="1352"/>
      <c r="L4707" s="1353"/>
      <c r="M4707" s="1354"/>
      <c r="N4707" s="1354"/>
      <c r="O4707" s="1354"/>
      <c r="P4707" s="1354"/>
      <c r="Q4707" s="1354"/>
      <c r="R4707" s="1355"/>
      <c r="S4707" s="1356"/>
      <c r="T4707" s="1357"/>
      <c r="U4707" s="1358"/>
      <c r="V4707" s="1420">
        <f>SUM(V4698:V4706)</f>
        <v>0</v>
      </c>
      <c r="AB4707" s="15"/>
    </row>
    <row r="4708" spans="1:36" s="352" customFormat="1" ht="15.75" hidden="1" customHeight="1">
      <c r="A4708" s="351"/>
      <c r="B4708" s="1963" t="str">
        <f>VLOOKUP(A4716,'11 - FINANCEIRA'!_xlnm.Print_Area,1,FALSE)</f>
        <v>4.1.19</v>
      </c>
      <c r="C4708" s="1965" t="str">
        <f>VLOOKUP(A4716,'11 - FINANCEIRA'!_xlnm.Print_Area,3,FALSE)</f>
        <v xml:space="preserve">TUBO CLASSE K7 PONTA E BOLSA COM JUNTA TRAVADA EXTERNA JTE l= 6630 </v>
      </c>
      <c r="D4708" s="1967" t="s">
        <v>205</v>
      </c>
      <c r="E4708" s="1968"/>
      <c r="F4708" s="1968"/>
      <c r="G4708" s="1968"/>
      <c r="H4708" s="1968"/>
      <c r="I4708" s="1969"/>
      <c r="J4708" s="1914" t="s">
        <v>2126</v>
      </c>
      <c r="K4708" s="1914" t="s">
        <v>1505</v>
      </c>
      <c r="L4708" s="1914" t="s">
        <v>1506</v>
      </c>
      <c r="M4708" s="1914" t="s">
        <v>1507</v>
      </c>
      <c r="N4708" s="1914" t="s">
        <v>1508</v>
      </c>
      <c r="O4708" s="1914" t="s">
        <v>1509</v>
      </c>
      <c r="P4708" s="1341" t="s">
        <v>1510</v>
      </c>
      <c r="Q4708" s="1914" t="s">
        <v>1493</v>
      </c>
      <c r="R4708" s="1916" t="s">
        <v>804</v>
      </c>
      <c r="S4708" s="1914" t="s">
        <v>1511</v>
      </c>
      <c r="T4708" s="1914" t="s">
        <v>1512</v>
      </c>
      <c r="U4708" s="1918" t="s">
        <v>1513</v>
      </c>
      <c r="V4708" s="1418">
        <f t="shared" ref="V4708:V4715" si="472">V4709</f>
        <v>0</v>
      </c>
      <c r="W4708" s="16"/>
      <c r="X4708" s="16"/>
      <c r="Y4708" s="16"/>
      <c r="Z4708" s="17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</row>
    <row r="4709" spans="1:36" s="352" customFormat="1" ht="15.6" hidden="1">
      <c r="A4709" s="351"/>
      <c r="B4709" s="1964" t="e">
        <f>LEFT(#REF!,5)</f>
        <v>#REF!</v>
      </c>
      <c r="C4709" s="1966" t="e">
        <f>VLOOKUP(LEFT(#REF!,5),'11 - FINANCEIRA'!_xlnm.Print_Area,2,FALSE)</f>
        <v>#REF!</v>
      </c>
      <c r="D4709" s="1920" t="s">
        <v>1514</v>
      </c>
      <c r="E4709" s="1921"/>
      <c r="F4709" s="1922"/>
      <c r="G4709" s="1923" t="s">
        <v>1515</v>
      </c>
      <c r="H4709" s="1924"/>
      <c r="I4709" s="1925"/>
      <c r="J4709" s="1915"/>
      <c r="K4709" s="1915"/>
      <c r="L4709" s="1915"/>
      <c r="M4709" s="1915"/>
      <c r="N4709" s="1915"/>
      <c r="O4709" s="1915"/>
      <c r="P4709" s="353" t="s">
        <v>1516</v>
      </c>
      <c r="Q4709" s="1915"/>
      <c r="R4709" s="1917"/>
      <c r="S4709" s="1915"/>
      <c r="T4709" s="1915"/>
      <c r="U4709" s="1919"/>
      <c r="V4709" s="1418">
        <f t="shared" si="472"/>
        <v>0</v>
      </c>
      <c r="W4709" s="16"/>
      <c r="X4709" s="16"/>
      <c r="Y4709" s="16"/>
      <c r="Z4709" s="17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</row>
    <row r="4710" spans="1:36" s="361" customFormat="1" ht="15" hidden="1" customHeight="1">
      <c r="A4710" s="354"/>
      <c r="B4710" s="863" t="s">
        <v>2164</v>
      </c>
      <c r="C4710" s="710" t="s">
        <v>1469</v>
      </c>
      <c r="D4710" s="2125"/>
      <c r="E4710" s="2126"/>
      <c r="F4710" s="2127"/>
      <c r="G4710" s="2125"/>
      <c r="H4710" s="2126"/>
      <c r="I4710" s="2127"/>
      <c r="J4710" s="867"/>
      <c r="K4710" s="868"/>
      <c r="L4710" s="869"/>
      <c r="M4710" s="870"/>
      <c r="N4710" s="874"/>
      <c r="O4710" s="875"/>
      <c r="P4710" s="869"/>
      <c r="Q4710" s="878"/>
      <c r="R4710" s="1127">
        <v>10</v>
      </c>
      <c r="S4710" s="950" t="s">
        <v>816</v>
      </c>
      <c r="T4710" s="872" t="s">
        <v>324</v>
      </c>
      <c r="U4710" s="998"/>
      <c r="V4710" s="1418">
        <f t="shared" si="472"/>
        <v>0</v>
      </c>
      <c r="W4710" s="357"/>
      <c r="X4710" s="357"/>
      <c r="Y4710" s="357"/>
      <c r="Z4710" s="358"/>
      <c r="AA4710" s="359"/>
      <c r="AB4710" s="360"/>
    </row>
    <row r="4711" spans="1:36" s="361" customFormat="1" ht="15" hidden="1" customHeight="1">
      <c r="A4711" s="354"/>
      <c r="B4711" s="355"/>
      <c r="C4711" s="32"/>
      <c r="D4711" s="33"/>
      <c r="E4711" s="34"/>
      <c r="F4711" s="35"/>
      <c r="G4711" s="33"/>
      <c r="H4711" s="34"/>
      <c r="I4711" s="35"/>
      <c r="J4711" s="43"/>
      <c r="K4711" s="42"/>
      <c r="L4711" s="39"/>
      <c r="M4711" s="41"/>
      <c r="N4711" s="356"/>
      <c r="O4711" s="40"/>
      <c r="P4711" s="39"/>
      <c r="Q4711" s="45"/>
      <c r="R4711" s="362"/>
      <c r="S4711" s="363"/>
      <c r="T4711" s="46"/>
      <c r="U4711" s="44"/>
      <c r="V4711" s="1418">
        <f t="shared" si="472"/>
        <v>0</v>
      </c>
      <c r="W4711" s="357"/>
      <c r="X4711" s="357"/>
      <c r="Y4711" s="357"/>
      <c r="Z4711" s="358"/>
      <c r="AA4711" s="359"/>
      <c r="AB4711" s="360"/>
    </row>
    <row r="4712" spans="1:36" s="369" customFormat="1" ht="15" hidden="1">
      <c r="A4712" s="364"/>
      <c r="B4712" s="355"/>
      <c r="C4712" s="32"/>
      <c r="D4712" s="33"/>
      <c r="E4712" s="34"/>
      <c r="F4712" s="35"/>
      <c r="G4712" s="33"/>
      <c r="H4712" s="34"/>
      <c r="I4712" s="35"/>
      <c r="J4712" s="43"/>
      <c r="K4712" s="42"/>
      <c r="L4712" s="39"/>
      <c r="M4712" s="41"/>
      <c r="N4712" s="40"/>
      <c r="O4712" s="40"/>
      <c r="P4712" s="39"/>
      <c r="Q4712" s="38"/>
      <c r="R4712" s="365"/>
      <c r="S4712" s="366"/>
      <c r="T4712" s="46"/>
      <c r="U4712" s="44"/>
      <c r="V4712" s="1418">
        <f t="shared" si="472"/>
        <v>0</v>
      </c>
      <c r="W4712" s="367"/>
      <c r="X4712" s="367"/>
      <c r="Y4712" s="367"/>
      <c r="Z4712" s="368"/>
    </row>
    <row r="4713" spans="1:36" s="77" customFormat="1" ht="15" hidden="1">
      <c r="A4713" s="370"/>
      <c r="B4713" s="29"/>
      <c r="C4713" s="30"/>
      <c r="D4713" s="18"/>
      <c r="E4713" s="19"/>
      <c r="F4713" s="20"/>
      <c r="G4713" s="18"/>
      <c r="H4713" s="19"/>
      <c r="I4713" s="20"/>
      <c r="J4713" s="21"/>
      <c r="K4713" s="22"/>
      <c r="L4713" s="23"/>
      <c r="M4713" s="24"/>
      <c r="N4713" s="25"/>
      <c r="O4713" s="25"/>
      <c r="P4713" s="23"/>
      <c r="Q4713" s="26"/>
      <c r="R4713" s="371"/>
      <c r="S4713" s="27"/>
      <c r="T4713" s="372"/>
      <c r="U4713" s="31"/>
      <c r="V4713" s="1418">
        <f t="shared" si="472"/>
        <v>0</v>
      </c>
      <c r="AB4713" s="15"/>
    </row>
    <row r="4714" spans="1:36" s="77" customFormat="1" ht="15.75" hidden="1" customHeight="1">
      <c r="A4714" s="370"/>
      <c r="B4714" s="499"/>
      <c r="C4714" s="37"/>
      <c r="D4714" s="1929" t="s">
        <v>1520</v>
      </c>
      <c r="E4714" s="1930"/>
      <c r="F4714" s="1930"/>
      <c r="G4714" s="1930"/>
      <c r="H4714" s="1930"/>
      <c r="I4714" s="1931"/>
      <c r="J4714" s="1932">
        <f>VLOOKUP(A4716,'11 - FINANCEIRA'!_xlnm.Print_Area,6,FALSE)</f>
        <v>10</v>
      </c>
      <c r="K4714" s="1933"/>
      <c r="L4714" s="1343" t="str">
        <f>VLOOKUP(A4716,'11 - FINANCEIRA'!_xlnm.Print_Area,4,FALSE)</f>
        <v>und</v>
      </c>
      <c r="M4714" s="1934" t="s">
        <v>1521</v>
      </c>
      <c r="N4714" s="1935"/>
      <c r="O4714" s="1935"/>
      <c r="P4714" s="1935"/>
      <c r="Q4714" s="1936"/>
      <c r="R4714" s="726">
        <f>SUM(R4710:R4713)</f>
        <v>10</v>
      </c>
      <c r="S4714" s="1344" t="str">
        <f>L4714</f>
        <v>und</v>
      </c>
      <c r="T4714" s="373"/>
      <c r="U4714" s="486"/>
      <c r="V4714" s="1418">
        <f t="shared" si="472"/>
        <v>0</v>
      </c>
      <c r="AB4714" s="15"/>
    </row>
    <row r="4715" spans="1:36" s="77" customFormat="1" ht="15.75" hidden="1" customHeight="1">
      <c r="A4715" s="370"/>
      <c r="B4715" s="499"/>
      <c r="C4715" s="725"/>
      <c r="D4715" s="1937" t="s">
        <v>1522</v>
      </c>
      <c r="E4715" s="1938"/>
      <c r="F4715" s="1938"/>
      <c r="G4715" s="1938"/>
      <c r="H4715" s="1938"/>
      <c r="I4715" s="1939"/>
      <c r="J4715" s="1943">
        <f>R4714/J4714</f>
        <v>1</v>
      </c>
      <c r="K4715" s="1944"/>
      <c r="L4715" s="1947"/>
      <c r="M4715" s="1934" t="s">
        <v>1523</v>
      </c>
      <c r="N4715" s="1935"/>
      <c r="O4715" s="1935"/>
      <c r="P4715" s="1935"/>
      <c r="Q4715" s="1936"/>
      <c r="R4715" s="726">
        <f>VLOOKUP(A4716,'11 - FINANCEIRA'!_xlnm.Print_Area,8,FALSE)</f>
        <v>10</v>
      </c>
      <c r="S4715" s="727" t="str">
        <f>L4714</f>
        <v>und</v>
      </c>
      <c r="T4715" s="373"/>
      <c r="U4715" s="486"/>
      <c r="V4715" s="1418">
        <f t="shared" si="472"/>
        <v>0</v>
      </c>
      <c r="AB4715" s="15"/>
    </row>
    <row r="4716" spans="1:36" s="77" customFormat="1" ht="15.75" hidden="1" customHeight="1">
      <c r="A4716" s="364" t="s">
        <v>775</v>
      </c>
      <c r="B4716" s="499"/>
      <c r="C4716" s="37"/>
      <c r="D4716" s="1940"/>
      <c r="E4716" s="1941"/>
      <c r="F4716" s="1941"/>
      <c r="G4716" s="1941"/>
      <c r="H4716" s="1941"/>
      <c r="I4716" s="1942"/>
      <c r="J4716" s="1945"/>
      <c r="K4716" s="1946"/>
      <c r="L4716" s="1948"/>
      <c r="M4716" s="1934" t="s">
        <v>1524</v>
      </c>
      <c r="N4716" s="1935"/>
      <c r="O4716" s="1935"/>
      <c r="P4716" s="1935"/>
      <c r="Q4716" s="1936"/>
      <c r="R4716" s="1345">
        <f>R4714-R4715</f>
        <v>0</v>
      </c>
      <c r="S4716" s="1346" t="str">
        <f>L4714</f>
        <v>und</v>
      </c>
      <c r="T4716" s="373"/>
      <c r="U4716" s="486"/>
      <c r="V4716" s="1418">
        <f>R4716</f>
        <v>0</v>
      </c>
      <c r="AB4716" s="15"/>
    </row>
    <row r="4717" spans="1:36" s="77" customFormat="1" ht="15.6" hidden="1">
      <c r="A4717" s="370"/>
      <c r="B4717" s="1347"/>
      <c r="C4717" s="1348"/>
      <c r="D4717" s="1349"/>
      <c r="E4717" s="1350"/>
      <c r="F4717" s="1349"/>
      <c r="G4717" s="1349"/>
      <c r="H4717" s="1349"/>
      <c r="I4717" s="1349"/>
      <c r="J4717" s="1351"/>
      <c r="K4717" s="1352"/>
      <c r="L4717" s="1353"/>
      <c r="M4717" s="1354"/>
      <c r="N4717" s="1354"/>
      <c r="O4717" s="1354"/>
      <c r="P4717" s="1354"/>
      <c r="Q4717" s="1354"/>
      <c r="R4717" s="1355"/>
      <c r="S4717" s="1356"/>
      <c r="T4717" s="1357"/>
      <c r="U4717" s="1358"/>
      <c r="V4717" s="1420">
        <f>SUM(V4708:V4716)</f>
        <v>0</v>
      </c>
      <c r="AB4717" s="15"/>
    </row>
    <row r="4718" spans="1:36" s="352" customFormat="1" ht="15.75" hidden="1" customHeight="1">
      <c r="A4718" s="351"/>
      <c r="B4718" s="1963" t="str">
        <f>VLOOKUP(A4726,'11 - FINANCEIRA'!_xlnm.Print_Area,1,FALSE)</f>
        <v>4.1.20</v>
      </c>
      <c r="C4718" s="1965" t="str">
        <f>VLOOKUP(A4726,'11 - FINANCEIRA'!_xlnm.Print_Area,3,FALSE)</f>
        <v>Viga de apoio das grades</v>
      </c>
      <c r="D4718" s="1967" t="s">
        <v>205</v>
      </c>
      <c r="E4718" s="1968"/>
      <c r="F4718" s="1968"/>
      <c r="G4718" s="1968"/>
      <c r="H4718" s="1968"/>
      <c r="I4718" s="1969"/>
      <c r="J4718" s="1914" t="s">
        <v>2126</v>
      </c>
      <c r="K4718" s="1914" t="s">
        <v>1505</v>
      </c>
      <c r="L4718" s="1914" t="s">
        <v>1506</v>
      </c>
      <c r="M4718" s="1914" t="s">
        <v>1507</v>
      </c>
      <c r="N4718" s="1914" t="s">
        <v>1508</v>
      </c>
      <c r="O4718" s="1914" t="s">
        <v>1509</v>
      </c>
      <c r="P4718" s="1341" t="s">
        <v>1510</v>
      </c>
      <c r="Q4718" s="1914" t="s">
        <v>1493</v>
      </c>
      <c r="R4718" s="1916" t="s">
        <v>804</v>
      </c>
      <c r="S4718" s="1914" t="s">
        <v>1511</v>
      </c>
      <c r="T4718" s="1914" t="s">
        <v>1512</v>
      </c>
      <c r="U4718" s="1918" t="s">
        <v>1513</v>
      </c>
      <c r="V4718" s="1418">
        <f t="shared" ref="V4718:V4725" si="473">V4719</f>
        <v>0</v>
      </c>
      <c r="W4718" s="16"/>
      <c r="X4718" s="16"/>
      <c r="Y4718" s="16"/>
      <c r="Z4718" s="17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</row>
    <row r="4719" spans="1:36" s="352" customFormat="1" ht="15.6" hidden="1">
      <c r="A4719" s="351"/>
      <c r="B4719" s="1964" t="e">
        <f>LEFT(#REF!,5)</f>
        <v>#REF!</v>
      </c>
      <c r="C4719" s="1966" t="e">
        <f>VLOOKUP(LEFT(#REF!,5),'11 - FINANCEIRA'!_xlnm.Print_Area,2,FALSE)</f>
        <v>#REF!</v>
      </c>
      <c r="D4719" s="1920" t="s">
        <v>1514</v>
      </c>
      <c r="E4719" s="1921"/>
      <c r="F4719" s="1922"/>
      <c r="G4719" s="1923" t="s">
        <v>1515</v>
      </c>
      <c r="H4719" s="1924"/>
      <c r="I4719" s="1925"/>
      <c r="J4719" s="1915"/>
      <c r="K4719" s="1915"/>
      <c r="L4719" s="1915"/>
      <c r="M4719" s="1915"/>
      <c r="N4719" s="1915"/>
      <c r="O4719" s="1915"/>
      <c r="P4719" s="353" t="s">
        <v>1516</v>
      </c>
      <c r="Q4719" s="1915"/>
      <c r="R4719" s="1917"/>
      <c r="S4719" s="1915"/>
      <c r="T4719" s="1915"/>
      <c r="U4719" s="1919"/>
      <c r="V4719" s="1418">
        <f t="shared" si="473"/>
        <v>0</v>
      </c>
      <c r="W4719" s="16"/>
      <c r="X4719" s="16"/>
      <c r="Y4719" s="16"/>
      <c r="Z4719" s="17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</row>
    <row r="4720" spans="1:36" s="361" customFormat="1" ht="15" hidden="1" customHeight="1">
      <c r="A4720" s="354"/>
      <c r="B4720" s="863" t="s">
        <v>2165</v>
      </c>
      <c r="C4720" s="710" t="s">
        <v>1471</v>
      </c>
      <c r="D4720" s="2125"/>
      <c r="E4720" s="2126"/>
      <c r="F4720" s="2127"/>
      <c r="G4720" s="2125"/>
      <c r="H4720" s="2126"/>
      <c r="I4720" s="2127"/>
      <c r="J4720" s="867"/>
      <c r="K4720" s="868"/>
      <c r="L4720" s="869"/>
      <c r="M4720" s="870"/>
      <c r="N4720" s="874"/>
      <c r="O4720" s="875"/>
      <c r="P4720" s="869"/>
      <c r="Q4720" s="878"/>
      <c r="R4720" s="1127">
        <v>8</v>
      </c>
      <c r="S4720" s="950" t="s">
        <v>816</v>
      </c>
      <c r="T4720" s="872" t="s">
        <v>324</v>
      </c>
      <c r="U4720" s="998"/>
      <c r="V4720" s="1418">
        <f t="shared" si="473"/>
        <v>0</v>
      </c>
      <c r="W4720" s="357"/>
      <c r="X4720" s="357"/>
      <c r="Y4720" s="357"/>
      <c r="Z4720" s="358"/>
      <c r="AA4720" s="359"/>
      <c r="AB4720" s="360"/>
    </row>
    <row r="4721" spans="1:36" s="361" customFormat="1" ht="15" hidden="1" customHeight="1">
      <c r="A4721" s="354"/>
      <c r="B4721" s="355"/>
      <c r="C4721" s="32"/>
      <c r="D4721" s="33"/>
      <c r="E4721" s="34"/>
      <c r="F4721" s="35"/>
      <c r="G4721" s="33"/>
      <c r="H4721" s="34"/>
      <c r="I4721" s="35"/>
      <c r="J4721" s="43"/>
      <c r="K4721" s="42"/>
      <c r="L4721" s="39"/>
      <c r="M4721" s="41"/>
      <c r="N4721" s="356"/>
      <c r="O4721" s="40"/>
      <c r="P4721" s="39"/>
      <c r="Q4721" s="45"/>
      <c r="R4721" s="362"/>
      <c r="S4721" s="363"/>
      <c r="T4721" s="46"/>
      <c r="U4721" s="44"/>
      <c r="V4721" s="1418">
        <f t="shared" si="473"/>
        <v>0</v>
      </c>
      <c r="W4721" s="357"/>
      <c r="X4721" s="357"/>
      <c r="Y4721" s="357"/>
      <c r="Z4721" s="358"/>
      <c r="AA4721" s="359"/>
      <c r="AB4721" s="360"/>
    </row>
    <row r="4722" spans="1:36" s="369" customFormat="1" ht="15" hidden="1">
      <c r="A4722" s="364"/>
      <c r="B4722" s="355"/>
      <c r="C4722" s="32"/>
      <c r="D4722" s="33"/>
      <c r="E4722" s="34"/>
      <c r="F4722" s="35"/>
      <c r="G4722" s="33"/>
      <c r="H4722" s="34"/>
      <c r="I4722" s="35"/>
      <c r="J4722" s="43"/>
      <c r="K4722" s="42"/>
      <c r="L4722" s="39"/>
      <c r="M4722" s="41"/>
      <c r="N4722" s="40"/>
      <c r="O4722" s="40"/>
      <c r="P4722" s="39"/>
      <c r="Q4722" s="38"/>
      <c r="R4722" s="365"/>
      <c r="S4722" s="366"/>
      <c r="T4722" s="46"/>
      <c r="U4722" s="44"/>
      <c r="V4722" s="1418">
        <f t="shared" si="473"/>
        <v>0</v>
      </c>
      <c r="W4722" s="367"/>
      <c r="X4722" s="367"/>
      <c r="Y4722" s="367"/>
      <c r="Z4722" s="368"/>
    </row>
    <row r="4723" spans="1:36" s="77" customFormat="1" ht="15" hidden="1">
      <c r="A4723" s="370"/>
      <c r="B4723" s="29"/>
      <c r="C4723" s="30"/>
      <c r="D4723" s="18"/>
      <c r="E4723" s="19"/>
      <c r="F4723" s="20"/>
      <c r="G4723" s="18"/>
      <c r="H4723" s="19"/>
      <c r="I4723" s="20"/>
      <c r="J4723" s="21"/>
      <c r="K4723" s="22"/>
      <c r="L4723" s="23"/>
      <c r="M4723" s="24"/>
      <c r="N4723" s="25"/>
      <c r="O4723" s="25"/>
      <c r="P4723" s="23"/>
      <c r="Q4723" s="26"/>
      <c r="R4723" s="371"/>
      <c r="S4723" s="27"/>
      <c r="T4723" s="372"/>
      <c r="U4723" s="31"/>
      <c r="V4723" s="1418">
        <f t="shared" si="473"/>
        <v>0</v>
      </c>
      <c r="AB4723" s="15"/>
    </row>
    <row r="4724" spans="1:36" s="77" customFormat="1" ht="15.75" hidden="1" customHeight="1">
      <c r="A4724" s="370"/>
      <c r="B4724" s="499"/>
      <c r="C4724" s="37"/>
      <c r="D4724" s="1929" t="s">
        <v>1520</v>
      </c>
      <c r="E4724" s="1930"/>
      <c r="F4724" s="1930"/>
      <c r="G4724" s="1930"/>
      <c r="H4724" s="1930"/>
      <c r="I4724" s="1931"/>
      <c r="J4724" s="1932">
        <f>VLOOKUP(A4726,'11 - FINANCEIRA'!_xlnm.Print_Area,6,FALSE)</f>
        <v>8</v>
      </c>
      <c r="K4724" s="1933"/>
      <c r="L4724" s="1343" t="str">
        <f>VLOOKUP(A4726,'11 - FINANCEIRA'!_xlnm.Print_Area,4,FALSE)</f>
        <v>und</v>
      </c>
      <c r="M4724" s="1934" t="s">
        <v>1521</v>
      </c>
      <c r="N4724" s="1935"/>
      <c r="O4724" s="1935"/>
      <c r="P4724" s="1935"/>
      <c r="Q4724" s="1936"/>
      <c r="R4724" s="726">
        <f>SUM(R4720:R4723)</f>
        <v>8</v>
      </c>
      <c r="S4724" s="1344" t="str">
        <f>L4724</f>
        <v>und</v>
      </c>
      <c r="T4724" s="373"/>
      <c r="U4724" s="486"/>
      <c r="V4724" s="1418">
        <f t="shared" si="473"/>
        <v>0</v>
      </c>
      <c r="AB4724" s="15"/>
    </row>
    <row r="4725" spans="1:36" s="77" customFormat="1" ht="15.75" hidden="1" customHeight="1">
      <c r="A4725" s="370"/>
      <c r="B4725" s="499"/>
      <c r="C4725" s="725"/>
      <c r="D4725" s="1937" t="s">
        <v>1522</v>
      </c>
      <c r="E4725" s="1938"/>
      <c r="F4725" s="1938"/>
      <c r="G4725" s="1938"/>
      <c r="H4725" s="1938"/>
      <c r="I4725" s="1939"/>
      <c r="J4725" s="1943">
        <f>R4724/J4724</f>
        <v>1</v>
      </c>
      <c r="K4725" s="1944"/>
      <c r="L4725" s="1947"/>
      <c r="M4725" s="1934" t="s">
        <v>1523</v>
      </c>
      <c r="N4725" s="1935"/>
      <c r="O4725" s="1935"/>
      <c r="P4725" s="1935"/>
      <c r="Q4725" s="1936"/>
      <c r="R4725" s="726">
        <f>VLOOKUP(A4726,'11 - FINANCEIRA'!_xlnm.Print_Area,8,FALSE)</f>
        <v>8</v>
      </c>
      <c r="S4725" s="727" t="str">
        <f>L4724</f>
        <v>und</v>
      </c>
      <c r="T4725" s="373"/>
      <c r="U4725" s="486"/>
      <c r="V4725" s="1418">
        <f t="shared" si="473"/>
        <v>0</v>
      </c>
      <c r="AB4725" s="15"/>
    </row>
    <row r="4726" spans="1:36" s="77" customFormat="1" ht="15.75" hidden="1" customHeight="1">
      <c r="A4726" s="364" t="s">
        <v>776</v>
      </c>
      <c r="B4726" s="499"/>
      <c r="C4726" s="37"/>
      <c r="D4726" s="1940"/>
      <c r="E4726" s="1941"/>
      <c r="F4726" s="1941"/>
      <c r="G4726" s="1941"/>
      <c r="H4726" s="1941"/>
      <c r="I4726" s="1942"/>
      <c r="J4726" s="1945"/>
      <c r="K4726" s="1946"/>
      <c r="L4726" s="1948"/>
      <c r="M4726" s="1934" t="s">
        <v>1524</v>
      </c>
      <c r="N4726" s="1935"/>
      <c r="O4726" s="1935"/>
      <c r="P4726" s="1935"/>
      <c r="Q4726" s="1936"/>
      <c r="R4726" s="1345">
        <f>R4724-R4725</f>
        <v>0</v>
      </c>
      <c r="S4726" s="1346" t="str">
        <f>L4724</f>
        <v>und</v>
      </c>
      <c r="T4726" s="373"/>
      <c r="U4726" s="486"/>
      <c r="V4726" s="1418">
        <f>R4726</f>
        <v>0</v>
      </c>
      <c r="AB4726" s="15"/>
    </row>
    <row r="4727" spans="1:36" s="77" customFormat="1" ht="15.6" hidden="1">
      <c r="A4727" s="370"/>
      <c r="B4727" s="1347"/>
      <c r="C4727" s="1348"/>
      <c r="D4727" s="1349"/>
      <c r="E4727" s="1350"/>
      <c r="F4727" s="1349"/>
      <c r="G4727" s="1349"/>
      <c r="H4727" s="1349"/>
      <c r="I4727" s="1349"/>
      <c r="J4727" s="1351"/>
      <c r="K4727" s="1352"/>
      <c r="L4727" s="1353"/>
      <c r="M4727" s="1354"/>
      <c r="N4727" s="1354"/>
      <c r="O4727" s="1354"/>
      <c r="P4727" s="1354"/>
      <c r="Q4727" s="1354"/>
      <c r="R4727" s="1355"/>
      <c r="S4727" s="1356"/>
      <c r="T4727" s="1357"/>
      <c r="U4727" s="1358"/>
      <c r="V4727" s="1420">
        <f>SUM(V4718:V4726)</f>
        <v>0</v>
      </c>
      <c r="AB4727" s="15"/>
    </row>
    <row r="4728" spans="1:36" s="352" customFormat="1" ht="15.75" hidden="1" customHeight="1">
      <c r="A4728" s="351"/>
      <c r="B4728" s="1963" t="str">
        <f>VLOOKUP(A4736,'11 - FINANCEIRA'!_xlnm.Print_Area,1,FALSE)</f>
        <v>4.1.21</v>
      </c>
      <c r="C4728" s="1965" t="str">
        <f>VLOOKUP(A4736,'11 - FINANCEIRA'!_xlnm.Print_Area,3,FALSE)</f>
        <v>Grade fixa</v>
      </c>
      <c r="D4728" s="1967" t="s">
        <v>205</v>
      </c>
      <c r="E4728" s="1968"/>
      <c r="F4728" s="1968"/>
      <c r="G4728" s="1968"/>
      <c r="H4728" s="1968"/>
      <c r="I4728" s="1969"/>
      <c r="J4728" s="1914" t="s">
        <v>2126</v>
      </c>
      <c r="K4728" s="1914" t="s">
        <v>1505</v>
      </c>
      <c r="L4728" s="1914" t="s">
        <v>1506</v>
      </c>
      <c r="M4728" s="1914" t="s">
        <v>1507</v>
      </c>
      <c r="N4728" s="1914" t="s">
        <v>1508</v>
      </c>
      <c r="O4728" s="1914" t="s">
        <v>1509</v>
      </c>
      <c r="P4728" s="1341" t="s">
        <v>1510</v>
      </c>
      <c r="Q4728" s="1914" t="s">
        <v>1493</v>
      </c>
      <c r="R4728" s="1916" t="s">
        <v>804</v>
      </c>
      <c r="S4728" s="1914" t="s">
        <v>1511</v>
      </c>
      <c r="T4728" s="1914" t="s">
        <v>1512</v>
      </c>
      <c r="U4728" s="1918" t="s">
        <v>1513</v>
      </c>
      <c r="V4728" s="1418">
        <f t="shared" ref="V4728:V4735" si="474">V4729</f>
        <v>0</v>
      </c>
      <c r="W4728" s="16"/>
      <c r="X4728" s="16"/>
      <c r="Y4728" s="16"/>
      <c r="Z4728" s="17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</row>
    <row r="4729" spans="1:36" s="352" customFormat="1" ht="15.6" hidden="1">
      <c r="A4729" s="351"/>
      <c r="B4729" s="1964" t="e">
        <f>LEFT(#REF!,5)</f>
        <v>#REF!</v>
      </c>
      <c r="C4729" s="1966" t="e">
        <f>VLOOKUP(LEFT(#REF!,5),'11 - FINANCEIRA'!_xlnm.Print_Area,2,FALSE)</f>
        <v>#REF!</v>
      </c>
      <c r="D4729" s="1920" t="s">
        <v>1514</v>
      </c>
      <c r="E4729" s="1921"/>
      <c r="F4729" s="1922"/>
      <c r="G4729" s="1923" t="s">
        <v>1515</v>
      </c>
      <c r="H4729" s="1924"/>
      <c r="I4729" s="1925"/>
      <c r="J4729" s="1915"/>
      <c r="K4729" s="1915"/>
      <c r="L4729" s="1915"/>
      <c r="M4729" s="1915"/>
      <c r="N4729" s="1915"/>
      <c r="O4729" s="1915"/>
      <c r="P4729" s="353" t="s">
        <v>1516</v>
      </c>
      <c r="Q4729" s="1915"/>
      <c r="R4729" s="1917"/>
      <c r="S4729" s="1915"/>
      <c r="T4729" s="1915"/>
      <c r="U4729" s="1919"/>
      <c r="V4729" s="1418">
        <f t="shared" si="474"/>
        <v>0</v>
      </c>
      <c r="W4729" s="16"/>
      <c r="X4729" s="16"/>
      <c r="Y4729" s="16"/>
      <c r="Z4729" s="17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</row>
    <row r="4730" spans="1:36" s="361" customFormat="1" ht="15" hidden="1" customHeight="1">
      <c r="A4730" s="354"/>
      <c r="B4730" s="863" t="s">
        <v>2166</v>
      </c>
      <c r="C4730" s="710" t="s">
        <v>1473</v>
      </c>
      <c r="D4730" s="2125"/>
      <c r="E4730" s="2126"/>
      <c r="F4730" s="2127"/>
      <c r="G4730" s="2125"/>
      <c r="H4730" s="2126"/>
      <c r="I4730" s="2127"/>
      <c r="J4730" s="867"/>
      <c r="K4730" s="868"/>
      <c r="L4730" s="869"/>
      <c r="M4730" s="870"/>
      <c r="N4730" s="874"/>
      <c r="O4730" s="875"/>
      <c r="P4730" s="869"/>
      <c r="Q4730" s="878"/>
      <c r="R4730" s="1127">
        <v>8</v>
      </c>
      <c r="S4730" s="950" t="s">
        <v>816</v>
      </c>
      <c r="T4730" s="872" t="s">
        <v>324</v>
      </c>
      <c r="U4730" s="998"/>
      <c r="V4730" s="1418">
        <f t="shared" si="474"/>
        <v>0</v>
      </c>
      <c r="W4730" s="357"/>
      <c r="X4730" s="357"/>
      <c r="Y4730" s="357"/>
      <c r="Z4730" s="358"/>
      <c r="AA4730" s="359"/>
      <c r="AB4730" s="360"/>
    </row>
    <row r="4731" spans="1:36" s="361" customFormat="1" ht="15" hidden="1" customHeight="1">
      <c r="A4731" s="354"/>
      <c r="B4731" s="355"/>
      <c r="C4731" s="32"/>
      <c r="D4731" s="33"/>
      <c r="E4731" s="34"/>
      <c r="F4731" s="35"/>
      <c r="G4731" s="33"/>
      <c r="H4731" s="34"/>
      <c r="I4731" s="35"/>
      <c r="J4731" s="43"/>
      <c r="K4731" s="42"/>
      <c r="L4731" s="39"/>
      <c r="M4731" s="41"/>
      <c r="N4731" s="356"/>
      <c r="O4731" s="40"/>
      <c r="P4731" s="39"/>
      <c r="Q4731" s="45"/>
      <c r="R4731" s="362"/>
      <c r="S4731" s="363"/>
      <c r="T4731" s="46"/>
      <c r="U4731" s="44"/>
      <c r="V4731" s="1418">
        <f t="shared" si="474"/>
        <v>0</v>
      </c>
      <c r="W4731" s="357"/>
      <c r="X4731" s="357"/>
      <c r="Y4731" s="357"/>
      <c r="Z4731" s="358"/>
      <c r="AA4731" s="359"/>
      <c r="AB4731" s="360"/>
    </row>
    <row r="4732" spans="1:36" s="369" customFormat="1" ht="15" hidden="1">
      <c r="A4732" s="364"/>
      <c r="B4732" s="355"/>
      <c r="C4732" s="32"/>
      <c r="D4732" s="33"/>
      <c r="E4732" s="34"/>
      <c r="F4732" s="35"/>
      <c r="G4732" s="33"/>
      <c r="H4732" s="34"/>
      <c r="I4732" s="35"/>
      <c r="J4732" s="43"/>
      <c r="K4732" s="42"/>
      <c r="L4732" s="39"/>
      <c r="M4732" s="41"/>
      <c r="N4732" s="40"/>
      <c r="O4732" s="40"/>
      <c r="P4732" s="39"/>
      <c r="Q4732" s="38"/>
      <c r="R4732" s="365"/>
      <c r="S4732" s="366"/>
      <c r="T4732" s="46"/>
      <c r="U4732" s="44"/>
      <c r="V4732" s="1418">
        <f t="shared" si="474"/>
        <v>0</v>
      </c>
      <c r="W4732" s="367"/>
      <c r="X4732" s="367"/>
      <c r="Y4732" s="367"/>
      <c r="Z4732" s="368"/>
    </row>
    <row r="4733" spans="1:36" s="77" customFormat="1" ht="15" hidden="1">
      <c r="A4733" s="370"/>
      <c r="B4733" s="29"/>
      <c r="C4733" s="30"/>
      <c r="D4733" s="18"/>
      <c r="E4733" s="19"/>
      <c r="F4733" s="20"/>
      <c r="G4733" s="18"/>
      <c r="H4733" s="19"/>
      <c r="I4733" s="20"/>
      <c r="J4733" s="21"/>
      <c r="K4733" s="22"/>
      <c r="L4733" s="23"/>
      <c r="M4733" s="24"/>
      <c r="N4733" s="25"/>
      <c r="O4733" s="25"/>
      <c r="P4733" s="23"/>
      <c r="Q4733" s="26"/>
      <c r="R4733" s="371"/>
      <c r="S4733" s="27"/>
      <c r="T4733" s="372"/>
      <c r="U4733" s="31"/>
      <c r="V4733" s="1418">
        <f t="shared" si="474"/>
        <v>0</v>
      </c>
      <c r="AB4733" s="15"/>
    </row>
    <row r="4734" spans="1:36" s="77" customFormat="1" ht="15.75" hidden="1" customHeight="1">
      <c r="A4734" s="370"/>
      <c r="B4734" s="499"/>
      <c r="C4734" s="37"/>
      <c r="D4734" s="1929" t="s">
        <v>1520</v>
      </c>
      <c r="E4734" s="1930"/>
      <c r="F4734" s="1930"/>
      <c r="G4734" s="1930"/>
      <c r="H4734" s="1930"/>
      <c r="I4734" s="1931"/>
      <c r="J4734" s="1932">
        <f>VLOOKUP(A4736,'11 - FINANCEIRA'!_xlnm.Print_Area,6,FALSE)</f>
        <v>8</v>
      </c>
      <c r="K4734" s="1933"/>
      <c r="L4734" s="1343" t="str">
        <f>VLOOKUP(A4736,'11 - FINANCEIRA'!_xlnm.Print_Area,4,FALSE)</f>
        <v>und</v>
      </c>
      <c r="M4734" s="1934" t="s">
        <v>1521</v>
      </c>
      <c r="N4734" s="1935"/>
      <c r="O4734" s="1935"/>
      <c r="P4734" s="1935"/>
      <c r="Q4734" s="1936"/>
      <c r="R4734" s="726">
        <f>SUM(R4730:R4733)</f>
        <v>8</v>
      </c>
      <c r="S4734" s="1344" t="str">
        <f>L4734</f>
        <v>und</v>
      </c>
      <c r="T4734" s="373"/>
      <c r="U4734" s="486"/>
      <c r="V4734" s="1418">
        <f t="shared" si="474"/>
        <v>0</v>
      </c>
      <c r="AB4734" s="15"/>
    </row>
    <row r="4735" spans="1:36" s="77" customFormat="1" ht="15.75" hidden="1" customHeight="1">
      <c r="A4735" s="370"/>
      <c r="B4735" s="499"/>
      <c r="C4735" s="725"/>
      <c r="D4735" s="1937" t="s">
        <v>1522</v>
      </c>
      <c r="E4735" s="1938"/>
      <c r="F4735" s="1938"/>
      <c r="G4735" s="1938"/>
      <c r="H4735" s="1938"/>
      <c r="I4735" s="1939"/>
      <c r="J4735" s="1943">
        <f>R4734/J4734</f>
        <v>1</v>
      </c>
      <c r="K4735" s="1944"/>
      <c r="L4735" s="1947"/>
      <c r="M4735" s="1934" t="s">
        <v>1523</v>
      </c>
      <c r="N4735" s="1935"/>
      <c r="O4735" s="1935"/>
      <c r="P4735" s="1935"/>
      <c r="Q4735" s="1936"/>
      <c r="R4735" s="726">
        <f>VLOOKUP(A4736,'11 - FINANCEIRA'!_xlnm.Print_Area,8,FALSE)</f>
        <v>8</v>
      </c>
      <c r="S4735" s="727" t="str">
        <f>L4734</f>
        <v>und</v>
      </c>
      <c r="T4735" s="373"/>
      <c r="U4735" s="486"/>
      <c r="V4735" s="1418">
        <f t="shared" si="474"/>
        <v>0</v>
      </c>
      <c r="AB4735" s="15"/>
    </row>
    <row r="4736" spans="1:36" s="77" customFormat="1" ht="15.75" hidden="1" customHeight="1">
      <c r="A4736" s="364" t="s">
        <v>777</v>
      </c>
      <c r="B4736" s="499"/>
      <c r="C4736" s="37"/>
      <c r="D4736" s="1940"/>
      <c r="E4736" s="1941"/>
      <c r="F4736" s="1941"/>
      <c r="G4736" s="1941"/>
      <c r="H4736" s="1941"/>
      <c r="I4736" s="1942"/>
      <c r="J4736" s="1945"/>
      <c r="K4736" s="1946"/>
      <c r="L4736" s="1948"/>
      <c r="M4736" s="1934" t="s">
        <v>1524</v>
      </c>
      <c r="N4736" s="1935"/>
      <c r="O4736" s="1935"/>
      <c r="P4736" s="1935"/>
      <c r="Q4736" s="1936"/>
      <c r="R4736" s="1345">
        <f>R4734-R4735</f>
        <v>0</v>
      </c>
      <c r="S4736" s="1346" t="str">
        <f>L4734</f>
        <v>und</v>
      </c>
      <c r="T4736" s="373"/>
      <c r="U4736" s="486"/>
      <c r="V4736" s="1418">
        <f>R4736</f>
        <v>0</v>
      </c>
      <c r="AB4736" s="15"/>
    </row>
    <row r="4737" spans="1:36" s="77" customFormat="1" ht="15.6" hidden="1">
      <c r="A4737" s="370"/>
      <c r="B4737" s="1347"/>
      <c r="C4737" s="1348"/>
      <c r="D4737" s="1349"/>
      <c r="E4737" s="1350"/>
      <c r="F4737" s="1349"/>
      <c r="G4737" s="1349"/>
      <c r="H4737" s="1349"/>
      <c r="I4737" s="1349"/>
      <c r="J4737" s="1351"/>
      <c r="K4737" s="1352"/>
      <c r="L4737" s="1353"/>
      <c r="M4737" s="1354"/>
      <c r="N4737" s="1354"/>
      <c r="O4737" s="1354"/>
      <c r="P4737" s="1354"/>
      <c r="Q4737" s="1354"/>
      <c r="R4737" s="1355"/>
      <c r="S4737" s="1356"/>
      <c r="T4737" s="1357"/>
      <c r="U4737" s="1358"/>
      <c r="V4737" s="1420">
        <f>SUM(V4728:V4736)</f>
        <v>0</v>
      </c>
      <c r="AB4737" s="15"/>
    </row>
    <row r="4738" spans="1:36" s="352" customFormat="1" ht="15.75" hidden="1" customHeight="1">
      <c r="A4738" s="351"/>
      <c r="B4738" s="1963" t="str">
        <f>VLOOKUP(A4746,'11 - FINANCEIRA'!_xlnm.Print_Area,1,FALSE)</f>
        <v>4.1.22</v>
      </c>
      <c r="C4738" s="1965" t="str">
        <f>VLOOKUP(A4746,'11 - FINANCEIRA'!_xlnm.Print_Area,3,FALSE)</f>
        <v>Comportas fixas</v>
      </c>
      <c r="D4738" s="1967" t="s">
        <v>205</v>
      </c>
      <c r="E4738" s="1968"/>
      <c r="F4738" s="1968"/>
      <c r="G4738" s="1968"/>
      <c r="H4738" s="1968"/>
      <c r="I4738" s="1969"/>
      <c r="J4738" s="1914" t="s">
        <v>2126</v>
      </c>
      <c r="K4738" s="1914" t="s">
        <v>1505</v>
      </c>
      <c r="L4738" s="1914" t="s">
        <v>1506</v>
      </c>
      <c r="M4738" s="1914" t="s">
        <v>1507</v>
      </c>
      <c r="N4738" s="1914" t="s">
        <v>1508</v>
      </c>
      <c r="O4738" s="1914" t="s">
        <v>1509</v>
      </c>
      <c r="P4738" s="1341" t="s">
        <v>1510</v>
      </c>
      <c r="Q4738" s="1914" t="s">
        <v>1493</v>
      </c>
      <c r="R4738" s="1916" t="s">
        <v>804</v>
      </c>
      <c r="S4738" s="1914" t="s">
        <v>1511</v>
      </c>
      <c r="T4738" s="1914" t="s">
        <v>1512</v>
      </c>
      <c r="U4738" s="1918" t="s">
        <v>1513</v>
      </c>
      <c r="V4738" s="1418">
        <f t="shared" ref="V4738:V4745" si="475">V4739</f>
        <v>0</v>
      </c>
      <c r="W4738" s="16"/>
      <c r="X4738" s="16"/>
      <c r="Y4738" s="16"/>
      <c r="Z4738" s="17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</row>
    <row r="4739" spans="1:36" s="352" customFormat="1" ht="15.6" hidden="1">
      <c r="A4739" s="351"/>
      <c r="B4739" s="1964" t="e">
        <f>LEFT(#REF!,5)</f>
        <v>#REF!</v>
      </c>
      <c r="C4739" s="1966" t="e">
        <f>VLOOKUP(LEFT(#REF!,5),'11 - FINANCEIRA'!_xlnm.Print_Area,2,FALSE)</f>
        <v>#REF!</v>
      </c>
      <c r="D4739" s="1920" t="s">
        <v>1514</v>
      </c>
      <c r="E4739" s="1921"/>
      <c r="F4739" s="1922"/>
      <c r="G4739" s="1923" t="s">
        <v>1515</v>
      </c>
      <c r="H4739" s="1924"/>
      <c r="I4739" s="1925"/>
      <c r="J4739" s="1915"/>
      <c r="K4739" s="1915"/>
      <c r="L4739" s="1915"/>
      <c r="M4739" s="1915"/>
      <c r="N4739" s="1915"/>
      <c r="O4739" s="1915"/>
      <c r="P4739" s="353" t="s">
        <v>1516</v>
      </c>
      <c r="Q4739" s="1915"/>
      <c r="R4739" s="1917"/>
      <c r="S4739" s="1915"/>
      <c r="T4739" s="1915"/>
      <c r="U4739" s="1919"/>
      <c r="V4739" s="1418">
        <f t="shared" si="475"/>
        <v>0</v>
      </c>
      <c r="W4739" s="16"/>
      <c r="X4739" s="16"/>
      <c r="Y4739" s="16"/>
      <c r="Z4739" s="17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</row>
    <row r="4740" spans="1:36" s="361" customFormat="1" ht="15" hidden="1" customHeight="1">
      <c r="A4740" s="354"/>
      <c r="B4740" s="863" t="s">
        <v>2167</v>
      </c>
      <c r="C4740" s="710" t="s">
        <v>1475</v>
      </c>
      <c r="D4740" s="2125"/>
      <c r="E4740" s="2126"/>
      <c r="F4740" s="2127"/>
      <c r="G4740" s="2125"/>
      <c r="H4740" s="2126"/>
      <c r="I4740" s="2127"/>
      <c r="J4740" s="867"/>
      <c r="K4740" s="868"/>
      <c r="L4740" s="869"/>
      <c r="M4740" s="870"/>
      <c r="N4740" s="874"/>
      <c r="O4740" s="875"/>
      <c r="P4740" s="869"/>
      <c r="Q4740" s="878"/>
      <c r="R4740" s="1127">
        <v>2</v>
      </c>
      <c r="S4740" s="950" t="s">
        <v>816</v>
      </c>
      <c r="T4740" s="872" t="s">
        <v>324</v>
      </c>
      <c r="U4740" s="998"/>
      <c r="V4740" s="1418">
        <f t="shared" si="475"/>
        <v>0</v>
      </c>
      <c r="W4740" s="357"/>
      <c r="X4740" s="357"/>
      <c r="Y4740" s="357"/>
      <c r="Z4740" s="358"/>
      <c r="AA4740" s="359"/>
      <c r="AB4740" s="360"/>
    </row>
    <row r="4741" spans="1:36" s="361" customFormat="1" ht="15" hidden="1" customHeight="1">
      <c r="A4741" s="354"/>
      <c r="B4741" s="355"/>
      <c r="C4741" s="32"/>
      <c r="D4741" s="33"/>
      <c r="E4741" s="34"/>
      <c r="F4741" s="35"/>
      <c r="G4741" s="33"/>
      <c r="H4741" s="34"/>
      <c r="I4741" s="35"/>
      <c r="J4741" s="43"/>
      <c r="K4741" s="42"/>
      <c r="L4741" s="39"/>
      <c r="M4741" s="41"/>
      <c r="N4741" s="356"/>
      <c r="O4741" s="40"/>
      <c r="P4741" s="39"/>
      <c r="Q4741" s="45"/>
      <c r="R4741" s="362"/>
      <c r="S4741" s="363"/>
      <c r="T4741" s="46"/>
      <c r="U4741" s="44"/>
      <c r="V4741" s="1418">
        <f t="shared" si="475"/>
        <v>0</v>
      </c>
      <c r="W4741" s="357"/>
      <c r="X4741" s="357"/>
      <c r="Y4741" s="357"/>
      <c r="Z4741" s="358"/>
      <c r="AA4741" s="359"/>
      <c r="AB4741" s="360"/>
    </row>
    <row r="4742" spans="1:36" s="369" customFormat="1" ht="15" hidden="1">
      <c r="A4742" s="364"/>
      <c r="B4742" s="355"/>
      <c r="C4742" s="32"/>
      <c r="D4742" s="33"/>
      <c r="E4742" s="34"/>
      <c r="F4742" s="35"/>
      <c r="G4742" s="33"/>
      <c r="H4742" s="34"/>
      <c r="I4742" s="35"/>
      <c r="J4742" s="43"/>
      <c r="K4742" s="42"/>
      <c r="L4742" s="39"/>
      <c r="M4742" s="41"/>
      <c r="N4742" s="40"/>
      <c r="O4742" s="40"/>
      <c r="P4742" s="39"/>
      <c r="Q4742" s="38"/>
      <c r="R4742" s="365"/>
      <c r="S4742" s="366"/>
      <c r="T4742" s="46"/>
      <c r="U4742" s="44"/>
      <c r="V4742" s="1418">
        <f t="shared" si="475"/>
        <v>0</v>
      </c>
      <c r="W4742" s="367"/>
      <c r="X4742" s="367"/>
      <c r="Y4742" s="367"/>
      <c r="Z4742" s="368"/>
    </row>
    <row r="4743" spans="1:36" s="77" customFormat="1" ht="15" hidden="1">
      <c r="A4743" s="370"/>
      <c r="B4743" s="29"/>
      <c r="C4743" s="30"/>
      <c r="D4743" s="18"/>
      <c r="E4743" s="19"/>
      <c r="F4743" s="20"/>
      <c r="G4743" s="18"/>
      <c r="H4743" s="19"/>
      <c r="I4743" s="20"/>
      <c r="J4743" s="21"/>
      <c r="K4743" s="22"/>
      <c r="L4743" s="23"/>
      <c r="M4743" s="24"/>
      <c r="N4743" s="25"/>
      <c r="O4743" s="25"/>
      <c r="P4743" s="23"/>
      <c r="Q4743" s="26"/>
      <c r="R4743" s="371"/>
      <c r="S4743" s="27"/>
      <c r="T4743" s="372"/>
      <c r="U4743" s="31"/>
      <c r="V4743" s="1418">
        <f t="shared" si="475"/>
        <v>0</v>
      </c>
      <c r="AB4743" s="15"/>
    </row>
    <row r="4744" spans="1:36" s="77" customFormat="1" ht="15.75" hidden="1" customHeight="1">
      <c r="A4744" s="370"/>
      <c r="B4744" s="499"/>
      <c r="C4744" s="37"/>
      <c r="D4744" s="1929" t="s">
        <v>1520</v>
      </c>
      <c r="E4744" s="1930"/>
      <c r="F4744" s="1930"/>
      <c r="G4744" s="1930"/>
      <c r="H4744" s="1930"/>
      <c r="I4744" s="1931"/>
      <c r="J4744" s="1932">
        <f>VLOOKUP(A4746,'11 - FINANCEIRA'!_xlnm.Print_Area,6,FALSE)</f>
        <v>2</v>
      </c>
      <c r="K4744" s="1933"/>
      <c r="L4744" s="1343" t="str">
        <f>VLOOKUP(A4746,'11 - FINANCEIRA'!_xlnm.Print_Area,4,FALSE)</f>
        <v>und</v>
      </c>
      <c r="M4744" s="1934" t="s">
        <v>1521</v>
      </c>
      <c r="N4744" s="1935"/>
      <c r="O4744" s="1935"/>
      <c r="P4744" s="1935"/>
      <c r="Q4744" s="1936"/>
      <c r="R4744" s="726">
        <f>SUM(R4740:R4743)</f>
        <v>2</v>
      </c>
      <c r="S4744" s="1344" t="str">
        <f>L4744</f>
        <v>und</v>
      </c>
      <c r="T4744" s="373"/>
      <c r="U4744" s="486"/>
      <c r="V4744" s="1418">
        <f t="shared" si="475"/>
        <v>0</v>
      </c>
      <c r="AB4744" s="15"/>
    </row>
    <row r="4745" spans="1:36" s="77" customFormat="1" ht="15.75" hidden="1" customHeight="1">
      <c r="A4745" s="370"/>
      <c r="B4745" s="499"/>
      <c r="C4745" s="725"/>
      <c r="D4745" s="1937" t="s">
        <v>1522</v>
      </c>
      <c r="E4745" s="1938"/>
      <c r="F4745" s="1938"/>
      <c r="G4745" s="1938"/>
      <c r="H4745" s="1938"/>
      <c r="I4745" s="1939"/>
      <c r="J4745" s="1943">
        <f>R4744/J4744</f>
        <v>1</v>
      </c>
      <c r="K4745" s="1944"/>
      <c r="L4745" s="1947"/>
      <c r="M4745" s="1934" t="s">
        <v>1523</v>
      </c>
      <c r="N4745" s="1935"/>
      <c r="O4745" s="1935"/>
      <c r="P4745" s="1935"/>
      <c r="Q4745" s="1936"/>
      <c r="R4745" s="726">
        <f>VLOOKUP(A4746,'11 - FINANCEIRA'!_xlnm.Print_Area,8,FALSE)</f>
        <v>2</v>
      </c>
      <c r="S4745" s="727" t="str">
        <f>L4744</f>
        <v>und</v>
      </c>
      <c r="T4745" s="373"/>
      <c r="U4745" s="486"/>
      <c r="V4745" s="1418">
        <f t="shared" si="475"/>
        <v>0</v>
      </c>
      <c r="AB4745" s="15"/>
    </row>
    <row r="4746" spans="1:36" s="77" customFormat="1" ht="15.75" hidden="1" customHeight="1">
      <c r="A4746" s="364" t="s">
        <v>778</v>
      </c>
      <c r="B4746" s="499"/>
      <c r="C4746" s="37"/>
      <c r="D4746" s="1940"/>
      <c r="E4746" s="1941"/>
      <c r="F4746" s="1941"/>
      <c r="G4746" s="1941"/>
      <c r="H4746" s="1941"/>
      <c r="I4746" s="1942"/>
      <c r="J4746" s="1945"/>
      <c r="K4746" s="1946"/>
      <c r="L4746" s="1948"/>
      <c r="M4746" s="1934" t="s">
        <v>1524</v>
      </c>
      <c r="N4746" s="1935"/>
      <c r="O4746" s="1935"/>
      <c r="P4746" s="1935"/>
      <c r="Q4746" s="1936"/>
      <c r="R4746" s="1345">
        <f>R4744-R4745</f>
        <v>0</v>
      </c>
      <c r="S4746" s="1346" t="str">
        <f>L4744</f>
        <v>und</v>
      </c>
      <c r="T4746" s="373"/>
      <c r="U4746" s="486"/>
      <c r="V4746" s="1418">
        <f>R4746</f>
        <v>0</v>
      </c>
      <c r="AB4746" s="15"/>
    </row>
    <row r="4747" spans="1:36" s="77" customFormat="1" ht="15.6" hidden="1">
      <c r="A4747" s="370"/>
      <c r="B4747" s="1347"/>
      <c r="C4747" s="1348"/>
      <c r="D4747" s="1349"/>
      <c r="E4747" s="1350"/>
      <c r="F4747" s="1349"/>
      <c r="G4747" s="1349"/>
      <c r="H4747" s="1349"/>
      <c r="I4747" s="1349"/>
      <c r="J4747" s="1351"/>
      <c r="K4747" s="1352"/>
      <c r="L4747" s="1353"/>
      <c r="M4747" s="1354"/>
      <c r="N4747" s="1354"/>
      <c r="O4747" s="1354"/>
      <c r="P4747" s="1354"/>
      <c r="Q4747" s="1354"/>
      <c r="R4747" s="1355"/>
      <c r="S4747" s="1356"/>
      <c r="T4747" s="1357"/>
      <c r="U4747" s="1358"/>
      <c r="V4747" s="1420">
        <f>SUM(V4738:V4746)</f>
        <v>0</v>
      </c>
      <c r="AB4747" s="15"/>
    </row>
    <row r="4748" spans="1:36" s="352" customFormat="1" ht="15.75" hidden="1" customHeight="1">
      <c r="A4748" s="351"/>
      <c r="B4748" s="1963" t="str">
        <f>VLOOKUP(A4756,'11 - FINANCEIRA'!_xlnm.Print_Area,1,FALSE)</f>
        <v>4.1.23</v>
      </c>
      <c r="C4748" s="1965" t="str">
        <f>VLOOKUP(A4756,'11 - FINANCEIRA'!_xlnm.Print_Area,3,FALSE)</f>
        <v xml:space="preserve">Quadro de conexão das bombas - QD-CH-APM </v>
      </c>
      <c r="D4748" s="1967" t="s">
        <v>205</v>
      </c>
      <c r="E4748" s="1968"/>
      <c r="F4748" s="1968"/>
      <c r="G4748" s="1968"/>
      <c r="H4748" s="1968"/>
      <c r="I4748" s="1969"/>
      <c r="J4748" s="1914" t="s">
        <v>2126</v>
      </c>
      <c r="K4748" s="1914" t="s">
        <v>1505</v>
      </c>
      <c r="L4748" s="1914" t="s">
        <v>1506</v>
      </c>
      <c r="M4748" s="1914" t="s">
        <v>1507</v>
      </c>
      <c r="N4748" s="1914" t="s">
        <v>1508</v>
      </c>
      <c r="O4748" s="1914" t="s">
        <v>1509</v>
      </c>
      <c r="P4748" s="1341" t="s">
        <v>1510</v>
      </c>
      <c r="Q4748" s="1914" t="s">
        <v>1493</v>
      </c>
      <c r="R4748" s="1916" t="s">
        <v>804</v>
      </c>
      <c r="S4748" s="1914" t="s">
        <v>1511</v>
      </c>
      <c r="T4748" s="1914" t="s">
        <v>1512</v>
      </c>
      <c r="U4748" s="1918" t="s">
        <v>1513</v>
      </c>
      <c r="V4748" s="1418">
        <f t="shared" ref="V4748:V4755" si="476">V4749</f>
        <v>0</v>
      </c>
      <c r="W4748" s="16"/>
      <c r="X4748" s="16"/>
      <c r="Y4748" s="16"/>
      <c r="Z4748" s="17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</row>
    <row r="4749" spans="1:36" s="352" customFormat="1" ht="15.6" hidden="1">
      <c r="A4749" s="351"/>
      <c r="B4749" s="1964" t="e">
        <f>LEFT(#REF!,5)</f>
        <v>#REF!</v>
      </c>
      <c r="C4749" s="1966" t="e">
        <f>VLOOKUP(LEFT(#REF!,5),'11 - FINANCEIRA'!_xlnm.Print_Area,2,FALSE)</f>
        <v>#REF!</v>
      </c>
      <c r="D4749" s="1920" t="s">
        <v>1514</v>
      </c>
      <c r="E4749" s="1921"/>
      <c r="F4749" s="1922"/>
      <c r="G4749" s="1923" t="s">
        <v>1515</v>
      </c>
      <c r="H4749" s="1924"/>
      <c r="I4749" s="1925"/>
      <c r="J4749" s="1915"/>
      <c r="K4749" s="1915"/>
      <c r="L4749" s="1915"/>
      <c r="M4749" s="1915"/>
      <c r="N4749" s="1915"/>
      <c r="O4749" s="1915"/>
      <c r="P4749" s="353" t="s">
        <v>1516</v>
      </c>
      <c r="Q4749" s="1915"/>
      <c r="R4749" s="1917"/>
      <c r="S4749" s="1915"/>
      <c r="T4749" s="1915"/>
      <c r="U4749" s="1919"/>
      <c r="V4749" s="1418">
        <f t="shared" si="476"/>
        <v>0</v>
      </c>
      <c r="W4749" s="16"/>
      <c r="X4749" s="16"/>
      <c r="Y4749" s="16"/>
      <c r="Z4749" s="17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</row>
    <row r="4750" spans="1:36" s="361" customFormat="1" ht="15" hidden="1" customHeight="1">
      <c r="A4750" s="354"/>
      <c r="B4750" s="863" t="s">
        <v>2168</v>
      </c>
      <c r="C4750" s="710" t="s">
        <v>1477</v>
      </c>
      <c r="D4750" s="2125"/>
      <c r="E4750" s="2126"/>
      <c r="F4750" s="2127"/>
      <c r="G4750" s="2125"/>
      <c r="H4750" s="2126"/>
      <c r="I4750" s="2127"/>
      <c r="J4750" s="867"/>
      <c r="K4750" s="868"/>
      <c r="L4750" s="869"/>
      <c r="M4750" s="870"/>
      <c r="N4750" s="874"/>
      <c r="O4750" s="875"/>
      <c r="P4750" s="869"/>
      <c r="Q4750" s="878"/>
      <c r="R4750" s="1127">
        <v>8</v>
      </c>
      <c r="S4750" s="950" t="s">
        <v>816</v>
      </c>
      <c r="T4750" s="872" t="s">
        <v>324</v>
      </c>
      <c r="U4750" s="998"/>
      <c r="V4750" s="1418">
        <f t="shared" si="476"/>
        <v>0</v>
      </c>
      <c r="W4750" s="357"/>
      <c r="X4750" s="357"/>
      <c r="Y4750" s="357"/>
      <c r="Z4750" s="358"/>
      <c r="AA4750" s="359"/>
      <c r="AB4750" s="360"/>
    </row>
    <row r="4751" spans="1:36" s="361" customFormat="1" ht="15" hidden="1" customHeight="1">
      <c r="A4751" s="354"/>
      <c r="B4751" s="355"/>
      <c r="C4751" s="32"/>
      <c r="D4751" s="33"/>
      <c r="E4751" s="34"/>
      <c r="F4751" s="35"/>
      <c r="G4751" s="33"/>
      <c r="H4751" s="34"/>
      <c r="I4751" s="35"/>
      <c r="J4751" s="43"/>
      <c r="K4751" s="42"/>
      <c r="L4751" s="39"/>
      <c r="M4751" s="41"/>
      <c r="N4751" s="356"/>
      <c r="O4751" s="40"/>
      <c r="P4751" s="39"/>
      <c r="Q4751" s="45"/>
      <c r="R4751" s="362"/>
      <c r="S4751" s="363"/>
      <c r="T4751" s="46"/>
      <c r="U4751" s="44"/>
      <c r="V4751" s="1418">
        <f t="shared" si="476"/>
        <v>0</v>
      </c>
      <c r="W4751" s="357"/>
      <c r="X4751" s="357"/>
      <c r="Y4751" s="357"/>
      <c r="Z4751" s="358"/>
      <c r="AA4751" s="359"/>
      <c r="AB4751" s="360"/>
    </row>
    <row r="4752" spans="1:36" s="369" customFormat="1" ht="15" hidden="1">
      <c r="A4752" s="364"/>
      <c r="B4752" s="355"/>
      <c r="C4752" s="32"/>
      <c r="D4752" s="33"/>
      <c r="E4752" s="34"/>
      <c r="F4752" s="35"/>
      <c r="G4752" s="33"/>
      <c r="H4752" s="34"/>
      <c r="I4752" s="35"/>
      <c r="J4752" s="43"/>
      <c r="K4752" s="42"/>
      <c r="L4752" s="39"/>
      <c r="M4752" s="41"/>
      <c r="N4752" s="40"/>
      <c r="O4752" s="40"/>
      <c r="P4752" s="39"/>
      <c r="Q4752" s="38"/>
      <c r="R4752" s="365"/>
      <c r="S4752" s="366"/>
      <c r="T4752" s="46"/>
      <c r="U4752" s="44"/>
      <c r="V4752" s="1418">
        <f t="shared" si="476"/>
        <v>0</v>
      </c>
      <c r="W4752" s="367"/>
      <c r="X4752" s="367"/>
      <c r="Y4752" s="367"/>
      <c r="Z4752" s="368"/>
    </row>
    <row r="4753" spans="1:36" s="77" customFormat="1" ht="15" hidden="1">
      <c r="A4753" s="370"/>
      <c r="B4753" s="29"/>
      <c r="C4753" s="30"/>
      <c r="D4753" s="18"/>
      <c r="E4753" s="19"/>
      <c r="F4753" s="20"/>
      <c r="G4753" s="18"/>
      <c r="H4753" s="19"/>
      <c r="I4753" s="20"/>
      <c r="J4753" s="21"/>
      <c r="K4753" s="22"/>
      <c r="L4753" s="23"/>
      <c r="M4753" s="24"/>
      <c r="N4753" s="25"/>
      <c r="O4753" s="25"/>
      <c r="P4753" s="23"/>
      <c r="Q4753" s="26"/>
      <c r="R4753" s="371"/>
      <c r="S4753" s="27"/>
      <c r="T4753" s="372"/>
      <c r="U4753" s="31"/>
      <c r="V4753" s="1418">
        <f t="shared" si="476"/>
        <v>0</v>
      </c>
      <c r="AB4753" s="15"/>
    </row>
    <row r="4754" spans="1:36" s="77" customFormat="1" ht="15.75" hidden="1" customHeight="1">
      <c r="A4754" s="370"/>
      <c r="B4754" s="499"/>
      <c r="C4754" s="37"/>
      <c r="D4754" s="1929" t="s">
        <v>1520</v>
      </c>
      <c r="E4754" s="1930"/>
      <c r="F4754" s="1930"/>
      <c r="G4754" s="1930"/>
      <c r="H4754" s="1930"/>
      <c r="I4754" s="1931"/>
      <c r="J4754" s="1932">
        <f>VLOOKUP(A4756,'11 - FINANCEIRA'!_xlnm.Print_Area,6,FALSE)</f>
        <v>8</v>
      </c>
      <c r="K4754" s="1933"/>
      <c r="L4754" s="1343" t="str">
        <f>VLOOKUP(A4756,'11 - FINANCEIRA'!_xlnm.Print_Area,4,FALSE)</f>
        <v>und</v>
      </c>
      <c r="M4754" s="1934" t="s">
        <v>1521</v>
      </c>
      <c r="N4754" s="1935"/>
      <c r="O4754" s="1935"/>
      <c r="P4754" s="1935"/>
      <c r="Q4754" s="1936"/>
      <c r="R4754" s="726">
        <f>SUM(R4750:R4753)</f>
        <v>8</v>
      </c>
      <c r="S4754" s="1344" t="str">
        <f>L4754</f>
        <v>und</v>
      </c>
      <c r="T4754" s="373"/>
      <c r="U4754" s="486"/>
      <c r="V4754" s="1418">
        <f t="shared" si="476"/>
        <v>0</v>
      </c>
      <c r="AB4754" s="15"/>
    </row>
    <row r="4755" spans="1:36" s="77" customFormat="1" ht="15.75" hidden="1" customHeight="1">
      <c r="A4755" s="370"/>
      <c r="B4755" s="499"/>
      <c r="C4755" s="725"/>
      <c r="D4755" s="1937" t="s">
        <v>1522</v>
      </c>
      <c r="E4755" s="1938"/>
      <c r="F4755" s="1938"/>
      <c r="G4755" s="1938"/>
      <c r="H4755" s="1938"/>
      <c r="I4755" s="1939"/>
      <c r="J4755" s="1943">
        <f>R4754/J4754</f>
        <v>1</v>
      </c>
      <c r="K4755" s="1944"/>
      <c r="L4755" s="1947"/>
      <c r="M4755" s="1934" t="s">
        <v>1523</v>
      </c>
      <c r="N4755" s="1935"/>
      <c r="O4755" s="1935"/>
      <c r="P4755" s="1935"/>
      <c r="Q4755" s="1936"/>
      <c r="R4755" s="726">
        <f>VLOOKUP(A4756,'11 - FINANCEIRA'!_xlnm.Print_Area,8,FALSE)</f>
        <v>8</v>
      </c>
      <c r="S4755" s="727" t="str">
        <f>L4754</f>
        <v>und</v>
      </c>
      <c r="T4755" s="373"/>
      <c r="U4755" s="486"/>
      <c r="V4755" s="1418">
        <f t="shared" si="476"/>
        <v>0</v>
      </c>
      <c r="AB4755" s="15"/>
    </row>
    <row r="4756" spans="1:36" s="77" customFormat="1" ht="15.75" hidden="1" customHeight="1">
      <c r="A4756" s="364" t="s">
        <v>779</v>
      </c>
      <c r="B4756" s="499"/>
      <c r="C4756" s="37"/>
      <c r="D4756" s="1940"/>
      <c r="E4756" s="1941"/>
      <c r="F4756" s="1941"/>
      <c r="G4756" s="1941"/>
      <c r="H4756" s="1941"/>
      <c r="I4756" s="1942"/>
      <c r="J4756" s="1945"/>
      <c r="K4756" s="1946"/>
      <c r="L4756" s="1948"/>
      <c r="M4756" s="1934" t="s">
        <v>1524</v>
      </c>
      <c r="N4756" s="1935"/>
      <c r="O4756" s="1935"/>
      <c r="P4756" s="1935"/>
      <c r="Q4756" s="1936"/>
      <c r="R4756" s="1345">
        <f>R4754-R4755</f>
        <v>0</v>
      </c>
      <c r="S4756" s="1346" t="str">
        <f>L4754</f>
        <v>und</v>
      </c>
      <c r="T4756" s="373"/>
      <c r="U4756" s="486"/>
      <c r="V4756" s="1418">
        <f>R4756</f>
        <v>0</v>
      </c>
      <c r="AB4756" s="15"/>
    </row>
    <row r="4757" spans="1:36" s="77" customFormat="1" ht="15.6" hidden="1">
      <c r="A4757" s="370"/>
      <c r="B4757" s="1347"/>
      <c r="C4757" s="1348"/>
      <c r="D4757" s="1349"/>
      <c r="E4757" s="1350"/>
      <c r="F4757" s="1349"/>
      <c r="G4757" s="1349"/>
      <c r="H4757" s="1349"/>
      <c r="I4757" s="1349"/>
      <c r="J4757" s="1351"/>
      <c r="K4757" s="1352"/>
      <c r="L4757" s="1353"/>
      <c r="M4757" s="1354"/>
      <c r="N4757" s="1354"/>
      <c r="O4757" s="1354"/>
      <c r="P4757" s="1354"/>
      <c r="Q4757" s="1354"/>
      <c r="R4757" s="1355"/>
      <c r="S4757" s="1356"/>
      <c r="T4757" s="1357"/>
      <c r="U4757" s="1358"/>
      <c r="V4757" s="1420">
        <f>SUM(V4748:V4756)</f>
        <v>0</v>
      </c>
      <c r="AB4757" s="15"/>
    </row>
    <row r="4758" spans="1:36" s="352" customFormat="1" ht="15.75" hidden="1" customHeight="1">
      <c r="A4758" s="351"/>
      <c r="B4758" s="1963" t="str">
        <f>VLOOKUP(A4769,'11 - FINANCEIRA'!_xlnm.Print_Area,1,FALSE)</f>
        <v>4.1.24</v>
      </c>
      <c r="C4758" s="1965" t="str">
        <f>VLOOKUP(A4769,'11 - FINANCEIRA'!_xlnm.Print_Area,3,FALSE)</f>
        <v>Alvenaria de blocos de concreto estrut. (14x19x39cm) cheios, c/ resist. mín. compr. 15MPa, assentados c/ arg. de cimento e areia no traço 1:4, esp. juntas 10mm e esp. da parede s/ revest. 14cm</v>
      </c>
      <c r="D4758" s="1967" t="s">
        <v>205</v>
      </c>
      <c r="E4758" s="1968"/>
      <c r="F4758" s="1968"/>
      <c r="G4758" s="1968"/>
      <c r="H4758" s="1968"/>
      <c r="I4758" s="1969"/>
      <c r="J4758" s="1914" t="s">
        <v>2169</v>
      </c>
      <c r="K4758" s="1914" t="s">
        <v>1505</v>
      </c>
      <c r="L4758" s="1914" t="s">
        <v>1506</v>
      </c>
      <c r="M4758" s="1914" t="s">
        <v>1507</v>
      </c>
      <c r="N4758" s="1914" t="s">
        <v>1508</v>
      </c>
      <c r="O4758" s="1914" t="s">
        <v>1509</v>
      </c>
      <c r="P4758" s="1341" t="s">
        <v>1510</v>
      </c>
      <c r="Q4758" s="1914" t="s">
        <v>1493</v>
      </c>
      <c r="R4758" s="1916" t="s">
        <v>804</v>
      </c>
      <c r="S4758" s="1914" t="s">
        <v>1511</v>
      </c>
      <c r="T4758" s="1914" t="s">
        <v>1512</v>
      </c>
      <c r="U4758" s="1918" t="s">
        <v>1513</v>
      </c>
      <c r="V4758" s="1418">
        <f t="shared" ref="V4758:V4768" si="477">V4759</f>
        <v>0</v>
      </c>
      <c r="W4758" s="16"/>
      <c r="X4758" s="16"/>
      <c r="Y4758" s="16"/>
      <c r="Z4758" s="17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</row>
    <row r="4759" spans="1:36" s="352" customFormat="1" ht="15.6" hidden="1">
      <c r="A4759" s="351"/>
      <c r="B4759" s="1964" t="e">
        <f>LEFT(#REF!,5)</f>
        <v>#REF!</v>
      </c>
      <c r="C4759" s="1966" t="e">
        <f>VLOOKUP(LEFT(#REF!,5),'11 - FINANCEIRA'!_xlnm.Print_Area,2,FALSE)</f>
        <v>#REF!</v>
      </c>
      <c r="D4759" s="1920" t="s">
        <v>1514</v>
      </c>
      <c r="E4759" s="1921"/>
      <c r="F4759" s="1922"/>
      <c r="G4759" s="1923" t="s">
        <v>1515</v>
      </c>
      <c r="H4759" s="1924"/>
      <c r="I4759" s="1925"/>
      <c r="J4759" s="1915"/>
      <c r="K4759" s="1915"/>
      <c r="L4759" s="1915"/>
      <c r="M4759" s="1915"/>
      <c r="N4759" s="1915"/>
      <c r="O4759" s="1915"/>
      <c r="P4759" s="353" t="s">
        <v>1516</v>
      </c>
      <c r="Q4759" s="1915"/>
      <c r="R4759" s="1917"/>
      <c r="S4759" s="1915"/>
      <c r="T4759" s="1915"/>
      <c r="U4759" s="1919"/>
      <c r="V4759" s="1418">
        <f t="shared" si="477"/>
        <v>0</v>
      </c>
      <c r="W4759" s="16"/>
      <c r="X4759" s="16"/>
      <c r="Y4759" s="16"/>
      <c r="Z4759" s="17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</row>
    <row r="4760" spans="1:36" s="361" customFormat="1" ht="45" hidden="1">
      <c r="A4760" s="354"/>
      <c r="B4760" s="988"/>
      <c r="C4760" s="710" t="s">
        <v>1479</v>
      </c>
      <c r="D4760" s="1926"/>
      <c r="E4760" s="1927"/>
      <c r="F4760" s="1928"/>
      <c r="G4760" s="2125"/>
      <c r="H4760" s="2126"/>
      <c r="I4760" s="2127"/>
      <c r="J4760" s="867"/>
      <c r="K4760" s="868">
        <v>42.3</v>
      </c>
      <c r="L4760" s="869"/>
      <c r="M4760" s="870">
        <v>2.6</v>
      </c>
      <c r="N4760" s="874">
        <f>M4760*K4760</f>
        <v>109.97999999999999</v>
      </c>
      <c r="O4760" s="875"/>
      <c r="P4760" s="869"/>
      <c r="Q4760" s="878"/>
      <c r="R4760" s="1127">
        <f t="shared" ref="R4760:R4764" si="478">N4760</f>
        <v>109.97999999999999</v>
      </c>
      <c r="S4760" s="950" t="s">
        <v>1480</v>
      </c>
      <c r="T4760" s="872" t="s">
        <v>324</v>
      </c>
      <c r="U4760" s="846" t="s">
        <v>2170</v>
      </c>
      <c r="V4760" s="1418">
        <f t="shared" si="477"/>
        <v>0</v>
      </c>
      <c r="W4760" s="357"/>
      <c r="X4760" s="357"/>
      <c r="Y4760" s="357"/>
      <c r="Z4760" s="358"/>
      <c r="AA4760" s="359"/>
      <c r="AB4760" s="360"/>
    </row>
    <row r="4761" spans="1:36" s="361" customFormat="1" ht="45" hidden="1">
      <c r="A4761" s="354"/>
      <c r="B4761" s="355"/>
      <c r="C4761" s="28" t="s">
        <v>1479</v>
      </c>
      <c r="D4761" s="18"/>
      <c r="E4761" s="19"/>
      <c r="F4761" s="20"/>
      <c r="G4761" s="18"/>
      <c r="H4761" s="19"/>
      <c r="I4761" s="20"/>
      <c r="J4761" s="21"/>
      <c r="K4761" s="22">
        <v>37.26</v>
      </c>
      <c r="L4761" s="23"/>
      <c r="M4761" s="24">
        <v>0.8</v>
      </c>
      <c r="N4761" s="728">
        <f>M4761*K4761</f>
        <v>29.808</v>
      </c>
      <c r="O4761" s="25"/>
      <c r="P4761" s="23"/>
      <c r="Q4761" s="729"/>
      <c r="R4761" s="445">
        <f t="shared" si="478"/>
        <v>29.808</v>
      </c>
      <c r="S4761" s="792" t="s">
        <v>1480</v>
      </c>
      <c r="T4761" s="446" t="s">
        <v>325</v>
      </c>
      <c r="U4761" s="793" t="s">
        <v>2171</v>
      </c>
      <c r="V4761" s="1418">
        <f t="shared" si="477"/>
        <v>0</v>
      </c>
      <c r="W4761" s="357"/>
      <c r="X4761" s="357"/>
      <c r="Y4761" s="357"/>
      <c r="Z4761" s="358"/>
      <c r="AA4761" s="359"/>
      <c r="AB4761" s="360"/>
    </row>
    <row r="4762" spans="1:36" s="369" customFormat="1" ht="45" hidden="1">
      <c r="A4762" s="364"/>
      <c r="B4762" s="355"/>
      <c r="C4762" s="28" t="s">
        <v>1479</v>
      </c>
      <c r="D4762" s="18"/>
      <c r="E4762" s="19"/>
      <c r="F4762" s="20"/>
      <c r="G4762" s="18"/>
      <c r="H4762" s="19"/>
      <c r="I4762" s="20"/>
      <c r="J4762" s="21">
        <v>7</v>
      </c>
      <c r="K4762" s="22">
        <v>4.9000000000000004</v>
      </c>
      <c r="L4762" s="23"/>
      <c r="M4762" s="24">
        <v>3.5</v>
      </c>
      <c r="N4762" s="728">
        <f>(M4762*K4762*J4762)/2</f>
        <v>60.025000000000006</v>
      </c>
      <c r="O4762" s="25"/>
      <c r="P4762" s="23"/>
      <c r="Q4762" s="729"/>
      <c r="R4762" s="445">
        <f t="shared" si="478"/>
        <v>60.025000000000006</v>
      </c>
      <c r="S4762" s="792" t="s">
        <v>1480</v>
      </c>
      <c r="T4762" s="446" t="s">
        <v>325</v>
      </c>
      <c r="U4762" s="793" t="s">
        <v>2172</v>
      </c>
      <c r="V4762" s="1418">
        <f t="shared" si="477"/>
        <v>0</v>
      </c>
      <c r="W4762" s="367"/>
      <c r="X4762" s="367"/>
      <c r="Y4762" s="367"/>
      <c r="Z4762" s="368"/>
    </row>
    <row r="4763" spans="1:36" s="369" customFormat="1" ht="45" hidden="1">
      <c r="A4763" s="364"/>
      <c r="B4763" s="1002"/>
      <c r="C4763" s="28" t="s">
        <v>1479</v>
      </c>
      <c r="D4763" s="18"/>
      <c r="E4763" s="19"/>
      <c r="F4763" s="20"/>
      <c r="G4763" s="18"/>
      <c r="H4763" s="19"/>
      <c r="I4763" s="20"/>
      <c r="J4763" s="21"/>
      <c r="K4763" s="22">
        <f>66.5+4.9+2.5+7.36+10.1</f>
        <v>91.36</v>
      </c>
      <c r="L4763" s="23"/>
      <c r="M4763" s="24">
        <v>1</v>
      </c>
      <c r="N4763" s="728">
        <f>(M4763*K4763)</f>
        <v>91.36</v>
      </c>
      <c r="O4763" s="25"/>
      <c r="P4763" s="23"/>
      <c r="Q4763" s="729"/>
      <c r="R4763" s="445">
        <f t="shared" si="478"/>
        <v>91.36</v>
      </c>
      <c r="S4763" s="792" t="s">
        <v>1480</v>
      </c>
      <c r="T4763" s="446" t="s">
        <v>325</v>
      </c>
      <c r="U4763" s="843" t="s">
        <v>2173</v>
      </c>
      <c r="V4763" s="1418">
        <f t="shared" si="477"/>
        <v>0</v>
      </c>
      <c r="W4763" s="367"/>
      <c r="X4763" s="367"/>
      <c r="Y4763" s="367"/>
      <c r="Z4763" s="368"/>
    </row>
    <row r="4764" spans="1:36" s="369" customFormat="1" ht="45" hidden="1">
      <c r="A4764" s="364"/>
      <c r="B4764" s="1002"/>
      <c r="C4764" s="28" t="s">
        <v>1479</v>
      </c>
      <c r="D4764" s="18"/>
      <c r="E4764" s="19"/>
      <c r="F4764" s="20"/>
      <c r="G4764" s="18"/>
      <c r="H4764" s="19"/>
      <c r="I4764" s="20"/>
      <c r="J4764" s="21">
        <v>2</v>
      </c>
      <c r="K4764" s="22">
        <v>4.8</v>
      </c>
      <c r="L4764" s="23"/>
      <c r="M4764" s="24">
        <v>0.9</v>
      </c>
      <c r="N4764" s="728">
        <f>(M4764*K4764)*J4764</f>
        <v>8.64</v>
      </c>
      <c r="O4764" s="25"/>
      <c r="P4764" s="23"/>
      <c r="Q4764" s="729"/>
      <c r="R4764" s="445">
        <f t="shared" si="478"/>
        <v>8.64</v>
      </c>
      <c r="S4764" s="792" t="s">
        <v>1480</v>
      </c>
      <c r="T4764" s="446" t="s">
        <v>325</v>
      </c>
      <c r="U4764" s="843" t="s">
        <v>2174</v>
      </c>
      <c r="V4764" s="1418">
        <f>V4766</f>
        <v>0</v>
      </c>
      <c r="W4764" s="367"/>
      <c r="X4764" s="367"/>
      <c r="Y4764" s="367"/>
      <c r="Z4764" s="368"/>
    </row>
    <row r="4765" spans="1:36" s="369" customFormat="1" ht="45" hidden="1">
      <c r="A4765" s="364"/>
      <c r="B4765" s="1002"/>
      <c r="C4765" s="836" t="s">
        <v>1479</v>
      </c>
      <c r="D4765" s="18"/>
      <c r="E4765" s="19"/>
      <c r="F4765" s="20"/>
      <c r="G4765" s="18"/>
      <c r="H4765" s="19"/>
      <c r="I4765" s="20"/>
      <c r="J4765" s="21">
        <v>2</v>
      </c>
      <c r="K4765" s="22">
        <v>25</v>
      </c>
      <c r="L4765" s="23"/>
      <c r="M4765" s="24">
        <v>0.9</v>
      </c>
      <c r="N4765" s="728">
        <v>45</v>
      </c>
      <c r="O4765" s="25"/>
      <c r="P4765" s="23"/>
      <c r="Q4765" s="729"/>
      <c r="R4765" s="445">
        <v>45</v>
      </c>
      <c r="S4765" s="792" t="s">
        <v>1480</v>
      </c>
      <c r="T4765" s="835" t="s">
        <v>325</v>
      </c>
      <c r="U4765" s="843" t="s">
        <v>2174</v>
      </c>
      <c r="V4765" s="1418">
        <v>0</v>
      </c>
      <c r="W4765" s="367"/>
      <c r="X4765" s="367"/>
      <c r="Y4765" s="367"/>
      <c r="Z4765" s="368"/>
    </row>
    <row r="4766" spans="1:36" s="77" customFormat="1" ht="45" hidden="1">
      <c r="A4766" s="370"/>
      <c r="B4766" s="29"/>
      <c r="C4766" s="453" t="s">
        <v>1479</v>
      </c>
      <c r="D4766" s="33"/>
      <c r="E4766" s="34"/>
      <c r="F4766" s="35"/>
      <c r="G4766" s="33"/>
      <c r="H4766" s="34"/>
      <c r="I4766" s="35"/>
      <c r="J4766" s="43"/>
      <c r="K4766" s="42"/>
      <c r="L4766" s="39"/>
      <c r="M4766" s="41"/>
      <c r="N4766" s="356"/>
      <c r="O4766" s="40"/>
      <c r="P4766" s="39"/>
      <c r="Q4766" s="45"/>
      <c r="R4766" s="366">
        <f>J4767-SUM(R4760:R4765)</f>
        <v>544.29700000000003</v>
      </c>
      <c r="S4766" s="363" t="s">
        <v>1480</v>
      </c>
      <c r="T4766" s="452" t="s">
        <v>330</v>
      </c>
      <c r="U4766" s="454" t="s">
        <v>2173</v>
      </c>
      <c r="V4766" s="1418">
        <f t="shared" si="477"/>
        <v>0</v>
      </c>
      <c r="AB4766" s="15"/>
    </row>
    <row r="4767" spans="1:36" s="77" customFormat="1" ht="15.75" hidden="1" customHeight="1">
      <c r="A4767" s="370"/>
      <c r="B4767" s="499"/>
      <c r="C4767" s="37"/>
      <c r="D4767" s="1929" t="s">
        <v>1520</v>
      </c>
      <c r="E4767" s="1930"/>
      <c r="F4767" s="1930"/>
      <c r="G4767" s="1930"/>
      <c r="H4767" s="1930"/>
      <c r="I4767" s="1931"/>
      <c r="J4767" s="1932">
        <f>VLOOKUP(A4769,'11 - FINANCEIRA'!_xlnm.Print_Area,6,FALSE)</f>
        <v>889.11</v>
      </c>
      <c r="K4767" s="1933"/>
      <c r="L4767" s="1343" t="str">
        <f>VLOOKUP(A4769,'11 - FINANCEIRA'!_xlnm.Print_Area,4,FALSE)</f>
        <v>M²</v>
      </c>
      <c r="M4767" s="1934" t="s">
        <v>1521</v>
      </c>
      <c r="N4767" s="1935"/>
      <c r="O4767" s="1935"/>
      <c r="P4767" s="1935"/>
      <c r="Q4767" s="1936"/>
      <c r="R4767" s="726">
        <f>SUM(R4760:R4766)</f>
        <v>889.11</v>
      </c>
      <c r="S4767" s="1344" t="str">
        <f>L4767</f>
        <v>M²</v>
      </c>
      <c r="T4767" s="373"/>
      <c r="U4767" s="486"/>
      <c r="V4767" s="1418">
        <f t="shared" si="477"/>
        <v>0</v>
      </c>
      <c r="AB4767" s="15"/>
    </row>
    <row r="4768" spans="1:36" s="77" customFormat="1" ht="15.75" hidden="1" customHeight="1">
      <c r="A4768" s="370"/>
      <c r="B4768" s="499"/>
      <c r="C4768" s="725"/>
      <c r="D4768" s="1937" t="s">
        <v>1522</v>
      </c>
      <c r="E4768" s="1938"/>
      <c r="F4768" s="1938"/>
      <c r="G4768" s="1938"/>
      <c r="H4768" s="1938"/>
      <c r="I4768" s="1939"/>
      <c r="J4768" s="1943">
        <f>R4767/J4767</f>
        <v>1</v>
      </c>
      <c r="K4768" s="1944"/>
      <c r="L4768" s="1947"/>
      <c r="M4768" s="1934" t="s">
        <v>1523</v>
      </c>
      <c r="N4768" s="1935"/>
      <c r="O4768" s="1935"/>
      <c r="P4768" s="1935"/>
      <c r="Q4768" s="1936"/>
      <c r="R4768" s="726">
        <f>VLOOKUP(A4769,'11 - FINANCEIRA'!_xlnm.Print_Area,8,FALSE)</f>
        <v>889.11</v>
      </c>
      <c r="S4768" s="727" t="str">
        <f>L4767</f>
        <v>M²</v>
      </c>
      <c r="T4768" s="373"/>
      <c r="U4768" s="486"/>
      <c r="V4768" s="1418">
        <f t="shared" si="477"/>
        <v>0</v>
      </c>
      <c r="AB4768" s="15"/>
    </row>
    <row r="4769" spans="1:36" s="77" customFormat="1" ht="15.75" hidden="1" customHeight="1">
      <c r="A4769" s="364" t="s">
        <v>780</v>
      </c>
      <c r="B4769" s="499"/>
      <c r="C4769" s="37"/>
      <c r="D4769" s="1940"/>
      <c r="E4769" s="1941"/>
      <c r="F4769" s="1941"/>
      <c r="G4769" s="1941"/>
      <c r="H4769" s="1941"/>
      <c r="I4769" s="1942"/>
      <c r="J4769" s="1945"/>
      <c r="K4769" s="1946"/>
      <c r="L4769" s="1948"/>
      <c r="M4769" s="1934" t="s">
        <v>1524</v>
      </c>
      <c r="N4769" s="1935"/>
      <c r="O4769" s="1935"/>
      <c r="P4769" s="1935"/>
      <c r="Q4769" s="1936"/>
      <c r="R4769" s="1345">
        <f>R4767-R4768</f>
        <v>0</v>
      </c>
      <c r="S4769" s="1346" t="str">
        <f>L4767</f>
        <v>M²</v>
      </c>
      <c r="T4769" s="373"/>
      <c r="U4769" s="486"/>
      <c r="V4769" s="1418">
        <f>R4769</f>
        <v>0</v>
      </c>
      <c r="AB4769" s="15"/>
    </row>
    <row r="4770" spans="1:36" s="77" customFormat="1" ht="15.6" hidden="1">
      <c r="A4770" s="370"/>
      <c r="B4770" s="1347"/>
      <c r="C4770" s="1348"/>
      <c r="D4770" s="1349"/>
      <c r="E4770" s="1350"/>
      <c r="F4770" s="1349"/>
      <c r="G4770" s="1349"/>
      <c r="H4770" s="1349"/>
      <c r="I4770" s="1349"/>
      <c r="J4770" s="1351"/>
      <c r="K4770" s="1352"/>
      <c r="L4770" s="1353"/>
      <c r="M4770" s="1354"/>
      <c r="N4770" s="1354"/>
      <c r="O4770" s="1354"/>
      <c r="P4770" s="1354"/>
      <c r="Q4770" s="1354"/>
      <c r="R4770" s="1355"/>
      <c r="S4770" s="1356"/>
      <c r="T4770" s="1357"/>
      <c r="U4770" s="1358"/>
      <c r="V4770" s="1420">
        <f>SUM(V4758:V4769)</f>
        <v>0</v>
      </c>
      <c r="AB4770" s="15"/>
    </row>
    <row r="4771" spans="1:36" s="352" customFormat="1" ht="15.75" hidden="1" customHeight="1">
      <c r="A4771" s="351"/>
      <c r="B4771" s="1963" t="str">
        <f>VLOOKUP(A4780,'11 - FINANCEIRA'!_xlnm.Print_Area,1,FALSE)</f>
        <v>4.1.25</v>
      </c>
      <c r="C4771" s="1965" t="str">
        <f>VLOOKUP(A4780,'11 - FINANCEIRA'!_xlnm.Print_Area,3,FALSE)</f>
        <v>Índice de preço para remoção de entulho decorrente da execução de obras (Classe A CONAMA - NBR 10.004 - Classe II-B), incluindo aluguel da caçamba, carga, transporte e descarga em área licenciada</v>
      </c>
      <c r="D4771" s="1967" t="s">
        <v>205</v>
      </c>
      <c r="E4771" s="1968"/>
      <c r="F4771" s="1968"/>
      <c r="G4771" s="1968"/>
      <c r="H4771" s="1968"/>
      <c r="I4771" s="1969"/>
      <c r="J4771" s="1914" t="s">
        <v>2169</v>
      </c>
      <c r="K4771" s="1914" t="s">
        <v>1505</v>
      </c>
      <c r="L4771" s="1914" t="s">
        <v>1506</v>
      </c>
      <c r="M4771" s="1914" t="s">
        <v>1507</v>
      </c>
      <c r="N4771" s="1914" t="s">
        <v>1508</v>
      </c>
      <c r="O4771" s="1914" t="s">
        <v>1509</v>
      </c>
      <c r="P4771" s="1341" t="s">
        <v>1510</v>
      </c>
      <c r="Q4771" s="1914" t="s">
        <v>1493</v>
      </c>
      <c r="R4771" s="1916" t="s">
        <v>804</v>
      </c>
      <c r="S4771" s="1914" t="s">
        <v>1511</v>
      </c>
      <c r="T4771" s="1914" t="s">
        <v>1512</v>
      </c>
      <c r="U4771" s="1918" t="s">
        <v>1513</v>
      </c>
      <c r="V4771" s="1418">
        <f t="shared" ref="V4771:V4779" si="479">V4772</f>
        <v>0</v>
      </c>
      <c r="W4771" s="16"/>
      <c r="X4771" s="16"/>
      <c r="Y4771" s="16"/>
      <c r="Z4771" s="17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</row>
    <row r="4772" spans="1:36" s="352" customFormat="1" ht="15.6" hidden="1">
      <c r="A4772" s="351"/>
      <c r="B4772" s="1964" t="e">
        <f>LEFT(#REF!,5)</f>
        <v>#REF!</v>
      </c>
      <c r="C4772" s="1966" t="e">
        <f>VLOOKUP(LEFT(#REF!,5),'11 - FINANCEIRA'!_xlnm.Print_Area,2,FALSE)</f>
        <v>#REF!</v>
      </c>
      <c r="D4772" s="1920" t="s">
        <v>1514</v>
      </c>
      <c r="E4772" s="1921"/>
      <c r="F4772" s="1922"/>
      <c r="G4772" s="1923" t="s">
        <v>1515</v>
      </c>
      <c r="H4772" s="1924"/>
      <c r="I4772" s="1925"/>
      <c r="J4772" s="1915"/>
      <c r="K4772" s="1915"/>
      <c r="L4772" s="1915"/>
      <c r="M4772" s="1915"/>
      <c r="N4772" s="1915"/>
      <c r="O4772" s="1915"/>
      <c r="P4772" s="353" t="s">
        <v>1516</v>
      </c>
      <c r="Q4772" s="1915"/>
      <c r="R4772" s="1917"/>
      <c r="S4772" s="1915"/>
      <c r="T4772" s="1915"/>
      <c r="U4772" s="1919"/>
      <c r="V4772" s="1418">
        <f t="shared" si="479"/>
        <v>0</v>
      </c>
      <c r="W4772" s="16"/>
      <c r="X4772" s="16"/>
      <c r="Y4772" s="16"/>
      <c r="Z4772" s="17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</row>
    <row r="4773" spans="1:36" s="361" customFormat="1" ht="45" hidden="1">
      <c r="A4773" s="354"/>
      <c r="B4773" s="988"/>
      <c r="C4773" s="989" t="s">
        <v>1482</v>
      </c>
      <c r="D4773" s="1926"/>
      <c r="E4773" s="1927"/>
      <c r="F4773" s="1928"/>
      <c r="G4773" s="1926"/>
      <c r="H4773" s="1927"/>
      <c r="I4773" s="1928"/>
      <c r="J4773" s="990"/>
      <c r="K4773" s="991"/>
      <c r="L4773" s="992"/>
      <c r="M4773" s="993"/>
      <c r="N4773" s="994"/>
      <c r="O4773" s="995"/>
      <c r="P4773" s="992"/>
      <c r="Q4773" s="996"/>
      <c r="R4773" s="996">
        <v>63.9</v>
      </c>
      <c r="S4773" s="1406" t="s">
        <v>853</v>
      </c>
      <c r="T4773" s="997" t="s">
        <v>330</v>
      </c>
      <c r="U4773" s="846"/>
      <c r="V4773" s="1418">
        <f t="shared" si="479"/>
        <v>0</v>
      </c>
      <c r="W4773" s="357"/>
      <c r="X4773" s="357"/>
      <c r="Y4773" s="357"/>
      <c r="Z4773" s="358"/>
      <c r="AA4773" s="359"/>
      <c r="AB4773" s="360"/>
    </row>
    <row r="4774" spans="1:36" s="361" customFormat="1" ht="15" hidden="1" customHeight="1">
      <c r="A4774" s="354"/>
      <c r="B4774" s="355"/>
      <c r="C4774" s="28"/>
      <c r="D4774" s="18"/>
      <c r="E4774" s="19"/>
      <c r="F4774" s="20"/>
      <c r="G4774" s="18"/>
      <c r="H4774" s="19"/>
      <c r="I4774" s="20"/>
      <c r="J4774" s="21"/>
      <c r="K4774" s="22"/>
      <c r="L4774" s="23"/>
      <c r="M4774" s="24"/>
      <c r="N4774" s="728"/>
      <c r="O4774" s="25"/>
      <c r="P4774" s="23"/>
      <c r="Q4774" s="729"/>
      <c r="R4774" s="445"/>
      <c r="S4774" s="792"/>
      <c r="T4774" s="446"/>
      <c r="U4774" s="793"/>
      <c r="V4774" s="1418">
        <f t="shared" si="479"/>
        <v>0</v>
      </c>
      <c r="W4774" s="357"/>
      <c r="X4774" s="357"/>
      <c r="Y4774" s="357"/>
      <c r="Z4774" s="358"/>
      <c r="AA4774" s="359"/>
      <c r="AB4774" s="360"/>
    </row>
    <row r="4775" spans="1:36" s="369" customFormat="1" ht="15" hidden="1">
      <c r="A4775" s="364"/>
      <c r="B4775" s="1002"/>
      <c r="C4775" s="28"/>
      <c r="D4775" s="18"/>
      <c r="E4775" s="19"/>
      <c r="F4775" s="20"/>
      <c r="G4775" s="18"/>
      <c r="H4775" s="19"/>
      <c r="I4775" s="20"/>
      <c r="J4775" s="21"/>
      <c r="K4775" s="22"/>
      <c r="L4775" s="23"/>
      <c r="M4775" s="24"/>
      <c r="N4775" s="728"/>
      <c r="O4775" s="25"/>
      <c r="P4775" s="23"/>
      <c r="Q4775" s="729"/>
      <c r="R4775" s="445"/>
      <c r="S4775" s="792"/>
      <c r="T4775" s="446"/>
      <c r="U4775" s="843"/>
      <c r="V4775" s="1418">
        <f t="shared" si="479"/>
        <v>0</v>
      </c>
      <c r="W4775" s="367"/>
      <c r="X4775" s="367"/>
      <c r="Y4775" s="367"/>
      <c r="Z4775" s="368"/>
    </row>
    <row r="4776" spans="1:36" s="369" customFormat="1" ht="15" hidden="1">
      <c r="A4776" s="364"/>
      <c r="B4776" s="1002"/>
      <c r="C4776" s="28"/>
      <c r="D4776" s="18"/>
      <c r="E4776" s="19"/>
      <c r="F4776" s="20"/>
      <c r="G4776" s="18"/>
      <c r="H4776" s="19"/>
      <c r="I4776" s="20"/>
      <c r="J4776" s="21"/>
      <c r="K4776" s="22"/>
      <c r="L4776" s="23"/>
      <c r="M4776" s="24"/>
      <c r="N4776" s="728"/>
      <c r="O4776" s="25"/>
      <c r="P4776" s="23"/>
      <c r="Q4776" s="729"/>
      <c r="R4776" s="445"/>
      <c r="S4776" s="792"/>
      <c r="T4776" s="446"/>
      <c r="U4776" s="843"/>
      <c r="V4776" s="1418">
        <f t="shared" si="479"/>
        <v>0</v>
      </c>
      <c r="W4776" s="367"/>
      <c r="X4776" s="367"/>
      <c r="Y4776" s="367"/>
      <c r="Z4776" s="368"/>
    </row>
    <row r="4777" spans="1:36" s="77" customFormat="1" ht="15" hidden="1">
      <c r="A4777" s="370"/>
      <c r="B4777" s="29"/>
      <c r="C4777" s="30"/>
      <c r="D4777" s="18"/>
      <c r="E4777" s="19"/>
      <c r="F4777" s="20"/>
      <c r="G4777" s="18"/>
      <c r="H4777" s="19"/>
      <c r="I4777" s="20"/>
      <c r="J4777" s="21"/>
      <c r="K4777" s="22"/>
      <c r="L4777" s="23"/>
      <c r="M4777" s="24"/>
      <c r="N4777" s="728"/>
      <c r="O4777" s="25"/>
      <c r="P4777" s="23"/>
      <c r="Q4777" s="729"/>
      <c r="R4777" s="445"/>
      <c r="S4777" s="792"/>
      <c r="T4777" s="774"/>
      <c r="U4777" s="906"/>
      <c r="V4777" s="1418">
        <f t="shared" si="479"/>
        <v>0</v>
      </c>
      <c r="AB4777" s="15"/>
    </row>
    <row r="4778" spans="1:36" s="77" customFormat="1" ht="15.75" hidden="1" customHeight="1">
      <c r="A4778" s="370"/>
      <c r="B4778" s="499"/>
      <c r="C4778" s="37"/>
      <c r="D4778" s="1929" t="s">
        <v>1520</v>
      </c>
      <c r="E4778" s="1930"/>
      <c r="F4778" s="1930"/>
      <c r="G4778" s="1930"/>
      <c r="H4778" s="1930"/>
      <c r="I4778" s="1931"/>
      <c r="J4778" s="1932">
        <f>VLOOKUP(A4780,'11 - FINANCEIRA'!_xlnm.Print_Area,6,FALSE)</f>
        <v>63.9</v>
      </c>
      <c r="K4778" s="1933"/>
      <c r="L4778" s="1343" t="str">
        <f>VLOOKUP(A4780,'11 - FINANCEIRA'!_xlnm.Print_Area,4,FALSE)</f>
        <v>M³</v>
      </c>
      <c r="M4778" s="1934" t="s">
        <v>1521</v>
      </c>
      <c r="N4778" s="1935"/>
      <c r="O4778" s="1935"/>
      <c r="P4778" s="1935"/>
      <c r="Q4778" s="1936"/>
      <c r="R4778" s="726">
        <f>SUM(R4773:R4777)</f>
        <v>63.9</v>
      </c>
      <c r="S4778" s="1344" t="str">
        <f>L4778</f>
        <v>M³</v>
      </c>
      <c r="T4778" s="373"/>
      <c r="U4778" s="486"/>
      <c r="V4778" s="1418">
        <f t="shared" si="479"/>
        <v>0</v>
      </c>
      <c r="AB4778" s="15"/>
    </row>
    <row r="4779" spans="1:36" s="77" customFormat="1" ht="15.75" hidden="1" customHeight="1">
      <c r="A4779" s="370"/>
      <c r="B4779" s="499"/>
      <c r="C4779" s="725"/>
      <c r="D4779" s="1937" t="s">
        <v>1522</v>
      </c>
      <c r="E4779" s="1938"/>
      <c r="F4779" s="1938"/>
      <c r="G4779" s="1938"/>
      <c r="H4779" s="1938"/>
      <c r="I4779" s="1939"/>
      <c r="J4779" s="1943">
        <f>R4778/J4778</f>
        <v>1</v>
      </c>
      <c r="K4779" s="1944"/>
      <c r="L4779" s="1947"/>
      <c r="M4779" s="1934" t="s">
        <v>1523</v>
      </c>
      <c r="N4779" s="1935"/>
      <c r="O4779" s="1935"/>
      <c r="P4779" s="1935"/>
      <c r="Q4779" s="1936"/>
      <c r="R4779" s="726">
        <f>VLOOKUP(A4780,'11 - FINANCEIRA'!_xlnm.Print_Area,8,FALSE)</f>
        <v>63.9</v>
      </c>
      <c r="S4779" s="727" t="str">
        <f>L4778</f>
        <v>M³</v>
      </c>
      <c r="T4779" s="373"/>
      <c r="U4779" s="486"/>
      <c r="V4779" s="1418">
        <f t="shared" si="479"/>
        <v>0</v>
      </c>
      <c r="AB4779" s="15"/>
    </row>
    <row r="4780" spans="1:36" s="77" customFormat="1" ht="15.75" hidden="1" customHeight="1">
      <c r="A4780" s="364" t="s">
        <v>781</v>
      </c>
      <c r="B4780" s="499"/>
      <c r="C4780" s="37"/>
      <c r="D4780" s="1940"/>
      <c r="E4780" s="1941"/>
      <c r="F4780" s="1941"/>
      <c r="G4780" s="1941"/>
      <c r="H4780" s="1941"/>
      <c r="I4780" s="1942"/>
      <c r="J4780" s="1945"/>
      <c r="K4780" s="1946"/>
      <c r="L4780" s="1948"/>
      <c r="M4780" s="1934" t="s">
        <v>1524</v>
      </c>
      <c r="N4780" s="1935"/>
      <c r="O4780" s="1935"/>
      <c r="P4780" s="1935"/>
      <c r="Q4780" s="1936"/>
      <c r="R4780" s="1345">
        <f>R4778-R4779</f>
        <v>0</v>
      </c>
      <c r="S4780" s="1346" t="str">
        <f>L4778</f>
        <v>M³</v>
      </c>
      <c r="T4780" s="373"/>
      <c r="U4780" s="486"/>
      <c r="V4780" s="1418">
        <f>R4780</f>
        <v>0</v>
      </c>
      <c r="AB4780" s="15"/>
    </row>
    <row r="4781" spans="1:36" s="77" customFormat="1" ht="15.6" hidden="1">
      <c r="A4781" s="370"/>
      <c r="B4781" s="1347"/>
      <c r="C4781" s="1348"/>
      <c r="D4781" s="1349"/>
      <c r="E4781" s="1350"/>
      <c r="F4781" s="1349"/>
      <c r="G4781" s="1349"/>
      <c r="H4781" s="1349"/>
      <c r="I4781" s="1349"/>
      <c r="J4781" s="1351"/>
      <c r="K4781" s="1352"/>
      <c r="L4781" s="1353"/>
      <c r="M4781" s="1354"/>
      <c r="N4781" s="1354"/>
      <c r="O4781" s="1354"/>
      <c r="P4781" s="1354"/>
      <c r="Q4781" s="1354"/>
      <c r="R4781" s="1355"/>
      <c r="S4781" s="1356"/>
      <c r="T4781" s="1357"/>
      <c r="U4781" s="1358"/>
      <c r="V4781" s="1420">
        <f>SUM(V4771:V4780)</f>
        <v>0</v>
      </c>
      <c r="AB4781" s="15"/>
    </row>
    <row r="4782" spans="1:36" s="352" customFormat="1" ht="15.75" hidden="1" customHeight="1">
      <c r="A4782" s="351"/>
      <c r="B4782" s="1963" t="str">
        <f>VLOOKUP(A4792,'11 - FINANCEIRA'!_xlnm.Print_Area,1,FALSE)</f>
        <v>4.1.26</v>
      </c>
      <c r="C4782" s="1965" t="str">
        <f>VLOOKUP(A4792,'11 - FINANCEIRA'!_xlnm.Print_Area,3,FALSE)</f>
        <v>Armazenamento de Eletrocentro, incluindo segurança, e manutenção preventiva</v>
      </c>
      <c r="D4782" s="1967" t="s">
        <v>205</v>
      </c>
      <c r="E4782" s="1968"/>
      <c r="F4782" s="1968"/>
      <c r="G4782" s="1968"/>
      <c r="H4782" s="1968"/>
      <c r="I4782" s="1969"/>
      <c r="J4782" s="1914" t="s">
        <v>2169</v>
      </c>
      <c r="K4782" s="1914" t="s">
        <v>1505</v>
      </c>
      <c r="L4782" s="1914" t="s">
        <v>1506</v>
      </c>
      <c r="M4782" s="1914" t="s">
        <v>1507</v>
      </c>
      <c r="N4782" s="1914" t="s">
        <v>1508</v>
      </c>
      <c r="O4782" s="1914" t="s">
        <v>1509</v>
      </c>
      <c r="P4782" s="1341" t="s">
        <v>1510</v>
      </c>
      <c r="Q4782" s="1914" t="s">
        <v>1493</v>
      </c>
      <c r="R4782" s="1916" t="s">
        <v>804</v>
      </c>
      <c r="S4782" s="1914" t="s">
        <v>1511</v>
      </c>
      <c r="T4782" s="1914" t="s">
        <v>1512</v>
      </c>
      <c r="U4782" s="1918" t="s">
        <v>1513</v>
      </c>
      <c r="V4782" s="1418">
        <f t="shared" ref="V4782:V4791" si="480">V4783</f>
        <v>0</v>
      </c>
      <c r="W4782" s="16"/>
      <c r="X4782" s="16"/>
      <c r="Y4782" s="16"/>
      <c r="Z4782" s="17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</row>
    <row r="4783" spans="1:36" s="352" customFormat="1" ht="15.6" hidden="1">
      <c r="A4783" s="351"/>
      <c r="B4783" s="1964" t="e">
        <f>LEFT(#REF!,5)</f>
        <v>#REF!</v>
      </c>
      <c r="C4783" s="1966" t="e">
        <f>VLOOKUP(LEFT(#REF!,5),'11 - FINANCEIRA'!_xlnm.Print_Area,2,FALSE)</f>
        <v>#REF!</v>
      </c>
      <c r="D4783" s="1920" t="s">
        <v>1514</v>
      </c>
      <c r="E4783" s="1921"/>
      <c r="F4783" s="1922"/>
      <c r="G4783" s="1923" t="s">
        <v>1515</v>
      </c>
      <c r="H4783" s="1924"/>
      <c r="I4783" s="1925"/>
      <c r="J4783" s="1915"/>
      <c r="K4783" s="1915"/>
      <c r="L4783" s="1915"/>
      <c r="M4783" s="1915"/>
      <c r="N4783" s="1915"/>
      <c r="O4783" s="1915"/>
      <c r="P4783" s="353" t="s">
        <v>1516</v>
      </c>
      <c r="Q4783" s="1915"/>
      <c r="R4783" s="1917"/>
      <c r="S4783" s="1915"/>
      <c r="T4783" s="1915"/>
      <c r="U4783" s="1919"/>
      <c r="V4783" s="1418">
        <f t="shared" si="480"/>
        <v>0</v>
      </c>
      <c r="W4783" s="16"/>
      <c r="X4783" s="16"/>
      <c r="Y4783" s="16"/>
      <c r="Z4783" s="17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</row>
    <row r="4784" spans="1:36" s="361" customFormat="1" ht="15" hidden="1">
      <c r="A4784" s="354"/>
      <c r="B4784" s="988"/>
      <c r="C4784" s="989" t="s">
        <v>1485</v>
      </c>
      <c r="D4784" s="1926"/>
      <c r="E4784" s="1927"/>
      <c r="F4784" s="1928"/>
      <c r="G4784" s="1926"/>
      <c r="H4784" s="1927"/>
      <c r="I4784" s="1928"/>
      <c r="J4784" s="990"/>
      <c r="K4784" s="991"/>
      <c r="L4784" s="992"/>
      <c r="M4784" s="993"/>
      <c r="N4784" s="994"/>
      <c r="O4784" s="995"/>
      <c r="P4784" s="992"/>
      <c r="Q4784" s="996"/>
      <c r="R4784" s="1405">
        <v>12</v>
      </c>
      <c r="S4784" s="1406" t="s">
        <v>862</v>
      </c>
      <c r="T4784" s="997" t="s">
        <v>330</v>
      </c>
      <c r="U4784" s="846"/>
      <c r="V4784" s="1418">
        <f t="shared" si="480"/>
        <v>0</v>
      </c>
      <c r="W4784" s="357"/>
      <c r="X4784" s="357"/>
      <c r="Y4784" s="357"/>
      <c r="Z4784" s="358"/>
      <c r="AA4784" s="359"/>
      <c r="AB4784" s="360"/>
    </row>
    <row r="4785" spans="1:36" s="361" customFormat="1" ht="15" hidden="1" customHeight="1">
      <c r="A4785" s="354"/>
      <c r="B4785" s="355"/>
      <c r="C4785" s="28"/>
      <c r="D4785" s="18"/>
      <c r="E4785" s="19"/>
      <c r="F4785" s="20"/>
      <c r="G4785" s="18"/>
      <c r="H4785" s="19"/>
      <c r="I4785" s="20"/>
      <c r="J4785" s="21"/>
      <c r="K4785" s="22"/>
      <c r="L4785" s="23"/>
      <c r="M4785" s="24"/>
      <c r="N4785" s="728"/>
      <c r="O4785" s="25"/>
      <c r="P4785" s="23"/>
      <c r="Q4785" s="729"/>
      <c r="R4785" s="445"/>
      <c r="S4785" s="792"/>
      <c r="T4785" s="446"/>
      <c r="U4785" s="793"/>
      <c r="V4785" s="1418">
        <f t="shared" si="480"/>
        <v>0</v>
      </c>
      <c r="W4785" s="357"/>
      <c r="X4785" s="357"/>
      <c r="Y4785" s="357"/>
      <c r="Z4785" s="358"/>
      <c r="AA4785" s="359"/>
      <c r="AB4785" s="360"/>
    </row>
    <row r="4786" spans="1:36" s="369" customFormat="1" ht="15" hidden="1">
      <c r="A4786" s="364"/>
      <c r="B4786" s="355"/>
      <c r="C4786" s="28"/>
      <c r="D4786" s="18"/>
      <c r="E4786" s="19"/>
      <c r="F4786" s="20"/>
      <c r="G4786" s="18"/>
      <c r="H4786" s="19"/>
      <c r="I4786" s="20"/>
      <c r="J4786" s="21"/>
      <c r="K4786" s="22"/>
      <c r="L4786" s="23"/>
      <c r="M4786" s="24"/>
      <c r="N4786" s="728"/>
      <c r="O4786" s="25"/>
      <c r="P4786" s="23"/>
      <c r="Q4786" s="729"/>
      <c r="R4786" s="445"/>
      <c r="S4786" s="792"/>
      <c r="T4786" s="446"/>
      <c r="U4786" s="793"/>
      <c r="V4786" s="1418">
        <f t="shared" si="480"/>
        <v>0</v>
      </c>
      <c r="W4786" s="367"/>
      <c r="X4786" s="367"/>
      <c r="Y4786" s="367"/>
      <c r="Z4786" s="368"/>
    </row>
    <row r="4787" spans="1:36" s="369" customFormat="1" ht="15" hidden="1">
      <c r="A4787" s="364"/>
      <c r="B4787" s="1002"/>
      <c r="C4787" s="28"/>
      <c r="D4787" s="18"/>
      <c r="E4787" s="19"/>
      <c r="F4787" s="20"/>
      <c r="G4787" s="18"/>
      <c r="H4787" s="19"/>
      <c r="I4787" s="20"/>
      <c r="J4787" s="21"/>
      <c r="K4787" s="22"/>
      <c r="L4787" s="23"/>
      <c r="M4787" s="24"/>
      <c r="N4787" s="728"/>
      <c r="O4787" s="25"/>
      <c r="P4787" s="23"/>
      <c r="Q4787" s="729"/>
      <c r="R4787" s="445"/>
      <c r="S4787" s="792"/>
      <c r="T4787" s="446"/>
      <c r="U4787" s="843"/>
      <c r="V4787" s="1418">
        <f t="shared" si="480"/>
        <v>0</v>
      </c>
      <c r="W4787" s="367"/>
      <c r="X4787" s="367"/>
      <c r="Y4787" s="367"/>
      <c r="Z4787" s="368"/>
    </row>
    <row r="4788" spans="1:36" s="369" customFormat="1" ht="15" hidden="1">
      <c r="A4788" s="364"/>
      <c r="B4788" s="1002"/>
      <c r="C4788" s="28"/>
      <c r="D4788" s="18"/>
      <c r="E4788" s="19"/>
      <c r="F4788" s="20"/>
      <c r="G4788" s="18"/>
      <c r="H4788" s="19"/>
      <c r="I4788" s="20"/>
      <c r="J4788" s="21"/>
      <c r="K4788" s="22"/>
      <c r="L4788" s="23"/>
      <c r="M4788" s="24"/>
      <c r="N4788" s="728"/>
      <c r="O4788" s="25"/>
      <c r="P4788" s="23"/>
      <c r="Q4788" s="729"/>
      <c r="R4788" s="445"/>
      <c r="S4788" s="792"/>
      <c r="T4788" s="446"/>
      <c r="U4788" s="843"/>
      <c r="V4788" s="1418">
        <f t="shared" si="480"/>
        <v>0</v>
      </c>
      <c r="W4788" s="367"/>
      <c r="X4788" s="367"/>
      <c r="Y4788" s="367"/>
      <c r="Z4788" s="368"/>
    </row>
    <row r="4789" spans="1:36" s="77" customFormat="1" ht="15" hidden="1">
      <c r="A4789" s="370"/>
      <c r="B4789" s="29"/>
      <c r="C4789" s="30"/>
      <c r="D4789" s="18"/>
      <c r="E4789" s="19"/>
      <c r="F4789" s="20"/>
      <c r="G4789" s="18"/>
      <c r="H4789" s="19"/>
      <c r="I4789" s="20"/>
      <c r="J4789" s="21"/>
      <c r="K4789" s="22"/>
      <c r="L4789" s="23"/>
      <c r="M4789" s="24"/>
      <c r="N4789" s="728"/>
      <c r="O4789" s="25"/>
      <c r="P4789" s="23"/>
      <c r="Q4789" s="729"/>
      <c r="R4789" s="445"/>
      <c r="S4789" s="792"/>
      <c r="T4789" s="774"/>
      <c r="U4789" s="906"/>
      <c r="V4789" s="1418">
        <f t="shared" si="480"/>
        <v>0</v>
      </c>
      <c r="AB4789" s="15"/>
    </row>
    <row r="4790" spans="1:36" s="77" customFormat="1" ht="15.75" hidden="1" customHeight="1">
      <c r="A4790" s="370"/>
      <c r="B4790" s="499"/>
      <c r="C4790" s="37"/>
      <c r="D4790" s="1929" t="s">
        <v>1520</v>
      </c>
      <c r="E4790" s="1930"/>
      <c r="F4790" s="1930"/>
      <c r="G4790" s="1930"/>
      <c r="H4790" s="1930"/>
      <c r="I4790" s="1931"/>
      <c r="J4790" s="1932">
        <f>VLOOKUP(A4792,'11 - FINANCEIRA'!_xlnm.Print_Area,6,FALSE)</f>
        <v>12</v>
      </c>
      <c r="K4790" s="1933"/>
      <c r="L4790" s="1343" t="str">
        <f>VLOOKUP(A4792,'11 - FINANCEIRA'!_xlnm.Print_Area,4,FALSE)</f>
        <v>mês</v>
      </c>
      <c r="M4790" s="1934" t="s">
        <v>1521</v>
      </c>
      <c r="N4790" s="1935"/>
      <c r="O4790" s="1935"/>
      <c r="P4790" s="1935"/>
      <c r="Q4790" s="1936"/>
      <c r="R4790" s="726">
        <f>SUM(R4784:R4789)</f>
        <v>12</v>
      </c>
      <c r="S4790" s="1344" t="str">
        <f>L4790</f>
        <v>mês</v>
      </c>
      <c r="T4790" s="373"/>
      <c r="U4790" s="486"/>
      <c r="V4790" s="1418">
        <f t="shared" si="480"/>
        <v>0</v>
      </c>
      <c r="AB4790" s="15"/>
    </row>
    <row r="4791" spans="1:36" s="77" customFormat="1" ht="15.75" hidden="1" customHeight="1">
      <c r="A4791" s="370"/>
      <c r="B4791" s="499"/>
      <c r="C4791" s="725"/>
      <c r="D4791" s="1937" t="s">
        <v>1522</v>
      </c>
      <c r="E4791" s="1938"/>
      <c r="F4791" s="1938"/>
      <c r="G4791" s="1938"/>
      <c r="H4791" s="1938"/>
      <c r="I4791" s="1939"/>
      <c r="J4791" s="1943">
        <f>R4790/J4790</f>
        <v>1</v>
      </c>
      <c r="K4791" s="1944"/>
      <c r="L4791" s="1947"/>
      <c r="M4791" s="1934" t="s">
        <v>1523</v>
      </c>
      <c r="N4791" s="1935"/>
      <c r="O4791" s="1935"/>
      <c r="P4791" s="1935"/>
      <c r="Q4791" s="1936"/>
      <c r="R4791" s="726">
        <f>VLOOKUP(A4792,'11 - FINANCEIRA'!_xlnm.Print_Area,8,FALSE)</f>
        <v>12</v>
      </c>
      <c r="S4791" s="727" t="str">
        <f>L4790</f>
        <v>mês</v>
      </c>
      <c r="T4791" s="373"/>
      <c r="U4791" s="486"/>
      <c r="V4791" s="1418">
        <f t="shared" si="480"/>
        <v>0</v>
      </c>
      <c r="AB4791" s="15"/>
    </row>
    <row r="4792" spans="1:36" s="77" customFormat="1" ht="15.75" hidden="1" customHeight="1">
      <c r="A4792" s="364" t="s">
        <v>782</v>
      </c>
      <c r="B4792" s="499"/>
      <c r="C4792" s="37"/>
      <c r="D4792" s="1940"/>
      <c r="E4792" s="1941"/>
      <c r="F4792" s="1941"/>
      <c r="G4792" s="1941"/>
      <c r="H4792" s="1941"/>
      <c r="I4792" s="1942"/>
      <c r="J4792" s="1945"/>
      <c r="K4792" s="1946"/>
      <c r="L4792" s="1948"/>
      <c r="M4792" s="1934" t="s">
        <v>1524</v>
      </c>
      <c r="N4792" s="1935"/>
      <c r="O4792" s="1935"/>
      <c r="P4792" s="1935"/>
      <c r="Q4792" s="1936"/>
      <c r="R4792" s="1345">
        <f>R4790-R4791</f>
        <v>0</v>
      </c>
      <c r="S4792" s="1346" t="str">
        <f>L4790</f>
        <v>mês</v>
      </c>
      <c r="T4792" s="373"/>
      <c r="U4792" s="486"/>
      <c r="V4792" s="1418">
        <f>R4792</f>
        <v>0</v>
      </c>
      <c r="AB4792" s="15"/>
    </row>
    <row r="4793" spans="1:36" s="77" customFormat="1" ht="15.6" hidden="1">
      <c r="A4793" s="370"/>
      <c r="B4793" s="1347"/>
      <c r="C4793" s="1348"/>
      <c r="D4793" s="1349"/>
      <c r="E4793" s="1350"/>
      <c r="F4793" s="1349"/>
      <c r="G4793" s="1349"/>
      <c r="H4793" s="1349"/>
      <c r="I4793" s="1349"/>
      <c r="J4793" s="1351"/>
      <c r="K4793" s="1352"/>
      <c r="L4793" s="1353"/>
      <c r="M4793" s="1354"/>
      <c r="N4793" s="1354"/>
      <c r="O4793" s="1354"/>
      <c r="P4793" s="1354"/>
      <c r="Q4793" s="1354"/>
      <c r="R4793" s="1355"/>
      <c r="S4793" s="1356"/>
      <c r="T4793" s="1357"/>
      <c r="U4793" s="1358"/>
      <c r="V4793" s="1420">
        <f>SUM(V4782:V4792)</f>
        <v>0</v>
      </c>
      <c r="AB4793" s="15"/>
    </row>
    <row r="4794" spans="1:36" s="352" customFormat="1" ht="15.75" hidden="1" customHeight="1">
      <c r="A4794" s="351"/>
      <c r="B4794" s="1963" t="str">
        <f>VLOOKUP(A4803,'11 - FINANCEIRA'!_xlnm.Print_Area,1,FALSE)</f>
        <v>4.1.27</v>
      </c>
      <c r="C4794" s="1965" t="str">
        <f>VLOOKUP(A4803,'11 - FINANCEIRA'!_xlnm.Print_Area,3,FALSE)</f>
        <v>EXECUÇÃO DE REVESTIMENTO DE CONCRETO PROJETADO COM ESPESSURA DE 7 CM, ARMADO COM TELA, INCLINAÇÃO DE 90°, APLICAÇÃO CONTÍNUA, UTILIZANDO EQUIPAMENTO DE PROJEÇÃO COM 6 M³/H DE CAPACIDADE</v>
      </c>
      <c r="D4794" s="1967" t="s">
        <v>205</v>
      </c>
      <c r="E4794" s="1968"/>
      <c r="F4794" s="1968"/>
      <c r="G4794" s="1968"/>
      <c r="H4794" s="1968"/>
      <c r="I4794" s="1969"/>
      <c r="J4794" s="1914" t="s">
        <v>2169</v>
      </c>
      <c r="K4794" s="1914" t="s">
        <v>1505</v>
      </c>
      <c r="L4794" s="1914" t="s">
        <v>1506</v>
      </c>
      <c r="M4794" s="1914" t="s">
        <v>1507</v>
      </c>
      <c r="N4794" s="1914" t="s">
        <v>1508</v>
      </c>
      <c r="O4794" s="1914" t="s">
        <v>1509</v>
      </c>
      <c r="P4794" s="1341" t="s">
        <v>1510</v>
      </c>
      <c r="Q4794" s="1914" t="s">
        <v>1493</v>
      </c>
      <c r="R4794" s="1916" t="s">
        <v>804</v>
      </c>
      <c r="S4794" s="1914" t="s">
        <v>1511</v>
      </c>
      <c r="T4794" s="1914" t="s">
        <v>1512</v>
      </c>
      <c r="U4794" s="1918" t="s">
        <v>1513</v>
      </c>
      <c r="V4794" s="1418">
        <f t="shared" ref="V4794:V4802" si="481">V4795</f>
        <v>0</v>
      </c>
      <c r="W4794" s="16"/>
      <c r="X4794" s="16"/>
      <c r="Y4794" s="16"/>
      <c r="Z4794" s="17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</row>
    <row r="4795" spans="1:36" s="352" customFormat="1" ht="15.6" hidden="1">
      <c r="A4795" s="351"/>
      <c r="B4795" s="1964" t="e">
        <f>LEFT(#REF!,5)</f>
        <v>#REF!</v>
      </c>
      <c r="C4795" s="1966" t="e">
        <f>VLOOKUP(LEFT(#REF!,5),'11 - FINANCEIRA'!_xlnm.Print_Area,2,FALSE)</f>
        <v>#REF!</v>
      </c>
      <c r="D4795" s="1920" t="s">
        <v>1514</v>
      </c>
      <c r="E4795" s="1921"/>
      <c r="F4795" s="1922"/>
      <c r="G4795" s="1923" t="s">
        <v>1515</v>
      </c>
      <c r="H4795" s="1924"/>
      <c r="I4795" s="1925"/>
      <c r="J4795" s="1915"/>
      <c r="K4795" s="1915"/>
      <c r="L4795" s="1915"/>
      <c r="M4795" s="1915"/>
      <c r="N4795" s="1915"/>
      <c r="O4795" s="1915"/>
      <c r="P4795" s="353" t="s">
        <v>1516</v>
      </c>
      <c r="Q4795" s="1915"/>
      <c r="R4795" s="1917"/>
      <c r="S4795" s="1915"/>
      <c r="T4795" s="1915"/>
      <c r="U4795" s="1919"/>
      <c r="V4795" s="1418">
        <f t="shared" si="481"/>
        <v>0</v>
      </c>
      <c r="W4795" s="16"/>
      <c r="X4795" s="16"/>
      <c r="Y4795" s="16"/>
      <c r="Z4795" s="17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</row>
    <row r="4796" spans="1:36" s="361" customFormat="1" ht="15" hidden="1" customHeight="1">
      <c r="A4796" s="354"/>
      <c r="B4796" s="988"/>
      <c r="C4796" s="989"/>
      <c r="D4796" s="1926"/>
      <c r="E4796" s="1927"/>
      <c r="F4796" s="1928"/>
      <c r="G4796" s="1926"/>
      <c r="H4796" s="1927"/>
      <c r="I4796" s="1928"/>
      <c r="J4796" s="990"/>
      <c r="K4796" s="991"/>
      <c r="L4796" s="992"/>
      <c r="M4796" s="993"/>
      <c r="N4796" s="994"/>
      <c r="O4796" s="995"/>
      <c r="P4796" s="992"/>
      <c r="Q4796" s="996"/>
      <c r="R4796" s="1405"/>
      <c r="S4796" s="1406"/>
      <c r="T4796" s="997"/>
      <c r="U4796" s="846"/>
      <c r="V4796" s="1418">
        <f t="shared" si="481"/>
        <v>0</v>
      </c>
      <c r="W4796" s="357"/>
      <c r="X4796" s="357"/>
      <c r="Y4796" s="357"/>
      <c r="Z4796" s="358"/>
      <c r="AA4796" s="359"/>
      <c r="AB4796" s="360"/>
    </row>
    <row r="4797" spans="1:36" s="361" customFormat="1" ht="15" hidden="1" customHeight="1">
      <c r="A4797" s="354"/>
      <c r="B4797" s="355"/>
      <c r="C4797" s="28"/>
      <c r="D4797" s="18"/>
      <c r="E4797" s="19"/>
      <c r="F4797" s="20"/>
      <c r="G4797" s="18"/>
      <c r="H4797" s="19"/>
      <c r="I4797" s="20"/>
      <c r="J4797" s="21"/>
      <c r="K4797" s="22"/>
      <c r="L4797" s="23"/>
      <c r="M4797" s="24"/>
      <c r="N4797" s="728"/>
      <c r="O4797" s="25"/>
      <c r="P4797" s="23"/>
      <c r="Q4797" s="729"/>
      <c r="R4797" s="445"/>
      <c r="S4797" s="792"/>
      <c r="T4797" s="446"/>
      <c r="U4797" s="793"/>
      <c r="V4797" s="1418">
        <f t="shared" si="481"/>
        <v>0</v>
      </c>
      <c r="W4797" s="357"/>
      <c r="X4797" s="357"/>
      <c r="Y4797" s="357"/>
      <c r="Z4797" s="358"/>
      <c r="AA4797" s="359"/>
      <c r="AB4797" s="360"/>
    </row>
    <row r="4798" spans="1:36" s="369" customFormat="1" ht="15" hidden="1">
      <c r="A4798" s="364"/>
      <c r="B4798" s="1002"/>
      <c r="C4798" s="28"/>
      <c r="D4798" s="18"/>
      <c r="E4798" s="19"/>
      <c r="F4798" s="20"/>
      <c r="G4798" s="18"/>
      <c r="H4798" s="19"/>
      <c r="I4798" s="20"/>
      <c r="J4798" s="21"/>
      <c r="K4798" s="22"/>
      <c r="L4798" s="23"/>
      <c r="M4798" s="24"/>
      <c r="N4798" s="728"/>
      <c r="O4798" s="25"/>
      <c r="P4798" s="23"/>
      <c r="Q4798" s="729"/>
      <c r="R4798" s="445"/>
      <c r="S4798" s="792"/>
      <c r="T4798" s="446"/>
      <c r="U4798" s="843"/>
      <c r="V4798" s="1418">
        <f t="shared" si="481"/>
        <v>0</v>
      </c>
      <c r="W4798" s="367"/>
      <c r="X4798" s="367"/>
      <c r="Y4798" s="367"/>
      <c r="Z4798" s="368"/>
    </row>
    <row r="4799" spans="1:36" s="369" customFormat="1" ht="15" hidden="1">
      <c r="A4799" s="364"/>
      <c r="B4799" s="1002"/>
      <c r="C4799" s="28"/>
      <c r="D4799" s="18"/>
      <c r="E4799" s="19"/>
      <c r="F4799" s="20"/>
      <c r="G4799" s="18"/>
      <c r="H4799" s="19"/>
      <c r="I4799" s="20"/>
      <c r="J4799" s="21"/>
      <c r="K4799" s="22"/>
      <c r="L4799" s="23"/>
      <c r="M4799" s="24"/>
      <c r="N4799" s="728"/>
      <c r="O4799" s="25"/>
      <c r="P4799" s="23"/>
      <c r="Q4799" s="729"/>
      <c r="R4799" s="445"/>
      <c r="S4799" s="792"/>
      <c r="T4799" s="446"/>
      <c r="U4799" s="843"/>
      <c r="V4799" s="1418">
        <f t="shared" si="481"/>
        <v>0</v>
      </c>
      <c r="W4799" s="367"/>
      <c r="X4799" s="367"/>
      <c r="Y4799" s="367"/>
      <c r="Z4799" s="368"/>
    </row>
    <row r="4800" spans="1:36" s="77" customFormat="1" ht="15" hidden="1">
      <c r="A4800" s="370"/>
      <c r="B4800" s="29"/>
      <c r="C4800" s="30"/>
      <c r="D4800" s="18"/>
      <c r="E4800" s="19"/>
      <c r="F4800" s="20"/>
      <c r="G4800" s="18"/>
      <c r="H4800" s="19"/>
      <c r="I4800" s="20"/>
      <c r="J4800" s="21"/>
      <c r="K4800" s="22"/>
      <c r="L4800" s="23"/>
      <c r="M4800" s="24"/>
      <c r="N4800" s="728"/>
      <c r="O4800" s="25"/>
      <c r="P4800" s="23"/>
      <c r="Q4800" s="729"/>
      <c r="R4800" s="445"/>
      <c r="S4800" s="792"/>
      <c r="T4800" s="774"/>
      <c r="U4800" s="906"/>
      <c r="V4800" s="1418">
        <f t="shared" si="481"/>
        <v>0</v>
      </c>
      <c r="AB4800" s="15"/>
    </row>
    <row r="4801" spans="1:36" s="77" customFormat="1" ht="15.75" hidden="1" customHeight="1">
      <c r="A4801" s="370"/>
      <c r="B4801" s="499"/>
      <c r="C4801" s="37"/>
      <c r="D4801" s="1929" t="s">
        <v>1520</v>
      </c>
      <c r="E4801" s="1930"/>
      <c r="F4801" s="1930"/>
      <c r="G4801" s="1930"/>
      <c r="H4801" s="1930"/>
      <c r="I4801" s="1931"/>
      <c r="J4801" s="1932">
        <f>VLOOKUP(A4803,'11 - FINANCEIRA'!_xlnm.Print_Area,6,FALSE)</f>
        <v>169.44</v>
      </c>
      <c r="K4801" s="1933"/>
      <c r="L4801" s="1343" t="str">
        <f>VLOOKUP(A4803,'11 - FINANCEIRA'!_xlnm.Print_Area,4,FALSE)</f>
        <v>m2</v>
      </c>
      <c r="M4801" s="1934" t="s">
        <v>1521</v>
      </c>
      <c r="N4801" s="1935"/>
      <c r="O4801" s="1935"/>
      <c r="P4801" s="1935"/>
      <c r="Q4801" s="1936"/>
      <c r="R4801" s="726">
        <f>SUM(R4796:R4800)</f>
        <v>0</v>
      </c>
      <c r="S4801" s="1344" t="str">
        <f>L4801</f>
        <v>m2</v>
      </c>
      <c r="T4801" s="373"/>
      <c r="U4801" s="486"/>
      <c r="V4801" s="1418">
        <f t="shared" si="481"/>
        <v>0</v>
      </c>
      <c r="AB4801" s="15"/>
    </row>
    <row r="4802" spans="1:36" s="77" customFormat="1" ht="15.75" hidden="1" customHeight="1">
      <c r="A4802" s="370"/>
      <c r="B4802" s="499"/>
      <c r="C4802" s="725"/>
      <c r="D4802" s="1937" t="s">
        <v>1522</v>
      </c>
      <c r="E4802" s="1938"/>
      <c r="F4802" s="1938"/>
      <c r="G4802" s="1938"/>
      <c r="H4802" s="1938"/>
      <c r="I4802" s="1939"/>
      <c r="J4802" s="1943">
        <f>R4801/J4801</f>
        <v>0</v>
      </c>
      <c r="K4802" s="1944"/>
      <c r="L4802" s="1947"/>
      <c r="M4802" s="1934" t="s">
        <v>1523</v>
      </c>
      <c r="N4802" s="1935"/>
      <c r="O4802" s="1935"/>
      <c r="P4802" s="1935"/>
      <c r="Q4802" s="1936"/>
      <c r="R4802" s="726">
        <f>VLOOKUP(A4803,'11 - FINANCEIRA'!_xlnm.Print_Area,8,FALSE)</f>
        <v>0</v>
      </c>
      <c r="S4802" s="727" t="str">
        <f>L4801</f>
        <v>m2</v>
      </c>
      <c r="T4802" s="373"/>
      <c r="U4802" s="486"/>
      <c r="V4802" s="1418">
        <f t="shared" si="481"/>
        <v>0</v>
      </c>
      <c r="AB4802" s="15"/>
    </row>
    <row r="4803" spans="1:36" s="77" customFormat="1" ht="15.75" hidden="1" customHeight="1">
      <c r="A4803" s="364" t="s">
        <v>783</v>
      </c>
      <c r="B4803" s="499"/>
      <c r="C4803" s="37"/>
      <c r="D4803" s="1940"/>
      <c r="E4803" s="1941"/>
      <c r="F4803" s="1941"/>
      <c r="G4803" s="1941"/>
      <c r="H4803" s="1941"/>
      <c r="I4803" s="1942"/>
      <c r="J4803" s="1945"/>
      <c r="K4803" s="1946"/>
      <c r="L4803" s="1948"/>
      <c r="M4803" s="1934" t="s">
        <v>1524</v>
      </c>
      <c r="N4803" s="1935"/>
      <c r="O4803" s="1935"/>
      <c r="P4803" s="1935"/>
      <c r="Q4803" s="1936"/>
      <c r="R4803" s="1345">
        <f>R4801-R4802</f>
        <v>0</v>
      </c>
      <c r="S4803" s="1346" t="str">
        <f>L4801</f>
        <v>m2</v>
      </c>
      <c r="T4803" s="373"/>
      <c r="U4803" s="486"/>
      <c r="V4803" s="1418">
        <f>R4803</f>
        <v>0</v>
      </c>
      <c r="AB4803" s="15"/>
    </row>
    <row r="4804" spans="1:36" s="77" customFormat="1" ht="15.6" hidden="1">
      <c r="A4804" s="370"/>
      <c r="B4804" s="1347"/>
      <c r="C4804" s="1348"/>
      <c r="D4804" s="1349"/>
      <c r="E4804" s="1350"/>
      <c r="F4804" s="1349"/>
      <c r="G4804" s="1349"/>
      <c r="H4804" s="1349"/>
      <c r="I4804" s="1349"/>
      <c r="J4804" s="1351"/>
      <c r="K4804" s="1352"/>
      <c r="L4804" s="1353"/>
      <c r="M4804" s="1354"/>
      <c r="N4804" s="1354"/>
      <c r="O4804" s="1354"/>
      <c r="P4804" s="1354"/>
      <c r="Q4804" s="1354"/>
      <c r="R4804" s="1355"/>
      <c r="S4804" s="1356"/>
      <c r="T4804" s="1357"/>
      <c r="U4804" s="1358"/>
      <c r="V4804" s="1420">
        <f>SUM(V4794:V4803)</f>
        <v>0</v>
      </c>
      <c r="AB4804" s="15"/>
    </row>
    <row r="4805" spans="1:36" s="352" customFormat="1" ht="15.75" hidden="1" customHeight="1">
      <c r="A4805" s="351"/>
      <c r="B4805" s="1963" t="str">
        <f>VLOOKUP(A4814,'11 - FINANCEIRA'!_xlnm.Print_Area,1,FALSE)</f>
        <v>4.1.28</v>
      </c>
      <c r="C4805" s="1965" t="str">
        <f>VLOOKUP(A4814,'11 - FINANCEIRA'!_xlnm.Print_Area,3,FALSE)</f>
        <v>Estruturas em aço inox para complemento dos gradeamentos de lixo, base dos geradores e base dos painéis - Fornecimento e Instalação</v>
      </c>
      <c r="D4805" s="1967" t="s">
        <v>205</v>
      </c>
      <c r="E4805" s="1968"/>
      <c r="F4805" s="1968"/>
      <c r="G4805" s="1968"/>
      <c r="H4805" s="1968"/>
      <c r="I4805" s="1969"/>
      <c r="J4805" s="1914" t="s">
        <v>2169</v>
      </c>
      <c r="K4805" s="1914" t="s">
        <v>1505</v>
      </c>
      <c r="L4805" s="1914" t="s">
        <v>1506</v>
      </c>
      <c r="M4805" s="1914" t="s">
        <v>1507</v>
      </c>
      <c r="N4805" s="1914" t="s">
        <v>1508</v>
      </c>
      <c r="O4805" s="1914" t="s">
        <v>1509</v>
      </c>
      <c r="P4805" s="1341" t="s">
        <v>1510</v>
      </c>
      <c r="Q4805" s="1914" t="s">
        <v>1493</v>
      </c>
      <c r="R4805" s="1916" t="s">
        <v>804</v>
      </c>
      <c r="S4805" s="1914" t="s">
        <v>1511</v>
      </c>
      <c r="T4805" s="1914" t="s">
        <v>1512</v>
      </c>
      <c r="U4805" s="1918" t="s">
        <v>1513</v>
      </c>
      <c r="V4805" s="1418">
        <f t="shared" ref="V4805:V4813" si="482">V4806</f>
        <v>0</v>
      </c>
      <c r="W4805" s="16"/>
      <c r="X4805" s="16"/>
      <c r="Y4805" s="16"/>
      <c r="Z4805" s="17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</row>
    <row r="4806" spans="1:36" s="352" customFormat="1" ht="15.6" hidden="1">
      <c r="A4806" s="351"/>
      <c r="B4806" s="1964" t="e">
        <f>LEFT(#REF!,5)</f>
        <v>#REF!</v>
      </c>
      <c r="C4806" s="1966" t="e">
        <f>VLOOKUP(LEFT(#REF!,5),'11 - FINANCEIRA'!_xlnm.Print_Area,2,FALSE)</f>
        <v>#REF!</v>
      </c>
      <c r="D4806" s="1920" t="s">
        <v>1514</v>
      </c>
      <c r="E4806" s="1921"/>
      <c r="F4806" s="1922"/>
      <c r="G4806" s="1923" t="s">
        <v>1515</v>
      </c>
      <c r="H4806" s="1924"/>
      <c r="I4806" s="1925"/>
      <c r="J4806" s="1915"/>
      <c r="K4806" s="1915"/>
      <c r="L4806" s="1915"/>
      <c r="M4806" s="1915"/>
      <c r="N4806" s="1915"/>
      <c r="O4806" s="1915"/>
      <c r="P4806" s="353" t="s">
        <v>1516</v>
      </c>
      <c r="Q4806" s="1915"/>
      <c r="R4806" s="1917"/>
      <c r="S4806" s="1915"/>
      <c r="T4806" s="1915"/>
      <c r="U4806" s="1919"/>
      <c r="V4806" s="1418">
        <f t="shared" si="482"/>
        <v>0</v>
      </c>
      <c r="W4806" s="16"/>
      <c r="X4806" s="16"/>
      <c r="Y4806" s="16"/>
      <c r="Z4806" s="17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</row>
    <row r="4807" spans="1:36" s="361" customFormat="1" ht="30" hidden="1">
      <c r="A4807" s="354"/>
      <c r="B4807" s="988"/>
      <c r="C4807" s="989" t="s">
        <v>167</v>
      </c>
      <c r="D4807" s="1926"/>
      <c r="E4807" s="1927"/>
      <c r="F4807" s="1928"/>
      <c r="G4807" s="1926"/>
      <c r="H4807" s="1927"/>
      <c r="I4807" s="1928"/>
      <c r="J4807" s="990"/>
      <c r="K4807" s="991"/>
      <c r="L4807" s="992"/>
      <c r="M4807" s="993"/>
      <c r="N4807" s="994"/>
      <c r="O4807" s="995"/>
      <c r="P4807" s="992"/>
      <c r="Q4807" s="996"/>
      <c r="R4807" s="1405">
        <v>1</v>
      </c>
      <c r="S4807" s="1406" t="s">
        <v>816</v>
      </c>
      <c r="T4807" s="997" t="s">
        <v>330</v>
      </c>
      <c r="U4807" s="998"/>
      <c r="V4807" s="1418">
        <f t="shared" si="482"/>
        <v>0</v>
      </c>
      <c r="W4807" s="357"/>
      <c r="X4807" s="357"/>
      <c r="Y4807" s="357"/>
      <c r="Z4807" s="358"/>
      <c r="AA4807" s="359"/>
      <c r="AB4807" s="360"/>
    </row>
    <row r="4808" spans="1:36" s="361" customFormat="1" ht="15" hidden="1" customHeight="1">
      <c r="A4808" s="354"/>
      <c r="B4808" s="355"/>
      <c r="C4808" s="28"/>
      <c r="D4808" s="18"/>
      <c r="E4808" s="19"/>
      <c r="F4808" s="20"/>
      <c r="G4808" s="18"/>
      <c r="H4808" s="19"/>
      <c r="I4808" s="20"/>
      <c r="J4808" s="21"/>
      <c r="K4808" s="22"/>
      <c r="L4808" s="23"/>
      <c r="M4808" s="24"/>
      <c r="N4808" s="728"/>
      <c r="O4808" s="25"/>
      <c r="P4808" s="23"/>
      <c r="Q4808" s="729"/>
      <c r="R4808" s="445"/>
      <c r="S4808" s="792"/>
      <c r="T4808" s="446"/>
      <c r="U4808" s="793"/>
      <c r="V4808" s="1418">
        <f t="shared" si="482"/>
        <v>0</v>
      </c>
      <c r="W4808" s="357"/>
      <c r="X4808" s="357"/>
      <c r="Y4808" s="357"/>
      <c r="Z4808" s="358"/>
      <c r="AA4808" s="359"/>
      <c r="AB4808" s="360"/>
    </row>
    <row r="4809" spans="1:36" s="369" customFormat="1" ht="15" hidden="1">
      <c r="A4809" s="364"/>
      <c r="B4809" s="355"/>
      <c r="C4809" s="28"/>
      <c r="D4809" s="18"/>
      <c r="E4809" s="19"/>
      <c r="F4809" s="20"/>
      <c r="G4809" s="18"/>
      <c r="H4809" s="19"/>
      <c r="I4809" s="20"/>
      <c r="J4809" s="21"/>
      <c r="K4809" s="22"/>
      <c r="L4809" s="23"/>
      <c r="M4809" s="24"/>
      <c r="N4809" s="728"/>
      <c r="O4809" s="25"/>
      <c r="P4809" s="23"/>
      <c r="Q4809" s="729"/>
      <c r="R4809" s="445"/>
      <c r="S4809" s="792"/>
      <c r="T4809" s="446"/>
      <c r="U4809" s="793"/>
      <c r="V4809" s="1418">
        <f t="shared" si="482"/>
        <v>0</v>
      </c>
      <c r="W4809" s="367"/>
      <c r="X4809" s="367"/>
      <c r="Y4809" s="367"/>
      <c r="Z4809" s="368"/>
    </row>
    <row r="4810" spans="1:36" s="369" customFormat="1" ht="15" hidden="1">
      <c r="A4810" s="364"/>
      <c r="B4810" s="1002"/>
      <c r="C4810" s="28"/>
      <c r="D4810" s="18"/>
      <c r="E4810" s="19"/>
      <c r="F4810" s="20"/>
      <c r="G4810" s="18"/>
      <c r="H4810" s="19"/>
      <c r="I4810" s="20"/>
      <c r="J4810" s="21"/>
      <c r="K4810" s="22"/>
      <c r="L4810" s="23"/>
      <c r="M4810" s="24"/>
      <c r="N4810" s="728"/>
      <c r="O4810" s="25"/>
      <c r="P4810" s="23"/>
      <c r="Q4810" s="729"/>
      <c r="R4810" s="445"/>
      <c r="S4810" s="792"/>
      <c r="T4810" s="446"/>
      <c r="U4810" s="843"/>
      <c r="V4810" s="1418">
        <f t="shared" si="482"/>
        <v>0</v>
      </c>
      <c r="W4810" s="367"/>
      <c r="X4810" s="367"/>
      <c r="Y4810" s="367"/>
      <c r="Z4810" s="368"/>
    </row>
    <row r="4811" spans="1:36" s="77" customFormat="1" ht="15" hidden="1">
      <c r="A4811" s="370"/>
      <c r="B4811" s="29"/>
      <c r="C4811" s="30"/>
      <c r="D4811" s="18"/>
      <c r="E4811" s="19"/>
      <c r="F4811" s="20"/>
      <c r="G4811" s="18"/>
      <c r="H4811" s="19"/>
      <c r="I4811" s="20"/>
      <c r="J4811" s="21"/>
      <c r="K4811" s="22"/>
      <c r="L4811" s="23"/>
      <c r="M4811" s="24"/>
      <c r="N4811" s="728"/>
      <c r="O4811" s="25"/>
      <c r="P4811" s="23"/>
      <c r="Q4811" s="729"/>
      <c r="R4811" s="445"/>
      <c r="S4811" s="792"/>
      <c r="T4811" s="774"/>
      <c r="U4811" s="906"/>
      <c r="V4811" s="1418">
        <f t="shared" si="482"/>
        <v>0</v>
      </c>
      <c r="AB4811" s="15"/>
    </row>
    <row r="4812" spans="1:36" s="77" customFormat="1" ht="15.75" hidden="1" customHeight="1">
      <c r="A4812" s="370"/>
      <c r="B4812" s="499"/>
      <c r="C4812" s="37"/>
      <c r="D4812" s="1929" t="s">
        <v>1520</v>
      </c>
      <c r="E4812" s="1930"/>
      <c r="F4812" s="1930"/>
      <c r="G4812" s="1930"/>
      <c r="H4812" s="1930"/>
      <c r="I4812" s="1931"/>
      <c r="J4812" s="1932">
        <f>VLOOKUP(A4814,'11 - FINANCEIRA'!_xlnm.Print_Area,6,FALSE)</f>
        <v>1</v>
      </c>
      <c r="K4812" s="1933"/>
      <c r="L4812" s="1343" t="str">
        <f>VLOOKUP(A4814,'11 - FINANCEIRA'!_xlnm.Print_Area,4,FALSE)</f>
        <v>und</v>
      </c>
      <c r="M4812" s="1934" t="s">
        <v>1521</v>
      </c>
      <c r="N4812" s="1935"/>
      <c r="O4812" s="1935"/>
      <c r="P4812" s="1935"/>
      <c r="Q4812" s="1936"/>
      <c r="R4812" s="726">
        <f>SUM(R4807:R4811)</f>
        <v>1</v>
      </c>
      <c r="S4812" s="1344" t="str">
        <f>L4812</f>
        <v>und</v>
      </c>
      <c r="T4812" s="373"/>
      <c r="U4812" s="486"/>
      <c r="V4812" s="1418">
        <f t="shared" si="482"/>
        <v>0</v>
      </c>
      <c r="AB4812" s="15"/>
    </row>
    <row r="4813" spans="1:36" s="77" customFormat="1" ht="15.75" hidden="1" customHeight="1">
      <c r="A4813" s="370"/>
      <c r="B4813" s="499"/>
      <c r="C4813" s="725"/>
      <c r="D4813" s="1937" t="s">
        <v>1522</v>
      </c>
      <c r="E4813" s="1938"/>
      <c r="F4813" s="1938"/>
      <c r="G4813" s="1938"/>
      <c r="H4813" s="1938"/>
      <c r="I4813" s="1939"/>
      <c r="J4813" s="1943">
        <f>R4812/J4812</f>
        <v>1</v>
      </c>
      <c r="K4813" s="1944"/>
      <c r="L4813" s="1947"/>
      <c r="M4813" s="1934" t="s">
        <v>1523</v>
      </c>
      <c r="N4813" s="1935"/>
      <c r="O4813" s="1935"/>
      <c r="P4813" s="1935"/>
      <c r="Q4813" s="1936"/>
      <c r="R4813" s="726">
        <f>VLOOKUP(A4814,'11 - FINANCEIRA'!_xlnm.Print_Area,8,FALSE)</f>
        <v>1</v>
      </c>
      <c r="S4813" s="727" t="str">
        <f>L4812</f>
        <v>und</v>
      </c>
      <c r="T4813" s="373"/>
      <c r="U4813" s="486"/>
      <c r="V4813" s="1418">
        <f t="shared" si="482"/>
        <v>0</v>
      </c>
      <c r="AB4813" s="15"/>
    </row>
    <row r="4814" spans="1:36" s="77" customFormat="1" ht="15.75" hidden="1" customHeight="1">
      <c r="A4814" s="364" t="s">
        <v>784</v>
      </c>
      <c r="B4814" s="499"/>
      <c r="C4814" s="37"/>
      <c r="D4814" s="1940"/>
      <c r="E4814" s="1941"/>
      <c r="F4814" s="1941"/>
      <c r="G4814" s="1941"/>
      <c r="H4814" s="1941"/>
      <c r="I4814" s="1942"/>
      <c r="J4814" s="1945"/>
      <c r="K4814" s="1946"/>
      <c r="L4814" s="1948"/>
      <c r="M4814" s="1934" t="s">
        <v>1524</v>
      </c>
      <c r="N4814" s="1935"/>
      <c r="O4814" s="1935"/>
      <c r="P4814" s="1935"/>
      <c r="Q4814" s="1936"/>
      <c r="R4814" s="1345">
        <f>R4812-R4813</f>
        <v>0</v>
      </c>
      <c r="S4814" s="1346" t="str">
        <f>L4812</f>
        <v>und</v>
      </c>
      <c r="T4814" s="373"/>
      <c r="U4814" s="486"/>
      <c r="V4814" s="1418">
        <f>R4814</f>
        <v>0</v>
      </c>
      <c r="AB4814" s="15"/>
    </row>
    <row r="4815" spans="1:36" s="77" customFormat="1" ht="15.6" hidden="1">
      <c r="A4815" s="370"/>
      <c r="B4815" s="1347"/>
      <c r="C4815" s="1348"/>
      <c r="D4815" s="1349"/>
      <c r="E4815" s="1350"/>
      <c r="F4815" s="1349"/>
      <c r="G4815" s="1349"/>
      <c r="H4815" s="1349"/>
      <c r="I4815" s="1349"/>
      <c r="J4815" s="1351"/>
      <c r="K4815" s="1352"/>
      <c r="L4815" s="1353"/>
      <c r="M4815" s="1354"/>
      <c r="N4815" s="1354"/>
      <c r="O4815" s="1354"/>
      <c r="P4815" s="1354"/>
      <c r="Q4815" s="1354"/>
      <c r="R4815" s="1355"/>
      <c r="S4815" s="1356"/>
      <c r="T4815" s="1357"/>
      <c r="U4815" s="1358"/>
      <c r="V4815" s="1420">
        <f>SUM(V4805:V4814)</f>
        <v>0</v>
      </c>
      <c r="AB4815" s="15"/>
    </row>
    <row r="4816" spans="1:36" s="352" customFormat="1" ht="15.75" hidden="1" customHeight="1">
      <c r="A4816" s="351"/>
      <c r="B4816" s="1963" t="str">
        <f>VLOOKUP(A4825,'11 - FINANCEIRA'!_xlnm.Print_Area,1,FALSE)</f>
        <v>4.1.29</v>
      </c>
      <c r="C4816" s="1965" t="str">
        <f>VLOOKUP(A4825,'11 - FINANCEIRA'!_xlnm.Print_Area,3,FALSE)</f>
        <v>Elaboração de Projeto As-built</v>
      </c>
      <c r="D4816" s="1967" t="s">
        <v>205</v>
      </c>
      <c r="E4816" s="1968"/>
      <c r="F4816" s="1968"/>
      <c r="G4816" s="1968"/>
      <c r="H4816" s="1968"/>
      <c r="I4816" s="1969"/>
      <c r="J4816" s="1914" t="s">
        <v>2169</v>
      </c>
      <c r="K4816" s="1914" t="s">
        <v>1505</v>
      </c>
      <c r="L4816" s="1914" t="s">
        <v>1506</v>
      </c>
      <c r="M4816" s="1914" t="s">
        <v>1507</v>
      </c>
      <c r="N4816" s="1914" t="s">
        <v>1508</v>
      </c>
      <c r="O4816" s="1914" t="s">
        <v>1509</v>
      </c>
      <c r="P4816" s="1341" t="s">
        <v>1510</v>
      </c>
      <c r="Q4816" s="1914" t="s">
        <v>1493</v>
      </c>
      <c r="R4816" s="1916" t="s">
        <v>804</v>
      </c>
      <c r="S4816" s="1914" t="s">
        <v>1511</v>
      </c>
      <c r="T4816" s="1914" t="s">
        <v>1512</v>
      </c>
      <c r="U4816" s="1918" t="s">
        <v>1513</v>
      </c>
      <c r="V4816" s="1418">
        <f t="shared" ref="V4816:V4824" si="483">V4817</f>
        <v>0</v>
      </c>
      <c r="W4816" s="16"/>
      <c r="X4816" s="16"/>
      <c r="Y4816" s="16"/>
      <c r="Z4816" s="17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</row>
    <row r="4817" spans="1:57" s="352" customFormat="1" ht="15.6" hidden="1">
      <c r="A4817" s="351"/>
      <c r="B4817" s="1964" t="e">
        <f>LEFT(#REF!,5)</f>
        <v>#REF!</v>
      </c>
      <c r="C4817" s="1966" t="e">
        <f>VLOOKUP(LEFT(#REF!,5),'11 - FINANCEIRA'!_xlnm.Print_Area,2,FALSE)</f>
        <v>#REF!</v>
      </c>
      <c r="D4817" s="1920" t="s">
        <v>1514</v>
      </c>
      <c r="E4817" s="1921"/>
      <c r="F4817" s="1922"/>
      <c r="G4817" s="1923" t="s">
        <v>1515</v>
      </c>
      <c r="H4817" s="1924"/>
      <c r="I4817" s="1925"/>
      <c r="J4817" s="1915"/>
      <c r="K4817" s="1915"/>
      <c r="L4817" s="1915"/>
      <c r="M4817" s="1915"/>
      <c r="N4817" s="1915"/>
      <c r="O4817" s="1915"/>
      <c r="P4817" s="353" t="s">
        <v>1516</v>
      </c>
      <c r="Q4817" s="1915"/>
      <c r="R4817" s="1917"/>
      <c r="S4817" s="1915"/>
      <c r="T4817" s="1915"/>
      <c r="U4817" s="1919"/>
      <c r="V4817" s="1418">
        <f t="shared" si="483"/>
        <v>0</v>
      </c>
      <c r="W4817" s="16"/>
      <c r="X4817" s="16"/>
      <c r="Y4817" s="16"/>
      <c r="Z4817" s="17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</row>
    <row r="4818" spans="1:57" s="361" customFormat="1" ht="15" hidden="1" customHeight="1">
      <c r="A4818" s="354"/>
      <c r="B4818" s="988"/>
      <c r="C4818" s="989" t="s">
        <v>1489</v>
      </c>
      <c r="D4818" s="1926"/>
      <c r="E4818" s="1927"/>
      <c r="F4818" s="1928"/>
      <c r="G4818" s="1926"/>
      <c r="H4818" s="1927"/>
      <c r="I4818" s="1928"/>
      <c r="J4818" s="990"/>
      <c r="K4818" s="991"/>
      <c r="L4818" s="992"/>
      <c r="M4818" s="993"/>
      <c r="N4818" s="994"/>
      <c r="O4818" s="995"/>
      <c r="P4818" s="992"/>
      <c r="Q4818" s="996"/>
      <c r="R4818" s="1405">
        <v>1</v>
      </c>
      <c r="S4818" s="1406" t="s">
        <v>816</v>
      </c>
      <c r="T4818" s="997" t="s">
        <v>330</v>
      </c>
      <c r="U4818" s="998"/>
      <c r="V4818" s="1418">
        <f t="shared" si="483"/>
        <v>0</v>
      </c>
      <c r="W4818" s="357"/>
      <c r="X4818" s="357"/>
      <c r="Y4818" s="357"/>
      <c r="Z4818" s="358"/>
      <c r="AA4818" s="359"/>
      <c r="AB4818" s="360"/>
    </row>
    <row r="4819" spans="1:57" s="361" customFormat="1" ht="15" hidden="1" customHeight="1">
      <c r="A4819" s="354"/>
      <c r="B4819" s="355"/>
      <c r="C4819" s="28"/>
      <c r="D4819" s="18"/>
      <c r="E4819" s="19"/>
      <c r="F4819" s="20"/>
      <c r="G4819" s="18"/>
      <c r="H4819" s="19"/>
      <c r="I4819" s="20"/>
      <c r="J4819" s="21"/>
      <c r="K4819" s="22"/>
      <c r="L4819" s="23"/>
      <c r="M4819" s="24"/>
      <c r="N4819" s="728"/>
      <c r="O4819" s="25"/>
      <c r="P4819" s="23"/>
      <c r="Q4819" s="729"/>
      <c r="R4819" s="445"/>
      <c r="S4819" s="792"/>
      <c r="T4819" s="446"/>
      <c r="U4819" s="793"/>
      <c r="V4819" s="1418">
        <f t="shared" si="483"/>
        <v>0</v>
      </c>
      <c r="W4819" s="357"/>
      <c r="X4819" s="357"/>
      <c r="Y4819" s="357"/>
      <c r="Z4819" s="358"/>
      <c r="AA4819" s="359"/>
      <c r="AB4819" s="360"/>
    </row>
    <row r="4820" spans="1:57" s="369" customFormat="1" ht="15" hidden="1">
      <c r="A4820" s="364"/>
      <c r="B4820" s="355"/>
      <c r="C4820" s="28"/>
      <c r="D4820" s="18"/>
      <c r="E4820" s="19"/>
      <c r="F4820" s="20"/>
      <c r="G4820" s="18"/>
      <c r="H4820" s="19"/>
      <c r="I4820" s="20"/>
      <c r="J4820" s="21"/>
      <c r="K4820" s="22"/>
      <c r="L4820" s="23"/>
      <c r="M4820" s="24"/>
      <c r="N4820" s="728"/>
      <c r="O4820" s="25"/>
      <c r="P4820" s="23"/>
      <c r="Q4820" s="729"/>
      <c r="R4820" s="445"/>
      <c r="S4820" s="792"/>
      <c r="T4820" s="446"/>
      <c r="U4820" s="793"/>
      <c r="V4820" s="1418">
        <f t="shared" si="483"/>
        <v>0</v>
      </c>
      <c r="W4820" s="367"/>
      <c r="X4820" s="367"/>
      <c r="Y4820" s="367"/>
      <c r="Z4820" s="368"/>
    </row>
    <row r="4821" spans="1:57" s="369" customFormat="1" ht="15" hidden="1">
      <c r="A4821" s="364"/>
      <c r="B4821" s="1002"/>
      <c r="C4821" s="28"/>
      <c r="D4821" s="18"/>
      <c r="E4821" s="19"/>
      <c r="F4821" s="20"/>
      <c r="G4821" s="18"/>
      <c r="H4821" s="19"/>
      <c r="I4821" s="20"/>
      <c r="J4821" s="21"/>
      <c r="K4821" s="22"/>
      <c r="L4821" s="23"/>
      <c r="M4821" s="24"/>
      <c r="N4821" s="728"/>
      <c r="O4821" s="25"/>
      <c r="P4821" s="23"/>
      <c r="Q4821" s="729"/>
      <c r="R4821" s="445"/>
      <c r="S4821" s="792"/>
      <c r="T4821" s="446"/>
      <c r="U4821" s="843"/>
      <c r="V4821" s="1418">
        <f t="shared" si="483"/>
        <v>0</v>
      </c>
      <c r="W4821" s="367"/>
      <c r="X4821" s="367"/>
      <c r="Y4821" s="367"/>
      <c r="Z4821" s="368"/>
    </row>
    <row r="4822" spans="1:57" s="77" customFormat="1" ht="15" hidden="1">
      <c r="A4822" s="370"/>
      <c r="B4822" s="29"/>
      <c r="C4822" s="30"/>
      <c r="D4822" s="18"/>
      <c r="E4822" s="19"/>
      <c r="F4822" s="20"/>
      <c r="G4822" s="18"/>
      <c r="H4822" s="19"/>
      <c r="I4822" s="20"/>
      <c r="J4822" s="21"/>
      <c r="K4822" s="22"/>
      <c r="L4822" s="23"/>
      <c r="M4822" s="24"/>
      <c r="N4822" s="728"/>
      <c r="O4822" s="25"/>
      <c r="P4822" s="23"/>
      <c r="Q4822" s="729"/>
      <c r="R4822" s="445"/>
      <c r="S4822" s="792"/>
      <c r="T4822" s="774"/>
      <c r="U4822" s="906"/>
      <c r="V4822" s="1418">
        <f t="shared" si="483"/>
        <v>0</v>
      </c>
      <c r="AB4822" s="15"/>
    </row>
    <row r="4823" spans="1:57" s="77" customFormat="1" ht="15.75" hidden="1" customHeight="1">
      <c r="A4823" s="370"/>
      <c r="B4823" s="499"/>
      <c r="C4823" s="37"/>
      <c r="D4823" s="1929" t="s">
        <v>1520</v>
      </c>
      <c r="E4823" s="1930"/>
      <c r="F4823" s="1930"/>
      <c r="G4823" s="1930"/>
      <c r="H4823" s="1930"/>
      <c r="I4823" s="1931"/>
      <c r="J4823" s="1932">
        <f>VLOOKUP(A4825,'11 - FINANCEIRA'!_xlnm.Print_Area,6,FALSE)</f>
        <v>1</v>
      </c>
      <c r="K4823" s="1933"/>
      <c r="L4823" s="1343" t="str">
        <f>VLOOKUP(A4825,'11 - FINANCEIRA'!_xlnm.Print_Area,4,FALSE)</f>
        <v>und</v>
      </c>
      <c r="M4823" s="1934" t="s">
        <v>1521</v>
      </c>
      <c r="N4823" s="1935"/>
      <c r="O4823" s="1935"/>
      <c r="P4823" s="1935"/>
      <c r="Q4823" s="1936"/>
      <c r="R4823" s="726">
        <f>SUM(R4818:R4822)</f>
        <v>1</v>
      </c>
      <c r="S4823" s="1344" t="str">
        <f>L4823</f>
        <v>und</v>
      </c>
      <c r="T4823" s="373"/>
      <c r="U4823" s="486"/>
      <c r="V4823" s="1418">
        <f t="shared" si="483"/>
        <v>0</v>
      </c>
      <c r="AB4823" s="15"/>
    </row>
    <row r="4824" spans="1:57" s="77" customFormat="1" ht="15.75" hidden="1" customHeight="1">
      <c r="A4824" s="370"/>
      <c r="B4824" s="499"/>
      <c r="C4824" s="725"/>
      <c r="D4824" s="1937" t="s">
        <v>1522</v>
      </c>
      <c r="E4824" s="1938"/>
      <c r="F4824" s="1938"/>
      <c r="G4824" s="1938"/>
      <c r="H4824" s="1938"/>
      <c r="I4824" s="1939"/>
      <c r="J4824" s="1943">
        <f>R4823/J4823</f>
        <v>1</v>
      </c>
      <c r="K4824" s="1944"/>
      <c r="L4824" s="1947"/>
      <c r="M4824" s="1934" t="s">
        <v>1523</v>
      </c>
      <c r="N4824" s="1935"/>
      <c r="O4824" s="1935"/>
      <c r="P4824" s="1935"/>
      <c r="Q4824" s="1936"/>
      <c r="R4824" s="726">
        <f>VLOOKUP(A4825,'11 - FINANCEIRA'!_xlnm.Print_Area,8,FALSE)</f>
        <v>1</v>
      </c>
      <c r="S4824" s="727" t="str">
        <f>L4823</f>
        <v>und</v>
      </c>
      <c r="T4824" s="373"/>
      <c r="U4824" s="486"/>
      <c r="V4824" s="1418">
        <f t="shared" si="483"/>
        <v>0</v>
      </c>
      <c r="AB4824" s="15"/>
    </row>
    <row r="4825" spans="1:57" s="77" customFormat="1" ht="15.75" hidden="1" customHeight="1">
      <c r="A4825" s="364" t="s">
        <v>785</v>
      </c>
      <c r="B4825" s="499"/>
      <c r="C4825" s="37"/>
      <c r="D4825" s="1940"/>
      <c r="E4825" s="1941"/>
      <c r="F4825" s="1941"/>
      <c r="G4825" s="1941"/>
      <c r="H4825" s="1941"/>
      <c r="I4825" s="1942"/>
      <c r="J4825" s="1945"/>
      <c r="K4825" s="1946"/>
      <c r="L4825" s="1948"/>
      <c r="M4825" s="1934" t="s">
        <v>1524</v>
      </c>
      <c r="N4825" s="1935"/>
      <c r="O4825" s="1935"/>
      <c r="P4825" s="1935"/>
      <c r="Q4825" s="1936"/>
      <c r="R4825" s="1345">
        <f>R4823-R4824</f>
        <v>0</v>
      </c>
      <c r="S4825" s="1346" t="str">
        <f>L4823</f>
        <v>und</v>
      </c>
      <c r="T4825" s="373"/>
      <c r="U4825" s="486"/>
      <c r="V4825" s="1418">
        <f>R4825</f>
        <v>0</v>
      </c>
      <c r="AB4825" s="15"/>
    </row>
    <row r="4826" spans="1:57" s="77" customFormat="1" ht="15.6" hidden="1">
      <c r="A4826" s="370"/>
      <c r="B4826" s="1347"/>
      <c r="C4826" s="1348"/>
      <c r="D4826" s="1349"/>
      <c r="E4826" s="1350"/>
      <c r="F4826" s="1349"/>
      <c r="G4826" s="1349"/>
      <c r="H4826" s="1349"/>
      <c r="I4826" s="1349"/>
      <c r="J4826" s="1351"/>
      <c r="K4826" s="1352"/>
      <c r="L4826" s="1353"/>
      <c r="M4826" s="1354"/>
      <c r="N4826" s="1354"/>
      <c r="O4826" s="1354"/>
      <c r="P4826" s="1354"/>
      <c r="Q4826" s="1354"/>
      <c r="R4826" s="1355"/>
      <c r="S4826" s="1356"/>
      <c r="T4826" s="1357"/>
      <c r="U4826" s="1358"/>
      <c r="V4826" s="1420">
        <f>SUM(V4816:V4825)</f>
        <v>0</v>
      </c>
      <c r="AB4826" s="15"/>
    </row>
    <row r="4827" spans="1:57" s="77" customFormat="1" ht="15.6">
      <c r="A4827" s="370"/>
      <c r="B4827" s="976"/>
      <c r="C4827" s="977"/>
      <c r="D4827" s="978"/>
      <c r="E4827" s="979"/>
      <c r="F4827" s="978"/>
      <c r="G4827" s="978"/>
      <c r="H4827" s="978"/>
      <c r="I4827" s="978"/>
      <c r="J4827" s="980"/>
      <c r="K4827" s="981"/>
      <c r="L4827" s="982"/>
      <c r="M4827" s="983"/>
      <c r="N4827" s="983"/>
      <c r="O4827" s="983"/>
      <c r="P4827" s="983"/>
      <c r="Q4827" s="983"/>
      <c r="R4827" s="984"/>
      <c r="S4827" s="985"/>
      <c r="T4827" s="373"/>
      <c r="U4827" s="373"/>
      <c r="V4827" s="986"/>
      <c r="AB4827" s="15"/>
    </row>
    <row r="4828" spans="1:57" s="77" customFormat="1" ht="15.6">
      <c r="A4828" s="370"/>
      <c r="B4828" s="976"/>
      <c r="C4828" s="977"/>
      <c r="D4828" s="978"/>
      <c r="E4828" s="979"/>
      <c r="F4828" s="978"/>
      <c r="G4828" s="978"/>
      <c r="H4828" s="978"/>
      <c r="I4828" s="978"/>
      <c r="J4828" s="980"/>
      <c r="K4828" s="981"/>
      <c r="L4828" s="982"/>
      <c r="M4828" s="983"/>
      <c r="N4828" s="983"/>
      <c r="O4828" s="983"/>
      <c r="P4828" s="983"/>
      <c r="Q4828" s="983"/>
      <c r="R4828" s="984"/>
      <c r="S4828" s="985"/>
      <c r="T4828" s="373"/>
      <c r="U4828" s="373"/>
      <c r="V4828" s="986"/>
      <c r="AB4828" s="15"/>
    </row>
    <row r="4829" spans="1:57" s="77" customFormat="1" ht="15.6">
      <c r="A4829" s="370"/>
      <c r="B4829" s="976"/>
      <c r="C4829" s="977"/>
      <c r="D4829" s="978"/>
      <c r="E4829" s="979"/>
      <c r="F4829" s="978"/>
      <c r="G4829" s="978"/>
      <c r="H4829" s="978"/>
      <c r="I4829" s="978"/>
      <c r="J4829" s="980"/>
      <c r="K4829" s="981"/>
      <c r="L4829" s="982"/>
      <c r="M4829" s="983"/>
      <c r="N4829" s="983"/>
      <c r="O4829" s="983"/>
      <c r="P4829" s="983"/>
      <c r="Q4829" s="983"/>
      <c r="R4829" s="984"/>
      <c r="S4829" s="985"/>
      <c r="T4829" s="373"/>
      <c r="U4829" s="373"/>
      <c r="V4829" s="986"/>
      <c r="AB4829" s="15"/>
    </row>
    <row r="4830" spans="1:57" s="388" customFormat="1">
      <c r="A4830" s="378"/>
      <c r="B4830" s="379"/>
      <c r="C4830" s="350"/>
      <c r="D4830" s="380"/>
      <c r="E4830" s="381"/>
      <c r="F4830" s="382"/>
      <c r="G4830" s="380"/>
      <c r="H4830" s="350"/>
      <c r="I4830" s="382"/>
      <c r="J4830" s="350"/>
      <c r="K4830" s="383"/>
      <c r="L4830" s="383"/>
      <c r="M4830" s="350"/>
      <c r="N4830" s="384"/>
      <c r="O4830" s="381"/>
      <c r="P4830" s="350"/>
      <c r="Q4830" s="385"/>
      <c r="R4830" s="386"/>
      <c r="S4830" s="387"/>
      <c r="V4830" s="575"/>
      <c r="BC4830" s="389"/>
      <c r="BD4830" s="390"/>
      <c r="BE4830" s="391"/>
    </row>
    <row r="4831" spans="1:57" s="388" customFormat="1">
      <c r="A4831" s="378"/>
      <c r="B4831" s="379"/>
      <c r="C4831" s="350"/>
      <c r="D4831" s="380"/>
      <c r="E4831" s="381"/>
      <c r="F4831" s="382"/>
      <c r="G4831" s="380"/>
      <c r="H4831" s="350"/>
      <c r="I4831" s="382"/>
      <c r="J4831" s="350"/>
      <c r="K4831" s="383">
        <v>11199.511500000001</v>
      </c>
      <c r="L4831" s="383"/>
      <c r="M4831" s="350"/>
      <c r="N4831" s="384"/>
      <c r="O4831" s="381"/>
      <c r="P4831" s="350"/>
      <c r="Q4831" s="385"/>
      <c r="R4831" s="386"/>
      <c r="S4831" s="387"/>
      <c r="V4831" s="575"/>
      <c r="BE4831" s="391"/>
    </row>
    <row r="4832" spans="1:57">
      <c r="A4832" s="392"/>
      <c r="B4832" s="379"/>
      <c r="C4832" s="350"/>
      <c r="D4832" s="380"/>
      <c r="G4832" s="380"/>
      <c r="J4832" s="350"/>
      <c r="K4832" s="383">
        <v>0.25850000000000001</v>
      </c>
      <c r="L4832" s="383"/>
      <c r="M4832" s="350"/>
      <c r="N4832" s="384"/>
      <c r="O4832" s="381"/>
      <c r="R4832" s="386"/>
    </row>
    <row r="4833" spans="1:30">
      <c r="B4833" s="379"/>
      <c r="C4833" s="350"/>
      <c r="D4833" s="380"/>
      <c r="G4833" s="380"/>
      <c r="J4833" s="350"/>
      <c r="K4833" s="383">
        <f>K4831*K4832*1.54</f>
        <v>4458.4135330350009</v>
      </c>
      <c r="L4833" s="383"/>
      <c r="M4833" s="350"/>
      <c r="N4833" s="384"/>
      <c r="O4833" s="381"/>
      <c r="R4833" s="386"/>
      <c r="S4833" s="393"/>
    </row>
    <row r="4834" spans="1:30">
      <c r="B4834" s="379"/>
      <c r="C4834" s="350"/>
      <c r="D4834" s="380"/>
      <c r="G4834" s="380"/>
      <c r="J4834" s="350"/>
      <c r="K4834" s="383"/>
      <c r="L4834" s="383"/>
      <c r="M4834" s="797" t="e">
        <f>#REF!/K4831</f>
        <v>#REF!</v>
      </c>
      <c r="N4834" s="384"/>
      <c r="O4834" s="381"/>
      <c r="R4834" s="386"/>
      <c r="S4834" s="393"/>
    </row>
    <row r="4835" spans="1:30">
      <c r="B4835" s="379"/>
      <c r="C4835" s="350"/>
      <c r="D4835" s="380"/>
      <c r="G4835" s="380"/>
      <c r="J4835" s="350"/>
      <c r="K4835" s="383"/>
      <c r="L4835" s="383"/>
      <c r="M4835" s="350"/>
      <c r="N4835" s="384"/>
      <c r="O4835" s="381"/>
      <c r="R4835" s="386"/>
      <c r="S4835" s="393"/>
    </row>
    <row r="4836" spans="1:30">
      <c r="B4836" s="379"/>
      <c r="C4836" s="350"/>
      <c r="D4836" s="380"/>
      <c r="G4836" s="380"/>
      <c r="J4836" s="350"/>
      <c r="K4836" s="383"/>
      <c r="L4836" s="383"/>
      <c r="M4836" s="350"/>
      <c r="N4836" s="384"/>
      <c r="O4836" s="381"/>
      <c r="R4836" s="386"/>
      <c r="S4836" s="393"/>
    </row>
    <row r="4837" spans="1:30">
      <c r="B4837" s="379"/>
      <c r="C4837" s="350"/>
      <c r="D4837" s="380"/>
      <c r="G4837" s="380"/>
      <c r="J4837" s="350"/>
      <c r="K4837" s="383"/>
      <c r="L4837" s="383"/>
      <c r="M4837" s="350"/>
      <c r="N4837" s="384"/>
      <c r="O4837" s="381"/>
      <c r="R4837" s="386"/>
      <c r="S4837" s="393"/>
    </row>
    <row r="4838" spans="1:30">
      <c r="B4838" s="379"/>
      <c r="C4838" s="350"/>
      <c r="D4838" s="380"/>
      <c r="G4838" s="380"/>
      <c r="J4838" s="350"/>
      <c r="K4838" s="383"/>
      <c r="L4838" s="383"/>
      <c r="M4838" s="350"/>
      <c r="N4838" s="384"/>
      <c r="O4838" s="975"/>
      <c r="P4838" s="2123"/>
      <c r="Q4838" s="2123"/>
      <c r="R4838" s="2123"/>
      <c r="S4838" s="394"/>
      <c r="T4838" s="395"/>
      <c r="U4838" s="2121"/>
      <c r="V4838" s="2121"/>
      <c r="W4838" s="2121"/>
      <c r="X4838" s="396"/>
      <c r="Y4838" s="396"/>
      <c r="Z4838" s="397"/>
      <c r="AA4838" s="398"/>
      <c r="AB4838" s="399"/>
      <c r="AC4838" s="400"/>
      <c r="AD4838" s="401"/>
    </row>
    <row r="4839" spans="1:30" ht="14.25" customHeight="1">
      <c r="B4839" s="379"/>
      <c r="C4839" s="350"/>
      <c r="D4839" s="380"/>
      <c r="G4839" s="380"/>
      <c r="J4839" s="350"/>
      <c r="K4839" s="383"/>
      <c r="L4839" s="383"/>
      <c r="M4839" s="350"/>
      <c r="N4839" s="384"/>
      <c r="O4839" s="975"/>
      <c r="P4839" s="2122"/>
      <c r="Q4839" s="2122"/>
      <c r="R4839" s="2122"/>
      <c r="S4839" s="394"/>
      <c r="T4839" s="395"/>
      <c r="U4839" s="2121"/>
      <c r="V4839" s="2121"/>
      <c r="W4839" s="2121"/>
      <c r="X4839" s="396"/>
      <c r="Y4839" s="396"/>
      <c r="Z4839" s="397"/>
      <c r="AA4839" s="398"/>
      <c r="AB4839" s="399"/>
      <c r="AC4839" s="402"/>
      <c r="AD4839" s="398"/>
    </row>
    <row r="4840" spans="1:30" ht="14.25" customHeight="1">
      <c r="A4840" s="403"/>
      <c r="B4840" s="379"/>
      <c r="C4840" s="350"/>
      <c r="D4840" s="380"/>
      <c r="G4840" s="380"/>
      <c r="J4840" s="350"/>
      <c r="K4840" s="383"/>
      <c r="L4840" s="383"/>
      <c r="M4840" s="350"/>
      <c r="N4840" s="404"/>
      <c r="O4840" s="381"/>
      <c r="R4840" s="386"/>
      <c r="S4840" s="393"/>
    </row>
    <row r="4841" spans="1:30">
      <c r="A4841" s="403"/>
      <c r="B4841" s="379"/>
      <c r="C4841" s="350"/>
      <c r="D4841" s="380"/>
      <c r="G4841" s="380"/>
      <c r="J4841" s="350"/>
      <c r="K4841" s="383"/>
      <c r="L4841" s="383"/>
      <c r="M4841" s="350"/>
      <c r="N4841" s="404"/>
      <c r="O4841" s="381"/>
      <c r="R4841" s="386"/>
      <c r="S4841" s="393"/>
    </row>
    <row r="4842" spans="1:30">
      <c r="A4842" s="403"/>
      <c r="B4842" s="379"/>
      <c r="C4842" s="350"/>
      <c r="D4842" s="380"/>
      <c r="G4842" s="380"/>
      <c r="J4842" s="350"/>
      <c r="K4842" s="383"/>
      <c r="L4842" s="383"/>
      <c r="M4842" s="350"/>
      <c r="N4842" s="404"/>
      <c r="O4842" s="381"/>
      <c r="R4842" s="386"/>
      <c r="S4842" s="393"/>
    </row>
    <row r="4843" spans="1:30">
      <c r="A4843" s="403"/>
      <c r="B4843" s="379"/>
      <c r="C4843" s="350"/>
      <c r="D4843" s="380"/>
      <c r="G4843" s="380"/>
      <c r="J4843" s="350"/>
      <c r="K4843" s="383"/>
      <c r="L4843" s="383"/>
      <c r="M4843" s="350"/>
      <c r="N4843" s="404"/>
      <c r="O4843" s="381"/>
      <c r="R4843" s="386"/>
      <c r="S4843" s="393"/>
    </row>
    <row r="4844" spans="1:30">
      <c r="A4844" s="403"/>
      <c r="B4844" s="379"/>
      <c r="C4844" s="350"/>
      <c r="D4844" s="380"/>
      <c r="G4844" s="380"/>
      <c r="J4844" s="350"/>
      <c r="K4844" s="383"/>
      <c r="L4844" s="383"/>
      <c r="M4844" s="350"/>
      <c r="N4844" s="404"/>
      <c r="O4844" s="381"/>
      <c r="R4844" s="386"/>
      <c r="S4844" s="393"/>
    </row>
    <row r="4845" spans="1:30">
      <c r="A4845" s="403"/>
      <c r="B4845" s="379"/>
      <c r="C4845" s="350"/>
      <c r="D4845" s="380"/>
      <c r="G4845" s="380"/>
      <c r="J4845" s="350"/>
      <c r="K4845" s="383"/>
      <c r="L4845" s="383"/>
      <c r="M4845" s="350"/>
      <c r="N4845" s="404"/>
      <c r="O4845" s="381"/>
      <c r="R4845" s="386"/>
      <c r="S4845" s="393"/>
    </row>
    <row r="4846" spans="1:30">
      <c r="A4846" s="403"/>
      <c r="B4846" s="379"/>
      <c r="C4846" s="350"/>
      <c r="D4846" s="380"/>
      <c r="G4846" s="380"/>
      <c r="J4846" s="350"/>
      <c r="K4846" s="383"/>
      <c r="L4846" s="383"/>
      <c r="M4846" s="350"/>
      <c r="N4846" s="404"/>
      <c r="O4846" s="381"/>
      <c r="R4846" s="386"/>
      <c r="S4846" s="393"/>
    </row>
    <row r="4847" spans="1:30">
      <c r="A4847" s="403"/>
      <c r="B4847" s="379"/>
      <c r="C4847" s="350"/>
      <c r="D4847" s="380"/>
      <c r="G4847" s="380"/>
      <c r="J4847" s="350"/>
      <c r="K4847" s="383"/>
      <c r="L4847" s="383"/>
      <c r="M4847" s="350"/>
      <c r="N4847" s="404"/>
      <c r="O4847" s="381"/>
      <c r="R4847" s="386"/>
      <c r="S4847" s="393"/>
      <c r="V4847" s="350"/>
    </row>
    <row r="4848" spans="1:30">
      <c r="A4848" s="403"/>
      <c r="B4848" s="379"/>
      <c r="C4848" s="350"/>
      <c r="D4848" s="380"/>
      <c r="G4848" s="380"/>
      <c r="J4848" s="350"/>
      <c r="K4848" s="383"/>
      <c r="L4848" s="383"/>
      <c r="M4848" s="350"/>
      <c r="N4848" s="404"/>
      <c r="O4848" s="381"/>
      <c r="R4848" s="386"/>
      <c r="S4848" s="393"/>
      <c r="V4848" s="350"/>
    </row>
    <row r="4849" spans="1:22">
      <c r="A4849" s="403"/>
      <c r="B4849" s="379"/>
      <c r="C4849" s="350"/>
      <c r="D4849" s="380"/>
      <c r="G4849" s="380"/>
      <c r="J4849" s="350"/>
      <c r="K4849" s="383"/>
      <c r="L4849" s="383"/>
      <c r="M4849" s="350"/>
      <c r="N4849" s="404"/>
      <c r="O4849" s="381"/>
      <c r="R4849" s="386"/>
      <c r="S4849" s="393"/>
      <c r="V4849" s="350"/>
    </row>
    <row r="4850" spans="1:22">
      <c r="A4850" s="403"/>
      <c r="B4850" s="379"/>
      <c r="C4850" s="350"/>
      <c r="D4850" s="380"/>
      <c r="G4850" s="380"/>
      <c r="J4850" s="350"/>
      <c r="K4850" s="383"/>
      <c r="L4850" s="383"/>
      <c r="M4850" s="350"/>
      <c r="N4850" s="404"/>
      <c r="O4850" s="381"/>
      <c r="R4850" s="386"/>
      <c r="S4850" s="393"/>
      <c r="V4850" s="350"/>
    </row>
    <row r="4851" spans="1:22">
      <c r="A4851" s="403"/>
      <c r="B4851" s="379"/>
      <c r="C4851" s="350"/>
      <c r="D4851" s="380"/>
      <c r="G4851" s="380"/>
      <c r="J4851" s="350"/>
      <c r="K4851" s="383"/>
      <c r="L4851" s="383"/>
      <c r="M4851" s="350"/>
      <c r="N4851" s="404"/>
      <c r="O4851" s="381"/>
      <c r="R4851" s="386"/>
      <c r="S4851" s="393"/>
      <c r="V4851" s="350"/>
    </row>
    <row r="4852" spans="1:22">
      <c r="A4852" s="403"/>
      <c r="B4852" s="379"/>
      <c r="C4852" s="350"/>
      <c r="D4852" s="380"/>
      <c r="G4852" s="380"/>
      <c r="J4852" s="350"/>
      <c r="K4852" s="383"/>
      <c r="L4852" s="383"/>
      <c r="M4852" s="350"/>
      <c r="N4852" s="404"/>
      <c r="O4852" s="381"/>
      <c r="R4852" s="386"/>
      <c r="S4852" s="393"/>
      <c r="V4852" s="350"/>
    </row>
    <row r="4853" spans="1:22">
      <c r="A4853" s="403"/>
      <c r="B4853" s="379"/>
      <c r="C4853" s="350"/>
      <c r="D4853" s="380"/>
      <c r="G4853" s="380"/>
      <c r="J4853" s="350"/>
      <c r="K4853" s="383"/>
      <c r="L4853" s="383"/>
      <c r="M4853" s="350"/>
      <c r="N4853" s="404"/>
      <c r="O4853" s="381"/>
      <c r="R4853" s="386"/>
      <c r="S4853" s="393"/>
      <c r="V4853" s="350"/>
    </row>
    <row r="4854" spans="1:22">
      <c r="A4854" s="403"/>
      <c r="B4854" s="379"/>
      <c r="C4854" s="350"/>
      <c r="D4854" s="380"/>
      <c r="G4854" s="380"/>
      <c r="J4854" s="350"/>
      <c r="K4854" s="383"/>
      <c r="L4854" s="383"/>
      <c r="M4854" s="350"/>
      <c r="N4854" s="404"/>
      <c r="O4854" s="381"/>
      <c r="R4854" s="386"/>
      <c r="S4854" s="393"/>
      <c r="V4854" s="350"/>
    </row>
    <row r="4855" spans="1:22">
      <c r="A4855" s="403"/>
      <c r="B4855" s="379"/>
      <c r="C4855" s="350"/>
      <c r="D4855" s="380"/>
      <c r="G4855" s="380"/>
      <c r="J4855" s="350"/>
      <c r="K4855" s="383"/>
      <c r="L4855" s="383"/>
      <c r="M4855" s="350"/>
      <c r="N4855" s="404"/>
      <c r="O4855" s="381"/>
      <c r="R4855" s="386"/>
      <c r="S4855" s="393"/>
      <c r="V4855" s="350"/>
    </row>
    <row r="4856" spans="1:22">
      <c r="A4856" s="403"/>
      <c r="B4856" s="379"/>
      <c r="C4856" s="350"/>
      <c r="D4856" s="380"/>
      <c r="G4856" s="380"/>
      <c r="J4856" s="350"/>
      <c r="K4856" s="383"/>
      <c r="L4856" s="383"/>
      <c r="M4856" s="350"/>
      <c r="N4856" s="404"/>
      <c r="O4856" s="381"/>
      <c r="R4856" s="386"/>
      <c r="S4856" s="393"/>
      <c r="V4856" s="350"/>
    </row>
    <row r="4857" spans="1:22">
      <c r="A4857" s="403"/>
      <c r="B4857" s="379"/>
      <c r="C4857" s="350"/>
      <c r="D4857" s="380"/>
      <c r="G4857" s="380"/>
      <c r="J4857" s="350"/>
      <c r="K4857" s="383"/>
      <c r="L4857" s="383"/>
      <c r="M4857" s="350"/>
      <c r="N4857" s="404"/>
      <c r="O4857" s="381"/>
      <c r="R4857" s="386"/>
      <c r="S4857" s="393"/>
      <c r="V4857" s="350"/>
    </row>
    <row r="4858" spans="1:22">
      <c r="A4858" s="403"/>
      <c r="B4858" s="379"/>
      <c r="C4858" s="350"/>
      <c r="D4858" s="380"/>
      <c r="G4858" s="380"/>
      <c r="J4858" s="350"/>
      <c r="K4858" s="383"/>
      <c r="L4858" s="383"/>
      <c r="M4858" s="350"/>
      <c r="N4858" s="404"/>
      <c r="O4858" s="381"/>
      <c r="R4858" s="386"/>
      <c r="S4858" s="393"/>
      <c r="V4858" s="350"/>
    </row>
    <row r="4859" spans="1:22">
      <c r="A4859" s="403"/>
      <c r="B4859" s="379"/>
      <c r="C4859" s="350"/>
      <c r="D4859" s="380"/>
      <c r="G4859" s="380"/>
      <c r="J4859" s="350"/>
      <c r="K4859" s="383"/>
      <c r="L4859" s="383"/>
      <c r="M4859" s="350"/>
      <c r="N4859" s="404"/>
      <c r="O4859" s="381"/>
      <c r="R4859" s="386"/>
      <c r="S4859" s="393"/>
      <c r="V4859" s="350"/>
    </row>
    <row r="4860" spans="1:22">
      <c r="A4860" s="403"/>
      <c r="B4860" s="379"/>
      <c r="C4860" s="350"/>
      <c r="D4860" s="380"/>
      <c r="G4860" s="380"/>
      <c r="J4860" s="350"/>
      <c r="K4860" s="383"/>
      <c r="L4860" s="383"/>
      <c r="M4860" s="350"/>
      <c r="N4860" s="404"/>
      <c r="O4860" s="381"/>
      <c r="R4860" s="386"/>
      <c r="S4860" s="393"/>
      <c r="V4860" s="350"/>
    </row>
    <row r="4861" spans="1:22">
      <c r="A4861" s="403"/>
      <c r="B4861" s="379"/>
      <c r="C4861" s="350"/>
      <c r="D4861" s="380"/>
      <c r="G4861" s="380"/>
      <c r="J4861" s="350"/>
      <c r="K4861" s="383"/>
      <c r="L4861" s="383"/>
      <c r="M4861" s="350"/>
      <c r="N4861" s="404"/>
      <c r="O4861" s="381"/>
      <c r="R4861" s="386"/>
      <c r="S4861" s="393"/>
      <c r="V4861" s="350"/>
    </row>
    <row r="4862" spans="1:22">
      <c r="A4862" s="403"/>
      <c r="B4862" s="379"/>
      <c r="C4862" s="350"/>
      <c r="D4862" s="380"/>
      <c r="G4862" s="380"/>
      <c r="J4862" s="350"/>
      <c r="K4862" s="383"/>
      <c r="L4862" s="383"/>
      <c r="M4862" s="350"/>
      <c r="N4862" s="404"/>
      <c r="O4862" s="381"/>
      <c r="R4862" s="386"/>
      <c r="S4862" s="393"/>
      <c r="V4862" s="350"/>
    </row>
    <row r="4863" spans="1:22">
      <c r="A4863" s="403"/>
      <c r="B4863" s="379"/>
      <c r="C4863" s="350"/>
      <c r="D4863" s="380"/>
      <c r="G4863" s="380"/>
      <c r="J4863" s="350"/>
      <c r="K4863" s="383"/>
      <c r="L4863" s="383"/>
      <c r="M4863" s="350"/>
      <c r="N4863" s="404"/>
      <c r="O4863" s="381"/>
      <c r="R4863" s="386"/>
      <c r="S4863" s="393"/>
      <c r="V4863" s="350"/>
    </row>
    <row r="4864" spans="1:22">
      <c r="A4864" s="403"/>
      <c r="B4864" s="379"/>
      <c r="C4864" s="350"/>
      <c r="D4864" s="380"/>
      <c r="G4864" s="380"/>
      <c r="J4864" s="350"/>
      <c r="K4864" s="383"/>
      <c r="L4864" s="383"/>
      <c r="M4864" s="350"/>
      <c r="N4864" s="404"/>
      <c r="O4864" s="381"/>
      <c r="R4864" s="386"/>
      <c r="S4864" s="393"/>
      <c r="V4864" s="350"/>
    </row>
    <row r="4865" spans="1:22">
      <c r="A4865" s="403"/>
      <c r="B4865" s="379"/>
      <c r="C4865" s="350"/>
      <c r="D4865" s="380"/>
      <c r="G4865" s="380"/>
      <c r="J4865" s="350"/>
      <c r="K4865" s="383"/>
      <c r="L4865" s="383"/>
      <c r="M4865" s="350"/>
      <c r="N4865" s="404"/>
      <c r="O4865" s="381"/>
      <c r="R4865" s="386"/>
      <c r="S4865" s="393"/>
      <c r="V4865" s="350"/>
    </row>
    <row r="4866" spans="1:22">
      <c r="A4866" s="403"/>
      <c r="B4866" s="379"/>
      <c r="C4866" s="350"/>
      <c r="D4866" s="380"/>
      <c r="G4866" s="380"/>
      <c r="J4866" s="350"/>
      <c r="K4866" s="383"/>
      <c r="L4866" s="383"/>
      <c r="M4866" s="350"/>
      <c r="N4866" s="404"/>
      <c r="O4866" s="381"/>
      <c r="R4866" s="386"/>
      <c r="S4866" s="393"/>
      <c r="V4866" s="350"/>
    </row>
    <row r="4867" spans="1:22">
      <c r="A4867" s="403"/>
      <c r="B4867" s="379"/>
      <c r="C4867" s="350"/>
      <c r="D4867" s="380"/>
      <c r="G4867" s="380"/>
      <c r="J4867" s="350"/>
      <c r="K4867" s="383"/>
      <c r="L4867" s="383"/>
      <c r="M4867" s="350"/>
      <c r="N4867" s="404"/>
      <c r="O4867" s="381"/>
      <c r="R4867" s="386"/>
      <c r="S4867" s="393"/>
      <c r="V4867" s="350"/>
    </row>
    <row r="4868" spans="1:22">
      <c r="A4868" s="403"/>
      <c r="B4868" s="379"/>
      <c r="C4868" s="350"/>
      <c r="D4868" s="380"/>
      <c r="G4868" s="380"/>
      <c r="J4868" s="350"/>
      <c r="K4868" s="383"/>
      <c r="L4868" s="383"/>
      <c r="M4868" s="350"/>
      <c r="N4868" s="404"/>
      <c r="O4868" s="381"/>
      <c r="R4868" s="386"/>
      <c r="S4868" s="393"/>
      <c r="V4868" s="350"/>
    </row>
    <row r="4869" spans="1:22">
      <c r="A4869" s="403"/>
      <c r="B4869" s="379"/>
      <c r="C4869" s="350"/>
      <c r="D4869" s="380"/>
      <c r="G4869" s="380"/>
      <c r="J4869" s="350"/>
      <c r="K4869" s="383"/>
      <c r="L4869" s="383"/>
      <c r="M4869" s="350"/>
      <c r="N4869" s="404"/>
      <c r="O4869" s="381"/>
      <c r="R4869" s="386"/>
      <c r="S4869" s="393"/>
      <c r="V4869" s="350"/>
    </row>
    <row r="4870" spans="1:22">
      <c r="A4870" s="403"/>
      <c r="B4870" s="379"/>
      <c r="C4870" s="350"/>
      <c r="D4870" s="380"/>
      <c r="G4870" s="380"/>
      <c r="J4870" s="350"/>
      <c r="K4870" s="383"/>
      <c r="L4870" s="383"/>
      <c r="M4870" s="350"/>
      <c r="N4870" s="404"/>
      <c r="O4870" s="381"/>
      <c r="R4870" s="386"/>
      <c r="S4870" s="393"/>
      <c r="V4870" s="350"/>
    </row>
    <row r="4871" spans="1:22">
      <c r="A4871" s="403"/>
      <c r="B4871" s="379"/>
      <c r="C4871" s="350"/>
      <c r="D4871" s="380"/>
      <c r="G4871" s="380"/>
      <c r="J4871" s="350"/>
      <c r="K4871" s="383"/>
      <c r="L4871" s="383"/>
      <c r="M4871" s="350"/>
      <c r="N4871" s="404"/>
      <c r="O4871" s="381"/>
      <c r="R4871" s="386"/>
      <c r="S4871" s="393"/>
      <c r="V4871" s="350"/>
    </row>
    <row r="4872" spans="1:22">
      <c r="A4872" s="403"/>
      <c r="B4872" s="379"/>
      <c r="C4872" s="350"/>
      <c r="D4872" s="380"/>
      <c r="G4872" s="380"/>
      <c r="J4872" s="350"/>
      <c r="K4872" s="383"/>
      <c r="L4872" s="383"/>
      <c r="M4872" s="350"/>
      <c r="N4872" s="404"/>
      <c r="O4872" s="381"/>
      <c r="R4872" s="386"/>
      <c r="S4872" s="393"/>
      <c r="V4872" s="350"/>
    </row>
    <row r="4873" spans="1:22">
      <c r="A4873" s="403"/>
      <c r="B4873" s="379"/>
      <c r="C4873" s="350"/>
      <c r="D4873" s="380"/>
      <c r="G4873" s="380"/>
      <c r="J4873" s="350"/>
      <c r="K4873" s="383"/>
      <c r="L4873" s="383"/>
      <c r="M4873" s="350"/>
      <c r="N4873" s="404"/>
      <c r="O4873" s="381"/>
      <c r="R4873" s="386"/>
      <c r="S4873" s="393"/>
      <c r="V4873" s="350"/>
    </row>
    <row r="4874" spans="1:22">
      <c r="A4874" s="403"/>
      <c r="B4874" s="379"/>
      <c r="C4874" s="350"/>
      <c r="D4874" s="380"/>
      <c r="G4874" s="380"/>
      <c r="J4874" s="350"/>
      <c r="K4874" s="383"/>
      <c r="L4874" s="383"/>
      <c r="M4874" s="350"/>
      <c r="N4874" s="404"/>
      <c r="O4874" s="381"/>
      <c r="R4874" s="386"/>
      <c r="S4874" s="393"/>
      <c r="V4874" s="350"/>
    </row>
    <row r="4875" spans="1:22">
      <c r="A4875" s="403"/>
      <c r="B4875" s="379"/>
      <c r="C4875" s="350"/>
      <c r="D4875" s="380"/>
      <c r="G4875" s="380"/>
      <c r="J4875" s="350"/>
      <c r="K4875" s="383"/>
      <c r="L4875" s="383"/>
      <c r="M4875" s="350"/>
      <c r="N4875" s="404"/>
      <c r="O4875" s="381"/>
      <c r="R4875" s="386"/>
      <c r="S4875" s="393"/>
      <c r="V4875" s="350"/>
    </row>
    <row r="4876" spans="1:22">
      <c r="A4876" s="403"/>
      <c r="B4876" s="379"/>
      <c r="C4876" s="350"/>
      <c r="D4876" s="380"/>
      <c r="G4876" s="380"/>
      <c r="J4876" s="350"/>
      <c r="K4876" s="383"/>
      <c r="L4876" s="383"/>
      <c r="M4876" s="350"/>
      <c r="N4876" s="404"/>
      <c r="O4876" s="381"/>
      <c r="R4876" s="386"/>
      <c r="S4876" s="393"/>
      <c r="V4876" s="350"/>
    </row>
    <row r="4877" spans="1:22">
      <c r="A4877" s="403"/>
      <c r="B4877" s="379"/>
      <c r="C4877" s="350"/>
      <c r="D4877" s="380"/>
      <c r="G4877" s="380"/>
      <c r="J4877" s="350"/>
      <c r="K4877" s="383"/>
      <c r="L4877" s="383"/>
      <c r="M4877" s="350"/>
      <c r="N4877" s="404"/>
      <c r="O4877" s="381"/>
      <c r="R4877" s="386"/>
      <c r="S4877" s="393"/>
      <c r="V4877" s="350"/>
    </row>
    <row r="4878" spans="1:22">
      <c r="A4878" s="403"/>
      <c r="B4878" s="379"/>
      <c r="C4878" s="350"/>
      <c r="D4878" s="380"/>
      <c r="G4878" s="380"/>
      <c r="J4878" s="350"/>
      <c r="K4878" s="383"/>
      <c r="L4878" s="383"/>
      <c r="M4878" s="350"/>
      <c r="N4878" s="404"/>
      <c r="O4878" s="381"/>
      <c r="R4878" s="386"/>
      <c r="S4878" s="393"/>
      <c r="V4878" s="350"/>
    </row>
    <row r="4879" spans="1:22">
      <c r="A4879" s="403"/>
      <c r="B4879" s="379"/>
      <c r="C4879" s="350"/>
      <c r="D4879" s="380"/>
      <c r="G4879" s="380"/>
      <c r="J4879" s="350"/>
      <c r="K4879" s="383"/>
      <c r="L4879" s="383"/>
      <c r="M4879" s="350"/>
      <c r="N4879" s="404"/>
      <c r="O4879" s="381"/>
      <c r="R4879" s="386"/>
      <c r="S4879" s="393"/>
      <c r="V4879" s="350"/>
    </row>
    <row r="4880" spans="1:22">
      <c r="A4880" s="403"/>
      <c r="B4880" s="379"/>
      <c r="C4880" s="350"/>
      <c r="D4880" s="380"/>
      <c r="G4880" s="380"/>
      <c r="J4880" s="350"/>
      <c r="K4880" s="383"/>
      <c r="L4880" s="383"/>
      <c r="M4880" s="350"/>
      <c r="N4880" s="404"/>
      <c r="O4880" s="381"/>
      <c r="R4880" s="386"/>
      <c r="S4880" s="393"/>
      <c r="V4880" s="350"/>
    </row>
    <row r="4881" spans="1:22">
      <c r="A4881" s="403"/>
      <c r="B4881" s="379"/>
      <c r="C4881" s="350"/>
      <c r="D4881" s="380"/>
      <c r="G4881" s="380"/>
      <c r="J4881" s="350"/>
      <c r="K4881" s="383"/>
      <c r="L4881" s="383"/>
      <c r="M4881" s="350"/>
      <c r="N4881" s="404"/>
      <c r="O4881" s="381"/>
      <c r="R4881" s="386"/>
      <c r="S4881" s="393"/>
      <c r="V4881" s="350"/>
    </row>
    <row r="4882" spans="1:22">
      <c r="A4882" s="403"/>
      <c r="B4882" s="379"/>
      <c r="C4882" s="350"/>
      <c r="D4882" s="380"/>
      <c r="G4882" s="380"/>
      <c r="J4882" s="350"/>
      <c r="K4882" s="383"/>
      <c r="L4882" s="383"/>
      <c r="M4882" s="350"/>
      <c r="N4882" s="404"/>
      <c r="O4882" s="381"/>
      <c r="R4882" s="386"/>
      <c r="S4882" s="393"/>
      <c r="V4882" s="350"/>
    </row>
    <row r="4883" spans="1:22">
      <c r="A4883" s="403"/>
      <c r="B4883" s="379"/>
      <c r="C4883" s="350"/>
      <c r="D4883" s="380"/>
      <c r="G4883" s="380"/>
      <c r="J4883" s="350"/>
      <c r="K4883" s="383"/>
      <c r="L4883" s="383"/>
      <c r="M4883" s="350"/>
      <c r="N4883" s="404"/>
      <c r="O4883" s="381"/>
      <c r="R4883" s="386"/>
      <c r="S4883" s="393"/>
      <c r="V4883" s="350"/>
    </row>
    <row r="4884" spans="1:22">
      <c r="A4884" s="403"/>
      <c r="B4884" s="379"/>
      <c r="C4884" s="350"/>
      <c r="D4884" s="380"/>
      <c r="G4884" s="380"/>
      <c r="J4884" s="350"/>
      <c r="K4884" s="383"/>
      <c r="L4884" s="383"/>
      <c r="M4884" s="350"/>
      <c r="N4884" s="404"/>
      <c r="O4884" s="381"/>
      <c r="R4884" s="386"/>
      <c r="S4884" s="393"/>
      <c r="V4884" s="350"/>
    </row>
    <row r="4885" spans="1:22">
      <c r="A4885" s="403"/>
      <c r="B4885" s="379"/>
      <c r="C4885" s="350"/>
      <c r="D4885" s="380"/>
      <c r="G4885" s="380"/>
      <c r="J4885" s="350"/>
      <c r="K4885" s="383"/>
      <c r="L4885" s="383"/>
      <c r="M4885" s="350"/>
      <c r="N4885" s="404"/>
      <c r="O4885" s="381"/>
      <c r="R4885" s="386"/>
      <c r="S4885" s="393"/>
      <c r="V4885" s="350"/>
    </row>
    <row r="4886" spans="1:22">
      <c r="A4886" s="403"/>
      <c r="B4886" s="379"/>
      <c r="C4886" s="350"/>
      <c r="D4886" s="380"/>
      <c r="G4886" s="380"/>
      <c r="J4886" s="350"/>
      <c r="K4886" s="383"/>
      <c r="L4886" s="383"/>
      <c r="M4886" s="350"/>
      <c r="N4886" s="404"/>
      <c r="O4886" s="381"/>
      <c r="R4886" s="386"/>
      <c r="S4886" s="393"/>
      <c r="V4886" s="350"/>
    </row>
    <row r="4887" spans="1:22">
      <c r="A4887" s="403"/>
      <c r="B4887" s="379"/>
      <c r="C4887" s="350"/>
      <c r="D4887" s="380"/>
      <c r="G4887" s="380"/>
      <c r="J4887" s="350"/>
      <c r="K4887" s="383"/>
      <c r="L4887" s="383"/>
      <c r="M4887" s="350"/>
      <c r="N4887" s="404"/>
      <c r="O4887" s="381"/>
      <c r="R4887" s="386"/>
      <c r="S4887" s="393"/>
      <c r="V4887" s="350"/>
    </row>
    <row r="4888" spans="1:22">
      <c r="A4888" s="403"/>
      <c r="B4888" s="379"/>
      <c r="C4888" s="350"/>
      <c r="D4888" s="380"/>
      <c r="G4888" s="380"/>
      <c r="J4888" s="350"/>
      <c r="K4888" s="383"/>
      <c r="L4888" s="383"/>
      <c r="M4888" s="350"/>
      <c r="N4888" s="404"/>
      <c r="O4888" s="381"/>
      <c r="R4888" s="386"/>
      <c r="S4888" s="393"/>
      <c r="V4888" s="350"/>
    </row>
    <row r="4889" spans="1:22">
      <c r="A4889" s="403"/>
      <c r="B4889" s="379"/>
      <c r="C4889" s="350"/>
      <c r="D4889" s="380"/>
      <c r="G4889" s="380"/>
      <c r="J4889" s="350"/>
      <c r="K4889" s="383"/>
      <c r="L4889" s="383"/>
      <c r="M4889" s="350"/>
      <c r="N4889" s="404"/>
      <c r="O4889" s="381"/>
      <c r="R4889" s="386"/>
      <c r="S4889" s="393"/>
      <c r="V4889" s="350"/>
    </row>
    <row r="4890" spans="1:22">
      <c r="A4890" s="403"/>
      <c r="B4890" s="379"/>
      <c r="C4890" s="350"/>
      <c r="D4890" s="380"/>
      <c r="G4890" s="380"/>
      <c r="J4890" s="350"/>
      <c r="K4890" s="383"/>
      <c r="L4890" s="383"/>
      <c r="M4890" s="350"/>
      <c r="N4890" s="404"/>
      <c r="O4890" s="381"/>
      <c r="R4890" s="386"/>
      <c r="S4890" s="393"/>
      <c r="V4890" s="350"/>
    </row>
    <row r="4891" spans="1:22">
      <c r="A4891" s="403"/>
      <c r="B4891" s="379"/>
      <c r="C4891" s="350"/>
      <c r="D4891" s="380"/>
      <c r="G4891" s="380"/>
      <c r="J4891" s="350"/>
      <c r="K4891" s="383"/>
      <c r="L4891" s="383"/>
      <c r="M4891" s="350"/>
      <c r="N4891" s="404"/>
      <c r="O4891" s="381"/>
      <c r="R4891" s="386"/>
      <c r="S4891" s="393"/>
      <c r="V4891" s="350"/>
    </row>
    <row r="4892" spans="1:22">
      <c r="A4892" s="403"/>
      <c r="B4892" s="379"/>
      <c r="C4892" s="350"/>
      <c r="D4892" s="380"/>
      <c r="G4892" s="380"/>
      <c r="J4892" s="350"/>
      <c r="K4892" s="383"/>
      <c r="L4892" s="383"/>
      <c r="M4892" s="350"/>
      <c r="N4892" s="404"/>
      <c r="O4892" s="381"/>
      <c r="R4892" s="386"/>
      <c r="S4892" s="393"/>
      <c r="V4892" s="350"/>
    </row>
    <row r="4893" spans="1:22">
      <c r="A4893" s="403"/>
      <c r="B4893" s="379"/>
      <c r="C4893" s="350"/>
      <c r="D4893" s="380"/>
      <c r="G4893" s="380"/>
      <c r="J4893" s="350"/>
      <c r="K4893" s="383"/>
      <c r="L4893" s="383"/>
      <c r="M4893" s="350"/>
      <c r="N4893" s="404"/>
      <c r="O4893" s="381"/>
      <c r="R4893" s="386"/>
      <c r="S4893" s="393"/>
      <c r="V4893" s="350"/>
    </row>
    <row r="4894" spans="1:22">
      <c r="A4894" s="403"/>
      <c r="B4894" s="379"/>
      <c r="C4894" s="350"/>
      <c r="D4894" s="380"/>
      <c r="G4894" s="380"/>
      <c r="J4894" s="350"/>
      <c r="K4894" s="383"/>
      <c r="L4894" s="383"/>
      <c r="M4894" s="350"/>
      <c r="N4894" s="404"/>
      <c r="O4894" s="381"/>
      <c r="R4894" s="386"/>
      <c r="S4894" s="393"/>
      <c r="V4894" s="350"/>
    </row>
    <row r="4895" spans="1:22">
      <c r="A4895" s="403"/>
      <c r="B4895" s="379"/>
      <c r="C4895" s="350"/>
      <c r="D4895" s="380"/>
      <c r="G4895" s="380"/>
      <c r="J4895" s="350"/>
      <c r="K4895" s="383"/>
      <c r="L4895" s="383"/>
      <c r="M4895" s="350"/>
      <c r="N4895" s="404"/>
      <c r="O4895" s="381"/>
      <c r="R4895" s="386"/>
      <c r="S4895" s="393"/>
      <c r="V4895" s="350"/>
    </row>
    <row r="4896" spans="1:22">
      <c r="A4896" s="403"/>
      <c r="B4896" s="379"/>
      <c r="C4896" s="350"/>
      <c r="D4896" s="380"/>
      <c r="G4896" s="380"/>
      <c r="J4896" s="350"/>
      <c r="K4896" s="383"/>
      <c r="L4896" s="383"/>
      <c r="M4896" s="350"/>
      <c r="N4896" s="404"/>
      <c r="O4896" s="381"/>
      <c r="R4896" s="386"/>
      <c r="S4896" s="393"/>
      <c r="V4896" s="350"/>
    </row>
    <row r="4897" spans="1:22">
      <c r="A4897" s="403"/>
      <c r="B4897" s="379"/>
      <c r="C4897" s="350"/>
      <c r="D4897" s="380"/>
      <c r="G4897" s="380"/>
      <c r="J4897" s="350"/>
      <c r="K4897" s="383"/>
      <c r="L4897" s="383"/>
      <c r="M4897" s="350"/>
      <c r="N4897" s="404"/>
      <c r="O4897" s="381"/>
      <c r="R4897" s="386"/>
      <c r="S4897" s="393"/>
      <c r="V4897" s="350"/>
    </row>
    <row r="4898" spans="1:22">
      <c r="A4898" s="403"/>
      <c r="B4898" s="379"/>
      <c r="C4898" s="350"/>
      <c r="D4898" s="380"/>
      <c r="G4898" s="380"/>
      <c r="J4898" s="350"/>
      <c r="K4898" s="383"/>
      <c r="L4898" s="383"/>
      <c r="M4898" s="350"/>
      <c r="N4898" s="404"/>
      <c r="O4898" s="381"/>
      <c r="R4898" s="386"/>
      <c r="S4898" s="393"/>
      <c r="V4898" s="350"/>
    </row>
    <row r="4899" spans="1:22">
      <c r="A4899" s="403"/>
      <c r="B4899" s="379"/>
      <c r="C4899" s="350"/>
      <c r="D4899" s="380"/>
      <c r="G4899" s="380"/>
      <c r="J4899" s="350"/>
      <c r="K4899" s="383"/>
      <c r="L4899" s="383"/>
      <c r="M4899" s="350"/>
      <c r="N4899" s="404"/>
      <c r="O4899" s="381"/>
      <c r="R4899" s="386"/>
      <c r="S4899" s="393"/>
      <c r="V4899" s="350"/>
    </row>
    <row r="4900" spans="1:22">
      <c r="A4900" s="403"/>
      <c r="B4900" s="379"/>
      <c r="C4900" s="350"/>
      <c r="D4900" s="380"/>
      <c r="G4900" s="380"/>
      <c r="J4900" s="350"/>
      <c r="K4900" s="383"/>
      <c r="L4900" s="383"/>
      <c r="M4900" s="350"/>
      <c r="N4900" s="404"/>
      <c r="O4900" s="381"/>
      <c r="R4900" s="386"/>
      <c r="S4900" s="393"/>
      <c r="V4900" s="350"/>
    </row>
    <row r="4901" spans="1:22">
      <c r="A4901" s="403"/>
      <c r="B4901" s="379"/>
      <c r="C4901" s="350"/>
      <c r="D4901" s="380"/>
      <c r="G4901" s="380"/>
      <c r="J4901" s="350"/>
      <c r="K4901" s="383"/>
      <c r="L4901" s="383"/>
      <c r="M4901" s="350"/>
      <c r="N4901" s="404"/>
      <c r="O4901" s="381"/>
      <c r="R4901" s="386"/>
      <c r="S4901" s="393"/>
      <c r="V4901" s="350"/>
    </row>
    <row r="4902" spans="1:22">
      <c r="A4902" s="403"/>
      <c r="B4902" s="379"/>
      <c r="C4902" s="350"/>
      <c r="D4902" s="380"/>
      <c r="G4902" s="380"/>
      <c r="J4902" s="350"/>
      <c r="K4902" s="383"/>
      <c r="L4902" s="383"/>
      <c r="M4902" s="350"/>
      <c r="N4902" s="404"/>
      <c r="O4902" s="381"/>
      <c r="R4902" s="386"/>
      <c r="S4902" s="393"/>
      <c r="V4902" s="350"/>
    </row>
    <row r="4903" spans="1:22">
      <c r="A4903" s="403"/>
      <c r="B4903" s="379"/>
      <c r="C4903" s="350"/>
      <c r="D4903" s="380"/>
      <c r="G4903" s="380"/>
      <c r="J4903" s="350"/>
      <c r="K4903" s="383"/>
      <c r="L4903" s="383"/>
      <c r="M4903" s="350"/>
      <c r="N4903" s="404"/>
      <c r="O4903" s="381"/>
      <c r="R4903" s="386"/>
      <c r="S4903" s="393"/>
      <c r="V4903" s="350"/>
    </row>
    <row r="4904" spans="1:22">
      <c r="A4904" s="403"/>
      <c r="B4904" s="379"/>
      <c r="C4904" s="350"/>
      <c r="D4904" s="380"/>
      <c r="G4904" s="380"/>
      <c r="J4904" s="350"/>
      <c r="K4904" s="383"/>
      <c r="L4904" s="383"/>
      <c r="M4904" s="350"/>
      <c r="N4904" s="404"/>
      <c r="O4904" s="381"/>
      <c r="R4904" s="386"/>
      <c r="S4904" s="393"/>
      <c r="V4904" s="350"/>
    </row>
    <row r="4905" spans="1:22">
      <c r="A4905" s="403"/>
      <c r="B4905" s="379"/>
      <c r="C4905" s="350"/>
      <c r="D4905" s="380"/>
      <c r="G4905" s="380"/>
      <c r="J4905" s="350"/>
      <c r="K4905" s="383"/>
      <c r="L4905" s="383"/>
      <c r="M4905" s="350"/>
      <c r="N4905" s="404"/>
      <c r="O4905" s="381"/>
      <c r="R4905" s="386"/>
      <c r="S4905" s="393"/>
      <c r="V4905" s="350"/>
    </row>
    <row r="4906" spans="1:22">
      <c r="A4906" s="403"/>
      <c r="B4906" s="379"/>
      <c r="C4906" s="350"/>
      <c r="D4906" s="380"/>
      <c r="G4906" s="380"/>
      <c r="J4906" s="350"/>
      <c r="K4906" s="383"/>
      <c r="L4906" s="383"/>
      <c r="M4906" s="350"/>
      <c r="N4906" s="404"/>
      <c r="O4906" s="381"/>
      <c r="R4906" s="386"/>
      <c r="S4906" s="393"/>
      <c r="V4906" s="350"/>
    </row>
    <row r="4907" spans="1:22">
      <c r="A4907" s="403"/>
      <c r="B4907" s="379"/>
      <c r="C4907" s="350"/>
      <c r="D4907" s="380"/>
      <c r="G4907" s="380"/>
      <c r="J4907" s="350"/>
      <c r="K4907" s="383"/>
      <c r="L4907" s="383"/>
      <c r="M4907" s="350"/>
      <c r="N4907" s="404"/>
      <c r="O4907" s="381"/>
      <c r="R4907" s="386"/>
      <c r="S4907" s="393"/>
      <c r="V4907" s="350"/>
    </row>
    <row r="4908" spans="1:22">
      <c r="A4908" s="403"/>
      <c r="B4908" s="379"/>
      <c r="C4908" s="350"/>
      <c r="D4908" s="380"/>
      <c r="G4908" s="380"/>
      <c r="J4908" s="350"/>
      <c r="K4908" s="383"/>
      <c r="L4908" s="383"/>
      <c r="M4908" s="350"/>
      <c r="N4908" s="404"/>
      <c r="O4908" s="381"/>
      <c r="R4908" s="386"/>
      <c r="S4908" s="393"/>
      <c r="V4908" s="350"/>
    </row>
    <row r="4909" spans="1:22">
      <c r="A4909" s="403"/>
      <c r="B4909" s="379"/>
      <c r="C4909" s="350"/>
      <c r="D4909" s="380"/>
      <c r="G4909" s="380"/>
      <c r="J4909" s="350"/>
      <c r="K4909" s="383"/>
      <c r="L4909" s="383"/>
      <c r="M4909" s="350"/>
      <c r="N4909" s="404"/>
      <c r="O4909" s="381"/>
      <c r="R4909" s="386"/>
      <c r="S4909" s="393"/>
      <c r="V4909" s="350"/>
    </row>
    <row r="4910" spans="1:22">
      <c r="A4910" s="403"/>
      <c r="B4910" s="379"/>
      <c r="C4910" s="350"/>
      <c r="D4910" s="380"/>
      <c r="G4910" s="380"/>
      <c r="J4910" s="350"/>
      <c r="K4910" s="383"/>
      <c r="L4910" s="383"/>
      <c r="M4910" s="350"/>
      <c r="N4910" s="404"/>
      <c r="O4910" s="381"/>
      <c r="R4910" s="386"/>
      <c r="S4910" s="393"/>
      <c r="V4910" s="350"/>
    </row>
    <row r="4911" spans="1:22">
      <c r="A4911" s="403"/>
      <c r="B4911" s="379"/>
      <c r="C4911" s="350"/>
      <c r="D4911" s="380"/>
      <c r="G4911" s="380"/>
      <c r="J4911" s="350"/>
      <c r="K4911" s="383"/>
      <c r="L4911" s="383"/>
      <c r="M4911" s="350"/>
      <c r="N4911" s="404"/>
      <c r="O4911" s="381"/>
      <c r="R4911" s="386"/>
      <c r="S4911" s="393"/>
      <c r="V4911" s="350"/>
    </row>
    <row r="4912" spans="1:22">
      <c r="A4912" s="403"/>
      <c r="B4912" s="379"/>
      <c r="C4912" s="350"/>
      <c r="D4912" s="380"/>
      <c r="G4912" s="380"/>
      <c r="J4912" s="350"/>
      <c r="K4912" s="383"/>
      <c r="L4912" s="383"/>
      <c r="M4912" s="350"/>
      <c r="N4912" s="404"/>
      <c r="O4912" s="381"/>
      <c r="R4912" s="386"/>
      <c r="S4912" s="393"/>
      <c r="V4912" s="350"/>
    </row>
    <row r="4913" spans="1:22">
      <c r="A4913" s="403"/>
      <c r="B4913" s="379"/>
      <c r="C4913" s="350"/>
      <c r="D4913" s="380"/>
      <c r="G4913" s="380"/>
      <c r="J4913" s="350"/>
      <c r="K4913" s="383"/>
      <c r="L4913" s="383"/>
      <c r="M4913" s="350"/>
      <c r="N4913" s="404"/>
      <c r="O4913" s="381"/>
      <c r="R4913" s="386"/>
      <c r="S4913" s="393"/>
      <c r="V4913" s="350"/>
    </row>
    <row r="4914" spans="1:22">
      <c r="A4914" s="403"/>
      <c r="B4914" s="379"/>
      <c r="C4914" s="350"/>
      <c r="D4914" s="380"/>
      <c r="G4914" s="380"/>
      <c r="J4914" s="350"/>
      <c r="K4914" s="383"/>
      <c r="L4914" s="383"/>
      <c r="M4914" s="350"/>
      <c r="N4914" s="404"/>
      <c r="O4914" s="381"/>
      <c r="R4914" s="386"/>
      <c r="S4914" s="393"/>
      <c r="V4914" s="350"/>
    </row>
    <row r="4915" spans="1:22">
      <c r="A4915" s="403"/>
      <c r="B4915" s="379"/>
      <c r="C4915" s="350"/>
      <c r="D4915" s="380"/>
      <c r="G4915" s="380"/>
      <c r="J4915" s="350"/>
      <c r="K4915" s="383"/>
      <c r="L4915" s="383"/>
      <c r="M4915" s="350"/>
      <c r="N4915" s="404"/>
      <c r="O4915" s="381"/>
      <c r="R4915" s="386"/>
      <c r="S4915" s="393"/>
      <c r="V4915" s="350"/>
    </row>
    <row r="4916" spans="1:22">
      <c r="A4916" s="403"/>
      <c r="B4916" s="379"/>
      <c r="C4916" s="350"/>
      <c r="D4916" s="380"/>
      <c r="G4916" s="380"/>
      <c r="J4916" s="350"/>
      <c r="K4916" s="383"/>
      <c r="L4916" s="383"/>
      <c r="M4916" s="350"/>
      <c r="N4916" s="404"/>
      <c r="O4916" s="381"/>
      <c r="R4916" s="386"/>
      <c r="S4916" s="393"/>
      <c r="V4916" s="350"/>
    </row>
    <row r="4917" spans="1:22">
      <c r="A4917" s="403"/>
      <c r="B4917" s="379"/>
      <c r="C4917" s="350"/>
      <c r="D4917" s="380"/>
      <c r="G4917" s="380"/>
      <c r="J4917" s="350"/>
      <c r="K4917" s="383"/>
      <c r="L4917" s="383"/>
      <c r="M4917" s="350"/>
      <c r="N4917" s="404"/>
      <c r="O4917" s="381"/>
      <c r="R4917" s="386"/>
      <c r="S4917" s="393"/>
      <c r="V4917" s="350"/>
    </row>
    <row r="4918" spans="1:22">
      <c r="A4918" s="403"/>
      <c r="B4918" s="379"/>
      <c r="C4918" s="350"/>
      <c r="D4918" s="380"/>
      <c r="G4918" s="380"/>
      <c r="J4918" s="350"/>
      <c r="K4918" s="383"/>
      <c r="L4918" s="383"/>
      <c r="M4918" s="350"/>
      <c r="N4918" s="404"/>
      <c r="O4918" s="381"/>
      <c r="R4918" s="386"/>
      <c r="S4918" s="393"/>
      <c r="V4918" s="350"/>
    </row>
    <row r="4919" spans="1:22">
      <c r="A4919" s="403"/>
      <c r="B4919" s="379"/>
      <c r="C4919" s="350"/>
      <c r="D4919" s="380"/>
      <c r="G4919" s="380"/>
      <c r="J4919" s="350"/>
      <c r="K4919" s="383"/>
      <c r="L4919" s="383"/>
      <c r="M4919" s="350"/>
      <c r="N4919" s="404"/>
      <c r="O4919" s="381"/>
      <c r="R4919" s="386"/>
      <c r="S4919" s="393"/>
      <c r="V4919" s="350"/>
    </row>
    <row r="4920" spans="1:22">
      <c r="A4920" s="403"/>
      <c r="B4920" s="379"/>
      <c r="C4920" s="350"/>
      <c r="D4920" s="380"/>
      <c r="G4920" s="380"/>
      <c r="J4920" s="350"/>
      <c r="K4920" s="383"/>
      <c r="L4920" s="383"/>
      <c r="M4920" s="350"/>
      <c r="N4920" s="404"/>
      <c r="O4920" s="381"/>
      <c r="R4920" s="386"/>
      <c r="S4920" s="393"/>
      <c r="V4920" s="350"/>
    </row>
    <row r="4921" spans="1:22">
      <c r="A4921" s="403"/>
      <c r="B4921" s="379"/>
      <c r="C4921" s="350"/>
      <c r="D4921" s="380"/>
      <c r="G4921" s="380"/>
      <c r="J4921" s="350"/>
      <c r="K4921" s="383"/>
      <c r="L4921" s="383"/>
      <c r="M4921" s="350"/>
      <c r="N4921" s="404"/>
      <c r="O4921" s="381"/>
      <c r="R4921" s="386"/>
      <c r="S4921" s="393"/>
      <c r="V4921" s="350"/>
    </row>
    <row r="4922" spans="1:22">
      <c r="A4922" s="403"/>
      <c r="B4922" s="379"/>
      <c r="C4922" s="350"/>
      <c r="D4922" s="380"/>
      <c r="G4922" s="380"/>
      <c r="J4922" s="350"/>
      <c r="K4922" s="383"/>
      <c r="L4922" s="383"/>
      <c r="M4922" s="350"/>
      <c r="N4922" s="404"/>
      <c r="O4922" s="381"/>
      <c r="R4922" s="386"/>
      <c r="S4922" s="393"/>
      <c r="V4922" s="350"/>
    </row>
    <row r="4923" spans="1:22">
      <c r="A4923" s="403"/>
      <c r="B4923" s="379"/>
      <c r="C4923" s="350"/>
      <c r="D4923" s="380"/>
      <c r="G4923" s="380"/>
      <c r="J4923" s="350"/>
      <c r="K4923" s="383"/>
      <c r="L4923" s="383"/>
      <c r="M4923" s="350"/>
      <c r="N4923" s="404"/>
      <c r="O4923" s="381"/>
      <c r="R4923" s="386"/>
      <c r="S4923" s="393"/>
      <c r="V4923" s="350"/>
    </row>
    <row r="4924" spans="1:22">
      <c r="A4924" s="403"/>
      <c r="B4924" s="379"/>
      <c r="C4924" s="350"/>
      <c r="D4924" s="380"/>
      <c r="G4924" s="380"/>
      <c r="J4924" s="350"/>
      <c r="K4924" s="383"/>
      <c r="L4924" s="383"/>
      <c r="M4924" s="350"/>
      <c r="N4924" s="404"/>
      <c r="O4924" s="381"/>
      <c r="R4924" s="386"/>
      <c r="S4924" s="393"/>
      <c r="V4924" s="350"/>
    </row>
    <row r="4925" spans="1:22">
      <c r="A4925" s="403"/>
      <c r="B4925" s="379"/>
      <c r="C4925" s="350"/>
      <c r="D4925" s="380"/>
      <c r="G4925" s="380"/>
      <c r="J4925" s="350"/>
      <c r="K4925" s="383"/>
      <c r="L4925" s="383"/>
      <c r="M4925" s="350"/>
      <c r="N4925" s="404"/>
      <c r="O4925" s="381"/>
      <c r="R4925" s="386"/>
      <c r="S4925" s="393"/>
      <c r="V4925" s="350"/>
    </row>
    <row r="4926" spans="1:22">
      <c r="A4926" s="403"/>
      <c r="B4926" s="379"/>
      <c r="C4926" s="350"/>
      <c r="D4926" s="380"/>
      <c r="G4926" s="380"/>
      <c r="J4926" s="350"/>
      <c r="K4926" s="383"/>
      <c r="L4926" s="383"/>
      <c r="M4926" s="350"/>
      <c r="N4926" s="404"/>
      <c r="O4926" s="381"/>
      <c r="R4926" s="386"/>
      <c r="S4926" s="393"/>
      <c r="V4926" s="350"/>
    </row>
    <row r="4927" spans="1:22">
      <c r="A4927" s="403"/>
      <c r="B4927" s="379"/>
      <c r="C4927" s="350"/>
      <c r="D4927" s="380"/>
      <c r="G4927" s="380"/>
      <c r="J4927" s="350"/>
      <c r="K4927" s="383"/>
      <c r="L4927" s="383"/>
      <c r="M4927" s="350"/>
      <c r="N4927" s="404"/>
      <c r="O4927" s="381"/>
      <c r="R4927" s="386"/>
      <c r="S4927" s="393"/>
      <c r="V4927" s="350"/>
    </row>
    <row r="4928" spans="1:22">
      <c r="A4928" s="403"/>
      <c r="B4928" s="379"/>
      <c r="C4928" s="350"/>
      <c r="D4928" s="380"/>
      <c r="G4928" s="380"/>
      <c r="J4928" s="350"/>
      <c r="K4928" s="383"/>
      <c r="L4928" s="383"/>
      <c r="M4928" s="350"/>
      <c r="N4928" s="404"/>
      <c r="O4928" s="381"/>
      <c r="R4928" s="386"/>
      <c r="S4928" s="393"/>
      <c r="V4928" s="350"/>
    </row>
    <row r="4929" spans="1:22">
      <c r="A4929" s="403"/>
      <c r="B4929" s="379"/>
      <c r="C4929" s="350"/>
      <c r="D4929" s="380"/>
      <c r="G4929" s="380"/>
      <c r="J4929" s="350"/>
      <c r="K4929" s="383"/>
      <c r="L4929" s="383"/>
      <c r="M4929" s="350"/>
      <c r="N4929" s="404"/>
      <c r="O4929" s="381"/>
      <c r="R4929" s="386"/>
      <c r="S4929" s="393"/>
      <c r="V4929" s="350"/>
    </row>
    <row r="4930" spans="1:22">
      <c r="A4930" s="403"/>
      <c r="B4930" s="379"/>
      <c r="C4930" s="350"/>
      <c r="D4930" s="380"/>
      <c r="G4930" s="380"/>
      <c r="J4930" s="350"/>
      <c r="K4930" s="383"/>
      <c r="L4930" s="383"/>
      <c r="M4930" s="350"/>
      <c r="N4930" s="404"/>
      <c r="O4930" s="381"/>
      <c r="R4930" s="386"/>
      <c r="S4930" s="393"/>
      <c r="V4930" s="350"/>
    </row>
    <row r="4931" spans="1:22">
      <c r="A4931" s="403"/>
      <c r="B4931" s="379"/>
      <c r="C4931" s="350"/>
      <c r="D4931" s="380"/>
      <c r="G4931" s="380"/>
      <c r="J4931" s="350"/>
      <c r="K4931" s="383"/>
      <c r="L4931" s="383"/>
      <c r="M4931" s="350"/>
      <c r="N4931" s="404"/>
      <c r="O4931" s="381"/>
      <c r="R4931" s="386"/>
      <c r="S4931" s="393"/>
      <c r="V4931" s="350"/>
    </row>
    <row r="4932" spans="1:22">
      <c r="A4932" s="403"/>
      <c r="B4932" s="379"/>
      <c r="C4932" s="350"/>
      <c r="D4932" s="380"/>
      <c r="G4932" s="380"/>
      <c r="J4932" s="350"/>
      <c r="K4932" s="383"/>
      <c r="L4932" s="383"/>
      <c r="M4932" s="350"/>
      <c r="N4932" s="404"/>
      <c r="O4932" s="381"/>
      <c r="R4932" s="386"/>
      <c r="S4932" s="393"/>
      <c r="V4932" s="350"/>
    </row>
    <row r="4933" spans="1:22">
      <c r="A4933" s="403"/>
      <c r="B4933" s="379"/>
      <c r="C4933" s="350"/>
      <c r="D4933" s="380"/>
      <c r="G4933" s="380"/>
      <c r="J4933" s="350"/>
      <c r="K4933" s="383"/>
      <c r="L4933" s="383"/>
      <c r="M4933" s="350"/>
      <c r="N4933" s="404"/>
      <c r="O4933" s="381"/>
      <c r="R4933" s="386"/>
      <c r="S4933" s="393"/>
      <c r="V4933" s="350"/>
    </row>
    <row r="4934" spans="1:22">
      <c r="A4934" s="403"/>
      <c r="B4934" s="379"/>
      <c r="C4934" s="350"/>
      <c r="D4934" s="380"/>
      <c r="G4934" s="380"/>
      <c r="J4934" s="350"/>
      <c r="K4934" s="383"/>
      <c r="L4934" s="383"/>
      <c r="M4934" s="350"/>
      <c r="N4934" s="404"/>
      <c r="O4934" s="381"/>
      <c r="R4934" s="386"/>
      <c r="S4934" s="393"/>
      <c r="V4934" s="350"/>
    </row>
    <row r="4935" spans="1:22">
      <c r="A4935" s="403"/>
      <c r="B4935" s="379"/>
      <c r="C4935" s="350"/>
      <c r="D4935" s="380"/>
      <c r="G4935" s="380"/>
      <c r="J4935" s="350"/>
      <c r="K4935" s="383"/>
      <c r="L4935" s="383"/>
      <c r="M4935" s="350"/>
      <c r="N4935" s="404"/>
      <c r="O4935" s="381"/>
      <c r="R4935" s="386"/>
      <c r="S4935" s="393"/>
      <c r="V4935" s="350"/>
    </row>
    <row r="4936" spans="1:22">
      <c r="A4936" s="403"/>
      <c r="B4936" s="379"/>
      <c r="C4936" s="350"/>
      <c r="D4936" s="380"/>
      <c r="G4936" s="380"/>
      <c r="J4936" s="350"/>
      <c r="K4936" s="383"/>
      <c r="L4936" s="383"/>
      <c r="M4936" s="350"/>
      <c r="N4936" s="404"/>
      <c r="O4936" s="381"/>
      <c r="R4936" s="386"/>
      <c r="S4936" s="393"/>
      <c r="V4936" s="350"/>
    </row>
    <row r="4937" spans="1:22">
      <c r="A4937" s="403"/>
      <c r="B4937" s="379"/>
      <c r="C4937" s="350"/>
      <c r="D4937" s="380"/>
      <c r="G4937" s="380"/>
      <c r="J4937" s="350"/>
      <c r="K4937" s="383"/>
      <c r="L4937" s="383"/>
      <c r="M4937" s="350"/>
      <c r="N4937" s="404"/>
      <c r="O4937" s="381"/>
      <c r="R4937" s="386"/>
      <c r="S4937" s="393"/>
      <c r="V4937" s="350"/>
    </row>
    <row r="4938" spans="1:22">
      <c r="A4938" s="403"/>
      <c r="B4938" s="379"/>
      <c r="C4938" s="350"/>
      <c r="D4938" s="380"/>
      <c r="G4938" s="380"/>
      <c r="J4938" s="350"/>
      <c r="K4938" s="383"/>
      <c r="L4938" s="383"/>
      <c r="M4938" s="350"/>
      <c r="N4938" s="404"/>
      <c r="O4938" s="381"/>
      <c r="R4938" s="386"/>
      <c r="S4938" s="393"/>
      <c r="V4938" s="350"/>
    </row>
    <row r="4939" spans="1:22">
      <c r="A4939" s="403"/>
      <c r="B4939" s="379"/>
      <c r="C4939" s="350"/>
      <c r="D4939" s="380"/>
      <c r="G4939" s="380"/>
      <c r="J4939" s="350"/>
      <c r="K4939" s="383"/>
      <c r="L4939" s="383"/>
      <c r="M4939" s="350"/>
      <c r="N4939" s="404"/>
      <c r="O4939" s="381"/>
      <c r="R4939" s="386"/>
      <c r="S4939" s="393"/>
      <c r="V4939" s="350"/>
    </row>
    <row r="4940" spans="1:22">
      <c r="A4940" s="403"/>
      <c r="B4940" s="379"/>
      <c r="C4940" s="350"/>
      <c r="D4940" s="380"/>
      <c r="G4940" s="380"/>
      <c r="J4940" s="350"/>
      <c r="K4940" s="383"/>
      <c r="L4940" s="383"/>
      <c r="M4940" s="350"/>
      <c r="N4940" s="404"/>
      <c r="O4940" s="381"/>
      <c r="R4940" s="386"/>
      <c r="S4940" s="393"/>
      <c r="V4940" s="350"/>
    </row>
    <row r="4941" spans="1:22">
      <c r="A4941" s="403"/>
      <c r="B4941" s="379"/>
      <c r="C4941" s="350"/>
      <c r="D4941" s="380"/>
      <c r="G4941" s="380"/>
      <c r="J4941" s="350"/>
      <c r="K4941" s="383"/>
      <c r="L4941" s="383"/>
      <c r="M4941" s="350"/>
      <c r="N4941" s="404"/>
      <c r="O4941" s="381"/>
      <c r="R4941" s="386"/>
      <c r="S4941" s="393"/>
      <c r="V4941" s="350"/>
    </row>
    <row r="4942" spans="1:22">
      <c r="A4942" s="403"/>
      <c r="B4942" s="379"/>
      <c r="C4942" s="350"/>
      <c r="D4942" s="380"/>
      <c r="G4942" s="380"/>
      <c r="J4942" s="350"/>
      <c r="K4942" s="383"/>
      <c r="L4942" s="383"/>
      <c r="M4942" s="350"/>
      <c r="N4942" s="404"/>
      <c r="O4942" s="381"/>
      <c r="R4942" s="386"/>
      <c r="S4942" s="393"/>
      <c r="V4942" s="350"/>
    </row>
    <row r="4943" spans="1:22">
      <c r="A4943" s="403"/>
      <c r="B4943" s="379"/>
      <c r="C4943" s="350"/>
      <c r="D4943" s="380"/>
      <c r="G4943" s="380"/>
      <c r="J4943" s="350"/>
      <c r="K4943" s="383"/>
      <c r="L4943" s="383"/>
      <c r="M4943" s="350"/>
      <c r="N4943" s="404"/>
      <c r="O4943" s="381"/>
      <c r="R4943" s="386"/>
      <c r="S4943" s="393"/>
      <c r="V4943" s="350"/>
    </row>
    <row r="4944" spans="1:22">
      <c r="A4944" s="403"/>
      <c r="B4944" s="379"/>
      <c r="C4944" s="350"/>
      <c r="D4944" s="380"/>
      <c r="G4944" s="380"/>
      <c r="J4944" s="350"/>
      <c r="K4944" s="383"/>
      <c r="L4944" s="383"/>
      <c r="M4944" s="350"/>
      <c r="N4944" s="404"/>
      <c r="O4944" s="381"/>
      <c r="R4944" s="386"/>
      <c r="S4944" s="393"/>
      <c r="V4944" s="350"/>
    </row>
    <row r="4945" spans="1:22">
      <c r="A4945" s="403"/>
      <c r="B4945" s="379"/>
      <c r="C4945" s="350"/>
      <c r="D4945" s="380"/>
      <c r="G4945" s="380"/>
      <c r="J4945" s="350"/>
      <c r="K4945" s="383"/>
      <c r="L4945" s="383"/>
      <c r="M4945" s="350"/>
      <c r="N4945" s="404"/>
      <c r="O4945" s="381"/>
      <c r="R4945" s="386"/>
      <c r="S4945" s="393"/>
      <c r="V4945" s="350"/>
    </row>
    <row r="4946" spans="1:22">
      <c r="A4946" s="403"/>
      <c r="B4946" s="379"/>
      <c r="C4946" s="350"/>
      <c r="D4946" s="380"/>
      <c r="G4946" s="380"/>
      <c r="J4946" s="350"/>
      <c r="K4946" s="383"/>
      <c r="L4946" s="383"/>
      <c r="M4946" s="350"/>
      <c r="N4946" s="404"/>
      <c r="O4946" s="381"/>
      <c r="R4946" s="386"/>
      <c r="S4946" s="393"/>
      <c r="V4946" s="350"/>
    </row>
    <row r="4947" spans="1:22">
      <c r="A4947" s="403"/>
      <c r="B4947" s="379"/>
      <c r="C4947" s="350"/>
      <c r="D4947" s="380"/>
      <c r="G4947" s="380"/>
      <c r="J4947" s="350"/>
      <c r="K4947" s="383"/>
      <c r="L4947" s="383"/>
      <c r="M4947" s="350"/>
      <c r="N4947" s="404"/>
      <c r="O4947" s="381"/>
      <c r="R4947" s="386"/>
      <c r="S4947" s="393"/>
      <c r="V4947" s="350"/>
    </row>
    <row r="4948" spans="1:22">
      <c r="A4948" s="403"/>
      <c r="B4948" s="379"/>
      <c r="C4948" s="350"/>
      <c r="D4948" s="380"/>
      <c r="G4948" s="380"/>
      <c r="J4948" s="350"/>
      <c r="K4948" s="383"/>
      <c r="L4948" s="383"/>
      <c r="M4948" s="350"/>
      <c r="N4948" s="404"/>
      <c r="O4948" s="381"/>
      <c r="R4948" s="386"/>
      <c r="S4948" s="393"/>
      <c r="V4948" s="350"/>
    </row>
    <row r="4949" spans="1:22">
      <c r="A4949" s="403"/>
      <c r="B4949" s="379"/>
      <c r="C4949" s="350"/>
      <c r="D4949" s="380"/>
      <c r="G4949" s="380"/>
      <c r="J4949" s="350"/>
      <c r="K4949" s="383"/>
      <c r="L4949" s="383"/>
      <c r="M4949" s="350"/>
      <c r="N4949" s="404"/>
      <c r="O4949" s="381"/>
      <c r="R4949" s="386"/>
      <c r="S4949" s="393"/>
      <c r="V4949" s="350"/>
    </row>
    <row r="4950" spans="1:22">
      <c r="A4950" s="403"/>
      <c r="B4950" s="379"/>
      <c r="C4950" s="350"/>
      <c r="D4950" s="380"/>
      <c r="G4950" s="380"/>
      <c r="J4950" s="350"/>
      <c r="K4950" s="383"/>
      <c r="L4950" s="383"/>
      <c r="M4950" s="350"/>
      <c r="N4950" s="404"/>
      <c r="O4950" s="381"/>
      <c r="R4950" s="386"/>
      <c r="S4950" s="393"/>
      <c r="V4950" s="350"/>
    </row>
    <row r="4951" spans="1:22">
      <c r="A4951" s="403"/>
      <c r="B4951" s="379"/>
      <c r="C4951" s="350"/>
      <c r="D4951" s="380"/>
      <c r="G4951" s="380"/>
      <c r="J4951" s="350"/>
      <c r="K4951" s="383"/>
      <c r="L4951" s="383"/>
      <c r="M4951" s="350"/>
      <c r="N4951" s="404"/>
      <c r="O4951" s="381"/>
      <c r="R4951" s="386"/>
      <c r="S4951" s="393"/>
      <c r="V4951" s="350"/>
    </row>
    <row r="4952" spans="1:22">
      <c r="A4952" s="403"/>
      <c r="B4952" s="379"/>
      <c r="C4952" s="350"/>
      <c r="D4952" s="380"/>
      <c r="G4952" s="380"/>
      <c r="J4952" s="350"/>
      <c r="K4952" s="383"/>
      <c r="L4952" s="383"/>
      <c r="M4952" s="350"/>
      <c r="N4952" s="404"/>
      <c r="O4952" s="381"/>
      <c r="R4952" s="386"/>
      <c r="S4952" s="393"/>
      <c r="V4952" s="350"/>
    </row>
    <row r="4953" spans="1:22">
      <c r="A4953" s="403"/>
      <c r="B4953" s="379"/>
      <c r="C4953" s="350"/>
      <c r="D4953" s="380"/>
      <c r="G4953" s="380"/>
      <c r="J4953" s="350"/>
      <c r="K4953" s="383"/>
      <c r="L4953" s="383"/>
      <c r="M4953" s="350"/>
      <c r="N4953" s="404"/>
      <c r="O4953" s="381"/>
      <c r="R4953" s="386"/>
      <c r="S4953" s="393"/>
      <c r="V4953" s="350"/>
    </row>
    <row r="4954" spans="1:22">
      <c r="A4954" s="403"/>
      <c r="B4954" s="379"/>
      <c r="C4954" s="350"/>
      <c r="D4954" s="380"/>
      <c r="G4954" s="380"/>
      <c r="J4954" s="350"/>
      <c r="K4954" s="383"/>
      <c r="L4954" s="383"/>
      <c r="M4954" s="350"/>
      <c r="N4954" s="404"/>
      <c r="O4954" s="381"/>
      <c r="R4954" s="386"/>
      <c r="S4954" s="393"/>
      <c r="V4954" s="350"/>
    </row>
    <row r="4955" spans="1:22">
      <c r="A4955" s="403"/>
      <c r="B4955" s="379"/>
      <c r="C4955" s="350"/>
      <c r="D4955" s="380"/>
      <c r="G4955" s="380"/>
      <c r="J4955" s="350"/>
      <c r="K4955" s="383"/>
      <c r="L4955" s="383"/>
      <c r="M4955" s="350"/>
      <c r="N4955" s="404"/>
      <c r="O4955" s="381"/>
      <c r="R4955" s="386"/>
      <c r="S4955" s="393"/>
      <c r="V4955" s="350"/>
    </row>
    <row r="4956" spans="1:22">
      <c r="A4956" s="403"/>
      <c r="B4956" s="379"/>
      <c r="C4956" s="350"/>
      <c r="D4956" s="380"/>
      <c r="G4956" s="380"/>
      <c r="J4956" s="350"/>
      <c r="K4956" s="383"/>
      <c r="L4956" s="383"/>
      <c r="M4956" s="350"/>
      <c r="N4956" s="404"/>
      <c r="O4956" s="381"/>
      <c r="R4956" s="386"/>
      <c r="S4956" s="393"/>
      <c r="V4956" s="350"/>
    </row>
    <row r="4957" spans="1:22">
      <c r="A4957" s="403"/>
      <c r="B4957" s="379"/>
      <c r="C4957" s="350"/>
      <c r="D4957" s="380"/>
      <c r="G4957" s="380"/>
      <c r="J4957" s="350"/>
      <c r="K4957" s="383"/>
      <c r="L4957" s="383"/>
      <c r="M4957" s="350"/>
      <c r="N4957" s="404"/>
      <c r="O4957" s="381"/>
      <c r="R4957" s="386"/>
      <c r="S4957" s="393"/>
      <c r="V4957" s="350"/>
    </row>
    <row r="4958" spans="1:22">
      <c r="A4958" s="403"/>
      <c r="B4958" s="379"/>
      <c r="C4958" s="350"/>
      <c r="D4958" s="380"/>
      <c r="G4958" s="380"/>
      <c r="J4958" s="350"/>
      <c r="K4958" s="383"/>
      <c r="L4958" s="383"/>
      <c r="M4958" s="350"/>
      <c r="N4958" s="404"/>
      <c r="O4958" s="381"/>
      <c r="R4958" s="386"/>
      <c r="S4958" s="393"/>
      <c r="V4958" s="350"/>
    </row>
    <row r="4959" spans="1:22">
      <c r="A4959" s="403"/>
      <c r="B4959" s="379"/>
      <c r="C4959" s="350"/>
      <c r="D4959" s="380"/>
      <c r="G4959" s="380"/>
      <c r="J4959" s="350"/>
      <c r="K4959" s="383"/>
      <c r="L4959" s="383"/>
      <c r="M4959" s="350"/>
      <c r="N4959" s="404"/>
      <c r="O4959" s="381"/>
      <c r="R4959" s="386"/>
      <c r="S4959" s="393"/>
      <c r="V4959" s="350"/>
    </row>
    <row r="4960" spans="1:22">
      <c r="A4960" s="403"/>
      <c r="B4960" s="379"/>
      <c r="C4960" s="350"/>
      <c r="D4960" s="380"/>
      <c r="G4960" s="380"/>
      <c r="J4960" s="350"/>
      <c r="K4960" s="383"/>
      <c r="L4960" s="383"/>
      <c r="M4960" s="350"/>
      <c r="N4960" s="404"/>
      <c r="O4960" s="381"/>
      <c r="R4960" s="386"/>
      <c r="S4960" s="393"/>
      <c r="V4960" s="350"/>
    </row>
    <row r="4961" spans="1:22">
      <c r="A4961" s="403"/>
      <c r="B4961" s="379"/>
      <c r="C4961" s="350"/>
      <c r="D4961" s="380"/>
      <c r="G4961" s="380"/>
      <c r="J4961" s="350"/>
      <c r="K4961" s="383"/>
      <c r="L4961" s="383"/>
      <c r="M4961" s="350"/>
      <c r="N4961" s="404"/>
      <c r="O4961" s="381"/>
      <c r="R4961" s="386"/>
      <c r="S4961" s="393"/>
      <c r="V4961" s="350"/>
    </row>
    <row r="4962" spans="1:22">
      <c r="A4962" s="403"/>
      <c r="B4962" s="379"/>
      <c r="C4962" s="350"/>
      <c r="D4962" s="380"/>
      <c r="G4962" s="380"/>
      <c r="J4962" s="350"/>
      <c r="K4962" s="383"/>
      <c r="L4962" s="383"/>
      <c r="M4962" s="350"/>
      <c r="N4962" s="404"/>
      <c r="O4962" s="381"/>
      <c r="R4962" s="386"/>
      <c r="S4962" s="393"/>
      <c r="V4962" s="350"/>
    </row>
    <row r="4963" spans="1:22">
      <c r="A4963" s="403"/>
      <c r="B4963" s="379"/>
      <c r="C4963" s="350"/>
      <c r="D4963" s="380"/>
      <c r="G4963" s="380"/>
      <c r="J4963" s="350"/>
      <c r="K4963" s="383"/>
      <c r="L4963" s="383"/>
      <c r="M4963" s="350"/>
      <c r="N4963" s="404"/>
      <c r="O4963" s="381"/>
      <c r="R4963" s="386"/>
      <c r="S4963" s="393"/>
      <c r="V4963" s="350"/>
    </row>
    <row r="4964" spans="1:22">
      <c r="A4964" s="403"/>
      <c r="B4964" s="379"/>
      <c r="C4964" s="350"/>
      <c r="D4964" s="380"/>
      <c r="G4964" s="380"/>
      <c r="J4964" s="350"/>
      <c r="K4964" s="383"/>
      <c r="L4964" s="383"/>
      <c r="M4964" s="350"/>
      <c r="N4964" s="404"/>
      <c r="O4964" s="381"/>
      <c r="R4964" s="386"/>
      <c r="S4964" s="393"/>
      <c r="V4964" s="350"/>
    </row>
    <row r="4965" spans="1:22">
      <c r="A4965" s="403"/>
      <c r="B4965" s="379"/>
      <c r="C4965" s="350"/>
      <c r="D4965" s="380"/>
      <c r="G4965" s="380"/>
      <c r="J4965" s="350"/>
      <c r="K4965" s="383"/>
      <c r="L4965" s="383"/>
      <c r="M4965" s="350"/>
      <c r="N4965" s="404"/>
      <c r="O4965" s="381"/>
      <c r="R4965" s="386"/>
      <c r="S4965" s="393"/>
      <c r="V4965" s="350"/>
    </row>
    <row r="4966" spans="1:22">
      <c r="A4966" s="403"/>
      <c r="B4966" s="379"/>
      <c r="C4966" s="350"/>
      <c r="D4966" s="380"/>
      <c r="G4966" s="380"/>
      <c r="J4966" s="350"/>
      <c r="K4966" s="383"/>
      <c r="L4966" s="383"/>
      <c r="M4966" s="350"/>
      <c r="N4966" s="404"/>
      <c r="O4966" s="381"/>
      <c r="R4966" s="386"/>
      <c r="S4966" s="393"/>
      <c r="V4966" s="350"/>
    </row>
    <row r="4967" spans="1:22">
      <c r="A4967" s="403"/>
      <c r="B4967" s="379"/>
      <c r="C4967" s="350"/>
      <c r="D4967" s="380"/>
      <c r="G4967" s="380"/>
      <c r="J4967" s="350"/>
      <c r="K4967" s="383"/>
      <c r="L4967" s="383"/>
      <c r="M4967" s="350"/>
      <c r="N4967" s="404"/>
      <c r="O4967" s="381"/>
      <c r="R4967" s="386"/>
      <c r="S4967" s="393"/>
      <c r="V4967" s="350"/>
    </row>
    <row r="4968" spans="1:22">
      <c r="A4968" s="403"/>
      <c r="B4968" s="379"/>
      <c r="C4968" s="350"/>
      <c r="D4968" s="380"/>
      <c r="G4968" s="380"/>
      <c r="J4968" s="350"/>
      <c r="K4968" s="383"/>
      <c r="L4968" s="383"/>
      <c r="M4968" s="350"/>
      <c r="N4968" s="404"/>
      <c r="O4968" s="381"/>
      <c r="R4968" s="386"/>
      <c r="S4968" s="393"/>
      <c r="V4968" s="350"/>
    </row>
    <row r="4969" spans="1:22">
      <c r="A4969" s="403"/>
      <c r="B4969" s="379"/>
      <c r="C4969" s="350"/>
      <c r="D4969" s="380"/>
      <c r="G4969" s="380"/>
      <c r="J4969" s="350"/>
      <c r="K4969" s="383"/>
      <c r="L4969" s="383"/>
      <c r="M4969" s="350"/>
      <c r="N4969" s="404"/>
      <c r="O4969" s="381"/>
      <c r="R4969" s="386"/>
      <c r="S4969" s="393"/>
      <c r="V4969" s="350"/>
    </row>
    <row r="4970" spans="1:22">
      <c r="A4970" s="403"/>
      <c r="B4970" s="379"/>
      <c r="C4970" s="350"/>
      <c r="D4970" s="380"/>
      <c r="G4970" s="380"/>
      <c r="J4970" s="350"/>
      <c r="K4970" s="383"/>
      <c r="L4970" s="383"/>
      <c r="M4970" s="350"/>
      <c r="N4970" s="404"/>
      <c r="O4970" s="381"/>
      <c r="R4970" s="386"/>
      <c r="S4970" s="393"/>
      <c r="V4970" s="350"/>
    </row>
    <row r="4971" spans="1:22">
      <c r="A4971" s="403"/>
      <c r="B4971" s="379"/>
      <c r="C4971" s="350"/>
      <c r="D4971" s="380"/>
      <c r="G4971" s="380"/>
      <c r="J4971" s="350"/>
      <c r="K4971" s="383"/>
      <c r="L4971" s="383"/>
      <c r="M4971" s="350"/>
      <c r="N4971" s="404"/>
      <c r="O4971" s="381"/>
      <c r="R4971" s="386"/>
      <c r="S4971" s="393"/>
      <c r="V4971" s="350"/>
    </row>
    <row r="4972" spans="1:22">
      <c r="A4972" s="403"/>
      <c r="B4972" s="379"/>
      <c r="C4972" s="350"/>
      <c r="D4972" s="380"/>
      <c r="G4972" s="380"/>
      <c r="J4972" s="350"/>
      <c r="K4972" s="383"/>
      <c r="L4972" s="383"/>
      <c r="M4972" s="350"/>
      <c r="N4972" s="404"/>
      <c r="O4972" s="381"/>
      <c r="R4972" s="386"/>
      <c r="S4972" s="393"/>
      <c r="V4972" s="350"/>
    </row>
    <row r="4973" spans="1:22">
      <c r="A4973" s="403"/>
      <c r="B4973" s="379"/>
      <c r="C4973" s="350"/>
      <c r="D4973" s="380"/>
      <c r="G4973" s="380"/>
      <c r="J4973" s="350"/>
      <c r="K4973" s="383"/>
      <c r="L4973" s="383"/>
      <c r="M4973" s="350"/>
      <c r="N4973" s="404"/>
      <c r="O4973" s="381"/>
      <c r="R4973" s="386"/>
      <c r="S4973" s="393"/>
      <c r="V4973" s="350"/>
    </row>
    <row r="4974" spans="1:22">
      <c r="A4974" s="403"/>
      <c r="B4974" s="379"/>
      <c r="C4974" s="350"/>
      <c r="D4974" s="380"/>
      <c r="G4974" s="380"/>
      <c r="J4974" s="350"/>
      <c r="K4974" s="383"/>
      <c r="L4974" s="383"/>
      <c r="M4974" s="350"/>
      <c r="N4974" s="404"/>
      <c r="O4974" s="381"/>
      <c r="R4974" s="386"/>
      <c r="S4974" s="393"/>
      <c r="V4974" s="350"/>
    </row>
    <row r="4975" spans="1:22">
      <c r="A4975" s="403"/>
      <c r="B4975" s="379"/>
      <c r="C4975" s="350"/>
      <c r="D4975" s="380"/>
      <c r="G4975" s="380"/>
      <c r="J4975" s="350"/>
      <c r="K4975" s="383"/>
      <c r="L4975" s="383"/>
      <c r="M4975" s="350"/>
      <c r="N4975" s="404"/>
      <c r="O4975" s="381"/>
      <c r="R4975" s="386"/>
      <c r="S4975" s="393"/>
      <c r="V4975" s="350"/>
    </row>
    <row r="4976" spans="1:22">
      <c r="A4976" s="403"/>
      <c r="B4976" s="379"/>
      <c r="C4976" s="350"/>
      <c r="D4976" s="380"/>
      <c r="G4976" s="380"/>
      <c r="J4976" s="350"/>
      <c r="K4976" s="383"/>
      <c r="L4976" s="383"/>
      <c r="M4976" s="350"/>
      <c r="N4976" s="404"/>
      <c r="O4976" s="381"/>
      <c r="R4976" s="386"/>
      <c r="S4976" s="393"/>
      <c r="V4976" s="350"/>
    </row>
    <row r="4977" spans="1:22">
      <c r="A4977" s="403"/>
      <c r="B4977" s="379"/>
      <c r="C4977" s="350"/>
      <c r="D4977" s="380"/>
      <c r="G4977" s="380"/>
      <c r="J4977" s="350"/>
      <c r="K4977" s="383"/>
      <c r="L4977" s="383"/>
      <c r="M4977" s="350"/>
      <c r="N4977" s="404"/>
      <c r="O4977" s="381"/>
      <c r="R4977" s="386"/>
      <c r="S4977" s="393"/>
      <c r="V4977" s="350"/>
    </row>
    <row r="4978" spans="1:22">
      <c r="A4978" s="403"/>
      <c r="B4978" s="379"/>
      <c r="C4978" s="350"/>
      <c r="D4978" s="380"/>
      <c r="G4978" s="380"/>
      <c r="J4978" s="350"/>
      <c r="K4978" s="383"/>
      <c r="L4978" s="383"/>
      <c r="M4978" s="350"/>
      <c r="N4978" s="404"/>
      <c r="O4978" s="381"/>
      <c r="R4978" s="386"/>
      <c r="S4978" s="393"/>
      <c r="V4978" s="350"/>
    </row>
    <row r="4979" spans="1:22">
      <c r="A4979" s="403"/>
      <c r="B4979" s="379"/>
      <c r="C4979" s="350"/>
      <c r="D4979" s="380"/>
      <c r="G4979" s="380"/>
      <c r="J4979" s="350"/>
      <c r="K4979" s="383"/>
      <c r="L4979" s="383"/>
      <c r="M4979" s="350"/>
      <c r="N4979" s="404"/>
      <c r="O4979" s="381"/>
      <c r="R4979" s="386"/>
      <c r="S4979" s="393"/>
      <c r="V4979" s="350"/>
    </row>
    <row r="4980" spans="1:22">
      <c r="A4980" s="403"/>
      <c r="B4980" s="379"/>
      <c r="C4980" s="350"/>
      <c r="D4980" s="380"/>
      <c r="G4980" s="380"/>
      <c r="J4980" s="350"/>
      <c r="K4980" s="383"/>
      <c r="L4980" s="383"/>
      <c r="M4980" s="350"/>
      <c r="N4980" s="404"/>
      <c r="O4980" s="381"/>
      <c r="R4980" s="386"/>
      <c r="S4980" s="393"/>
      <c r="V4980" s="350"/>
    </row>
    <row r="4981" spans="1:22">
      <c r="A4981" s="403"/>
      <c r="B4981" s="379"/>
      <c r="C4981" s="350"/>
      <c r="D4981" s="380"/>
      <c r="G4981" s="380"/>
      <c r="J4981" s="350"/>
      <c r="K4981" s="383"/>
      <c r="L4981" s="383"/>
      <c r="M4981" s="350"/>
      <c r="N4981" s="404"/>
      <c r="O4981" s="381"/>
      <c r="R4981" s="386"/>
      <c r="S4981" s="393"/>
      <c r="V4981" s="350"/>
    </row>
    <row r="4982" spans="1:22">
      <c r="A4982" s="403"/>
      <c r="B4982" s="379"/>
      <c r="C4982" s="350"/>
      <c r="D4982" s="380"/>
      <c r="G4982" s="380"/>
      <c r="J4982" s="350"/>
      <c r="K4982" s="383"/>
      <c r="L4982" s="383"/>
      <c r="M4982" s="350"/>
      <c r="N4982" s="404"/>
      <c r="O4982" s="381"/>
      <c r="R4982" s="386"/>
      <c r="S4982" s="393"/>
      <c r="V4982" s="350"/>
    </row>
    <row r="4983" spans="1:22">
      <c r="A4983" s="403"/>
      <c r="B4983" s="379"/>
      <c r="C4983" s="350"/>
      <c r="D4983" s="380"/>
      <c r="G4983" s="380"/>
      <c r="J4983" s="350"/>
      <c r="K4983" s="383"/>
      <c r="L4983" s="383"/>
      <c r="M4983" s="350"/>
      <c r="N4983" s="404"/>
      <c r="O4983" s="381"/>
      <c r="R4983" s="386"/>
      <c r="S4983" s="393"/>
      <c r="V4983" s="350"/>
    </row>
    <row r="4984" spans="1:22">
      <c r="A4984" s="403"/>
      <c r="B4984" s="379"/>
      <c r="C4984" s="350"/>
      <c r="D4984" s="380"/>
      <c r="G4984" s="380"/>
      <c r="J4984" s="350"/>
      <c r="K4984" s="383"/>
      <c r="L4984" s="383"/>
      <c r="M4984" s="350"/>
      <c r="N4984" s="404"/>
      <c r="O4984" s="381"/>
      <c r="R4984" s="386"/>
      <c r="S4984" s="393"/>
      <c r="V4984" s="350"/>
    </row>
    <row r="4985" spans="1:22">
      <c r="A4985" s="403"/>
      <c r="B4985" s="379"/>
      <c r="C4985" s="350"/>
      <c r="D4985" s="380"/>
      <c r="G4985" s="380"/>
      <c r="J4985" s="350"/>
      <c r="K4985" s="383"/>
      <c r="L4985" s="383"/>
      <c r="M4985" s="350"/>
      <c r="N4985" s="404"/>
      <c r="O4985" s="381"/>
      <c r="R4985" s="386"/>
      <c r="S4985" s="393"/>
      <c r="V4985" s="350"/>
    </row>
    <row r="4986" spans="1:22">
      <c r="A4986" s="403"/>
      <c r="B4986" s="379"/>
      <c r="C4986" s="350"/>
      <c r="D4986" s="380"/>
      <c r="G4986" s="380"/>
      <c r="J4986" s="350"/>
      <c r="K4986" s="383"/>
      <c r="L4986" s="383"/>
      <c r="M4986" s="350"/>
      <c r="N4986" s="404"/>
      <c r="O4986" s="381"/>
      <c r="R4986" s="386"/>
      <c r="S4986" s="393"/>
      <c r="V4986" s="350"/>
    </row>
    <row r="4987" spans="1:22">
      <c r="A4987" s="403"/>
      <c r="B4987" s="379"/>
      <c r="C4987" s="350"/>
      <c r="D4987" s="380"/>
      <c r="G4987" s="380"/>
      <c r="J4987" s="350"/>
      <c r="K4987" s="383"/>
      <c r="L4987" s="383"/>
      <c r="M4987" s="350"/>
      <c r="N4987" s="404"/>
      <c r="O4987" s="381"/>
      <c r="R4987" s="386"/>
      <c r="S4987" s="393"/>
      <c r="V4987" s="350"/>
    </row>
    <row r="4988" spans="1:22">
      <c r="A4988" s="403"/>
      <c r="B4988" s="379"/>
      <c r="C4988" s="350"/>
      <c r="D4988" s="380"/>
      <c r="G4988" s="380"/>
      <c r="J4988" s="350"/>
      <c r="K4988" s="383"/>
      <c r="L4988" s="383"/>
      <c r="M4988" s="350"/>
      <c r="N4988" s="404"/>
      <c r="O4988" s="381"/>
      <c r="R4988" s="386"/>
      <c r="S4988" s="393"/>
      <c r="V4988" s="350"/>
    </row>
    <row r="4989" spans="1:22">
      <c r="A4989" s="403"/>
      <c r="B4989" s="379"/>
      <c r="C4989" s="350"/>
      <c r="D4989" s="380"/>
      <c r="G4989" s="380"/>
      <c r="J4989" s="350"/>
      <c r="K4989" s="383"/>
      <c r="L4989" s="383"/>
      <c r="M4989" s="350"/>
      <c r="N4989" s="404"/>
      <c r="O4989" s="381"/>
      <c r="R4989" s="386"/>
      <c r="S4989" s="393"/>
      <c r="V4989" s="350"/>
    </row>
    <row r="4990" spans="1:22">
      <c r="A4990" s="403"/>
      <c r="B4990" s="379"/>
      <c r="C4990" s="350"/>
      <c r="D4990" s="380"/>
      <c r="G4990" s="380"/>
      <c r="J4990" s="350"/>
      <c r="K4990" s="383"/>
      <c r="L4990" s="383"/>
      <c r="M4990" s="350"/>
      <c r="N4990" s="404"/>
      <c r="O4990" s="381"/>
      <c r="R4990" s="386"/>
      <c r="S4990" s="393"/>
      <c r="V4990" s="350"/>
    </row>
    <row r="4991" spans="1:22">
      <c r="A4991" s="403"/>
      <c r="B4991" s="379"/>
      <c r="C4991" s="350"/>
      <c r="D4991" s="380"/>
      <c r="G4991" s="380"/>
      <c r="J4991" s="350"/>
      <c r="K4991" s="383"/>
      <c r="L4991" s="383"/>
      <c r="M4991" s="350"/>
      <c r="N4991" s="404"/>
      <c r="O4991" s="381"/>
      <c r="R4991" s="386"/>
      <c r="S4991" s="393"/>
      <c r="V4991" s="350"/>
    </row>
    <row r="4992" spans="1:22">
      <c r="A4992" s="403"/>
      <c r="B4992" s="379"/>
      <c r="C4992" s="350"/>
      <c r="D4992" s="380"/>
      <c r="G4992" s="380"/>
      <c r="J4992" s="350"/>
      <c r="K4992" s="383"/>
      <c r="L4992" s="383"/>
      <c r="M4992" s="350"/>
      <c r="N4992" s="404"/>
      <c r="O4992" s="381"/>
      <c r="R4992" s="386"/>
      <c r="S4992" s="393"/>
      <c r="V4992" s="350"/>
    </row>
    <row r="4993" spans="1:22">
      <c r="A4993" s="403"/>
      <c r="B4993" s="379"/>
      <c r="C4993" s="350"/>
      <c r="D4993" s="380"/>
      <c r="G4993" s="380"/>
      <c r="J4993" s="350"/>
      <c r="K4993" s="383"/>
      <c r="L4993" s="383"/>
      <c r="M4993" s="350"/>
      <c r="N4993" s="404"/>
      <c r="O4993" s="381"/>
      <c r="R4993" s="386"/>
      <c r="S4993" s="393"/>
      <c r="V4993" s="350"/>
    </row>
    <row r="4994" spans="1:22">
      <c r="A4994" s="403"/>
      <c r="B4994" s="379"/>
      <c r="C4994" s="350"/>
      <c r="D4994" s="380"/>
      <c r="G4994" s="380"/>
      <c r="J4994" s="350"/>
      <c r="K4994" s="383"/>
      <c r="L4994" s="383"/>
      <c r="M4994" s="350"/>
      <c r="N4994" s="404"/>
      <c r="O4994" s="381"/>
      <c r="R4994" s="386"/>
      <c r="S4994" s="393"/>
      <c r="V4994" s="350"/>
    </row>
    <row r="4995" spans="1:22">
      <c r="A4995" s="403"/>
      <c r="B4995" s="379"/>
      <c r="C4995" s="350"/>
      <c r="D4995" s="380"/>
      <c r="G4995" s="380"/>
      <c r="J4995" s="350"/>
      <c r="K4995" s="383"/>
      <c r="L4995" s="383"/>
      <c r="M4995" s="350"/>
      <c r="N4995" s="404"/>
      <c r="O4995" s="381"/>
      <c r="R4995" s="386"/>
      <c r="S4995" s="393"/>
      <c r="V4995" s="350"/>
    </row>
    <row r="4996" spans="1:22">
      <c r="A4996" s="403"/>
      <c r="B4996" s="379"/>
      <c r="C4996" s="350"/>
      <c r="D4996" s="380"/>
      <c r="G4996" s="380"/>
      <c r="J4996" s="350"/>
      <c r="K4996" s="383"/>
      <c r="L4996" s="383"/>
      <c r="M4996" s="350"/>
      <c r="N4996" s="404"/>
      <c r="O4996" s="381"/>
      <c r="R4996" s="386"/>
      <c r="S4996" s="393"/>
      <c r="V4996" s="350"/>
    </row>
    <row r="4997" spans="1:22">
      <c r="A4997" s="403"/>
      <c r="B4997" s="379"/>
      <c r="C4997" s="350"/>
      <c r="D4997" s="380"/>
      <c r="G4997" s="380"/>
      <c r="J4997" s="350"/>
      <c r="K4997" s="383"/>
      <c r="L4997" s="383"/>
      <c r="M4997" s="350"/>
      <c r="N4997" s="404"/>
      <c r="O4997" s="381"/>
      <c r="R4997" s="386"/>
      <c r="S4997" s="393"/>
      <c r="V4997" s="350"/>
    </row>
    <row r="4998" spans="1:22">
      <c r="A4998" s="403"/>
      <c r="B4998" s="379"/>
      <c r="C4998" s="350"/>
      <c r="D4998" s="380"/>
      <c r="G4998" s="380"/>
      <c r="J4998" s="350"/>
      <c r="K4998" s="383"/>
      <c r="L4998" s="383"/>
      <c r="M4998" s="350"/>
      <c r="N4998" s="404"/>
      <c r="O4998" s="381"/>
      <c r="R4998" s="386"/>
      <c r="S4998" s="393"/>
      <c r="V4998" s="350"/>
    </row>
    <row r="4999" spans="1:22">
      <c r="A4999" s="403"/>
      <c r="B4999" s="379"/>
      <c r="C4999" s="350"/>
      <c r="D4999" s="380"/>
      <c r="G4999" s="380"/>
      <c r="J4999" s="350"/>
      <c r="K4999" s="383"/>
      <c r="L4999" s="383"/>
      <c r="M4999" s="350"/>
      <c r="N4999" s="404"/>
      <c r="O4999" s="381"/>
      <c r="R4999" s="386"/>
      <c r="S4999" s="393"/>
      <c r="V4999" s="350"/>
    </row>
    <row r="5000" spans="1:22">
      <c r="A5000" s="403"/>
      <c r="B5000" s="379"/>
      <c r="C5000" s="350"/>
      <c r="D5000" s="380"/>
      <c r="G5000" s="380"/>
      <c r="J5000" s="350"/>
      <c r="K5000" s="383"/>
      <c r="L5000" s="383"/>
      <c r="M5000" s="350"/>
      <c r="N5000" s="404"/>
      <c r="O5000" s="381"/>
      <c r="R5000" s="386"/>
      <c r="S5000" s="393"/>
      <c r="V5000" s="350"/>
    </row>
    <row r="5001" spans="1:22">
      <c r="A5001" s="403"/>
      <c r="B5001" s="379"/>
      <c r="C5001" s="350"/>
      <c r="D5001" s="380"/>
      <c r="G5001" s="380"/>
      <c r="J5001" s="350"/>
      <c r="K5001" s="383"/>
      <c r="L5001" s="383"/>
      <c r="M5001" s="350"/>
      <c r="N5001" s="404"/>
      <c r="O5001" s="381"/>
      <c r="R5001" s="386"/>
      <c r="S5001" s="393"/>
      <c r="V5001" s="350"/>
    </row>
    <row r="5002" spans="1:22">
      <c r="A5002" s="403"/>
      <c r="B5002" s="379"/>
      <c r="C5002" s="350"/>
      <c r="D5002" s="380"/>
      <c r="G5002" s="380"/>
      <c r="J5002" s="350"/>
      <c r="K5002" s="383"/>
      <c r="L5002" s="383"/>
      <c r="M5002" s="350"/>
      <c r="N5002" s="404"/>
      <c r="O5002" s="381"/>
      <c r="R5002" s="386"/>
      <c r="S5002" s="393"/>
      <c r="V5002" s="350"/>
    </row>
    <row r="5003" spans="1:22">
      <c r="A5003" s="403"/>
      <c r="B5003" s="379"/>
      <c r="C5003" s="350"/>
      <c r="D5003" s="380"/>
      <c r="G5003" s="380"/>
      <c r="J5003" s="350"/>
      <c r="K5003" s="383"/>
      <c r="L5003" s="383"/>
      <c r="M5003" s="350"/>
      <c r="N5003" s="404"/>
      <c r="O5003" s="381"/>
      <c r="R5003" s="386"/>
      <c r="S5003" s="393"/>
      <c r="V5003" s="350"/>
    </row>
    <row r="5004" spans="1:22">
      <c r="A5004" s="403"/>
      <c r="B5004" s="379"/>
      <c r="C5004" s="350"/>
      <c r="D5004" s="380"/>
      <c r="G5004" s="380"/>
      <c r="J5004" s="350"/>
      <c r="K5004" s="383"/>
      <c r="L5004" s="383"/>
      <c r="M5004" s="350"/>
      <c r="N5004" s="404"/>
      <c r="O5004" s="381"/>
      <c r="R5004" s="386"/>
      <c r="S5004" s="393"/>
      <c r="V5004" s="350"/>
    </row>
    <row r="5005" spans="1:22">
      <c r="A5005" s="403"/>
      <c r="B5005" s="379"/>
      <c r="C5005" s="350"/>
      <c r="D5005" s="380"/>
      <c r="G5005" s="380"/>
      <c r="J5005" s="350"/>
      <c r="K5005" s="383"/>
      <c r="L5005" s="383"/>
      <c r="M5005" s="350"/>
      <c r="N5005" s="404"/>
      <c r="O5005" s="381"/>
      <c r="R5005" s="386"/>
      <c r="S5005" s="393"/>
      <c r="V5005" s="350"/>
    </row>
    <row r="5006" spans="1:22">
      <c r="A5006" s="403"/>
      <c r="B5006" s="379"/>
      <c r="C5006" s="350"/>
      <c r="D5006" s="380"/>
      <c r="G5006" s="380"/>
      <c r="J5006" s="350"/>
      <c r="K5006" s="383"/>
      <c r="L5006" s="383"/>
      <c r="M5006" s="350"/>
      <c r="N5006" s="404"/>
      <c r="O5006" s="381"/>
      <c r="R5006" s="386"/>
      <c r="S5006" s="393"/>
      <c r="V5006" s="350"/>
    </row>
    <row r="5007" spans="1:22">
      <c r="A5007" s="403"/>
      <c r="B5007" s="379"/>
      <c r="C5007" s="350"/>
      <c r="D5007" s="380"/>
      <c r="G5007" s="380"/>
      <c r="J5007" s="350"/>
      <c r="K5007" s="383"/>
      <c r="L5007" s="383"/>
      <c r="M5007" s="350"/>
      <c r="N5007" s="404"/>
      <c r="O5007" s="381"/>
      <c r="R5007" s="386"/>
      <c r="S5007" s="393"/>
      <c r="V5007" s="350"/>
    </row>
    <row r="5008" spans="1:22">
      <c r="A5008" s="403"/>
      <c r="B5008" s="379"/>
      <c r="C5008" s="350"/>
      <c r="D5008" s="380"/>
      <c r="G5008" s="380"/>
      <c r="J5008" s="350"/>
      <c r="K5008" s="383"/>
      <c r="L5008" s="383"/>
      <c r="M5008" s="350"/>
      <c r="N5008" s="404"/>
      <c r="O5008" s="381"/>
      <c r="R5008" s="386"/>
      <c r="S5008" s="393"/>
      <c r="V5008" s="350"/>
    </row>
    <row r="5009" spans="1:22">
      <c r="A5009" s="403"/>
      <c r="B5009" s="379"/>
      <c r="C5009" s="350"/>
      <c r="D5009" s="380"/>
      <c r="G5009" s="380"/>
      <c r="J5009" s="350"/>
      <c r="K5009" s="383"/>
      <c r="L5009" s="383"/>
      <c r="M5009" s="350"/>
      <c r="N5009" s="404"/>
      <c r="O5009" s="381"/>
      <c r="R5009" s="386"/>
      <c r="S5009" s="393"/>
      <c r="V5009" s="350"/>
    </row>
    <row r="5010" spans="1:22">
      <c r="A5010" s="403"/>
      <c r="B5010" s="379"/>
      <c r="C5010" s="350"/>
      <c r="D5010" s="380"/>
      <c r="G5010" s="380"/>
      <c r="J5010" s="350"/>
      <c r="K5010" s="383"/>
      <c r="L5010" s="383"/>
      <c r="M5010" s="350"/>
      <c r="N5010" s="404"/>
      <c r="O5010" s="381"/>
      <c r="R5010" s="386"/>
      <c r="S5010" s="393"/>
      <c r="V5010" s="350"/>
    </row>
    <row r="5011" spans="1:22">
      <c r="A5011" s="403"/>
      <c r="B5011" s="379"/>
      <c r="C5011" s="350"/>
      <c r="D5011" s="380"/>
      <c r="G5011" s="380"/>
      <c r="J5011" s="350"/>
      <c r="K5011" s="383"/>
      <c r="L5011" s="383"/>
      <c r="M5011" s="350"/>
      <c r="N5011" s="404"/>
      <c r="O5011" s="381"/>
      <c r="R5011" s="386"/>
      <c r="S5011" s="393"/>
      <c r="V5011" s="350"/>
    </row>
    <row r="5012" spans="1:22">
      <c r="A5012" s="403"/>
      <c r="B5012" s="379"/>
      <c r="C5012" s="350"/>
      <c r="D5012" s="380"/>
      <c r="G5012" s="380"/>
      <c r="J5012" s="350"/>
      <c r="K5012" s="383"/>
      <c r="L5012" s="383"/>
      <c r="M5012" s="350"/>
      <c r="N5012" s="404"/>
      <c r="O5012" s="381"/>
      <c r="R5012" s="386"/>
      <c r="S5012" s="393"/>
      <c r="V5012" s="350"/>
    </row>
    <row r="5013" spans="1:22">
      <c r="A5013" s="403"/>
      <c r="B5013" s="379"/>
      <c r="C5013" s="350"/>
      <c r="D5013" s="380"/>
      <c r="G5013" s="380"/>
      <c r="J5013" s="350"/>
      <c r="K5013" s="383"/>
      <c r="L5013" s="383"/>
      <c r="M5013" s="350"/>
      <c r="N5013" s="404"/>
      <c r="O5013" s="381"/>
      <c r="R5013" s="386"/>
      <c r="S5013" s="393"/>
      <c r="V5013" s="350"/>
    </row>
    <row r="5014" spans="1:22">
      <c r="A5014" s="403"/>
      <c r="B5014" s="379"/>
      <c r="C5014" s="350"/>
      <c r="D5014" s="380"/>
      <c r="G5014" s="380"/>
      <c r="J5014" s="350"/>
      <c r="K5014" s="383"/>
      <c r="L5014" s="383"/>
      <c r="M5014" s="350"/>
      <c r="N5014" s="404"/>
      <c r="O5014" s="381"/>
      <c r="R5014" s="386"/>
      <c r="S5014" s="393"/>
      <c r="V5014" s="350"/>
    </row>
    <row r="5015" spans="1:22">
      <c r="A5015" s="403"/>
      <c r="B5015" s="379"/>
      <c r="C5015" s="350"/>
      <c r="D5015" s="380"/>
      <c r="G5015" s="380"/>
      <c r="J5015" s="350"/>
      <c r="K5015" s="383"/>
      <c r="L5015" s="383"/>
      <c r="M5015" s="350"/>
      <c r="N5015" s="404"/>
      <c r="O5015" s="381"/>
      <c r="R5015" s="386"/>
      <c r="S5015" s="393"/>
      <c r="V5015" s="350"/>
    </row>
    <row r="5016" spans="1:22">
      <c r="A5016" s="403"/>
      <c r="B5016" s="379"/>
      <c r="C5016" s="350"/>
      <c r="D5016" s="380"/>
      <c r="G5016" s="380"/>
      <c r="J5016" s="350"/>
      <c r="K5016" s="383"/>
      <c r="L5016" s="383"/>
      <c r="M5016" s="350"/>
      <c r="N5016" s="404"/>
      <c r="O5016" s="381"/>
      <c r="R5016" s="386"/>
      <c r="S5016" s="393"/>
      <c r="V5016" s="350"/>
    </row>
    <row r="5017" spans="1:22">
      <c r="A5017" s="403"/>
      <c r="B5017" s="379"/>
      <c r="C5017" s="350"/>
      <c r="D5017" s="380"/>
      <c r="G5017" s="380"/>
      <c r="J5017" s="350"/>
      <c r="K5017" s="383"/>
      <c r="L5017" s="383"/>
      <c r="M5017" s="350"/>
      <c r="N5017" s="404"/>
      <c r="O5017" s="381"/>
      <c r="R5017" s="386"/>
      <c r="S5017" s="393"/>
      <c r="V5017" s="350"/>
    </row>
    <row r="5018" spans="1:22">
      <c r="A5018" s="403"/>
      <c r="B5018" s="379"/>
      <c r="C5018" s="350"/>
      <c r="D5018" s="380"/>
      <c r="G5018" s="380"/>
      <c r="J5018" s="350"/>
      <c r="K5018" s="383"/>
      <c r="L5018" s="383"/>
      <c r="M5018" s="350"/>
      <c r="N5018" s="404"/>
      <c r="O5018" s="381"/>
      <c r="R5018" s="386"/>
      <c r="S5018" s="393"/>
      <c r="V5018" s="350"/>
    </row>
    <row r="5019" spans="1:22">
      <c r="A5019" s="403"/>
      <c r="B5019" s="379"/>
      <c r="C5019" s="350"/>
      <c r="D5019" s="380"/>
      <c r="G5019" s="380"/>
      <c r="J5019" s="350"/>
      <c r="K5019" s="383"/>
      <c r="L5019" s="383"/>
      <c r="M5019" s="350"/>
      <c r="N5019" s="404"/>
      <c r="O5019" s="381"/>
      <c r="R5019" s="386"/>
      <c r="S5019" s="393"/>
      <c r="V5019" s="350"/>
    </row>
    <row r="5020" spans="1:22">
      <c r="A5020" s="403"/>
      <c r="B5020" s="379"/>
      <c r="C5020" s="350"/>
      <c r="D5020" s="380"/>
      <c r="G5020" s="380"/>
      <c r="J5020" s="350"/>
      <c r="K5020" s="383"/>
      <c r="L5020" s="383"/>
      <c r="M5020" s="350"/>
      <c r="N5020" s="404"/>
      <c r="O5020" s="381"/>
      <c r="R5020" s="386"/>
      <c r="S5020" s="393"/>
      <c r="V5020" s="350"/>
    </row>
    <row r="5021" spans="1:22">
      <c r="A5021" s="403"/>
      <c r="B5021" s="379"/>
      <c r="C5021" s="350"/>
      <c r="D5021" s="380"/>
      <c r="G5021" s="380"/>
      <c r="J5021" s="350"/>
      <c r="K5021" s="383"/>
      <c r="L5021" s="383"/>
      <c r="M5021" s="350"/>
      <c r="N5021" s="404"/>
      <c r="O5021" s="381"/>
      <c r="R5021" s="386"/>
      <c r="S5021" s="393"/>
      <c r="V5021" s="350"/>
    </row>
    <row r="5022" spans="1:22">
      <c r="A5022" s="403"/>
      <c r="B5022" s="379"/>
      <c r="C5022" s="350"/>
      <c r="D5022" s="380"/>
      <c r="G5022" s="380"/>
      <c r="J5022" s="350"/>
      <c r="K5022" s="383"/>
      <c r="L5022" s="383"/>
      <c r="M5022" s="350"/>
      <c r="N5022" s="404"/>
      <c r="O5022" s="381"/>
      <c r="R5022" s="386"/>
      <c r="S5022" s="393"/>
      <c r="V5022" s="350"/>
    </row>
    <row r="5023" spans="1:22">
      <c r="A5023" s="403"/>
      <c r="B5023" s="379"/>
      <c r="C5023" s="350"/>
      <c r="D5023" s="380"/>
      <c r="G5023" s="380"/>
      <c r="J5023" s="350"/>
      <c r="K5023" s="383"/>
      <c r="L5023" s="383"/>
      <c r="M5023" s="350"/>
      <c r="N5023" s="404"/>
      <c r="O5023" s="381"/>
      <c r="R5023" s="386"/>
      <c r="S5023" s="393"/>
      <c r="V5023" s="350"/>
    </row>
    <row r="5024" spans="1:22">
      <c r="A5024" s="403"/>
      <c r="B5024" s="379"/>
      <c r="C5024" s="350"/>
      <c r="D5024" s="380"/>
      <c r="G5024" s="380"/>
      <c r="J5024" s="350"/>
      <c r="K5024" s="383"/>
      <c r="L5024" s="383"/>
      <c r="M5024" s="350"/>
      <c r="N5024" s="404"/>
      <c r="O5024" s="381"/>
      <c r="R5024" s="386"/>
      <c r="S5024" s="393"/>
      <c r="V5024" s="350"/>
    </row>
    <row r="5025" spans="1:22">
      <c r="A5025" s="403"/>
      <c r="B5025" s="379"/>
      <c r="C5025" s="350"/>
      <c r="D5025" s="380"/>
      <c r="G5025" s="380"/>
      <c r="J5025" s="350"/>
      <c r="K5025" s="383"/>
      <c r="L5025" s="383"/>
      <c r="M5025" s="350"/>
      <c r="N5025" s="404"/>
      <c r="O5025" s="381"/>
      <c r="R5025" s="386"/>
      <c r="S5025" s="393"/>
      <c r="V5025" s="350"/>
    </row>
    <row r="5026" spans="1:22">
      <c r="A5026" s="403"/>
      <c r="B5026" s="379"/>
      <c r="C5026" s="350"/>
      <c r="D5026" s="380"/>
      <c r="G5026" s="380"/>
      <c r="J5026" s="350"/>
      <c r="K5026" s="383"/>
      <c r="L5026" s="383"/>
      <c r="M5026" s="350"/>
      <c r="N5026" s="404"/>
      <c r="O5026" s="381"/>
      <c r="R5026" s="386"/>
      <c r="S5026" s="393"/>
      <c r="V5026" s="350"/>
    </row>
    <row r="5027" spans="1:22">
      <c r="A5027" s="403"/>
      <c r="B5027" s="379"/>
      <c r="C5027" s="350"/>
      <c r="D5027" s="380"/>
      <c r="G5027" s="380"/>
      <c r="J5027" s="350"/>
      <c r="K5027" s="383"/>
      <c r="L5027" s="383"/>
      <c r="M5027" s="350"/>
      <c r="N5027" s="404"/>
      <c r="O5027" s="381"/>
      <c r="R5027" s="386"/>
      <c r="S5027" s="393"/>
      <c r="V5027" s="350"/>
    </row>
    <row r="5028" spans="1:22">
      <c r="A5028" s="403"/>
      <c r="B5028" s="379"/>
      <c r="C5028" s="350"/>
      <c r="D5028" s="380"/>
      <c r="G5028" s="380"/>
      <c r="J5028" s="350"/>
      <c r="K5028" s="383"/>
      <c r="L5028" s="383"/>
      <c r="M5028" s="350"/>
      <c r="N5028" s="404"/>
      <c r="O5028" s="381"/>
      <c r="R5028" s="386"/>
      <c r="S5028" s="393"/>
      <c r="V5028" s="350"/>
    </row>
    <row r="5029" spans="1:22">
      <c r="A5029" s="403"/>
      <c r="B5029" s="379"/>
      <c r="C5029" s="350"/>
      <c r="D5029" s="380"/>
      <c r="G5029" s="380"/>
      <c r="J5029" s="350"/>
      <c r="K5029" s="383"/>
      <c r="L5029" s="383"/>
      <c r="M5029" s="350"/>
      <c r="N5029" s="404"/>
      <c r="O5029" s="381"/>
      <c r="R5029" s="386"/>
      <c r="S5029" s="393"/>
      <c r="V5029" s="350"/>
    </row>
    <row r="5030" spans="1:22">
      <c r="A5030" s="403"/>
      <c r="B5030" s="379"/>
      <c r="C5030" s="350"/>
      <c r="D5030" s="380"/>
      <c r="G5030" s="380"/>
      <c r="J5030" s="350"/>
      <c r="K5030" s="383"/>
      <c r="L5030" s="383"/>
      <c r="M5030" s="350"/>
      <c r="N5030" s="404"/>
      <c r="O5030" s="381"/>
      <c r="R5030" s="386"/>
      <c r="S5030" s="393"/>
      <c r="V5030" s="350"/>
    </row>
    <row r="5031" spans="1:22">
      <c r="A5031" s="403"/>
      <c r="B5031" s="379"/>
      <c r="C5031" s="350"/>
      <c r="D5031" s="380"/>
      <c r="G5031" s="380"/>
      <c r="J5031" s="350"/>
      <c r="K5031" s="383"/>
      <c r="L5031" s="383"/>
      <c r="M5031" s="350"/>
      <c r="N5031" s="404"/>
      <c r="O5031" s="381"/>
      <c r="R5031" s="386"/>
      <c r="S5031" s="393"/>
      <c r="V5031" s="350"/>
    </row>
    <row r="5032" spans="1:22">
      <c r="A5032" s="403"/>
      <c r="B5032" s="379"/>
      <c r="C5032" s="350"/>
      <c r="D5032" s="380"/>
      <c r="G5032" s="380"/>
      <c r="J5032" s="350"/>
      <c r="K5032" s="383"/>
      <c r="L5032" s="383"/>
      <c r="M5032" s="350"/>
      <c r="N5032" s="404"/>
      <c r="O5032" s="381"/>
      <c r="R5032" s="386"/>
      <c r="S5032" s="393"/>
      <c r="V5032" s="350"/>
    </row>
    <row r="5033" spans="1:22">
      <c r="A5033" s="403"/>
      <c r="B5033" s="379"/>
      <c r="C5033" s="350"/>
      <c r="D5033" s="380"/>
      <c r="G5033" s="380"/>
      <c r="J5033" s="350"/>
      <c r="K5033" s="383"/>
      <c r="L5033" s="383"/>
      <c r="M5033" s="350"/>
      <c r="N5033" s="404"/>
      <c r="O5033" s="381"/>
      <c r="R5033" s="386"/>
      <c r="S5033" s="393"/>
      <c r="V5033" s="350"/>
    </row>
    <row r="5034" spans="1:22">
      <c r="A5034" s="403"/>
      <c r="B5034" s="379"/>
      <c r="C5034" s="350"/>
      <c r="D5034" s="380"/>
      <c r="G5034" s="380"/>
      <c r="J5034" s="350"/>
      <c r="K5034" s="383"/>
      <c r="L5034" s="383"/>
      <c r="M5034" s="350"/>
      <c r="N5034" s="404"/>
      <c r="O5034" s="381"/>
      <c r="R5034" s="386"/>
      <c r="S5034" s="393"/>
      <c r="V5034" s="350"/>
    </row>
    <row r="5035" spans="1:22">
      <c r="A5035" s="403"/>
      <c r="B5035" s="379"/>
      <c r="C5035" s="350"/>
      <c r="D5035" s="380"/>
      <c r="G5035" s="380"/>
      <c r="J5035" s="350"/>
      <c r="K5035" s="383"/>
      <c r="L5035" s="383"/>
      <c r="M5035" s="350"/>
      <c r="N5035" s="404"/>
      <c r="O5035" s="381"/>
      <c r="R5035" s="386"/>
      <c r="S5035" s="393"/>
      <c r="V5035" s="350"/>
    </row>
    <row r="5036" spans="1:22">
      <c r="A5036" s="403"/>
      <c r="B5036" s="379"/>
      <c r="C5036" s="350"/>
      <c r="D5036" s="380"/>
      <c r="G5036" s="380"/>
      <c r="J5036" s="350"/>
      <c r="K5036" s="383"/>
      <c r="L5036" s="383"/>
      <c r="M5036" s="350"/>
      <c r="N5036" s="404"/>
      <c r="O5036" s="381"/>
      <c r="R5036" s="386"/>
      <c r="S5036" s="393"/>
      <c r="V5036" s="350"/>
    </row>
    <row r="5037" spans="1:22">
      <c r="A5037" s="403"/>
      <c r="B5037" s="379"/>
      <c r="C5037" s="350"/>
      <c r="D5037" s="380"/>
      <c r="G5037" s="380"/>
      <c r="J5037" s="350"/>
      <c r="K5037" s="383"/>
      <c r="L5037" s="383"/>
      <c r="M5037" s="350"/>
      <c r="N5037" s="404"/>
      <c r="O5037" s="381"/>
      <c r="R5037" s="386"/>
      <c r="S5037" s="393"/>
      <c r="V5037" s="350"/>
    </row>
    <row r="5038" spans="1:22">
      <c r="A5038" s="403"/>
      <c r="B5038" s="379"/>
      <c r="C5038" s="350"/>
      <c r="D5038" s="380"/>
      <c r="G5038" s="380"/>
      <c r="J5038" s="350"/>
      <c r="K5038" s="383"/>
      <c r="L5038" s="383"/>
      <c r="M5038" s="350"/>
      <c r="N5038" s="404"/>
      <c r="O5038" s="381"/>
      <c r="R5038" s="386"/>
      <c r="S5038" s="393"/>
      <c r="V5038" s="350"/>
    </row>
    <row r="5039" spans="1:22">
      <c r="A5039" s="403"/>
      <c r="B5039" s="379"/>
      <c r="C5039" s="350"/>
      <c r="D5039" s="380"/>
      <c r="G5039" s="380"/>
      <c r="J5039" s="350"/>
      <c r="K5039" s="383"/>
      <c r="L5039" s="383"/>
      <c r="M5039" s="350"/>
      <c r="N5039" s="404"/>
      <c r="O5039" s="381"/>
      <c r="R5039" s="386"/>
      <c r="S5039" s="393"/>
      <c r="V5039" s="350"/>
    </row>
    <row r="5040" spans="1:22">
      <c r="A5040" s="403"/>
      <c r="B5040" s="379"/>
      <c r="C5040" s="350"/>
      <c r="D5040" s="380"/>
      <c r="G5040" s="380"/>
      <c r="J5040" s="350"/>
      <c r="K5040" s="383"/>
      <c r="L5040" s="383"/>
      <c r="M5040" s="350"/>
      <c r="N5040" s="404"/>
      <c r="O5040" s="381"/>
      <c r="R5040" s="386"/>
      <c r="S5040" s="393"/>
      <c r="V5040" s="350"/>
    </row>
    <row r="5041" spans="1:22">
      <c r="A5041" s="403"/>
      <c r="B5041" s="379"/>
      <c r="C5041" s="350"/>
      <c r="D5041" s="380"/>
      <c r="G5041" s="380"/>
      <c r="J5041" s="350"/>
      <c r="K5041" s="383"/>
      <c r="L5041" s="383"/>
      <c r="M5041" s="350"/>
      <c r="N5041" s="404"/>
      <c r="O5041" s="381"/>
      <c r="R5041" s="386"/>
      <c r="S5041" s="393"/>
      <c r="V5041" s="350"/>
    </row>
    <row r="5042" spans="1:22">
      <c r="A5042" s="403"/>
      <c r="B5042" s="379"/>
      <c r="C5042" s="350"/>
      <c r="D5042" s="380"/>
      <c r="G5042" s="380"/>
      <c r="J5042" s="350"/>
      <c r="K5042" s="383"/>
      <c r="L5042" s="383"/>
      <c r="M5042" s="350"/>
      <c r="N5042" s="404"/>
      <c r="O5042" s="381"/>
      <c r="R5042" s="386"/>
      <c r="S5042" s="393"/>
      <c r="V5042" s="350"/>
    </row>
    <row r="5043" spans="1:22">
      <c r="A5043" s="403"/>
      <c r="B5043" s="379"/>
      <c r="C5043" s="350"/>
      <c r="D5043" s="380"/>
      <c r="G5043" s="380"/>
      <c r="J5043" s="350"/>
      <c r="K5043" s="383"/>
      <c r="L5043" s="383"/>
      <c r="M5043" s="350"/>
      <c r="N5043" s="404"/>
      <c r="O5043" s="381"/>
      <c r="R5043" s="386"/>
      <c r="S5043" s="393"/>
      <c r="V5043" s="350"/>
    </row>
    <row r="5044" spans="1:22">
      <c r="A5044" s="403"/>
      <c r="B5044" s="379"/>
      <c r="C5044" s="350"/>
      <c r="D5044" s="380"/>
      <c r="G5044" s="380"/>
      <c r="J5044" s="350"/>
      <c r="K5044" s="383"/>
      <c r="L5044" s="383"/>
      <c r="M5044" s="350"/>
      <c r="N5044" s="404"/>
      <c r="O5044" s="381"/>
      <c r="R5044" s="386"/>
      <c r="S5044" s="393"/>
      <c r="V5044" s="350"/>
    </row>
    <row r="5045" spans="1:22">
      <c r="A5045" s="403"/>
      <c r="B5045" s="379"/>
      <c r="C5045" s="350"/>
      <c r="D5045" s="380"/>
      <c r="G5045" s="380"/>
      <c r="J5045" s="350"/>
      <c r="K5045" s="383"/>
      <c r="L5045" s="383"/>
      <c r="M5045" s="350"/>
      <c r="N5045" s="404"/>
      <c r="O5045" s="381"/>
      <c r="R5045" s="386"/>
      <c r="S5045" s="393"/>
      <c r="V5045" s="350"/>
    </row>
    <row r="5046" spans="1:22">
      <c r="A5046" s="403"/>
      <c r="B5046" s="379"/>
      <c r="C5046" s="350"/>
      <c r="D5046" s="380"/>
      <c r="G5046" s="380"/>
      <c r="J5046" s="350"/>
      <c r="K5046" s="383"/>
      <c r="L5046" s="383"/>
      <c r="M5046" s="350"/>
      <c r="N5046" s="404"/>
      <c r="O5046" s="381"/>
      <c r="R5046" s="386"/>
      <c r="S5046" s="393"/>
      <c r="V5046" s="350"/>
    </row>
    <row r="5047" spans="1:22">
      <c r="A5047" s="403"/>
      <c r="B5047" s="379"/>
      <c r="C5047" s="350"/>
      <c r="D5047" s="380"/>
      <c r="G5047" s="380"/>
      <c r="J5047" s="350"/>
      <c r="K5047" s="383"/>
      <c r="L5047" s="383"/>
      <c r="M5047" s="350"/>
      <c r="N5047" s="404"/>
      <c r="O5047" s="381"/>
      <c r="R5047" s="386"/>
      <c r="S5047" s="393"/>
      <c r="V5047" s="350"/>
    </row>
    <row r="5048" spans="1:22">
      <c r="A5048" s="403"/>
      <c r="B5048" s="379"/>
      <c r="C5048" s="350"/>
      <c r="D5048" s="380"/>
      <c r="G5048" s="380"/>
      <c r="J5048" s="350"/>
      <c r="K5048" s="383"/>
      <c r="L5048" s="383"/>
      <c r="M5048" s="350"/>
      <c r="N5048" s="404"/>
      <c r="O5048" s="381"/>
      <c r="R5048" s="386"/>
      <c r="S5048" s="393"/>
      <c r="V5048" s="350"/>
    </row>
    <row r="5049" spans="1:22">
      <c r="A5049" s="403"/>
      <c r="B5049" s="379"/>
      <c r="C5049" s="350"/>
      <c r="D5049" s="380"/>
      <c r="G5049" s="380"/>
      <c r="J5049" s="350"/>
      <c r="K5049" s="383"/>
      <c r="L5049" s="383"/>
      <c r="M5049" s="350"/>
      <c r="N5049" s="404"/>
      <c r="O5049" s="381"/>
      <c r="R5049" s="386"/>
      <c r="S5049" s="393"/>
      <c r="V5049" s="350"/>
    </row>
    <row r="5050" spans="1:22">
      <c r="A5050" s="403"/>
      <c r="B5050" s="379"/>
      <c r="C5050" s="350"/>
      <c r="D5050" s="380"/>
      <c r="G5050" s="380"/>
      <c r="J5050" s="350"/>
      <c r="K5050" s="383"/>
      <c r="L5050" s="383"/>
      <c r="M5050" s="350"/>
      <c r="N5050" s="404"/>
      <c r="O5050" s="381"/>
      <c r="R5050" s="386"/>
      <c r="S5050" s="393"/>
      <c r="V5050" s="350"/>
    </row>
    <row r="5051" spans="1:22">
      <c r="A5051" s="403"/>
      <c r="B5051" s="379"/>
      <c r="C5051" s="350"/>
      <c r="D5051" s="380"/>
      <c r="G5051" s="380"/>
      <c r="J5051" s="350"/>
      <c r="K5051" s="383"/>
      <c r="L5051" s="383"/>
      <c r="M5051" s="350"/>
      <c r="N5051" s="404"/>
      <c r="O5051" s="381"/>
      <c r="R5051" s="386"/>
      <c r="S5051" s="393"/>
      <c r="V5051" s="350"/>
    </row>
    <row r="5052" spans="1:22">
      <c r="A5052" s="403"/>
      <c r="B5052" s="379"/>
      <c r="C5052" s="350"/>
      <c r="D5052" s="380"/>
      <c r="G5052" s="380"/>
      <c r="J5052" s="350"/>
      <c r="K5052" s="383"/>
      <c r="L5052" s="383"/>
      <c r="M5052" s="350"/>
      <c r="N5052" s="404"/>
      <c r="O5052" s="381"/>
      <c r="R5052" s="386"/>
      <c r="S5052" s="393"/>
      <c r="V5052" s="350"/>
    </row>
    <row r="5053" spans="1:22">
      <c r="A5053" s="403"/>
      <c r="B5053" s="379"/>
      <c r="C5053" s="350"/>
      <c r="D5053" s="380"/>
      <c r="G5053" s="380"/>
      <c r="J5053" s="350"/>
      <c r="K5053" s="383"/>
      <c r="L5053" s="383"/>
      <c r="M5053" s="350"/>
      <c r="N5053" s="404"/>
      <c r="O5053" s="381"/>
      <c r="R5053" s="386"/>
      <c r="S5053" s="393"/>
      <c r="V5053" s="350"/>
    </row>
    <row r="5054" spans="1:22">
      <c r="A5054" s="403"/>
      <c r="B5054" s="379"/>
      <c r="C5054" s="350"/>
      <c r="D5054" s="380"/>
      <c r="G5054" s="380"/>
      <c r="J5054" s="350"/>
      <c r="K5054" s="383"/>
      <c r="L5054" s="383"/>
      <c r="M5054" s="350"/>
      <c r="N5054" s="404"/>
      <c r="O5054" s="381"/>
      <c r="R5054" s="386"/>
      <c r="S5054" s="393"/>
      <c r="V5054" s="350"/>
    </row>
    <row r="5055" spans="1:22">
      <c r="A5055" s="403"/>
      <c r="B5055" s="379"/>
      <c r="C5055" s="350"/>
      <c r="D5055" s="380"/>
      <c r="G5055" s="380"/>
      <c r="J5055" s="350"/>
      <c r="K5055" s="383"/>
      <c r="L5055" s="383"/>
      <c r="M5055" s="350"/>
      <c r="N5055" s="404"/>
      <c r="O5055" s="381"/>
      <c r="R5055" s="386"/>
      <c r="S5055" s="393"/>
      <c r="V5055" s="350"/>
    </row>
    <row r="5056" spans="1:22">
      <c r="A5056" s="403"/>
      <c r="B5056" s="379"/>
      <c r="C5056" s="350"/>
      <c r="D5056" s="380"/>
      <c r="G5056" s="380"/>
      <c r="J5056" s="350"/>
      <c r="K5056" s="383"/>
      <c r="L5056" s="383"/>
      <c r="M5056" s="350"/>
      <c r="N5056" s="404"/>
      <c r="O5056" s="381"/>
      <c r="R5056" s="386"/>
      <c r="S5056" s="393"/>
      <c r="V5056" s="350"/>
    </row>
    <row r="5057" spans="1:22">
      <c r="A5057" s="403"/>
      <c r="B5057" s="379"/>
      <c r="C5057" s="350"/>
      <c r="D5057" s="380"/>
      <c r="G5057" s="380"/>
      <c r="J5057" s="350"/>
      <c r="K5057" s="383"/>
      <c r="L5057" s="383"/>
      <c r="M5057" s="350"/>
      <c r="N5057" s="404"/>
      <c r="O5057" s="381"/>
      <c r="R5057" s="386"/>
      <c r="S5057" s="393"/>
      <c r="V5057" s="350"/>
    </row>
    <row r="5058" spans="1:22">
      <c r="A5058" s="403"/>
      <c r="B5058" s="379"/>
      <c r="C5058" s="350"/>
      <c r="D5058" s="380"/>
      <c r="G5058" s="380"/>
      <c r="J5058" s="350"/>
      <c r="K5058" s="383"/>
      <c r="L5058" s="383"/>
      <c r="M5058" s="350"/>
      <c r="N5058" s="404"/>
      <c r="O5058" s="381"/>
      <c r="R5058" s="386"/>
      <c r="S5058" s="393"/>
      <c r="V5058" s="350"/>
    </row>
    <row r="5059" spans="1:22">
      <c r="A5059" s="403"/>
      <c r="B5059" s="379"/>
      <c r="C5059" s="350"/>
      <c r="D5059" s="380"/>
      <c r="G5059" s="380"/>
      <c r="J5059" s="350"/>
      <c r="K5059" s="383"/>
      <c r="L5059" s="383"/>
      <c r="M5059" s="350"/>
      <c r="N5059" s="404"/>
      <c r="O5059" s="381"/>
      <c r="R5059" s="386"/>
      <c r="S5059" s="393"/>
      <c r="V5059" s="350"/>
    </row>
    <row r="5060" spans="1:22">
      <c r="A5060" s="403"/>
      <c r="B5060" s="379"/>
      <c r="C5060" s="350"/>
      <c r="D5060" s="380"/>
      <c r="G5060" s="380"/>
      <c r="J5060" s="350"/>
      <c r="K5060" s="383"/>
      <c r="L5060" s="383"/>
      <c r="M5060" s="350"/>
      <c r="N5060" s="404"/>
      <c r="O5060" s="381"/>
      <c r="R5060" s="386"/>
      <c r="S5060" s="393"/>
      <c r="V5060" s="350"/>
    </row>
    <row r="5061" spans="1:22">
      <c r="A5061" s="403"/>
      <c r="B5061" s="379"/>
      <c r="C5061" s="350"/>
      <c r="D5061" s="380"/>
      <c r="G5061" s="380"/>
      <c r="J5061" s="350"/>
      <c r="K5061" s="383"/>
      <c r="L5061" s="383"/>
      <c r="M5061" s="350"/>
      <c r="N5061" s="404"/>
      <c r="O5061" s="381"/>
      <c r="R5061" s="386"/>
      <c r="S5061" s="393"/>
      <c r="V5061" s="350"/>
    </row>
    <row r="5062" spans="1:22">
      <c r="A5062" s="403"/>
      <c r="B5062" s="379"/>
      <c r="C5062" s="350"/>
      <c r="D5062" s="380"/>
      <c r="G5062" s="380"/>
      <c r="J5062" s="350"/>
      <c r="K5062" s="383"/>
      <c r="L5062" s="383"/>
      <c r="M5062" s="350"/>
      <c r="N5062" s="404"/>
      <c r="O5062" s="381"/>
      <c r="R5062" s="386"/>
      <c r="S5062" s="393"/>
      <c r="V5062" s="350"/>
    </row>
    <row r="5063" spans="1:22">
      <c r="A5063" s="403"/>
      <c r="B5063" s="379"/>
      <c r="C5063" s="350"/>
      <c r="D5063" s="380"/>
      <c r="G5063" s="380"/>
      <c r="J5063" s="350"/>
      <c r="K5063" s="383"/>
      <c r="L5063" s="383"/>
      <c r="M5063" s="350"/>
      <c r="N5063" s="404"/>
      <c r="O5063" s="381"/>
      <c r="R5063" s="386"/>
      <c r="S5063" s="393"/>
      <c r="V5063" s="350"/>
    </row>
    <row r="5064" spans="1:22">
      <c r="A5064" s="403"/>
      <c r="B5064" s="379"/>
      <c r="C5064" s="350"/>
      <c r="D5064" s="380"/>
      <c r="G5064" s="380"/>
      <c r="J5064" s="350"/>
      <c r="K5064" s="383"/>
      <c r="L5064" s="383"/>
      <c r="M5064" s="350"/>
      <c r="N5064" s="404"/>
      <c r="O5064" s="381"/>
      <c r="R5064" s="386"/>
      <c r="S5064" s="393"/>
      <c r="V5064" s="350"/>
    </row>
    <row r="5065" spans="1:22">
      <c r="A5065" s="403"/>
      <c r="B5065" s="379"/>
      <c r="C5065" s="350"/>
      <c r="D5065" s="380"/>
      <c r="G5065" s="380"/>
      <c r="J5065" s="350"/>
      <c r="K5065" s="383"/>
      <c r="L5065" s="383"/>
      <c r="M5065" s="350"/>
      <c r="N5065" s="404"/>
      <c r="O5065" s="381"/>
      <c r="R5065" s="386"/>
      <c r="S5065" s="393"/>
      <c r="V5065" s="350"/>
    </row>
    <row r="5066" spans="1:22">
      <c r="A5066" s="403"/>
      <c r="B5066" s="379"/>
      <c r="C5066" s="350"/>
      <c r="D5066" s="380"/>
      <c r="G5066" s="380"/>
      <c r="J5066" s="350"/>
      <c r="K5066" s="383"/>
      <c r="L5066" s="383"/>
      <c r="M5066" s="350"/>
      <c r="N5066" s="404"/>
      <c r="O5066" s="381"/>
      <c r="R5066" s="386"/>
      <c r="S5066" s="393"/>
      <c r="V5066" s="350"/>
    </row>
    <row r="5067" spans="1:22">
      <c r="A5067" s="403"/>
      <c r="B5067" s="379"/>
      <c r="C5067" s="350"/>
      <c r="D5067" s="380"/>
      <c r="G5067" s="380"/>
      <c r="J5067" s="350"/>
      <c r="K5067" s="383"/>
      <c r="L5067" s="383"/>
      <c r="M5067" s="350"/>
      <c r="N5067" s="404"/>
      <c r="O5067" s="381"/>
      <c r="R5067" s="386"/>
      <c r="S5067" s="393"/>
      <c r="V5067" s="350"/>
    </row>
    <row r="5068" spans="1:22">
      <c r="A5068" s="403"/>
      <c r="B5068" s="379"/>
      <c r="C5068" s="350"/>
      <c r="D5068" s="380"/>
      <c r="G5068" s="380"/>
      <c r="J5068" s="350"/>
      <c r="K5068" s="383"/>
      <c r="L5068" s="383"/>
      <c r="M5068" s="350"/>
      <c r="N5068" s="404"/>
      <c r="O5068" s="381"/>
      <c r="R5068" s="386"/>
      <c r="S5068" s="393"/>
      <c r="V5068" s="350"/>
    </row>
    <row r="5069" spans="1:22">
      <c r="A5069" s="403"/>
      <c r="B5069" s="379"/>
      <c r="C5069" s="350"/>
      <c r="D5069" s="380"/>
      <c r="G5069" s="380"/>
      <c r="J5069" s="350"/>
      <c r="K5069" s="383"/>
      <c r="L5069" s="383"/>
      <c r="M5069" s="350"/>
      <c r="N5069" s="404"/>
      <c r="O5069" s="381"/>
      <c r="R5069" s="386"/>
      <c r="S5069" s="393"/>
      <c r="V5069" s="350"/>
    </row>
    <row r="5070" spans="1:22">
      <c r="A5070" s="403"/>
      <c r="B5070" s="379"/>
      <c r="C5070" s="350"/>
      <c r="D5070" s="380"/>
      <c r="G5070" s="380"/>
      <c r="J5070" s="350"/>
      <c r="K5070" s="383"/>
      <c r="L5070" s="383"/>
      <c r="M5070" s="350"/>
      <c r="N5070" s="404"/>
      <c r="O5070" s="381"/>
      <c r="R5070" s="386"/>
      <c r="S5070" s="393"/>
      <c r="V5070" s="350"/>
    </row>
    <row r="5071" spans="1:22">
      <c r="A5071" s="403"/>
      <c r="B5071" s="379"/>
      <c r="C5071" s="350"/>
      <c r="D5071" s="380"/>
      <c r="G5071" s="380"/>
      <c r="J5071" s="350"/>
      <c r="K5071" s="383"/>
      <c r="L5071" s="383"/>
      <c r="M5071" s="350"/>
      <c r="N5071" s="404"/>
      <c r="O5071" s="381"/>
      <c r="R5071" s="386"/>
      <c r="S5071" s="393"/>
      <c r="V5071" s="350"/>
    </row>
    <row r="5072" spans="1:22">
      <c r="A5072" s="403"/>
      <c r="B5072" s="379"/>
      <c r="C5072" s="350"/>
      <c r="D5072" s="380"/>
      <c r="G5072" s="380"/>
      <c r="J5072" s="350"/>
      <c r="K5072" s="383"/>
      <c r="L5072" s="383"/>
      <c r="M5072" s="350"/>
      <c r="N5072" s="404"/>
      <c r="O5072" s="381"/>
      <c r="R5072" s="386"/>
      <c r="S5072" s="393"/>
      <c r="V5072" s="350"/>
    </row>
    <row r="5073" spans="1:22">
      <c r="A5073" s="403"/>
      <c r="B5073" s="379"/>
      <c r="C5073" s="350"/>
      <c r="D5073" s="380"/>
      <c r="G5073" s="380"/>
      <c r="J5073" s="350"/>
      <c r="K5073" s="383"/>
      <c r="L5073" s="383"/>
      <c r="M5073" s="350"/>
      <c r="N5073" s="404"/>
      <c r="O5073" s="381"/>
      <c r="R5073" s="386"/>
      <c r="S5073" s="393"/>
      <c r="V5073" s="350"/>
    </row>
    <row r="5074" spans="1:22">
      <c r="A5074" s="403"/>
      <c r="B5074" s="379"/>
      <c r="C5074" s="350"/>
      <c r="D5074" s="380"/>
      <c r="G5074" s="380"/>
      <c r="J5074" s="350"/>
      <c r="K5074" s="383"/>
      <c r="L5074" s="383"/>
      <c r="M5074" s="350"/>
      <c r="N5074" s="404"/>
      <c r="O5074" s="381"/>
      <c r="R5074" s="386"/>
      <c r="S5074" s="393"/>
      <c r="V5074" s="350"/>
    </row>
    <row r="5075" spans="1:22">
      <c r="A5075" s="403"/>
      <c r="B5075" s="379"/>
      <c r="C5075" s="350"/>
      <c r="D5075" s="380"/>
      <c r="G5075" s="380"/>
      <c r="J5075" s="350"/>
      <c r="K5075" s="383"/>
      <c r="L5075" s="383"/>
      <c r="M5075" s="350"/>
      <c r="N5075" s="404"/>
      <c r="O5075" s="381"/>
      <c r="R5075" s="386"/>
      <c r="S5075" s="393"/>
      <c r="V5075" s="350"/>
    </row>
    <row r="5076" spans="1:22">
      <c r="A5076" s="403"/>
      <c r="B5076" s="379"/>
      <c r="C5076" s="350"/>
      <c r="D5076" s="380"/>
      <c r="G5076" s="380"/>
      <c r="J5076" s="350"/>
      <c r="K5076" s="383"/>
      <c r="L5076" s="383"/>
      <c r="M5076" s="350"/>
      <c r="N5076" s="404"/>
      <c r="O5076" s="381"/>
      <c r="R5076" s="386"/>
      <c r="S5076" s="393"/>
      <c r="V5076" s="350"/>
    </row>
    <row r="5077" spans="1:22">
      <c r="A5077" s="403"/>
      <c r="B5077" s="379"/>
      <c r="C5077" s="350"/>
      <c r="D5077" s="380"/>
      <c r="G5077" s="380"/>
      <c r="J5077" s="350"/>
      <c r="K5077" s="383"/>
      <c r="L5077" s="383"/>
      <c r="M5077" s="350"/>
      <c r="N5077" s="404"/>
      <c r="O5077" s="381"/>
      <c r="R5077" s="386"/>
      <c r="S5077" s="393"/>
      <c r="V5077" s="350"/>
    </row>
    <row r="5078" spans="1:22">
      <c r="A5078" s="403"/>
      <c r="B5078" s="379"/>
      <c r="C5078" s="350"/>
      <c r="D5078" s="380"/>
      <c r="G5078" s="380"/>
      <c r="J5078" s="350"/>
      <c r="K5078" s="383"/>
      <c r="L5078" s="383"/>
      <c r="M5078" s="350"/>
      <c r="N5078" s="404"/>
      <c r="O5078" s="381"/>
      <c r="R5078" s="386"/>
      <c r="S5078" s="393"/>
      <c r="V5078" s="350"/>
    </row>
    <row r="5079" spans="1:22">
      <c r="A5079" s="403"/>
      <c r="B5079" s="379"/>
      <c r="C5079" s="350"/>
      <c r="D5079" s="380"/>
      <c r="G5079" s="380"/>
      <c r="J5079" s="350"/>
      <c r="K5079" s="383"/>
      <c r="L5079" s="383"/>
      <c r="M5079" s="350"/>
      <c r="N5079" s="404"/>
      <c r="O5079" s="381"/>
      <c r="R5079" s="386"/>
      <c r="S5079" s="393"/>
      <c r="V5079" s="350"/>
    </row>
    <row r="5080" spans="1:22">
      <c r="A5080" s="403"/>
      <c r="B5080" s="379"/>
      <c r="C5080" s="350"/>
      <c r="D5080" s="380"/>
      <c r="G5080" s="380"/>
      <c r="J5080" s="350"/>
      <c r="K5080" s="383"/>
      <c r="L5080" s="383"/>
      <c r="M5080" s="350"/>
      <c r="N5080" s="404"/>
      <c r="O5080" s="381"/>
      <c r="R5080" s="386"/>
      <c r="S5080" s="393"/>
      <c r="V5080" s="350"/>
    </row>
    <row r="5081" spans="1:22">
      <c r="A5081" s="403"/>
      <c r="B5081" s="379"/>
      <c r="C5081" s="350"/>
      <c r="D5081" s="380"/>
      <c r="G5081" s="380"/>
      <c r="J5081" s="350"/>
      <c r="K5081" s="383"/>
      <c r="L5081" s="383"/>
      <c r="M5081" s="350"/>
      <c r="N5081" s="404"/>
      <c r="O5081" s="381"/>
      <c r="R5081" s="386"/>
      <c r="S5081" s="393"/>
      <c r="V5081" s="350"/>
    </row>
    <row r="5082" spans="1:22">
      <c r="A5082" s="403"/>
      <c r="B5082" s="379"/>
      <c r="C5082" s="350"/>
      <c r="D5082" s="380"/>
      <c r="G5082" s="380"/>
      <c r="J5082" s="350"/>
      <c r="K5082" s="383"/>
      <c r="L5082" s="383"/>
      <c r="M5082" s="350"/>
      <c r="N5082" s="404"/>
      <c r="O5082" s="381"/>
      <c r="R5082" s="386"/>
      <c r="S5082" s="393"/>
      <c r="V5082" s="350"/>
    </row>
    <row r="5083" spans="1:22">
      <c r="A5083" s="403"/>
      <c r="B5083" s="379"/>
      <c r="C5083" s="350"/>
      <c r="D5083" s="380"/>
      <c r="G5083" s="380"/>
      <c r="J5083" s="350"/>
      <c r="K5083" s="383"/>
      <c r="L5083" s="383"/>
      <c r="M5083" s="350"/>
      <c r="N5083" s="404"/>
      <c r="O5083" s="381"/>
      <c r="R5083" s="386"/>
      <c r="S5083" s="393"/>
      <c r="V5083" s="350"/>
    </row>
    <row r="5084" spans="1:22">
      <c r="A5084" s="403"/>
      <c r="B5084" s="379"/>
      <c r="C5084" s="350"/>
      <c r="D5084" s="380"/>
      <c r="G5084" s="380"/>
      <c r="J5084" s="350"/>
      <c r="K5084" s="383"/>
      <c r="L5084" s="383"/>
      <c r="M5084" s="350"/>
      <c r="N5084" s="404"/>
      <c r="O5084" s="381"/>
      <c r="R5084" s="386"/>
      <c r="S5084" s="393"/>
      <c r="V5084" s="350"/>
    </row>
    <row r="5085" spans="1:22">
      <c r="A5085" s="403"/>
      <c r="B5085" s="379"/>
      <c r="C5085" s="350"/>
      <c r="D5085" s="380"/>
      <c r="G5085" s="380"/>
      <c r="J5085" s="350"/>
      <c r="K5085" s="383"/>
      <c r="L5085" s="383"/>
      <c r="M5085" s="350"/>
      <c r="N5085" s="404"/>
      <c r="O5085" s="381"/>
      <c r="R5085" s="386"/>
      <c r="S5085" s="393"/>
      <c r="V5085" s="350"/>
    </row>
    <row r="5086" spans="1:22">
      <c r="A5086" s="403"/>
      <c r="B5086" s="379"/>
      <c r="C5086" s="350"/>
      <c r="D5086" s="380"/>
      <c r="G5086" s="380"/>
      <c r="J5086" s="350"/>
      <c r="K5086" s="383"/>
      <c r="L5086" s="383"/>
      <c r="M5086" s="350"/>
      <c r="N5086" s="404"/>
      <c r="O5086" s="381"/>
      <c r="R5086" s="386"/>
      <c r="S5086" s="393"/>
      <c r="V5086" s="350"/>
    </row>
    <row r="5087" spans="1:22">
      <c r="A5087" s="403"/>
      <c r="B5087" s="379"/>
      <c r="C5087" s="350"/>
      <c r="D5087" s="380"/>
      <c r="G5087" s="380"/>
      <c r="J5087" s="350"/>
      <c r="K5087" s="383"/>
      <c r="L5087" s="383"/>
      <c r="M5087" s="350"/>
      <c r="N5087" s="404"/>
      <c r="O5087" s="381"/>
      <c r="R5087" s="386"/>
      <c r="S5087" s="393"/>
      <c r="V5087" s="350"/>
    </row>
    <row r="5088" spans="1:22">
      <c r="A5088" s="403"/>
      <c r="B5088" s="379"/>
      <c r="C5088" s="350"/>
      <c r="D5088" s="380"/>
      <c r="G5088" s="380"/>
      <c r="J5088" s="350"/>
      <c r="K5088" s="383"/>
      <c r="L5088" s="383"/>
      <c r="M5088" s="350"/>
      <c r="N5088" s="404"/>
      <c r="O5088" s="381"/>
      <c r="R5088" s="386"/>
      <c r="S5088" s="393"/>
      <c r="V5088" s="350"/>
    </row>
    <row r="5089" spans="1:22">
      <c r="A5089" s="403"/>
      <c r="B5089" s="379"/>
      <c r="C5089" s="350"/>
      <c r="D5089" s="380"/>
      <c r="G5089" s="380"/>
      <c r="J5089" s="350"/>
      <c r="K5089" s="383"/>
      <c r="L5089" s="383"/>
      <c r="M5089" s="350"/>
      <c r="N5089" s="404"/>
      <c r="O5089" s="381"/>
      <c r="R5089" s="386"/>
      <c r="S5089" s="393"/>
      <c r="V5089" s="350"/>
    </row>
    <row r="5090" spans="1:22">
      <c r="A5090" s="403"/>
      <c r="B5090" s="379"/>
      <c r="C5090" s="350"/>
      <c r="D5090" s="380"/>
      <c r="G5090" s="380"/>
      <c r="J5090" s="350"/>
      <c r="K5090" s="383"/>
      <c r="L5090" s="383"/>
      <c r="M5090" s="350"/>
      <c r="N5090" s="404"/>
      <c r="O5090" s="381"/>
      <c r="R5090" s="386"/>
      <c r="S5090" s="393"/>
      <c r="V5090" s="350"/>
    </row>
    <row r="5091" spans="1:22">
      <c r="A5091" s="403"/>
      <c r="B5091" s="379"/>
      <c r="C5091" s="350"/>
      <c r="D5091" s="380"/>
      <c r="G5091" s="380"/>
      <c r="J5091" s="350"/>
      <c r="K5091" s="383"/>
      <c r="L5091" s="383"/>
      <c r="M5091" s="350"/>
      <c r="N5091" s="404"/>
      <c r="O5091" s="381"/>
      <c r="R5091" s="386"/>
      <c r="S5091" s="393"/>
      <c r="V5091" s="350"/>
    </row>
    <row r="5092" spans="1:22">
      <c r="A5092" s="403"/>
      <c r="B5092" s="379"/>
      <c r="C5092" s="350"/>
      <c r="D5092" s="380"/>
      <c r="G5092" s="380"/>
      <c r="J5092" s="350"/>
      <c r="K5092" s="383"/>
      <c r="L5092" s="383"/>
      <c r="M5092" s="350"/>
      <c r="N5092" s="404"/>
      <c r="O5092" s="381"/>
      <c r="R5092" s="386"/>
      <c r="S5092" s="393"/>
      <c r="V5092" s="350"/>
    </row>
    <row r="5093" spans="1:22">
      <c r="A5093" s="403"/>
      <c r="B5093" s="379"/>
      <c r="C5093" s="350"/>
      <c r="D5093" s="380"/>
      <c r="G5093" s="380"/>
      <c r="J5093" s="350"/>
      <c r="K5093" s="383"/>
      <c r="L5093" s="383"/>
      <c r="M5093" s="350"/>
      <c r="N5093" s="404"/>
      <c r="O5093" s="381"/>
      <c r="R5093" s="386"/>
      <c r="S5093" s="393"/>
      <c r="V5093" s="350"/>
    </row>
    <row r="5094" spans="1:22">
      <c r="A5094" s="403"/>
      <c r="B5094" s="379"/>
      <c r="C5094" s="350"/>
      <c r="D5094" s="380"/>
      <c r="G5094" s="380"/>
      <c r="J5094" s="350"/>
      <c r="K5094" s="383"/>
      <c r="L5094" s="383"/>
      <c r="M5094" s="350"/>
      <c r="N5094" s="404"/>
      <c r="O5094" s="381"/>
      <c r="R5094" s="386"/>
      <c r="S5094" s="393"/>
      <c r="V5094" s="350"/>
    </row>
    <row r="5095" spans="1:22">
      <c r="A5095" s="403"/>
      <c r="B5095" s="379"/>
      <c r="C5095" s="350"/>
      <c r="D5095" s="380"/>
      <c r="G5095" s="380"/>
      <c r="J5095" s="350"/>
      <c r="K5095" s="383"/>
      <c r="L5095" s="383"/>
      <c r="M5095" s="350"/>
      <c r="N5095" s="404"/>
      <c r="O5095" s="381"/>
      <c r="R5095" s="386"/>
      <c r="S5095" s="393"/>
      <c r="V5095" s="350"/>
    </row>
    <row r="5096" spans="1:22">
      <c r="A5096" s="403"/>
      <c r="B5096" s="379"/>
      <c r="C5096" s="350"/>
      <c r="D5096" s="380"/>
      <c r="G5096" s="380"/>
      <c r="J5096" s="350"/>
      <c r="K5096" s="383"/>
      <c r="L5096" s="383"/>
      <c r="M5096" s="350"/>
      <c r="N5096" s="404"/>
      <c r="O5096" s="381"/>
      <c r="R5096" s="386"/>
      <c r="S5096" s="393"/>
      <c r="V5096" s="350"/>
    </row>
    <row r="5097" spans="1:22">
      <c r="A5097" s="403"/>
      <c r="B5097" s="379"/>
      <c r="C5097" s="350"/>
      <c r="D5097" s="380"/>
      <c r="G5097" s="380"/>
      <c r="J5097" s="350"/>
      <c r="K5097" s="383"/>
      <c r="L5097" s="383"/>
      <c r="M5097" s="350"/>
      <c r="N5097" s="404"/>
      <c r="O5097" s="381"/>
      <c r="R5097" s="386"/>
      <c r="S5097" s="393"/>
      <c r="V5097" s="350"/>
    </row>
    <row r="5098" spans="1:22">
      <c r="A5098" s="403"/>
      <c r="B5098" s="379"/>
      <c r="C5098" s="350"/>
      <c r="D5098" s="380"/>
      <c r="G5098" s="380"/>
      <c r="J5098" s="350"/>
      <c r="K5098" s="383"/>
      <c r="L5098" s="383"/>
      <c r="M5098" s="350"/>
      <c r="N5098" s="404"/>
      <c r="O5098" s="381"/>
      <c r="R5098" s="386"/>
      <c r="S5098" s="393"/>
      <c r="V5098" s="350"/>
    </row>
    <row r="5099" spans="1:22">
      <c r="A5099" s="403"/>
      <c r="B5099" s="379"/>
      <c r="C5099" s="350"/>
      <c r="D5099" s="380"/>
      <c r="G5099" s="380"/>
      <c r="J5099" s="350"/>
      <c r="K5099" s="383"/>
      <c r="L5099" s="383"/>
      <c r="M5099" s="350"/>
      <c r="N5099" s="404"/>
      <c r="O5099" s="381"/>
      <c r="R5099" s="386"/>
      <c r="S5099" s="393"/>
      <c r="V5099" s="350"/>
    </row>
    <row r="5100" spans="1:22">
      <c r="A5100" s="403"/>
      <c r="B5100" s="379"/>
      <c r="C5100" s="350"/>
      <c r="D5100" s="380"/>
      <c r="G5100" s="380"/>
      <c r="J5100" s="350"/>
      <c r="K5100" s="383"/>
      <c r="L5100" s="383"/>
      <c r="M5100" s="350"/>
      <c r="N5100" s="404"/>
      <c r="O5100" s="381"/>
      <c r="R5100" s="386"/>
      <c r="S5100" s="393"/>
      <c r="V5100" s="350"/>
    </row>
    <row r="5101" spans="1:22">
      <c r="A5101" s="403"/>
      <c r="B5101" s="379"/>
      <c r="C5101" s="350"/>
      <c r="D5101" s="380"/>
      <c r="G5101" s="380"/>
      <c r="J5101" s="350"/>
      <c r="K5101" s="383"/>
      <c r="L5101" s="383"/>
      <c r="M5101" s="350"/>
      <c r="N5101" s="404"/>
      <c r="O5101" s="381"/>
      <c r="R5101" s="386"/>
      <c r="S5101" s="393"/>
      <c r="V5101" s="350"/>
    </row>
    <row r="5102" spans="1:22">
      <c r="A5102" s="403"/>
      <c r="B5102" s="379"/>
      <c r="C5102" s="350"/>
      <c r="D5102" s="380"/>
      <c r="G5102" s="380"/>
      <c r="J5102" s="350"/>
      <c r="K5102" s="383"/>
      <c r="L5102" s="383"/>
      <c r="M5102" s="350"/>
      <c r="N5102" s="404"/>
      <c r="O5102" s="381"/>
      <c r="R5102" s="386"/>
      <c r="S5102" s="393"/>
      <c r="V5102" s="350"/>
    </row>
    <row r="5103" spans="1:22">
      <c r="A5103" s="403"/>
      <c r="B5103" s="379"/>
      <c r="C5103" s="350"/>
      <c r="D5103" s="380"/>
      <c r="G5103" s="380"/>
      <c r="J5103" s="350"/>
      <c r="K5103" s="383"/>
      <c r="L5103" s="383"/>
      <c r="M5103" s="350"/>
      <c r="N5103" s="404"/>
      <c r="O5103" s="381"/>
      <c r="R5103" s="386"/>
      <c r="S5103" s="393"/>
      <c r="V5103" s="350"/>
    </row>
    <row r="5104" spans="1:22">
      <c r="A5104" s="403"/>
      <c r="B5104" s="379"/>
      <c r="C5104" s="350"/>
      <c r="D5104" s="380"/>
      <c r="G5104" s="380"/>
      <c r="J5104" s="350"/>
      <c r="K5104" s="383"/>
      <c r="L5104" s="383"/>
      <c r="M5104" s="350"/>
      <c r="N5104" s="404"/>
      <c r="O5104" s="381"/>
      <c r="R5104" s="386"/>
      <c r="S5104" s="393"/>
      <c r="V5104" s="350"/>
    </row>
    <row r="5105" spans="1:22">
      <c r="A5105" s="403"/>
      <c r="B5105" s="379"/>
      <c r="C5105" s="350"/>
      <c r="D5105" s="380"/>
      <c r="G5105" s="380"/>
      <c r="J5105" s="350"/>
      <c r="K5105" s="383"/>
      <c r="L5105" s="383"/>
      <c r="M5105" s="350"/>
      <c r="N5105" s="404"/>
      <c r="O5105" s="381"/>
      <c r="R5105" s="386"/>
      <c r="S5105" s="393"/>
      <c r="V5105" s="350"/>
    </row>
    <row r="5106" spans="1:22">
      <c r="A5106" s="403"/>
      <c r="B5106" s="379"/>
      <c r="C5106" s="350"/>
      <c r="D5106" s="380"/>
      <c r="G5106" s="380"/>
      <c r="J5106" s="350"/>
      <c r="K5106" s="383"/>
      <c r="L5106" s="383"/>
      <c r="M5106" s="350"/>
      <c r="N5106" s="404"/>
      <c r="O5106" s="381"/>
      <c r="R5106" s="386"/>
      <c r="S5106" s="393"/>
      <c r="V5106" s="350"/>
    </row>
    <row r="5107" spans="1:22">
      <c r="A5107" s="403"/>
      <c r="B5107" s="379"/>
      <c r="C5107" s="350"/>
      <c r="D5107" s="380"/>
      <c r="G5107" s="380"/>
      <c r="J5107" s="350"/>
      <c r="K5107" s="383"/>
      <c r="L5107" s="383"/>
      <c r="M5107" s="350"/>
      <c r="N5107" s="404"/>
      <c r="O5107" s="381"/>
      <c r="R5107" s="386"/>
      <c r="S5107" s="393"/>
      <c r="V5107" s="350"/>
    </row>
    <row r="5108" spans="1:22">
      <c r="A5108" s="403"/>
      <c r="B5108" s="379"/>
      <c r="C5108" s="350"/>
      <c r="D5108" s="380"/>
      <c r="G5108" s="380"/>
      <c r="J5108" s="350"/>
      <c r="K5108" s="383"/>
      <c r="L5108" s="383"/>
      <c r="M5108" s="350"/>
      <c r="N5108" s="404"/>
      <c r="O5108" s="381"/>
      <c r="R5108" s="386"/>
      <c r="S5108" s="393"/>
      <c r="V5108" s="350"/>
    </row>
    <row r="5109" spans="1:22">
      <c r="A5109" s="403"/>
      <c r="B5109" s="379"/>
      <c r="C5109" s="350"/>
      <c r="D5109" s="380"/>
      <c r="G5109" s="380"/>
      <c r="J5109" s="350"/>
      <c r="K5109" s="383"/>
      <c r="L5109" s="383"/>
      <c r="M5109" s="350"/>
      <c r="N5109" s="404"/>
      <c r="O5109" s="381"/>
      <c r="R5109" s="386"/>
      <c r="S5109" s="393"/>
      <c r="V5109" s="350"/>
    </row>
    <row r="5110" spans="1:22">
      <c r="A5110" s="403"/>
      <c r="B5110" s="379"/>
      <c r="C5110" s="350"/>
      <c r="D5110" s="380"/>
      <c r="G5110" s="380"/>
      <c r="J5110" s="350"/>
      <c r="K5110" s="383"/>
      <c r="L5110" s="383"/>
      <c r="M5110" s="350"/>
      <c r="N5110" s="404"/>
      <c r="O5110" s="381"/>
      <c r="R5110" s="386"/>
      <c r="S5110" s="393"/>
      <c r="V5110" s="350"/>
    </row>
    <row r="5111" spans="1:22">
      <c r="A5111" s="403"/>
      <c r="B5111" s="379"/>
      <c r="C5111" s="350"/>
      <c r="D5111" s="380"/>
      <c r="G5111" s="380"/>
      <c r="J5111" s="350"/>
      <c r="K5111" s="383"/>
      <c r="L5111" s="383"/>
      <c r="M5111" s="350"/>
      <c r="N5111" s="404"/>
      <c r="O5111" s="381"/>
      <c r="R5111" s="386"/>
      <c r="S5111" s="393"/>
      <c r="V5111" s="350"/>
    </row>
    <row r="5112" spans="1:22">
      <c r="A5112" s="403"/>
      <c r="B5112" s="379"/>
      <c r="C5112" s="350"/>
      <c r="D5112" s="380"/>
      <c r="G5112" s="380"/>
      <c r="J5112" s="350"/>
      <c r="K5112" s="383"/>
      <c r="L5112" s="383"/>
      <c r="M5112" s="350"/>
      <c r="N5112" s="404"/>
      <c r="O5112" s="381"/>
      <c r="R5112" s="386"/>
      <c r="S5112" s="393"/>
      <c r="V5112" s="350"/>
    </row>
    <row r="5113" spans="1:22">
      <c r="A5113" s="403"/>
      <c r="B5113" s="379"/>
      <c r="C5113" s="350"/>
      <c r="D5113" s="380"/>
      <c r="G5113" s="380"/>
      <c r="J5113" s="350"/>
      <c r="K5113" s="383"/>
      <c r="L5113" s="383"/>
      <c r="M5113" s="350"/>
      <c r="N5113" s="404"/>
      <c r="O5113" s="381"/>
      <c r="R5113" s="386"/>
      <c r="S5113" s="393"/>
      <c r="V5113" s="350"/>
    </row>
    <row r="5114" spans="1:22">
      <c r="A5114" s="403"/>
      <c r="B5114" s="379"/>
      <c r="C5114" s="350"/>
      <c r="D5114" s="380"/>
      <c r="G5114" s="380"/>
      <c r="J5114" s="350"/>
      <c r="K5114" s="383"/>
      <c r="L5114" s="383"/>
      <c r="M5114" s="350"/>
      <c r="N5114" s="404"/>
      <c r="O5114" s="381"/>
      <c r="R5114" s="386"/>
      <c r="S5114" s="393"/>
      <c r="V5114" s="350"/>
    </row>
    <row r="5115" spans="1:22">
      <c r="A5115" s="403"/>
      <c r="B5115" s="379"/>
      <c r="C5115" s="350"/>
      <c r="D5115" s="380"/>
      <c r="G5115" s="380"/>
      <c r="J5115" s="350"/>
      <c r="K5115" s="383"/>
      <c r="L5115" s="383"/>
      <c r="M5115" s="350"/>
      <c r="N5115" s="404"/>
      <c r="O5115" s="381"/>
      <c r="R5115" s="386"/>
      <c r="S5115" s="393"/>
      <c r="V5115" s="350"/>
    </row>
    <row r="5116" spans="1:22">
      <c r="A5116" s="403"/>
      <c r="B5116" s="379"/>
      <c r="C5116" s="350"/>
      <c r="D5116" s="380"/>
      <c r="G5116" s="380"/>
      <c r="J5116" s="350"/>
      <c r="K5116" s="383"/>
      <c r="L5116" s="383"/>
      <c r="M5116" s="350"/>
      <c r="N5116" s="404"/>
      <c r="O5116" s="381"/>
      <c r="R5116" s="386"/>
      <c r="S5116" s="393"/>
      <c r="V5116" s="350"/>
    </row>
    <row r="5117" spans="1:22">
      <c r="A5117" s="403"/>
      <c r="B5117" s="379"/>
      <c r="C5117" s="350"/>
      <c r="D5117" s="380"/>
      <c r="G5117" s="380"/>
      <c r="J5117" s="350"/>
      <c r="K5117" s="383"/>
      <c r="L5117" s="383"/>
      <c r="M5117" s="350"/>
      <c r="N5117" s="404"/>
      <c r="O5117" s="381"/>
      <c r="R5117" s="386"/>
      <c r="S5117" s="393"/>
      <c r="V5117" s="350"/>
    </row>
    <row r="5118" spans="1:22">
      <c r="A5118" s="403"/>
      <c r="B5118" s="379"/>
      <c r="C5118" s="350"/>
      <c r="D5118" s="380"/>
      <c r="G5118" s="380"/>
      <c r="J5118" s="350"/>
      <c r="K5118" s="383"/>
      <c r="L5118" s="383"/>
      <c r="M5118" s="350"/>
      <c r="N5118" s="404"/>
      <c r="O5118" s="381"/>
      <c r="R5118" s="386"/>
      <c r="S5118" s="393"/>
      <c r="V5118" s="350"/>
    </row>
    <row r="5119" spans="1:22">
      <c r="A5119" s="403"/>
      <c r="B5119" s="379"/>
      <c r="C5119" s="350"/>
      <c r="D5119" s="380"/>
      <c r="G5119" s="380"/>
      <c r="J5119" s="350"/>
      <c r="K5119" s="383"/>
      <c r="L5119" s="383"/>
      <c r="M5119" s="350"/>
      <c r="N5119" s="404"/>
      <c r="O5119" s="381"/>
      <c r="R5119" s="386"/>
      <c r="S5119" s="393"/>
      <c r="V5119" s="350"/>
    </row>
    <row r="5120" spans="1:22">
      <c r="A5120" s="403"/>
      <c r="B5120" s="379"/>
      <c r="C5120" s="350"/>
      <c r="D5120" s="380"/>
      <c r="G5120" s="380"/>
      <c r="J5120" s="350"/>
      <c r="K5120" s="383"/>
      <c r="L5120" s="383"/>
      <c r="M5120" s="350"/>
      <c r="N5120" s="404"/>
      <c r="O5120" s="381"/>
      <c r="R5120" s="386"/>
      <c r="S5120" s="393"/>
      <c r="V5120" s="350"/>
    </row>
    <row r="5121" spans="1:22">
      <c r="A5121" s="403"/>
      <c r="B5121" s="379"/>
      <c r="C5121" s="350"/>
      <c r="D5121" s="380"/>
      <c r="G5121" s="380"/>
      <c r="J5121" s="350"/>
      <c r="K5121" s="383"/>
      <c r="L5121" s="383"/>
      <c r="M5121" s="350"/>
      <c r="N5121" s="404"/>
      <c r="O5121" s="381"/>
      <c r="R5121" s="386"/>
      <c r="S5121" s="393"/>
      <c r="V5121" s="350"/>
    </row>
    <row r="5122" spans="1:22">
      <c r="A5122" s="403"/>
      <c r="B5122" s="379"/>
      <c r="C5122" s="350"/>
      <c r="D5122" s="380"/>
      <c r="G5122" s="380"/>
      <c r="J5122" s="350"/>
      <c r="K5122" s="383"/>
      <c r="L5122" s="383"/>
      <c r="M5122" s="350"/>
      <c r="N5122" s="404"/>
      <c r="O5122" s="381"/>
      <c r="R5122" s="386"/>
      <c r="S5122" s="393"/>
      <c r="V5122" s="350"/>
    </row>
    <row r="5123" spans="1:22">
      <c r="A5123" s="403"/>
      <c r="B5123" s="379"/>
      <c r="C5123" s="350"/>
      <c r="D5123" s="380"/>
      <c r="G5123" s="380"/>
      <c r="J5123" s="350"/>
      <c r="K5123" s="383"/>
      <c r="L5123" s="383"/>
      <c r="M5123" s="350"/>
      <c r="N5123" s="404"/>
      <c r="O5123" s="381"/>
      <c r="R5123" s="386"/>
      <c r="S5123" s="393"/>
      <c r="V5123" s="350"/>
    </row>
    <row r="5124" spans="1:22">
      <c r="A5124" s="403"/>
      <c r="B5124" s="379"/>
      <c r="C5124" s="350"/>
      <c r="D5124" s="380"/>
      <c r="G5124" s="380"/>
      <c r="J5124" s="350"/>
      <c r="K5124" s="383"/>
      <c r="L5124" s="383"/>
      <c r="M5124" s="350"/>
      <c r="N5124" s="404"/>
      <c r="O5124" s="381"/>
      <c r="R5124" s="386"/>
      <c r="S5124" s="393"/>
      <c r="V5124" s="350"/>
    </row>
    <row r="5125" spans="1:22">
      <c r="A5125" s="403"/>
      <c r="B5125" s="379"/>
      <c r="C5125" s="350"/>
      <c r="D5125" s="380"/>
      <c r="G5125" s="380"/>
      <c r="J5125" s="350"/>
      <c r="K5125" s="383"/>
      <c r="L5125" s="383"/>
      <c r="M5125" s="350"/>
      <c r="N5125" s="404"/>
      <c r="O5125" s="381"/>
      <c r="R5125" s="386"/>
      <c r="S5125" s="393"/>
      <c r="V5125" s="350"/>
    </row>
    <row r="5126" spans="1:22">
      <c r="A5126" s="403"/>
      <c r="B5126" s="379"/>
      <c r="C5126" s="350"/>
      <c r="D5126" s="380"/>
      <c r="G5126" s="380"/>
      <c r="J5126" s="350"/>
      <c r="K5126" s="383"/>
      <c r="L5126" s="383"/>
      <c r="M5126" s="350"/>
      <c r="N5126" s="404"/>
      <c r="O5126" s="381"/>
      <c r="R5126" s="386"/>
      <c r="S5126" s="393"/>
      <c r="V5126" s="350"/>
    </row>
    <row r="5127" spans="1:22">
      <c r="A5127" s="403"/>
      <c r="B5127" s="379"/>
      <c r="C5127" s="350"/>
      <c r="D5127" s="380"/>
      <c r="G5127" s="380"/>
      <c r="J5127" s="350"/>
      <c r="K5127" s="383"/>
      <c r="L5127" s="383"/>
      <c r="M5127" s="350"/>
      <c r="N5127" s="404"/>
      <c r="O5127" s="381"/>
      <c r="R5127" s="386"/>
      <c r="S5127" s="393"/>
      <c r="V5127" s="350"/>
    </row>
    <row r="5128" spans="1:22">
      <c r="A5128" s="403"/>
      <c r="B5128" s="379"/>
      <c r="C5128" s="350"/>
      <c r="D5128" s="380"/>
      <c r="G5128" s="380"/>
      <c r="J5128" s="350"/>
      <c r="K5128" s="383"/>
      <c r="L5128" s="383"/>
      <c r="M5128" s="350"/>
      <c r="N5128" s="404"/>
      <c r="O5128" s="381"/>
      <c r="R5128" s="386"/>
      <c r="S5128" s="393"/>
      <c r="V5128" s="350"/>
    </row>
    <row r="5129" spans="1:22">
      <c r="A5129" s="403"/>
      <c r="B5129" s="379"/>
      <c r="C5129" s="350"/>
      <c r="D5129" s="380"/>
      <c r="G5129" s="380"/>
      <c r="J5129" s="350"/>
      <c r="K5129" s="383"/>
      <c r="L5129" s="383"/>
      <c r="M5129" s="350"/>
      <c r="N5129" s="404"/>
      <c r="O5129" s="381"/>
      <c r="R5129" s="386"/>
      <c r="S5129" s="393"/>
      <c r="V5129" s="350"/>
    </row>
    <row r="5130" spans="1:22">
      <c r="A5130" s="403"/>
      <c r="B5130" s="379"/>
      <c r="C5130" s="350"/>
      <c r="D5130" s="380"/>
      <c r="G5130" s="380"/>
      <c r="J5130" s="350"/>
      <c r="K5130" s="383"/>
      <c r="L5130" s="383"/>
      <c r="M5130" s="350"/>
      <c r="N5130" s="404"/>
      <c r="O5130" s="381"/>
      <c r="R5130" s="386"/>
      <c r="S5130" s="393"/>
      <c r="V5130" s="350"/>
    </row>
    <row r="5131" spans="1:22">
      <c r="A5131" s="403"/>
      <c r="B5131" s="379"/>
      <c r="C5131" s="350"/>
      <c r="D5131" s="380"/>
      <c r="G5131" s="380"/>
      <c r="J5131" s="350"/>
      <c r="K5131" s="383"/>
      <c r="L5131" s="383"/>
      <c r="M5131" s="350"/>
      <c r="N5131" s="404"/>
      <c r="O5131" s="381"/>
      <c r="R5131" s="386"/>
      <c r="S5131" s="393"/>
      <c r="V5131" s="350"/>
    </row>
    <row r="5132" spans="1:22">
      <c r="A5132" s="403"/>
      <c r="B5132" s="379"/>
      <c r="C5132" s="350"/>
      <c r="D5132" s="380"/>
      <c r="G5132" s="380"/>
      <c r="J5132" s="350"/>
      <c r="K5132" s="383"/>
      <c r="L5132" s="383"/>
      <c r="M5132" s="350"/>
      <c r="N5132" s="404"/>
      <c r="O5132" s="381"/>
      <c r="R5132" s="386"/>
      <c r="S5132" s="393"/>
      <c r="V5132" s="350"/>
    </row>
    <row r="5133" spans="1:22">
      <c r="A5133" s="403"/>
      <c r="B5133" s="379"/>
      <c r="C5133" s="350"/>
      <c r="D5133" s="380"/>
      <c r="G5133" s="380"/>
      <c r="J5133" s="350"/>
      <c r="K5133" s="383"/>
      <c r="L5133" s="383"/>
      <c r="M5133" s="350"/>
      <c r="N5133" s="404"/>
      <c r="O5133" s="381"/>
      <c r="R5133" s="386"/>
      <c r="S5133" s="393"/>
      <c r="V5133" s="350"/>
    </row>
    <row r="5134" spans="1:22">
      <c r="A5134" s="403"/>
      <c r="B5134" s="379"/>
      <c r="C5134" s="350"/>
      <c r="D5134" s="380"/>
      <c r="G5134" s="380"/>
      <c r="J5134" s="350"/>
      <c r="K5134" s="383"/>
      <c r="L5134" s="383"/>
      <c r="M5134" s="350"/>
      <c r="N5134" s="404"/>
      <c r="O5134" s="381"/>
      <c r="R5134" s="386"/>
      <c r="S5134" s="393"/>
      <c r="V5134" s="350"/>
    </row>
    <row r="5135" spans="1:22">
      <c r="A5135" s="403"/>
      <c r="B5135" s="379"/>
      <c r="C5135" s="350"/>
      <c r="D5135" s="380"/>
      <c r="G5135" s="380"/>
      <c r="J5135" s="350"/>
      <c r="K5135" s="383"/>
      <c r="L5135" s="383"/>
      <c r="M5135" s="350"/>
      <c r="N5135" s="404"/>
      <c r="O5135" s="381"/>
      <c r="R5135" s="386"/>
      <c r="S5135" s="393"/>
      <c r="V5135" s="350"/>
    </row>
    <row r="5136" spans="1:22">
      <c r="A5136" s="403"/>
      <c r="B5136" s="379"/>
      <c r="C5136" s="350"/>
      <c r="D5136" s="380"/>
      <c r="G5136" s="380"/>
      <c r="J5136" s="350"/>
      <c r="K5136" s="383"/>
      <c r="L5136" s="383"/>
      <c r="M5136" s="350"/>
      <c r="N5136" s="404"/>
      <c r="O5136" s="381"/>
      <c r="R5136" s="386"/>
      <c r="S5136" s="393"/>
      <c r="V5136" s="350"/>
    </row>
    <row r="5137" spans="1:22">
      <c r="A5137" s="403"/>
      <c r="B5137" s="379"/>
      <c r="C5137" s="350"/>
      <c r="D5137" s="380"/>
      <c r="G5137" s="380"/>
      <c r="J5137" s="350"/>
      <c r="K5137" s="383"/>
      <c r="L5137" s="383"/>
      <c r="M5137" s="350"/>
      <c r="N5137" s="404"/>
      <c r="O5137" s="381"/>
      <c r="R5137" s="386"/>
      <c r="S5137" s="393"/>
      <c r="V5137" s="350"/>
    </row>
    <row r="5138" spans="1:22">
      <c r="A5138" s="403"/>
      <c r="B5138" s="379"/>
      <c r="C5138" s="350"/>
      <c r="D5138" s="380"/>
      <c r="G5138" s="380"/>
      <c r="J5138" s="350"/>
      <c r="K5138" s="383"/>
      <c r="L5138" s="383"/>
      <c r="M5138" s="350"/>
      <c r="N5138" s="404"/>
      <c r="O5138" s="381"/>
      <c r="R5138" s="386"/>
      <c r="S5138" s="393"/>
      <c r="V5138" s="350"/>
    </row>
    <row r="5139" spans="1:22">
      <c r="A5139" s="403"/>
      <c r="B5139" s="379"/>
      <c r="C5139" s="350"/>
      <c r="D5139" s="380"/>
      <c r="G5139" s="380"/>
      <c r="J5139" s="350"/>
      <c r="K5139" s="383"/>
      <c r="L5139" s="383"/>
      <c r="M5139" s="350"/>
      <c r="N5139" s="404"/>
      <c r="O5139" s="381"/>
      <c r="R5139" s="386"/>
      <c r="S5139" s="393"/>
      <c r="V5139" s="350"/>
    </row>
    <row r="5140" spans="1:22">
      <c r="A5140" s="403"/>
      <c r="B5140" s="379"/>
      <c r="C5140" s="350"/>
      <c r="D5140" s="380"/>
      <c r="G5140" s="380"/>
      <c r="J5140" s="350"/>
      <c r="K5140" s="383"/>
      <c r="L5140" s="383"/>
      <c r="M5140" s="350"/>
      <c r="N5140" s="404"/>
      <c r="O5140" s="381"/>
      <c r="R5140" s="386"/>
      <c r="S5140" s="393"/>
      <c r="V5140" s="350"/>
    </row>
    <row r="5141" spans="1:22">
      <c r="A5141" s="403"/>
      <c r="B5141" s="379"/>
      <c r="C5141" s="350"/>
      <c r="D5141" s="380"/>
      <c r="G5141" s="380"/>
      <c r="J5141" s="350"/>
      <c r="K5141" s="383"/>
      <c r="L5141" s="383"/>
      <c r="M5141" s="350"/>
      <c r="N5141" s="404"/>
      <c r="O5141" s="381"/>
      <c r="R5141" s="386"/>
      <c r="S5141" s="393"/>
      <c r="V5141" s="350"/>
    </row>
    <row r="5142" spans="1:22">
      <c r="A5142" s="403"/>
      <c r="B5142" s="379"/>
      <c r="C5142" s="350"/>
      <c r="D5142" s="380"/>
      <c r="G5142" s="380"/>
      <c r="J5142" s="350"/>
      <c r="K5142" s="383"/>
      <c r="L5142" s="383"/>
      <c r="M5142" s="350"/>
      <c r="N5142" s="404"/>
      <c r="O5142" s="381"/>
      <c r="R5142" s="386"/>
      <c r="S5142" s="393"/>
      <c r="V5142" s="350"/>
    </row>
    <row r="5143" spans="1:22">
      <c r="A5143" s="403"/>
      <c r="B5143" s="379"/>
      <c r="C5143" s="350"/>
      <c r="D5143" s="380"/>
      <c r="G5143" s="380"/>
      <c r="J5143" s="350"/>
      <c r="K5143" s="383"/>
      <c r="L5143" s="383"/>
      <c r="M5143" s="350"/>
      <c r="N5143" s="404"/>
      <c r="O5143" s="381"/>
      <c r="R5143" s="386"/>
      <c r="S5143" s="393"/>
      <c r="V5143" s="350"/>
    </row>
    <row r="5144" spans="1:22">
      <c r="A5144" s="403"/>
      <c r="B5144" s="379"/>
      <c r="C5144" s="350"/>
      <c r="D5144" s="380"/>
      <c r="G5144" s="380"/>
      <c r="J5144" s="350"/>
      <c r="K5144" s="383"/>
      <c r="L5144" s="383"/>
      <c r="M5144" s="350"/>
      <c r="N5144" s="404"/>
      <c r="O5144" s="381"/>
      <c r="R5144" s="386"/>
      <c r="S5144" s="393"/>
      <c r="V5144" s="350"/>
    </row>
    <row r="5145" spans="1:22">
      <c r="A5145" s="403"/>
      <c r="B5145" s="379"/>
      <c r="C5145" s="350"/>
      <c r="D5145" s="380"/>
      <c r="G5145" s="380"/>
      <c r="J5145" s="350"/>
      <c r="K5145" s="383"/>
      <c r="L5145" s="383"/>
      <c r="M5145" s="350"/>
      <c r="N5145" s="404"/>
      <c r="O5145" s="381"/>
      <c r="R5145" s="386"/>
      <c r="S5145" s="393"/>
      <c r="V5145" s="350"/>
    </row>
    <row r="5146" spans="1:22">
      <c r="A5146" s="403"/>
      <c r="B5146" s="379"/>
      <c r="C5146" s="350"/>
      <c r="D5146" s="380"/>
      <c r="G5146" s="380"/>
      <c r="J5146" s="350"/>
      <c r="K5146" s="383"/>
      <c r="L5146" s="383"/>
      <c r="M5146" s="350"/>
      <c r="N5146" s="404"/>
      <c r="O5146" s="381"/>
      <c r="R5146" s="386"/>
      <c r="S5146" s="393"/>
      <c r="V5146" s="350"/>
    </row>
    <row r="5147" spans="1:22">
      <c r="A5147" s="403"/>
      <c r="B5147" s="379"/>
      <c r="C5147" s="350"/>
      <c r="D5147" s="380"/>
      <c r="G5147" s="380"/>
      <c r="J5147" s="350"/>
      <c r="K5147" s="383"/>
      <c r="L5147" s="383"/>
      <c r="M5147" s="350"/>
      <c r="N5147" s="404"/>
      <c r="O5147" s="381"/>
      <c r="R5147" s="386"/>
      <c r="S5147" s="393"/>
      <c r="V5147" s="350"/>
    </row>
    <row r="5148" spans="1:22">
      <c r="A5148" s="403"/>
      <c r="B5148" s="379"/>
      <c r="C5148" s="350"/>
      <c r="D5148" s="380"/>
      <c r="G5148" s="380"/>
      <c r="J5148" s="350"/>
      <c r="K5148" s="383"/>
      <c r="L5148" s="383"/>
      <c r="M5148" s="350"/>
      <c r="N5148" s="404"/>
      <c r="O5148" s="381"/>
      <c r="R5148" s="386"/>
      <c r="S5148" s="393"/>
      <c r="V5148" s="350"/>
    </row>
    <row r="5149" spans="1:22">
      <c r="A5149" s="403"/>
      <c r="B5149" s="379"/>
      <c r="C5149" s="350"/>
      <c r="D5149" s="380"/>
      <c r="G5149" s="380"/>
      <c r="J5149" s="350"/>
      <c r="K5149" s="383"/>
      <c r="L5149" s="383"/>
      <c r="M5149" s="350"/>
      <c r="N5149" s="404"/>
      <c r="O5149" s="381"/>
      <c r="R5149" s="386"/>
      <c r="S5149" s="393"/>
      <c r="V5149" s="350"/>
    </row>
    <row r="5150" spans="1:22">
      <c r="A5150" s="403"/>
      <c r="B5150" s="379"/>
      <c r="C5150" s="350"/>
      <c r="D5150" s="380"/>
      <c r="G5150" s="380"/>
      <c r="J5150" s="350"/>
      <c r="K5150" s="383"/>
      <c r="L5150" s="383"/>
      <c r="M5150" s="350"/>
      <c r="N5150" s="404"/>
      <c r="O5150" s="381"/>
      <c r="R5150" s="386"/>
      <c r="S5150" s="393"/>
      <c r="V5150" s="350"/>
    </row>
    <row r="5151" spans="1:22">
      <c r="A5151" s="403"/>
      <c r="B5151" s="379"/>
      <c r="C5151" s="350"/>
      <c r="D5151" s="380"/>
      <c r="G5151" s="380"/>
      <c r="J5151" s="350"/>
      <c r="K5151" s="383"/>
      <c r="L5151" s="383"/>
      <c r="M5151" s="350"/>
      <c r="N5151" s="404"/>
      <c r="O5151" s="381"/>
      <c r="R5151" s="386"/>
      <c r="S5151" s="393"/>
      <c r="V5151" s="350"/>
    </row>
    <row r="5152" spans="1:22">
      <c r="A5152" s="403"/>
      <c r="B5152" s="379"/>
      <c r="C5152" s="350"/>
      <c r="D5152" s="380"/>
      <c r="G5152" s="380"/>
      <c r="J5152" s="350"/>
      <c r="K5152" s="383"/>
      <c r="L5152" s="383"/>
      <c r="M5152" s="350"/>
      <c r="N5152" s="404"/>
      <c r="O5152" s="381"/>
      <c r="R5152" s="386"/>
      <c r="S5152" s="393"/>
      <c r="V5152" s="350"/>
    </row>
    <row r="5153" spans="1:22">
      <c r="A5153" s="403"/>
      <c r="B5153" s="379"/>
      <c r="C5153" s="350"/>
      <c r="D5153" s="380"/>
      <c r="G5153" s="380"/>
      <c r="J5153" s="350"/>
      <c r="K5153" s="383"/>
      <c r="L5153" s="383"/>
      <c r="M5153" s="350"/>
      <c r="N5153" s="404"/>
      <c r="O5153" s="381"/>
      <c r="R5153" s="386"/>
      <c r="S5153" s="393"/>
      <c r="V5153" s="350"/>
    </row>
    <row r="5154" spans="1:22">
      <c r="A5154" s="403"/>
      <c r="B5154" s="379"/>
      <c r="C5154" s="350"/>
      <c r="D5154" s="380"/>
      <c r="G5154" s="380"/>
      <c r="J5154" s="350"/>
      <c r="K5154" s="383"/>
      <c r="L5154" s="383"/>
      <c r="M5154" s="350"/>
      <c r="N5154" s="404"/>
      <c r="O5154" s="381"/>
      <c r="R5154" s="386"/>
      <c r="S5154" s="393"/>
      <c r="V5154" s="350"/>
    </row>
    <row r="5155" spans="1:22">
      <c r="A5155" s="403"/>
      <c r="B5155" s="379"/>
      <c r="C5155" s="350"/>
      <c r="D5155" s="380"/>
      <c r="G5155" s="380"/>
      <c r="J5155" s="350"/>
      <c r="K5155" s="383"/>
      <c r="L5155" s="383"/>
      <c r="M5155" s="350"/>
      <c r="N5155" s="404"/>
      <c r="O5155" s="381"/>
      <c r="R5155" s="386"/>
      <c r="S5155" s="393"/>
      <c r="V5155" s="350"/>
    </row>
    <row r="5156" spans="1:22">
      <c r="A5156" s="403"/>
      <c r="B5156" s="379"/>
      <c r="C5156" s="350"/>
      <c r="D5156" s="380"/>
      <c r="G5156" s="380"/>
      <c r="J5156" s="350"/>
      <c r="K5156" s="383"/>
      <c r="L5156" s="383"/>
      <c r="M5156" s="350"/>
      <c r="N5156" s="404"/>
      <c r="O5156" s="381"/>
      <c r="R5156" s="386"/>
      <c r="S5156" s="393"/>
      <c r="V5156" s="350"/>
    </row>
    <row r="5157" spans="1:22">
      <c r="A5157" s="403"/>
      <c r="B5157" s="379"/>
      <c r="C5157" s="350"/>
      <c r="D5157" s="380"/>
      <c r="G5157" s="380"/>
      <c r="J5157" s="350"/>
      <c r="K5157" s="383"/>
      <c r="L5157" s="383"/>
      <c r="M5157" s="350"/>
      <c r="N5157" s="404"/>
      <c r="O5157" s="381"/>
      <c r="R5157" s="386"/>
      <c r="S5157" s="393"/>
      <c r="V5157" s="350"/>
    </row>
    <row r="5158" spans="1:22">
      <c r="A5158" s="403"/>
      <c r="B5158" s="379"/>
      <c r="C5158" s="350"/>
      <c r="D5158" s="380"/>
      <c r="G5158" s="380"/>
      <c r="J5158" s="350"/>
      <c r="K5158" s="383"/>
      <c r="L5158" s="383"/>
      <c r="M5158" s="350"/>
      <c r="N5158" s="404"/>
      <c r="O5158" s="381"/>
      <c r="R5158" s="386"/>
      <c r="S5158" s="393"/>
      <c r="V5158" s="350"/>
    </row>
    <row r="5159" spans="1:22">
      <c r="A5159" s="403"/>
      <c r="B5159" s="379"/>
      <c r="C5159" s="350"/>
      <c r="D5159" s="380"/>
      <c r="G5159" s="380"/>
      <c r="J5159" s="350"/>
      <c r="K5159" s="383"/>
      <c r="L5159" s="383"/>
      <c r="M5159" s="350"/>
      <c r="N5159" s="404"/>
      <c r="O5159" s="381"/>
      <c r="R5159" s="386"/>
      <c r="S5159" s="393"/>
      <c r="V5159" s="350"/>
    </row>
    <row r="5160" spans="1:22">
      <c r="A5160" s="403"/>
      <c r="B5160" s="379"/>
      <c r="C5160" s="350"/>
      <c r="D5160" s="380"/>
      <c r="G5160" s="380"/>
      <c r="J5160" s="350"/>
      <c r="K5160" s="383"/>
      <c r="L5160" s="383"/>
      <c r="M5160" s="350"/>
      <c r="N5160" s="404"/>
      <c r="O5160" s="381"/>
      <c r="R5160" s="386"/>
      <c r="S5160" s="393"/>
      <c r="V5160" s="350"/>
    </row>
    <row r="5161" spans="1:22">
      <c r="A5161" s="403"/>
      <c r="B5161" s="379"/>
      <c r="C5161" s="350"/>
      <c r="D5161" s="380"/>
      <c r="G5161" s="380"/>
      <c r="J5161" s="350"/>
      <c r="K5161" s="383"/>
      <c r="L5161" s="383"/>
      <c r="M5161" s="350"/>
      <c r="N5161" s="404"/>
      <c r="O5161" s="381"/>
      <c r="R5161" s="386"/>
      <c r="S5161" s="393"/>
      <c r="V5161" s="350"/>
    </row>
    <row r="5162" spans="1:22">
      <c r="A5162" s="403"/>
      <c r="B5162" s="379"/>
      <c r="C5162" s="350"/>
      <c r="D5162" s="380"/>
      <c r="G5162" s="380"/>
      <c r="J5162" s="350"/>
      <c r="K5162" s="383"/>
      <c r="L5162" s="383"/>
      <c r="M5162" s="350"/>
      <c r="N5162" s="404"/>
      <c r="O5162" s="381"/>
      <c r="R5162" s="386"/>
      <c r="S5162" s="393"/>
      <c r="V5162" s="350"/>
    </row>
    <row r="5163" spans="1:22">
      <c r="A5163" s="403"/>
      <c r="B5163" s="379"/>
      <c r="C5163" s="350"/>
      <c r="D5163" s="380"/>
      <c r="G5163" s="380"/>
      <c r="J5163" s="350"/>
      <c r="K5163" s="383"/>
      <c r="L5163" s="383"/>
      <c r="M5163" s="350"/>
      <c r="N5163" s="404"/>
      <c r="O5163" s="381"/>
      <c r="R5163" s="386"/>
      <c r="S5163" s="393"/>
      <c r="V5163" s="350"/>
    </row>
    <row r="5164" spans="1:22">
      <c r="A5164" s="403"/>
      <c r="B5164" s="379"/>
      <c r="C5164" s="350"/>
      <c r="D5164" s="380"/>
      <c r="G5164" s="380"/>
      <c r="J5164" s="350"/>
      <c r="K5164" s="383"/>
      <c r="L5164" s="383"/>
      <c r="M5164" s="350"/>
      <c r="N5164" s="404"/>
      <c r="O5164" s="381"/>
      <c r="R5164" s="386"/>
      <c r="S5164" s="393"/>
      <c r="V5164" s="350"/>
    </row>
    <row r="5165" spans="1:22">
      <c r="A5165" s="403"/>
      <c r="B5165" s="379"/>
      <c r="C5165" s="350"/>
      <c r="D5165" s="380"/>
      <c r="G5165" s="380"/>
      <c r="J5165" s="350"/>
      <c r="K5165" s="383"/>
      <c r="L5165" s="383"/>
      <c r="M5165" s="350"/>
      <c r="N5165" s="404"/>
      <c r="O5165" s="381"/>
      <c r="R5165" s="386"/>
      <c r="S5165" s="393"/>
      <c r="V5165" s="350"/>
    </row>
    <row r="5166" spans="1:22">
      <c r="A5166" s="403"/>
      <c r="B5166" s="379"/>
      <c r="C5166" s="350"/>
      <c r="D5166" s="380"/>
      <c r="G5166" s="380"/>
      <c r="J5166" s="350"/>
      <c r="K5166" s="383"/>
      <c r="L5166" s="383"/>
      <c r="M5166" s="350"/>
      <c r="N5166" s="404"/>
      <c r="O5166" s="381"/>
      <c r="R5166" s="386"/>
      <c r="S5166" s="393"/>
      <c r="V5166" s="350"/>
    </row>
    <row r="5167" spans="1:22">
      <c r="A5167" s="403"/>
      <c r="B5167" s="379"/>
      <c r="C5167" s="350"/>
      <c r="D5167" s="380"/>
      <c r="G5167" s="380"/>
      <c r="J5167" s="350"/>
      <c r="K5167" s="383"/>
      <c r="L5167" s="383"/>
      <c r="M5167" s="350"/>
      <c r="N5167" s="404"/>
      <c r="O5167" s="381"/>
      <c r="R5167" s="386"/>
      <c r="S5167" s="393"/>
      <c r="V5167" s="350"/>
    </row>
    <row r="5168" spans="1:22">
      <c r="A5168" s="403"/>
      <c r="B5168" s="379"/>
      <c r="C5168" s="350"/>
      <c r="D5168" s="380"/>
      <c r="G5168" s="380"/>
      <c r="J5168" s="350"/>
      <c r="K5168" s="383"/>
      <c r="L5168" s="383"/>
      <c r="M5168" s="350"/>
      <c r="N5168" s="404"/>
      <c r="O5168" s="381"/>
      <c r="R5168" s="386"/>
      <c r="S5168" s="393"/>
      <c r="V5168" s="350"/>
    </row>
    <row r="5169" spans="1:22">
      <c r="A5169" s="403"/>
      <c r="B5169" s="379"/>
      <c r="C5169" s="350"/>
      <c r="D5169" s="380"/>
      <c r="G5169" s="380"/>
      <c r="J5169" s="350"/>
      <c r="K5169" s="383"/>
      <c r="L5169" s="383"/>
      <c r="M5169" s="350"/>
      <c r="N5169" s="404"/>
      <c r="O5169" s="381"/>
      <c r="R5169" s="386"/>
      <c r="S5169" s="393"/>
      <c r="V5169" s="350"/>
    </row>
    <row r="5170" spans="1:22">
      <c r="A5170" s="403"/>
      <c r="B5170" s="379"/>
      <c r="C5170" s="350"/>
      <c r="D5170" s="380"/>
      <c r="G5170" s="380"/>
      <c r="J5170" s="350"/>
      <c r="K5170" s="383"/>
      <c r="L5170" s="383"/>
      <c r="M5170" s="350"/>
      <c r="N5170" s="404"/>
      <c r="O5170" s="381"/>
      <c r="R5170" s="386"/>
      <c r="S5170" s="393"/>
      <c r="V5170" s="350"/>
    </row>
    <row r="5171" spans="1:22">
      <c r="A5171" s="403"/>
      <c r="B5171" s="379"/>
      <c r="C5171" s="350"/>
      <c r="D5171" s="380"/>
      <c r="G5171" s="380"/>
      <c r="J5171" s="350"/>
      <c r="K5171" s="383"/>
      <c r="L5171" s="383"/>
      <c r="M5171" s="350"/>
      <c r="N5171" s="404"/>
      <c r="O5171" s="381"/>
      <c r="R5171" s="386"/>
      <c r="S5171" s="393"/>
      <c r="V5171" s="350"/>
    </row>
    <row r="5172" spans="1:22">
      <c r="A5172" s="403"/>
      <c r="B5172" s="379"/>
      <c r="C5172" s="350"/>
      <c r="D5172" s="380"/>
      <c r="G5172" s="380"/>
      <c r="J5172" s="350"/>
      <c r="K5172" s="383"/>
      <c r="L5172" s="383"/>
      <c r="M5172" s="350"/>
      <c r="N5172" s="404"/>
      <c r="O5172" s="381"/>
      <c r="R5172" s="386"/>
      <c r="S5172" s="393"/>
      <c r="V5172" s="350"/>
    </row>
    <row r="5173" spans="1:22">
      <c r="A5173" s="403"/>
      <c r="B5173" s="379"/>
      <c r="C5173" s="350"/>
      <c r="D5173" s="380"/>
      <c r="G5173" s="380"/>
      <c r="J5173" s="350"/>
      <c r="K5173" s="383"/>
      <c r="L5173" s="383"/>
      <c r="M5173" s="350"/>
      <c r="N5173" s="404"/>
      <c r="O5173" s="381"/>
      <c r="R5173" s="386"/>
      <c r="S5173" s="393"/>
      <c r="V5173" s="350"/>
    </row>
    <row r="5174" spans="1:22">
      <c r="A5174" s="403"/>
      <c r="B5174" s="379"/>
      <c r="C5174" s="350"/>
      <c r="D5174" s="380"/>
      <c r="G5174" s="380"/>
      <c r="J5174" s="350"/>
      <c r="K5174" s="383"/>
      <c r="L5174" s="383"/>
      <c r="M5174" s="350"/>
      <c r="N5174" s="404"/>
      <c r="O5174" s="381"/>
      <c r="R5174" s="386"/>
      <c r="S5174" s="393"/>
      <c r="V5174" s="350"/>
    </row>
    <row r="5175" spans="1:22">
      <c r="A5175" s="403"/>
      <c r="B5175" s="379"/>
      <c r="C5175" s="350"/>
      <c r="D5175" s="380"/>
      <c r="G5175" s="380"/>
      <c r="J5175" s="350"/>
      <c r="K5175" s="383"/>
      <c r="L5175" s="383"/>
      <c r="M5175" s="350"/>
      <c r="N5175" s="404"/>
      <c r="O5175" s="381"/>
      <c r="R5175" s="386"/>
      <c r="S5175" s="393"/>
      <c r="V5175" s="350"/>
    </row>
    <row r="5176" spans="1:22">
      <c r="A5176" s="403"/>
      <c r="B5176" s="379"/>
      <c r="C5176" s="350"/>
      <c r="D5176" s="380"/>
      <c r="G5176" s="380"/>
      <c r="J5176" s="350"/>
      <c r="K5176" s="383"/>
      <c r="L5176" s="383"/>
      <c r="M5176" s="350"/>
      <c r="N5176" s="404"/>
      <c r="O5176" s="381"/>
      <c r="R5176" s="386"/>
      <c r="S5176" s="393"/>
      <c r="V5176" s="350"/>
    </row>
    <row r="5177" spans="1:22">
      <c r="A5177" s="403"/>
      <c r="B5177" s="379"/>
      <c r="C5177" s="350"/>
      <c r="D5177" s="380"/>
      <c r="G5177" s="380"/>
      <c r="J5177" s="350"/>
      <c r="K5177" s="383"/>
      <c r="L5177" s="383"/>
      <c r="M5177" s="350"/>
      <c r="N5177" s="404"/>
      <c r="O5177" s="381"/>
      <c r="R5177" s="386"/>
      <c r="S5177" s="393"/>
      <c r="V5177" s="350"/>
    </row>
    <row r="5178" spans="1:22">
      <c r="A5178" s="403"/>
      <c r="B5178" s="379"/>
      <c r="C5178" s="350"/>
      <c r="D5178" s="380"/>
      <c r="G5178" s="380"/>
      <c r="J5178" s="350"/>
      <c r="K5178" s="383"/>
      <c r="L5178" s="383"/>
      <c r="M5178" s="350"/>
      <c r="N5178" s="404"/>
      <c r="O5178" s="381"/>
      <c r="R5178" s="386"/>
      <c r="S5178" s="393"/>
      <c r="V5178" s="350"/>
    </row>
    <row r="5179" spans="1:22">
      <c r="A5179" s="403"/>
      <c r="B5179" s="379"/>
      <c r="C5179" s="350"/>
      <c r="D5179" s="380"/>
      <c r="G5179" s="380"/>
      <c r="J5179" s="350"/>
      <c r="K5179" s="383"/>
      <c r="L5179" s="383"/>
      <c r="M5179" s="350"/>
      <c r="N5179" s="404"/>
      <c r="O5179" s="381"/>
      <c r="R5179" s="386"/>
      <c r="S5179" s="393"/>
      <c r="V5179" s="350"/>
    </row>
    <row r="5180" spans="1:22">
      <c r="A5180" s="403"/>
      <c r="B5180" s="379"/>
      <c r="C5180" s="350"/>
      <c r="D5180" s="380"/>
      <c r="G5180" s="380"/>
      <c r="J5180" s="350"/>
      <c r="K5180" s="383"/>
      <c r="L5180" s="383"/>
      <c r="M5180" s="350"/>
      <c r="N5180" s="404"/>
      <c r="O5180" s="381"/>
      <c r="R5180" s="386"/>
      <c r="S5180" s="393"/>
      <c r="V5180" s="350"/>
    </row>
    <row r="5181" spans="1:22">
      <c r="A5181" s="403"/>
      <c r="B5181" s="379"/>
      <c r="C5181" s="350"/>
      <c r="D5181" s="380"/>
      <c r="G5181" s="380"/>
      <c r="J5181" s="350"/>
      <c r="K5181" s="383"/>
      <c r="L5181" s="383"/>
      <c r="M5181" s="350"/>
      <c r="N5181" s="404"/>
      <c r="O5181" s="381"/>
      <c r="R5181" s="386"/>
      <c r="S5181" s="393"/>
      <c r="V5181" s="350"/>
    </row>
    <row r="5182" spans="1:22">
      <c r="A5182" s="403"/>
      <c r="B5182" s="379"/>
      <c r="C5182" s="350"/>
      <c r="D5182" s="380"/>
      <c r="G5182" s="380"/>
      <c r="J5182" s="350"/>
      <c r="K5182" s="383"/>
      <c r="L5182" s="383"/>
      <c r="M5182" s="350"/>
      <c r="N5182" s="404"/>
      <c r="O5182" s="381"/>
      <c r="R5182" s="386"/>
      <c r="S5182" s="393"/>
      <c r="V5182" s="350"/>
    </row>
    <row r="5183" spans="1:22">
      <c r="A5183" s="403"/>
      <c r="B5183" s="379"/>
      <c r="C5183" s="350"/>
      <c r="D5183" s="380"/>
      <c r="G5183" s="380"/>
      <c r="J5183" s="350"/>
      <c r="K5183" s="383"/>
      <c r="L5183" s="383"/>
      <c r="M5183" s="350"/>
      <c r="N5183" s="404"/>
      <c r="O5183" s="381"/>
      <c r="R5183" s="386"/>
      <c r="S5183" s="393"/>
      <c r="V5183" s="350"/>
    </row>
    <row r="5184" spans="1:22">
      <c r="A5184" s="403"/>
      <c r="B5184" s="379"/>
      <c r="C5184" s="350"/>
      <c r="D5184" s="380"/>
      <c r="G5184" s="380"/>
      <c r="J5184" s="350"/>
      <c r="K5184" s="383"/>
      <c r="L5184" s="383"/>
      <c r="M5184" s="350"/>
      <c r="N5184" s="404"/>
      <c r="O5184" s="381"/>
      <c r="R5184" s="386"/>
      <c r="S5184" s="393"/>
      <c r="V5184" s="350"/>
    </row>
    <row r="5185" spans="1:22">
      <c r="A5185" s="403"/>
      <c r="B5185" s="379"/>
      <c r="C5185" s="350"/>
      <c r="D5185" s="380"/>
      <c r="G5185" s="380"/>
      <c r="J5185" s="350"/>
      <c r="K5185" s="383"/>
      <c r="L5185" s="383"/>
      <c r="M5185" s="350"/>
      <c r="N5185" s="404"/>
      <c r="O5185" s="381"/>
      <c r="R5185" s="386"/>
      <c r="S5185" s="393"/>
      <c r="V5185" s="350"/>
    </row>
    <row r="5186" spans="1:22">
      <c r="A5186" s="403"/>
      <c r="B5186" s="379"/>
      <c r="C5186" s="350"/>
      <c r="D5186" s="380"/>
      <c r="G5186" s="380"/>
      <c r="J5186" s="350"/>
      <c r="K5186" s="383"/>
      <c r="L5186" s="383"/>
      <c r="M5186" s="350"/>
      <c r="N5186" s="404"/>
      <c r="O5186" s="381"/>
      <c r="R5186" s="386"/>
      <c r="S5186" s="393"/>
      <c r="V5186" s="350"/>
    </row>
    <row r="5187" spans="1:22">
      <c r="A5187" s="403"/>
      <c r="B5187" s="379"/>
      <c r="C5187" s="350"/>
      <c r="D5187" s="380"/>
      <c r="G5187" s="380"/>
      <c r="J5187" s="350"/>
      <c r="K5187" s="383"/>
      <c r="L5187" s="383"/>
      <c r="M5187" s="350"/>
      <c r="N5187" s="404"/>
      <c r="O5187" s="381"/>
      <c r="R5187" s="386"/>
      <c r="S5187" s="393"/>
      <c r="V5187" s="350"/>
    </row>
    <row r="5188" spans="1:22">
      <c r="A5188" s="403"/>
      <c r="B5188" s="379"/>
      <c r="C5188" s="350"/>
      <c r="D5188" s="380"/>
      <c r="G5188" s="380"/>
      <c r="J5188" s="350"/>
      <c r="K5188" s="383"/>
      <c r="L5188" s="383"/>
      <c r="M5188" s="350"/>
      <c r="N5188" s="404"/>
      <c r="O5188" s="381"/>
      <c r="R5188" s="386"/>
      <c r="S5188" s="393"/>
      <c r="V5188" s="350"/>
    </row>
    <row r="5189" spans="1:22">
      <c r="A5189" s="403"/>
      <c r="B5189" s="379"/>
      <c r="C5189" s="350"/>
      <c r="D5189" s="380"/>
      <c r="G5189" s="380"/>
      <c r="J5189" s="350"/>
      <c r="K5189" s="383"/>
      <c r="L5189" s="383"/>
      <c r="M5189" s="350"/>
      <c r="N5189" s="404"/>
      <c r="O5189" s="381"/>
      <c r="R5189" s="386"/>
      <c r="S5189" s="393"/>
      <c r="V5189" s="350"/>
    </row>
    <row r="5190" spans="1:22">
      <c r="A5190" s="403"/>
      <c r="B5190" s="379"/>
      <c r="C5190" s="350"/>
      <c r="D5190" s="380"/>
      <c r="G5190" s="380"/>
      <c r="J5190" s="350"/>
      <c r="K5190" s="383"/>
      <c r="L5190" s="383"/>
      <c r="M5190" s="350"/>
      <c r="N5190" s="404"/>
      <c r="O5190" s="381"/>
      <c r="R5190" s="386"/>
      <c r="S5190" s="393"/>
      <c r="V5190" s="350"/>
    </row>
    <row r="5191" spans="1:22">
      <c r="A5191" s="403"/>
      <c r="B5191" s="379"/>
      <c r="C5191" s="350"/>
      <c r="D5191" s="380"/>
      <c r="G5191" s="380"/>
      <c r="J5191" s="350"/>
      <c r="K5191" s="383"/>
      <c r="L5191" s="383"/>
      <c r="M5191" s="350"/>
      <c r="N5191" s="404"/>
      <c r="O5191" s="381"/>
      <c r="R5191" s="386"/>
      <c r="S5191" s="393"/>
      <c r="V5191" s="350"/>
    </row>
    <row r="5192" spans="1:22">
      <c r="A5192" s="403"/>
      <c r="B5192" s="379"/>
      <c r="C5192" s="350"/>
      <c r="D5192" s="380"/>
      <c r="G5192" s="380"/>
      <c r="J5192" s="350"/>
      <c r="K5192" s="383"/>
      <c r="L5192" s="383"/>
      <c r="M5192" s="350"/>
      <c r="N5192" s="404"/>
      <c r="O5192" s="381"/>
      <c r="R5192" s="386"/>
      <c r="S5192" s="393"/>
      <c r="V5192" s="350"/>
    </row>
    <row r="5193" spans="1:22">
      <c r="A5193" s="403"/>
      <c r="B5193" s="379"/>
      <c r="C5193" s="350"/>
      <c r="D5193" s="380"/>
      <c r="G5193" s="380"/>
      <c r="J5193" s="350"/>
      <c r="K5193" s="383"/>
      <c r="L5193" s="383"/>
      <c r="M5193" s="350"/>
      <c r="N5193" s="404"/>
      <c r="O5193" s="381"/>
      <c r="R5193" s="386"/>
      <c r="S5193" s="393"/>
      <c r="V5193" s="350"/>
    </row>
    <row r="5194" spans="1:22">
      <c r="A5194" s="403"/>
      <c r="B5194" s="379"/>
      <c r="C5194" s="350"/>
      <c r="D5194" s="380"/>
      <c r="G5194" s="380"/>
      <c r="J5194" s="350"/>
      <c r="K5194" s="383"/>
      <c r="L5194" s="383"/>
      <c r="M5194" s="350"/>
      <c r="N5194" s="404"/>
      <c r="O5194" s="381"/>
      <c r="R5194" s="386"/>
      <c r="S5194" s="393"/>
      <c r="V5194" s="350"/>
    </row>
    <row r="5195" spans="1:22">
      <c r="A5195" s="403"/>
      <c r="B5195" s="379"/>
      <c r="C5195" s="350"/>
      <c r="D5195" s="380"/>
      <c r="G5195" s="380"/>
      <c r="J5195" s="350"/>
      <c r="K5195" s="383"/>
      <c r="L5195" s="383"/>
      <c r="M5195" s="350"/>
      <c r="N5195" s="404"/>
      <c r="O5195" s="381"/>
      <c r="R5195" s="386"/>
      <c r="S5195" s="393"/>
      <c r="V5195" s="350"/>
    </row>
    <row r="5196" spans="1:22">
      <c r="A5196" s="403"/>
      <c r="B5196" s="379"/>
      <c r="C5196" s="350"/>
      <c r="D5196" s="380"/>
      <c r="G5196" s="380"/>
      <c r="J5196" s="350"/>
      <c r="K5196" s="383"/>
      <c r="L5196" s="383"/>
      <c r="M5196" s="350"/>
      <c r="N5196" s="404"/>
      <c r="O5196" s="381"/>
      <c r="R5196" s="386"/>
      <c r="S5196" s="393"/>
      <c r="V5196" s="350"/>
    </row>
    <row r="5197" spans="1:22">
      <c r="A5197" s="403"/>
      <c r="B5197" s="379"/>
      <c r="C5197" s="350"/>
      <c r="D5197" s="380"/>
      <c r="G5197" s="380"/>
      <c r="J5197" s="350"/>
      <c r="K5197" s="383"/>
      <c r="L5197" s="383"/>
      <c r="M5197" s="350"/>
      <c r="N5197" s="404"/>
      <c r="O5197" s="381"/>
      <c r="R5197" s="386"/>
      <c r="S5197" s="393"/>
      <c r="V5197" s="350"/>
    </row>
    <row r="5198" spans="1:22">
      <c r="A5198" s="403"/>
      <c r="B5198" s="379"/>
      <c r="C5198" s="350"/>
      <c r="D5198" s="380"/>
      <c r="G5198" s="380"/>
      <c r="J5198" s="350"/>
      <c r="K5198" s="383"/>
      <c r="L5198" s="383"/>
      <c r="M5198" s="350"/>
      <c r="N5198" s="404"/>
      <c r="O5198" s="381"/>
      <c r="R5198" s="386"/>
      <c r="S5198" s="393"/>
      <c r="V5198" s="350"/>
    </row>
    <row r="5199" spans="1:22">
      <c r="A5199" s="403"/>
      <c r="B5199" s="379"/>
      <c r="C5199" s="350"/>
      <c r="D5199" s="380"/>
      <c r="G5199" s="380"/>
      <c r="J5199" s="350"/>
      <c r="K5199" s="383"/>
      <c r="L5199" s="383"/>
      <c r="M5199" s="350"/>
      <c r="N5199" s="404"/>
      <c r="O5199" s="381"/>
      <c r="R5199" s="386"/>
      <c r="S5199" s="393"/>
      <c r="V5199" s="350"/>
    </row>
    <row r="5200" spans="1:22">
      <c r="A5200" s="403"/>
      <c r="B5200" s="379"/>
      <c r="C5200" s="350"/>
      <c r="D5200" s="380"/>
      <c r="G5200" s="380"/>
      <c r="J5200" s="350"/>
      <c r="K5200" s="383"/>
      <c r="L5200" s="383"/>
      <c r="M5200" s="350"/>
      <c r="N5200" s="404"/>
      <c r="O5200" s="381"/>
      <c r="R5200" s="386"/>
      <c r="S5200" s="393"/>
      <c r="V5200" s="350"/>
    </row>
    <row r="5201" spans="1:22">
      <c r="A5201" s="403"/>
      <c r="B5201" s="379"/>
      <c r="C5201" s="350"/>
      <c r="D5201" s="380"/>
      <c r="G5201" s="380"/>
      <c r="J5201" s="350"/>
      <c r="K5201" s="383"/>
      <c r="L5201" s="383"/>
      <c r="M5201" s="350"/>
      <c r="N5201" s="404"/>
      <c r="O5201" s="381"/>
      <c r="R5201" s="386"/>
      <c r="S5201" s="393"/>
      <c r="V5201" s="350"/>
    </row>
    <row r="5202" spans="1:22">
      <c r="A5202" s="403"/>
      <c r="B5202" s="379"/>
      <c r="C5202" s="350"/>
      <c r="D5202" s="380"/>
      <c r="G5202" s="380"/>
      <c r="J5202" s="350"/>
      <c r="K5202" s="383"/>
      <c r="L5202" s="383"/>
      <c r="M5202" s="350"/>
      <c r="N5202" s="404"/>
      <c r="O5202" s="381"/>
      <c r="R5202" s="386"/>
      <c r="S5202" s="393"/>
      <c r="V5202" s="350"/>
    </row>
    <row r="5203" spans="1:22">
      <c r="A5203" s="403"/>
      <c r="B5203" s="379"/>
      <c r="C5203" s="350"/>
      <c r="D5203" s="380"/>
      <c r="G5203" s="380"/>
      <c r="J5203" s="350"/>
      <c r="K5203" s="383"/>
      <c r="L5203" s="383"/>
      <c r="M5203" s="350"/>
      <c r="N5203" s="404"/>
      <c r="O5203" s="381"/>
      <c r="R5203" s="386"/>
      <c r="S5203" s="393"/>
      <c r="V5203" s="350"/>
    </row>
    <row r="5204" spans="1:22">
      <c r="A5204" s="403"/>
      <c r="B5204" s="379"/>
      <c r="C5204" s="350"/>
      <c r="D5204" s="380"/>
      <c r="G5204" s="380"/>
      <c r="J5204" s="350"/>
      <c r="K5204" s="383"/>
      <c r="L5204" s="383"/>
      <c r="M5204" s="350"/>
      <c r="N5204" s="404"/>
      <c r="O5204" s="381"/>
      <c r="R5204" s="386"/>
      <c r="S5204" s="393"/>
      <c r="V5204" s="350"/>
    </row>
    <row r="5205" spans="1:22">
      <c r="A5205" s="403"/>
      <c r="B5205" s="379"/>
      <c r="C5205" s="350"/>
      <c r="D5205" s="380"/>
      <c r="G5205" s="380"/>
      <c r="J5205" s="350"/>
      <c r="K5205" s="383"/>
      <c r="L5205" s="383"/>
      <c r="M5205" s="350"/>
      <c r="N5205" s="404"/>
      <c r="O5205" s="381"/>
      <c r="R5205" s="386"/>
      <c r="S5205" s="393"/>
      <c r="V5205" s="350"/>
    </row>
    <row r="5206" spans="1:22">
      <c r="A5206" s="403"/>
      <c r="B5206" s="379"/>
      <c r="C5206" s="350"/>
      <c r="D5206" s="380"/>
      <c r="G5206" s="380"/>
      <c r="J5206" s="350"/>
      <c r="K5206" s="383"/>
      <c r="L5206" s="383"/>
      <c r="M5206" s="350"/>
      <c r="N5206" s="404"/>
      <c r="O5206" s="381"/>
      <c r="R5206" s="386"/>
      <c r="S5206" s="393"/>
      <c r="V5206" s="350"/>
    </row>
    <row r="5207" spans="1:22">
      <c r="A5207" s="403"/>
      <c r="B5207" s="379"/>
      <c r="C5207" s="350"/>
      <c r="D5207" s="380"/>
      <c r="G5207" s="380"/>
      <c r="J5207" s="350"/>
      <c r="K5207" s="383"/>
      <c r="L5207" s="383"/>
      <c r="M5207" s="350"/>
      <c r="N5207" s="404"/>
      <c r="O5207" s="381"/>
      <c r="R5207" s="386"/>
      <c r="S5207" s="393"/>
      <c r="V5207" s="350"/>
    </row>
    <row r="5208" spans="1:22">
      <c r="A5208" s="403"/>
      <c r="B5208" s="379"/>
      <c r="C5208" s="350"/>
      <c r="D5208" s="380"/>
      <c r="G5208" s="380"/>
      <c r="J5208" s="350"/>
      <c r="K5208" s="383"/>
      <c r="L5208" s="383"/>
      <c r="M5208" s="350"/>
      <c r="N5208" s="404"/>
      <c r="O5208" s="381"/>
      <c r="R5208" s="386"/>
      <c r="S5208" s="393"/>
      <c r="V5208" s="350"/>
    </row>
    <row r="5209" spans="1:22">
      <c r="A5209" s="403"/>
      <c r="B5209" s="379"/>
      <c r="C5209" s="350"/>
      <c r="D5209" s="380"/>
      <c r="G5209" s="380"/>
      <c r="J5209" s="350"/>
      <c r="K5209" s="383"/>
      <c r="L5209" s="383"/>
      <c r="M5209" s="350"/>
      <c r="N5209" s="404"/>
      <c r="O5209" s="381"/>
      <c r="R5209" s="386"/>
      <c r="S5209" s="393"/>
      <c r="V5209" s="350"/>
    </row>
    <row r="5210" spans="1:22">
      <c r="A5210" s="403"/>
      <c r="B5210" s="379"/>
      <c r="C5210" s="350"/>
      <c r="D5210" s="380"/>
      <c r="G5210" s="380"/>
      <c r="J5210" s="350"/>
      <c r="K5210" s="383"/>
      <c r="L5210" s="383"/>
      <c r="M5210" s="350"/>
      <c r="N5210" s="404"/>
      <c r="O5210" s="381"/>
      <c r="R5210" s="386"/>
      <c r="S5210" s="393"/>
      <c r="V5210" s="350"/>
    </row>
    <row r="5211" spans="1:22">
      <c r="A5211" s="403"/>
      <c r="B5211" s="379"/>
      <c r="C5211" s="350"/>
      <c r="D5211" s="380"/>
      <c r="G5211" s="380"/>
      <c r="J5211" s="350"/>
      <c r="K5211" s="383"/>
      <c r="L5211" s="383"/>
      <c r="M5211" s="350"/>
      <c r="N5211" s="404"/>
      <c r="O5211" s="381"/>
      <c r="R5211" s="386"/>
      <c r="S5211" s="393"/>
      <c r="V5211" s="350"/>
    </row>
    <row r="5212" spans="1:22">
      <c r="A5212" s="403"/>
      <c r="B5212" s="379"/>
      <c r="C5212" s="350"/>
      <c r="D5212" s="380"/>
      <c r="G5212" s="380"/>
      <c r="J5212" s="350"/>
      <c r="K5212" s="383"/>
      <c r="L5212" s="383"/>
      <c r="M5212" s="350"/>
      <c r="N5212" s="404"/>
      <c r="O5212" s="381"/>
      <c r="R5212" s="386"/>
      <c r="S5212" s="393"/>
      <c r="V5212" s="350"/>
    </row>
    <row r="5213" spans="1:22">
      <c r="A5213" s="403"/>
      <c r="B5213" s="379"/>
      <c r="C5213" s="350"/>
      <c r="D5213" s="380"/>
      <c r="G5213" s="380"/>
      <c r="J5213" s="350"/>
      <c r="K5213" s="383"/>
      <c r="L5213" s="383"/>
      <c r="M5213" s="350"/>
      <c r="N5213" s="404"/>
      <c r="O5213" s="381"/>
      <c r="R5213" s="386"/>
      <c r="S5213" s="393"/>
      <c r="V5213" s="350"/>
    </row>
    <row r="5214" spans="1:22">
      <c r="A5214" s="403"/>
      <c r="B5214" s="379"/>
      <c r="C5214" s="350"/>
      <c r="D5214" s="380"/>
      <c r="G5214" s="380"/>
      <c r="J5214" s="350"/>
      <c r="K5214" s="383"/>
      <c r="L5214" s="383"/>
      <c r="M5214" s="350"/>
      <c r="N5214" s="404"/>
      <c r="O5214" s="381"/>
      <c r="R5214" s="386"/>
      <c r="S5214" s="393"/>
      <c r="V5214" s="350"/>
    </row>
    <row r="5215" spans="1:22">
      <c r="A5215" s="403"/>
      <c r="B5215" s="379"/>
      <c r="C5215" s="350"/>
      <c r="D5215" s="380"/>
      <c r="G5215" s="380"/>
      <c r="J5215" s="350"/>
      <c r="K5215" s="383"/>
      <c r="L5215" s="383"/>
      <c r="M5215" s="350"/>
      <c r="N5215" s="404"/>
      <c r="O5215" s="381"/>
      <c r="R5215" s="386"/>
      <c r="S5215" s="393"/>
      <c r="V5215" s="350"/>
    </row>
    <row r="5216" spans="1:22">
      <c r="A5216" s="403"/>
      <c r="B5216" s="379"/>
      <c r="C5216" s="350"/>
      <c r="D5216" s="380"/>
      <c r="G5216" s="380"/>
      <c r="J5216" s="350"/>
      <c r="K5216" s="383"/>
      <c r="L5216" s="383"/>
      <c r="M5216" s="350"/>
      <c r="N5216" s="404"/>
      <c r="O5216" s="381"/>
      <c r="R5216" s="386"/>
      <c r="S5216" s="393"/>
      <c r="V5216" s="350"/>
    </row>
    <row r="5217" spans="1:22">
      <c r="A5217" s="403"/>
      <c r="B5217" s="379"/>
      <c r="C5217" s="350"/>
      <c r="D5217" s="380"/>
      <c r="G5217" s="380"/>
      <c r="J5217" s="350"/>
      <c r="K5217" s="383"/>
      <c r="L5217" s="383"/>
      <c r="M5217" s="350"/>
      <c r="N5217" s="404"/>
      <c r="O5217" s="381"/>
      <c r="R5217" s="386"/>
      <c r="S5217" s="393"/>
      <c r="V5217" s="350"/>
    </row>
    <row r="5218" spans="1:22">
      <c r="A5218" s="403"/>
      <c r="B5218" s="379"/>
      <c r="C5218" s="350"/>
      <c r="D5218" s="380"/>
      <c r="G5218" s="380"/>
      <c r="J5218" s="350"/>
      <c r="K5218" s="383"/>
      <c r="L5218" s="383"/>
      <c r="M5218" s="350"/>
      <c r="N5218" s="404"/>
      <c r="O5218" s="381"/>
      <c r="R5218" s="386"/>
      <c r="S5218" s="393"/>
      <c r="V5218" s="350"/>
    </row>
    <row r="5219" spans="1:22">
      <c r="A5219" s="403"/>
      <c r="B5219" s="379"/>
      <c r="C5219" s="350"/>
      <c r="D5219" s="380"/>
      <c r="G5219" s="380"/>
      <c r="J5219" s="350"/>
      <c r="K5219" s="383"/>
      <c r="L5219" s="383"/>
      <c r="M5219" s="350"/>
      <c r="N5219" s="404"/>
      <c r="O5219" s="381"/>
      <c r="R5219" s="386"/>
      <c r="S5219" s="393"/>
      <c r="V5219" s="350"/>
    </row>
    <row r="5220" spans="1:22">
      <c r="A5220" s="403"/>
      <c r="B5220" s="379"/>
      <c r="C5220" s="350"/>
      <c r="D5220" s="380"/>
      <c r="G5220" s="380"/>
      <c r="J5220" s="350"/>
      <c r="K5220" s="383"/>
      <c r="L5220" s="383"/>
      <c r="M5220" s="350"/>
      <c r="N5220" s="404"/>
      <c r="O5220" s="381"/>
      <c r="R5220" s="386"/>
      <c r="S5220" s="393"/>
      <c r="V5220" s="350"/>
    </row>
    <row r="5221" spans="1:22">
      <c r="A5221" s="403"/>
      <c r="B5221" s="379"/>
      <c r="C5221" s="350"/>
      <c r="D5221" s="380"/>
      <c r="G5221" s="380"/>
      <c r="J5221" s="350"/>
      <c r="K5221" s="383"/>
      <c r="L5221" s="383"/>
      <c r="M5221" s="350"/>
      <c r="N5221" s="404"/>
      <c r="O5221" s="381"/>
      <c r="R5221" s="386"/>
      <c r="S5221" s="393"/>
      <c r="V5221" s="350"/>
    </row>
    <row r="5222" spans="1:22">
      <c r="A5222" s="403"/>
      <c r="B5222" s="379"/>
      <c r="C5222" s="350"/>
      <c r="D5222" s="380"/>
      <c r="G5222" s="380"/>
      <c r="J5222" s="350"/>
      <c r="K5222" s="383"/>
      <c r="L5222" s="383"/>
      <c r="M5222" s="350"/>
      <c r="N5222" s="404"/>
      <c r="O5222" s="381"/>
      <c r="R5222" s="386"/>
      <c r="S5222" s="393"/>
      <c r="V5222" s="350"/>
    </row>
    <row r="5223" spans="1:22">
      <c r="A5223" s="403"/>
      <c r="B5223" s="379"/>
      <c r="C5223" s="350"/>
      <c r="D5223" s="380"/>
      <c r="G5223" s="380"/>
      <c r="J5223" s="350"/>
      <c r="K5223" s="383"/>
      <c r="L5223" s="383"/>
      <c r="M5223" s="350"/>
      <c r="N5223" s="404"/>
      <c r="O5223" s="381"/>
      <c r="R5223" s="386"/>
      <c r="S5223" s="393"/>
      <c r="V5223" s="350"/>
    </row>
    <row r="5224" spans="1:22">
      <c r="A5224" s="403"/>
      <c r="B5224" s="379"/>
      <c r="C5224" s="350"/>
      <c r="D5224" s="380"/>
      <c r="G5224" s="380"/>
      <c r="J5224" s="350"/>
      <c r="K5224" s="383"/>
      <c r="L5224" s="383"/>
      <c r="M5224" s="350"/>
      <c r="N5224" s="404"/>
      <c r="O5224" s="381"/>
      <c r="R5224" s="386"/>
      <c r="S5224" s="393"/>
      <c r="V5224" s="350"/>
    </row>
    <row r="5225" spans="1:22">
      <c r="A5225" s="403"/>
      <c r="B5225" s="379"/>
      <c r="C5225" s="350"/>
      <c r="D5225" s="380"/>
      <c r="G5225" s="380"/>
      <c r="J5225" s="350"/>
      <c r="K5225" s="383"/>
      <c r="L5225" s="383"/>
      <c r="M5225" s="350"/>
      <c r="N5225" s="404"/>
      <c r="O5225" s="381"/>
      <c r="R5225" s="386"/>
      <c r="S5225" s="393"/>
      <c r="V5225" s="350"/>
    </row>
    <row r="5226" spans="1:22">
      <c r="A5226" s="403"/>
      <c r="B5226" s="379"/>
      <c r="C5226" s="350"/>
      <c r="D5226" s="380"/>
      <c r="G5226" s="380"/>
      <c r="J5226" s="350"/>
      <c r="K5226" s="383"/>
      <c r="L5226" s="383"/>
      <c r="M5226" s="350"/>
      <c r="N5226" s="404"/>
      <c r="O5226" s="381"/>
      <c r="R5226" s="386"/>
      <c r="S5226" s="393"/>
      <c r="V5226" s="350"/>
    </row>
    <row r="5227" spans="1:22">
      <c r="A5227" s="403"/>
      <c r="B5227" s="379"/>
      <c r="C5227" s="350"/>
      <c r="D5227" s="380"/>
      <c r="G5227" s="380"/>
      <c r="J5227" s="350"/>
      <c r="K5227" s="383"/>
      <c r="L5227" s="383"/>
      <c r="M5227" s="350"/>
      <c r="N5227" s="404"/>
      <c r="O5227" s="381"/>
      <c r="R5227" s="386"/>
      <c r="S5227" s="393"/>
      <c r="V5227" s="350"/>
    </row>
    <row r="5228" spans="1:22">
      <c r="A5228" s="403"/>
      <c r="B5228" s="379"/>
      <c r="C5228" s="350"/>
      <c r="D5228" s="380"/>
      <c r="G5228" s="380"/>
      <c r="J5228" s="350"/>
      <c r="K5228" s="383"/>
      <c r="L5228" s="383"/>
      <c r="M5228" s="350"/>
      <c r="N5228" s="404"/>
      <c r="O5228" s="381"/>
      <c r="R5228" s="386"/>
      <c r="S5228" s="393"/>
      <c r="V5228" s="350"/>
    </row>
    <row r="5229" spans="1:22">
      <c r="A5229" s="403"/>
      <c r="B5229" s="379"/>
      <c r="C5229" s="350"/>
      <c r="D5229" s="380"/>
      <c r="G5229" s="380"/>
      <c r="J5229" s="350"/>
      <c r="K5229" s="383"/>
      <c r="L5229" s="383"/>
      <c r="M5229" s="350"/>
      <c r="N5229" s="404"/>
      <c r="O5229" s="381"/>
      <c r="R5229" s="386"/>
      <c r="S5229" s="393"/>
      <c r="V5229" s="350"/>
    </row>
    <row r="5230" spans="1:22">
      <c r="A5230" s="403"/>
      <c r="B5230" s="379"/>
      <c r="C5230" s="350"/>
      <c r="D5230" s="380"/>
      <c r="G5230" s="380"/>
      <c r="J5230" s="350"/>
      <c r="K5230" s="383"/>
      <c r="L5230" s="383"/>
      <c r="M5230" s="350"/>
      <c r="N5230" s="404"/>
      <c r="O5230" s="381"/>
      <c r="R5230" s="386"/>
      <c r="S5230" s="393"/>
      <c r="V5230" s="350"/>
    </row>
    <row r="5231" spans="1:22">
      <c r="A5231" s="403"/>
      <c r="B5231" s="379"/>
      <c r="C5231" s="350"/>
      <c r="D5231" s="380"/>
      <c r="G5231" s="380"/>
      <c r="J5231" s="350"/>
      <c r="K5231" s="383"/>
      <c r="L5231" s="383"/>
      <c r="M5231" s="350"/>
      <c r="N5231" s="404"/>
      <c r="O5231" s="381"/>
      <c r="R5231" s="386"/>
      <c r="S5231" s="393"/>
      <c r="V5231" s="350"/>
    </row>
    <row r="5232" spans="1:22">
      <c r="A5232" s="403"/>
      <c r="B5232" s="379"/>
      <c r="C5232" s="350"/>
      <c r="D5232" s="380"/>
      <c r="G5232" s="380"/>
      <c r="J5232" s="350"/>
      <c r="K5232" s="383"/>
      <c r="L5232" s="383"/>
      <c r="M5232" s="350"/>
      <c r="N5232" s="404"/>
      <c r="O5232" s="381"/>
      <c r="R5232" s="386"/>
      <c r="S5232" s="393"/>
      <c r="V5232" s="350"/>
    </row>
    <row r="5233" spans="1:22">
      <c r="A5233" s="403"/>
      <c r="B5233" s="379"/>
      <c r="C5233" s="350"/>
      <c r="D5233" s="380"/>
      <c r="G5233" s="380"/>
      <c r="J5233" s="350"/>
      <c r="K5233" s="383"/>
      <c r="L5233" s="383"/>
      <c r="M5233" s="350"/>
      <c r="N5233" s="404"/>
      <c r="O5233" s="381"/>
      <c r="R5233" s="386"/>
      <c r="S5233" s="393"/>
      <c r="V5233" s="350"/>
    </row>
    <row r="5234" spans="1:22">
      <c r="A5234" s="403"/>
      <c r="B5234" s="379"/>
      <c r="C5234" s="350"/>
      <c r="D5234" s="380"/>
      <c r="G5234" s="380"/>
      <c r="J5234" s="350"/>
      <c r="K5234" s="383"/>
      <c r="L5234" s="383"/>
      <c r="M5234" s="350"/>
      <c r="N5234" s="404"/>
      <c r="O5234" s="381"/>
      <c r="R5234" s="386"/>
      <c r="S5234" s="393"/>
      <c r="V5234" s="350"/>
    </row>
    <row r="5235" spans="1:22">
      <c r="A5235" s="403"/>
      <c r="B5235" s="379"/>
      <c r="C5235" s="350"/>
      <c r="D5235" s="380"/>
      <c r="G5235" s="380"/>
      <c r="J5235" s="350"/>
      <c r="K5235" s="383"/>
      <c r="L5235" s="383"/>
      <c r="M5235" s="350"/>
      <c r="N5235" s="404"/>
      <c r="O5235" s="381"/>
      <c r="R5235" s="386"/>
      <c r="S5235" s="393"/>
      <c r="V5235" s="350"/>
    </row>
    <row r="5236" spans="1:22">
      <c r="A5236" s="403"/>
      <c r="B5236" s="379"/>
      <c r="C5236" s="350"/>
      <c r="D5236" s="380"/>
      <c r="G5236" s="380"/>
      <c r="J5236" s="350"/>
      <c r="K5236" s="383"/>
      <c r="L5236" s="383"/>
      <c r="M5236" s="350"/>
      <c r="N5236" s="404"/>
      <c r="O5236" s="381"/>
      <c r="R5236" s="386"/>
      <c r="S5236" s="393"/>
      <c r="V5236" s="350"/>
    </row>
    <row r="5237" spans="1:22">
      <c r="A5237" s="403"/>
      <c r="B5237" s="379"/>
      <c r="C5237" s="350"/>
      <c r="D5237" s="380"/>
      <c r="G5237" s="380"/>
      <c r="J5237" s="350"/>
      <c r="K5237" s="383"/>
      <c r="L5237" s="383"/>
      <c r="M5237" s="350"/>
      <c r="N5237" s="404"/>
      <c r="O5237" s="381"/>
      <c r="R5237" s="386"/>
      <c r="S5237" s="393"/>
      <c r="V5237" s="350"/>
    </row>
    <row r="5238" spans="1:22">
      <c r="A5238" s="403"/>
      <c r="B5238" s="379"/>
      <c r="C5238" s="350"/>
      <c r="D5238" s="380"/>
      <c r="G5238" s="380"/>
      <c r="J5238" s="350"/>
      <c r="K5238" s="383"/>
      <c r="L5238" s="383"/>
      <c r="M5238" s="350"/>
      <c r="N5238" s="404"/>
      <c r="O5238" s="381"/>
      <c r="R5238" s="386"/>
      <c r="S5238" s="393"/>
      <c r="V5238" s="350"/>
    </row>
    <row r="5239" spans="1:22">
      <c r="A5239" s="403"/>
      <c r="B5239" s="379"/>
      <c r="C5239" s="350"/>
      <c r="D5239" s="380"/>
      <c r="G5239" s="380"/>
      <c r="J5239" s="350"/>
      <c r="K5239" s="383"/>
      <c r="L5239" s="383"/>
      <c r="M5239" s="350"/>
      <c r="N5239" s="404"/>
      <c r="O5239" s="381"/>
      <c r="R5239" s="386"/>
      <c r="S5239" s="393"/>
      <c r="V5239" s="350"/>
    </row>
    <row r="5240" spans="1:22">
      <c r="A5240" s="403"/>
      <c r="B5240" s="379"/>
      <c r="C5240" s="350"/>
      <c r="D5240" s="380"/>
      <c r="G5240" s="380"/>
      <c r="J5240" s="350"/>
      <c r="K5240" s="383"/>
      <c r="L5240" s="383"/>
      <c r="M5240" s="350"/>
      <c r="N5240" s="404"/>
      <c r="O5240" s="381"/>
      <c r="R5240" s="386"/>
      <c r="S5240" s="393"/>
      <c r="V5240" s="350"/>
    </row>
    <row r="5241" spans="1:22">
      <c r="A5241" s="403"/>
      <c r="B5241" s="379"/>
      <c r="C5241" s="350"/>
      <c r="D5241" s="380"/>
      <c r="G5241" s="380"/>
      <c r="J5241" s="350"/>
      <c r="K5241" s="383"/>
      <c r="L5241" s="383"/>
      <c r="M5241" s="350"/>
      <c r="N5241" s="404"/>
      <c r="O5241" s="381"/>
      <c r="R5241" s="386"/>
      <c r="S5241" s="393"/>
      <c r="V5241" s="350"/>
    </row>
    <row r="5242" spans="1:22">
      <c r="A5242" s="403"/>
      <c r="B5242" s="379"/>
      <c r="C5242" s="350"/>
      <c r="D5242" s="380"/>
      <c r="G5242" s="380"/>
      <c r="J5242" s="350"/>
      <c r="K5242" s="383"/>
      <c r="L5242" s="383"/>
      <c r="M5242" s="350"/>
      <c r="N5242" s="404"/>
      <c r="O5242" s="381"/>
      <c r="R5242" s="386"/>
      <c r="S5242" s="393"/>
      <c r="V5242" s="350"/>
    </row>
    <row r="5243" spans="1:22">
      <c r="A5243" s="403"/>
      <c r="B5243" s="379"/>
      <c r="C5243" s="350"/>
      <c r="D5243" s="380"/>
      <c r="G5243" s="380"/>
      <c r="J5243" s="350"/>
      <c r="K5243" s="383"/>
      <c r="L5243" s="383"/>
      <c r="M5243" s="350"/>
      <c r="N5243" s="404"/>
      <c r="O5243" s="381"/>
      <c r="R5243" s="386"/>
      <c r="S5243" s="393"/>
      <c r="V5243" s="350"/>
    </row>
    <row r="5244" spans="1:22">
      <c r="A5244" s="403"/>
      <c r="B5244" s="379"/>
      <c r="C5244" s="350"/>
      <c r="D5244" s="380"/>
      <c r="G5244" s="380"/>
      <c r="J5244" s="350"/>
      <c r="K5244" s="383"/>
      <c r="L5244" s="383"/>
      <c r="M5244" s="350"/>
      <c r="N5244" s="404"/>
      <c r="O5244" s="381"/>
      <c r="R5244" s="386"/>
      <c r="S5244" s="393"/>
      <c r="V5244" s="350"/>
    </row>
    <row r="5245" spans="1:22">
      <c r="A5245" s="403"/>
      <c r="B5245" s="379"/>
      <c r="C5245" s="350"/>
      <c r="D5245" s="380"/>
      <c r="G5245" s="380"/>
      <c r="J5245" s="350"/>
      <c r="K5245" s="383"/>
      <c r="L5245" s="383"/>
      <c r="M5245" s="350"/>
      <c r="N5245" s="404"/>
      <c r="O5245" s="381"/>
      <c r="R5245" s="386"/>
      <c r="S5245" s="393"/>
      <c r="V5245" s="350"/>
    </row>
    <row r="5246" spans="1:22">
      <c r="A5246" s="403"/>
      <c r="B5246" s="379"/>
      <c r="C5246" s="350"/>
      <c r="D5246" s="380"/>
      <c r="G5246" s="380"/>
      <c r="J5246" s="350"/>
      <c r="K5246" s="383"/>
      <c r="L5246" s="383"/>
      <c r="M5246" s="350"/>
      <c r="N5246" s="404"/>
      <c r="O5246" s="381"/>
      <c r="R5246" s="386"/>
      <c r="S5246" s="393"/>
      <c r="V5246" s="350"/>
    </row>
    <row r="5247" spans="1:22">
      <c r="A5247" s="403"/>
      <c r="B5247" s="379"/>
      <c r="C5247" s="350"/>
      <c r="D5247" s="380"/>
      <c r="G5247" s="380"/>
      <c r="J5247" s="350"/>
      <c r="K5247" s="383"/>
      <c r="L5247" s="383"/>
      <c r="M5247" s="350"/>
      <c r="N5247" s="404"/>
      <c r="O5247" s="381"/>
      <c r="R5247" s="386"/>
      <c r="S5247" s="393"/>
      <c r="V5247" s="350"/>
    </row>
    <row r="5248" spans="1:22">
      <c r="A5248" s="403"/>
      <c r="B5248" s="379"/>
      <c r="C5248" s="350"/>
      <c r="D5248" s="380"/>
      <c r="G5248" s="380"/>
      <c r="J5248" s="350"/>
      <c r="K5248" s="383"/>
      <c r="L5248" s="383"/>
      <c r="M5248" s="350"/>
      <c r="N5248" s="404"/>
      <c r="O5248" s="381"/>
      <c r="R5248" s="386"/>
      <c r="S5248" s="393"/>
      <c r="V5248" s="350"/>
    </row>
    <row r="5249" spans="1:22">
      <c r="A5249" s="403"/>
      <c r="B5249" s="379"/>
      <c r="C5249" s="350"/>
      <c r="D5249" s="380"/>
      <c r="G5249" s="380"/>
      <c r="J5249" s="350"/>
      <c r="K5249" s="383"/>
      <c r="L5249" s="383"/>
      <c r="M5249" s="350"/>
      <c r="N5249" s="404"/>
      <c r="O5249" s="381"/>
      <c r="R5249" s="386"/>
      <c r="S5249" s="393"/>
      <c r="V5249" s="350"/>
    </row>
    <row r="5250" spans="1:22">
      <c r="A5250" s="403"/>
      <c r="B5250" s="379"/>
      <c r="C5250" s="350"/>
      <c r="D5250" s="380"/>
      <c r="G5250" s="380"/>
      <c r="J5250" s="350"/>
      <c r="K5250" s="383"/>
      <c r="L5250" s="383"/>
      <c r="M5250" s="350"/>
      <c r="N5250" s="404"/>
      <c r="O5250" s="381"/>
      <c r="R5250" s="386"/>
      <c r="S5250" s="393"/>
      <c r="V5250" s="350"/>
    </row>
    <row r="5251" spans="1:22">
      <c r="A5251" s="403"/>
      <c r="B5251" s="379"/>
      <c r="C5251" s="350"/>
      <c r="D5251" s="380"/>
      <c r="G5251" s="380"/>
      <c r="J5251" s="350"/>
      <c r="K5251" s="383"/>
      <c r="L5251" s="383"/>
      <c r="M5251" s="350"/>
      <c r="N5251" s="404"/>
      <c r="O5251" s="381"/>
      <c r="R5251" s="386"/>
      <c r="S5251" s="393"/>
      <c r="V5251" s="350"/>
    </row>
    <row r="5252" spans="1:22">
      <c r="A5252" s="403"/>
      <c r="B5252" s="379"/>
      <c r="C5252" s="350"/>
      <c r="D5252" s="380"/>
      <c r="G5252" s="380"/>
      <c r="J5252" s="350"/>
      <c r="K5252" s="383"/>
      <c r="L5252" s="383"/>
      <c r="M5252" s="350"/>
      <c r="N5252" s="404"/>
      <c r="O5252" s="381"/>
      <c r="R5252" s="386"/>
      <c r="S5252" s="393"/>
      <c r="V5252" s="350"/>
    </row>
    <row r="5253" spans="1:22">
      <c r="A5253" s="403"/>
      <c r="B5253" s="379"/>
      <c r="C5253" s="350"/>
      <c r="D5253" s="380"/>
      <c r="G5253" s="380"/>
      <c r="J5253" s="350"/>
      <c r="K5253" s="383"/>
      <c r="L5253" s="383"/>
      <c r="M5253" s="350"/>
      <c r="N5253" s="404"/>
      <c r="O5253" s="381"/>
      <c r="R5253" s="386"/>
      <c r="S5253" s="393"/>
      <c r="V5253" s="350"/>
    </row>
    <row r="5254" spans="1:22">
      <c r="A5254" s="403"/>
      <c r="B5254" s="379"/>
      <c r="C5254" s="350"/>
      <c r="D5254" s="380"/>
      <c r="G5254" s="380"/>
      <c r="J5254" s="350"/>
      <c r="K5254" s="383"/>
      <c r="L5254" s="383"/>
      <c r="M5254" s="350"/>
      <c r="N5254" s="404"/>
      <c r="O5254" s="381"/>
      <c r="R5254" s="386"/>
      <c r="S5254" s="393"/>
      <c r="V5254" s="350"/>
    </row>
    <row r="5255" spans="1:22">
      <c r="A5255" s="403"/>
      <c r="B5255" s="379"/>
      <c r="C5255" s="350"/>
      <c r="D5255" s="380"/>
      <c r="G5255" s="380"/>
      <c r="J5255" s="350"/>
      <c r="K5255" s="383"/>
      <c r="L5255" s="383"/>
      <c r="M5255" s="350"/>
      <c r="N5255" s="404"/>
      <c r="O5255" s="381"/>
      <c r="R5255" s="386"/>
      <c r="S5255" s="393"/>
      <c r="V5255" s="350"/>
    </row>
    <row r="5256" spans="1:22">
      <c r="A5256" s="403"/>
      <c r="B5256" s="379"/>
      <c r="C5256" s="350"/>
      <c r="D5256" s="380"/>
      <c r="G5256" s="380"/>
      <c r="J5256" s="350"/>
      <c r="K5256" s="383"/>
      <c r="L5256" s="383"/>
      <c r="M5256" s="350"/>
      <c r="N5256" s="404"/>
      <c r="O5256" s="381"/>
      <c r="R5256" s="386"/>
      <c r="S5256" s="393"/>
      <c r="V5256" s="350"/>
    </row>
    <row r="5257" spans="1:22">
      <c r="A5257" s="403"/>
      <c r="B5257" s="379"/>
      <c r="C5257" s="350"/>
      <c r="D5257" s="380"/>
      <c r="G5257" s="380"/>
      <c r="J5257" s="350"/>
      <c r="K5257" s="383"/>
      <c r="L5257" s="383"/>
      <c r="M5257" s="350"/>
      <c r="N5257" s="404"/>
      <c r="O5257" s="381"/>
      <c r="R5257" s="386"/>
      <c r="S5257" s="393"/>
      <c r="V5257" s="350"/>
    </row>
    <row r="5258" spans="1:22">
      <c r="A5258" s="403"/>
      <c r="B5258" s="379"/>
      <c r="C5258" s="350"/>
      <c r="D5258" s="380"/>
      <c r="G5258" s="380"/>
      <c r="J5258" s="350"/>
      <c r="K5258" s="383"/>
      <c r="L5258" s="383"/>
      <c r="M5258" s="350"/>
      <c r="N5258" s="404"/>
      <c r="O5258" s="381"/>
      <c r="R5258" s="386"/>
      <c r="S5258" s="393"/>
      <c r="V5258" s="350"/>
    </row>
    <row r="5259" spans="1:22">
      <c r="A5259" s="403"/>
      <c r="B5259" s="379"/>
      <c r="C5259" s="350"/>
      <c r="D5259" s="380"/>
      <c r="G5259" s="380"/>
      <c r="J5259" s="350"/>
      <c r="K5259" s="383"/>
      <c r="L5259" s="383"/>
      <c r="M5259" s="350"/>
      <c r="N5259" s="404"/>
      <c r="O5259" s="381"/>
      <c r="R5259" s="386"/>
      <c r="S5259" s="393"/>
      <c r="V5259" s="350"/>
    </row>
    <row r="5260" spans="1:22">
      <c r="A5260" s="403"/>
      <c r="B5260" s="379"/>
      <c r="C5260" s="350"/>
      <c r="D5260" s="380"/>
      <c r="G5260" s="380"/>
      <c r="J5260" s="350"/>
      <c r="K5260" s="383"/>
      <c r="L5260" s="383"/>
      <c r="M5260" s="350"/>
      <c r="N5260" s="404"/>
      <c r="O5260" s="381"/>
      <c r="R5260" s="386"/>
      <c r="S5260" s="393"/>
      <c r="V5260" s="350"/>
    </row>
    <row r="5261" spans="1:22">
      <c r="A5261" s="403"/>
      <c r="B5261" s="379"/>
      <c r="C5261" s="350"/>
      <c r="D5261" s="380"/>
      <c r="G5261" s="380"/>
      <c r="J5261" s="350"/>
      <c r="K5261" s="383"/>
      <c r="L5261" s="383"/>
      <c r="M5261" s="350"/>
      <c r="N5261" s="404"/>
      <c r="O5261" s="381"/>
      <c r="R5261" s="386"/>
      <c r="S5261" s="393"/>
      <c r="V5261" s="350"/>
    </row>
    <row r="5262" spans="1:22">
      <c r="A5262" s="403"/>
      <c r="B5262" s="379"/>
      <c r="C5262" s="350"/>
      <c r="D5262" s="380"/>
      <c r="G5262" s="380"/>
      <c r="J5262" s="350"/>
      <c r="K5262" s="383"/>
      <c r="L5262" s="383"/>
      <c r="M5262" s="350"/>
      <c r="N5262" s="404"/>
      <c r="O5262" s="381"/>
      <c r="R5262" s="386"/>
      <c r="S5262" s="393"/>
      <c r="V5262" s="350"/>
    </row>
    <row r="5263" spans="1:22">
      <c r="A5263" s="403"/>
      <c r="B5263" s="379"/>
      <c r="C5263" s="350"/>
      <c r="D5263" s="380"/>
      <c r="G5263" s="380"/>
      <c r="J5263" s="350"/>
      <c r="K5263" s="383"/>
      <c r="L5263" s="383"/>
      <c r="M5263" s="350"/>
      <c r="N5263" s="404"/>
      <c r="O5263" s="381"/>
      <c r="R5263" s="386"/>
      <c r="S5263" s="393"/>
      <c r="V5263" s="350"/>
    </row>
    <row r="5264" spans="1:22">
      <c r="A5264" s="403"/>
      <c r="B5264" s="379"/>
      <c r="C5264" s="350"/>
      <c r="D5264" s="380"/>
      <c r="G5264" s="380"/>
      <c r="J5264" s="350"/>
      <c r="K5264" s="383"/>
      <c r="L5264" s="383"/>
      <c r="M5264" s="350"/>
      <c r="N5264" s="404"/>
      <c r="O5264" s="381"/>
      <c r="R5264" s="386"/>
      <c r="S5264" s="393"/>
      <c r="V5264" s="350"/>
    </row>
    <row r="5265" spans="1:22">
      <c r="A5265" s="403"/>
      <c r="B5265" s="379"/>
      <c r="C5265" s="350"/>
      <c r="D5265" s="380"/>
      <c r="G5265" s="380"/>
      <c r="J5265" s="350"/>
      <c r="K5265" s="383"/>
      <c r="L5265" s="383"/>
      <c r="M5265" s="350"/>
      <c r="N5265" s="404"/>
      <c r="O5265" s="381"/>
      <c r="R5265" s="386"/>
      <c r="S5265" s="393"/>
      <c r="V5265" s="350"/>
    </row>
    <row r="5266" spans="1:22">
      <c r="A5266" s="403"/>
      <c r="B5266" s="379"/>
      <c r="C5266" s="350"/>
      <c r="D5266" s="380"/>
      <c r="G5266" s="380"/>
      <c r="J5266" s="350"/>
      <c r="K5266" s="383"/>
      <c r="L5266" s="383"/>
      <c r="M5266" s="350"/>
      <c r="N5266" s="404"/>
      <c r="O5266" s="381"/>
      <c r="R5266" s="386"/>
      <c r="S5266" s="393"/>
      <c r="V5266" s="350"/>
    </row>
    <row r="5267" spans="1:22">
      <c r="A5267" s="403"/>
      <c r="B5267" s="379"/>
      <c r="C5267" s="350"/>
      <c r="D5267" s="380"/>
      <c r="G5267" s="380"/>
      <c r="J5267" s="350"/>
      <c r="K5267" s="383"/>
      <c r="L5267" s="383"/>
      <c r="M5267" s="350"/>
      <c r="N5267" s="404"/>
      <c r="O5267" s="381"/>
      <c r="R5267" s="386"/>
      <c r="S5267" s="393"/>
      <c r="V5267" s="350"/>
    </row>
    <row r="5268" spans="1:22">
      <c r="A5268" s="403"/>
      <c r="B5268" s="379"/>
      <c r="C5268" s="350"/>
      <c r="D5268" s="380"/>
      <c r="G5268" s="380"/>
      <c r="J5268" s="350"/>
      <c r="K5268" s="383"/>
      <c r="L5268" s="383"/>
      <c r="M5268" s="350"/>
      <c r="N5268" s="404"/>
      <c r="O5268" s="381"/>
      <c r="R5268" s="386"/>
      <c r="S5268" s="393"/>
      <c r="V5268" s="350"/>
    </row>
    <row r="5269" spans="1:22">
      <c r="A5269" s="403"/>
      <c r="B5269" s="379"/>
      <c r="C5269" s="350"/>
      <c r="D5269" s="380"/>
      <c r="G5269" s="380"/>
      <c r="J5269" s="350"/>
      <c r="K5269" s="383"/>
      <c r="L5269" s="383"/>
      <c r="M5269" s="350"/>
      <c r="N5269" s="404"/>
      <c r="O5269" s="381"/>
      <c r="R5269" s="386"/>
      <c r="S5269" s="393"/>
      <c r="V5269" s="350"/>
    </row>
    <row r="5270" spans="1:22">
      <c r="A5270" s="403"/>
      <c r="B5270" s="379"/>
      <c r="C5270" s="350"/>
      <c r="D5270" s="380"/>
      <c r="G5270" s="380"/>
      <c r="J5270" s="350"/>
      <c r="K5270" s="383"/>
      <c r="L5270" s="383"/>
      <c r="M5270" s="350"/>
      <c r="N5270" s="404"/>
      <c r="O5270" s="381"/>
      <c r="R5270" s="386"/>
      <c r="S5270" s="393"/>
      <c r="V5270" s="350"/>
    </row>
    <row r="5271" spans="1:22">
      <c r="A5271" s="403"/>
      <c r="B5271" s="379"/>
      <c r="C5271" s="350"/>
      <c r="D5271" s="380"/>
      <c r="G5271" s="380"/>
      <c r="J5271" s="350"/>
      <c r="K5271" s="383"/>
      <c r="L5271" s="383"/>
      <c r="M5271" s="350"/>
      <c r="N5271" s="404"/>
      <c r="O5271" s="381"/>
      <c r="R5271" s="386"/>
      <c r="S5271" s="393"/>
      <c r="V5271" s="350"/>
    </row>
    <row r="5272" spans="1:22">
      <c r="A5272" s="403"/>
      <c r="B5272" s="379"/>
      <c r="C5272" s="350"/>
      <c r="D5272" s="380"/>
      <c r="G5272" s="380"/>
      <c r="J5272" s="350"/>
      <c r="K5272" s="383"/>
      <c r="L5272" s="383"/>
      <c r="M5272" s="350"/>
      <c r="N5272" s="404"/>
      <c r="O5272" s="381"/>
      <c r="R5272" s="386"/>
      <c r="S5272" s="393"/>
      <c r="V5272" s="350"/>
    </row>
    <row r="5273" spans="1:22">
      <c r="A5273" s="403"/>
      <c r="B5273" s="379"/>
      <c r="C5273" s="350"/>
      <c r="D5273" s="380"/>
      <c r="G5273" s="380"/>
      <c r="J5273" s="350"/>
      <c r="K5273" s="383"/>
      <c r="L5273" s="383"/>
      <c r="M5273" s="350"/>
      <c r="N5273" s="404"/>
      <c r="O5273" s="381"/>
      <c r="R5273" s="386"/>
      <c r="S5273" s="393"/>
      <c r="V5273" s="350"/>
    </row>
    <row r="5274" spans="1:22">
      <c r="A5274" s="403"/>
      <c r="B5274" s="379"/>
      <c r="C5274" s="350"/>
      <c r="D5274" s="380"/>
      <c r="G5274" s="380"/>
      <c r="J5274" s="350"/>
      <c r="K5274" s="383"/>
      <c r="L5274" s="383"/>
      <c r="M5274" s="350"/>
      <c r="N5274" s="404"/>
      <c r="O5274" s="381"/>
      <c r="R5274" s="386"/>
      <c r="S5274" s="393"/>
      <c r="V5274" s="350"/>
    </row>
    <row r="5275" spans="1:22">
      <c r="A5275" s="403"/>
      <c r="B5275" s="379"/>
      <c r="C5275" s="350"/>
      <c r="D5275" s="380"/>
      <c r="G5275" s="380"/>
      <c r="J5275" s="350"/>
      <c r="K5275" s="383"/>
      <c r="L5275" s="383"/>
      <c r="M5275" s="350"/>
      <c r="N5275" s="404"/>
      <c r="O5275" s="381"/>
      <c r="R5275" s="386"/>
      <c r="S5275" s="393"/>
      <c r="V5275" s="350"/>
    </row>
    <row r="5276" spans="1:22">
      <c r="A5276" s="403"/>
      <c r="B5276" s="379"/>
      <c r="C5276" s="350"/>
      <c r="D5276" s="380"/>
      <c r="G5276" s="380"/>
      <c r="J5276" s="350"/>
      <c r="K5276" s="383"/>
      <c r="L5276" s="383"/>
      <c r="M5276" s="350"/>
      <c r="N5276" s="404"/>
      <c r="O5276" s="381"/>
      <c r="R5276" s="386"/>
      <c r="S5276" s="393"/>
      <c r="V5276" s="350"/>
    </row>
    <row r="5277" spans="1:22">
      <c r="A5277" s="403"/>
      <c r="B5277" s="379"/>
      <c r="C5277" s="350"/>
      <c r="D5277" s="380"/>
      <c r="G5277" s="380"/>
      <c r="J5277" s="350"/>
      <c r="K5277" s="383"/>
      <c r="L5277" s="383"/>
      <c r="M5277" s="350"/>
      <c r="N5277" s="404"/>
      <c r="O5277" s="381"/>
      <c r="R5277" s="386"/>
      <c r="S5277" s="393"/>
      <c r="V5277" s="350"/>
    </row>
    <row r="5278" spans="1:22">
      <c r="A5278" s="403"/>
      <c r="B5278" s="379"/>
      <c r="C5278" s="350"/>
      <c r="D5278" s="380"/>
      <c r="G5278" s="380"/>
      <c r="J5278" s="350"/>
      <c r="K5278" s="383"/>
      <c r="L5278" s="383"/>
      <c r="M5278" s="350"/>
      <c r="N5278" s="404"/>
      <c r="O5278" s="381"/>
      <c r="R5278" s="386"/>
      <c r="S5278" s="393"/>
      <c r="V5278" s="350"/>
    </row>
    <row r="5279" spans="1:22">
      <c r="A5279" s="403"/>
      <c r="B5279" s="379"/>
      <c r="C5279" s="350"/>
      <c r="D5279" s="380"/>
      <c r="G5279" s="380"/>
      <c r="J5279" s="350"/>
      <c r="K5279" s="383"/>
      <c r="L5279" s="383"/>
      <c r="M5279" s="350"/>
      <c r="N5279" s="404"/>
      <c r="O5279" s="381"/>
      <c r="R5279" s="386"/>
      <c r="S5279" s="393"/>
      <c r="V5279" s="350"/>
    </row>
    <row r="5280" spans="1:22">
      <c r="A5280" s="403"/>
      <c r="B5280" s="379"/>
      <c r="C5280" s="350"/>
      <c r="D5280" s="380"/>
      <c r="G5280" s="380"/>
      <c r="J5280" s="350"/>
      <c r="K5280" s="383"/>
      <c r="L5280" s="383"/>
      <c r="M5280" s="350"/>
      <c r="N5280" s="404"/>
      <c r="O5280" s="381"/>
      <c r="R5280" s="386"/>
      <c r="S5280" s="393"/>
      <c r="V5280" s="350"/>
    </row>
    <row r="5281" spans="1:22">
      <c r="A5281" s="403"/>
      <c r="B5281" s="379"/>
      <c r="C5281" s="350"/>
      <c r="D5281" s="380"/>
      <c r="G5281" s="380"/>
      <c r="J5281" s="350"/>
      <c r="K5281" s="383"/>
      <c r="L5281" s="383"/>
      <c r="M5281" s="350"/>
      <c r="N5281" s="404"/>
      <c r="O5281" s="381"/>
      <c r="R5281" s="386"/>
      <c r="S5281" s="393"/>
      <c r="V5281" s="350"/>
    </row>
    <row r="5282" spans="1:22">
      <c r="A5282" s="403"/>
      <c r="B5282" s="379"/>
      <c r="C5282" s="350"/>
      <c r="D5282" s="380"/>
      <c r="G5282" s="380"/>
      <c r="J5282" s="350"/>
      <c r="K5282" s="383"/>
      <c r="L5282" s="383"/>
      <c r="M5282" s="350"/>
      <c r="N5282" s="404"/>
      <c r="O5282" s="381"/>
      <c r="R5282" s="386"/>
      <c r="S5282" s="393"/>
      <c r="V5282" s="350"/>
    </row>
    <row r="5283" spans="1:22">
      <c r="A5283" s="403"/>
      <c r="B5283" s="379"/>
      <c r="C5283" s="350"/>
      <c r="D5283" s="380"/>
      <c r="G5283" s="380"/>
      <c r="J5283" s="350"/>
      <c r="K5283" s="383"/>
      <c r="L5283" s="383"/>
      <c r="M5283" s="350"/>
      <c r="N5283" s="404"/>
      <c r="O5283" s="381"/>
      <c r="R5283" s="386"/>
      <c r="S5283" s="393"/>
      <c r="V5283" s="350"/>
    </row>
    <row r="5284" spans="1:22">
      <c r="A5284" s="403"/>
      <c r="B5284" s="379"/>
      <c r="C5284" s="350"/>
      <c r="D5284" s="380"/>
      <c r="G5284" s="380"/>
      <c r="J5284" s="350"/>
      <c r="K5284" s="383"/>
      <c r="L5284" s="383"/>
      <c r="M5284" s="350"/>
      <c r="N5284" s="404"/>
      <c r="O5284" s="381"/>
      <c r="R5284" s="386"/>
      <c r="S5284" s="393"/>
      <c r="V5284" s="350"/>
    </row>
    <row r="5285" spans="1:22">
      <c r="A5285" s="403"/>
      <c r="B5285" s="379"/>
      <c r="C5285" s="350"/>
      <c r="D5285" s="380"/>
      <c r="G5285" s="380"/>
      <c r="J5285" s="350"/>
      <c r="K5285" s="383"/>
      <c r="L5285" s="383"/>
      <c r="M5285" s="350"/>
      <c r="N5285" s="404"/>
      <c r="O5285" s="381"/>
      <c r="R5285" s="386"/>
      <c r="S5285" s="393"/>
      <c r="V5285" s="350"/>
    </row>
    <row r="5286" spans="1:22">
      <c r="A5286" s="403"/>
      <c r="B5286" s="379"/>
      <c r="C5286" s="350"/>
      <c r="D5286" s="380"/>
      <c r="G5286" s="380"/>
      <c r="J5286" s="350"/>
      <c r="K5286" s="383"/>
      <c r="L5286" s="383"/>
      <c r="M5286" s="350"/>
      <c r="N5286" s="404"/>
      <c r="O5286" s="381"/>
      <c r="R5286" s="386"/>
      <c r="S5286" s="393"/>
      <c r="V5286" s="350"/>
    </row>
    <row r="5287" spans="1:22">
      <c r="A5287" s="403"/>
      <c r="B5287" s="379"/>
      <c r="C5287" s="350"/>
      <c r="D5287" s="380"/>
      <c r="G5287" s="380"/>
      <c r="J5287" s="350"/>
      <c r="K5287" s="383"/>
      <c r="L5287" s="383"/>
      <c r="M5287" s="350"/>
      <c r="N5287" s="404"/>
      <c r="O5287" s="381"/>
      <c r="R5287" s="386"/>
      <c r="S5287" s="393"/>
      <c r="V5287" s="350"/>
    </row>
    <row r="5288" spans="1:22">
      <c r="A5288" s="403"/>
      <c r="B5288" s="379"/>
      <c r="C5288" s="350"/>
      <c r="D5288" s="380"/>
      <c r="G5288" s="380"/>
      <c r="J5288" s="350"/>
      <c r="K5288" s="383"/>
      <c r="L5288" s="383"/>
      <c r="M5288" s="350"/>
      <c r="N5288" s="404"/>
      <c r="O5288" s="381"/>
      <c r="R5288" s="386"/>
      <c r="S5288" s="393"/>
      <c r="V5288" s="350"/>
    </row>
    <row r="5289" spans="1:22">
      <c r="A5289" s="403"/>
      <c r="B5289" s="379"/>
      <c r="C5289" s="350"/>
      <c r="D5289" s="380"/>
      <c r="G5289" s="380"/>
      <c r="J5289" s="350"/>
      <c r="K5289" s="383"/>
      <c r="L5289" s="383"/>
      <c r="M5289" s="350"/>
      <c r="N5289" s="404"/>
      <c r="O5289" s="381"/>
      <c r="R5289" s="386"/>
      <c r="S5289" s="393"/>
      <c r="V5289" s="350"/>
    </row>
    <row r="5290" spans="1:22">
      <c r="A5290" s="403"/>
      <c r="B5290" s="379"/>
      <c r="C5290" s="350"/>
      <c r="D5290" s="380"/>
      <c r="G5290" s="380"/>
      <c r="J5290" s="350"/>
      <c r="K5290" s="383"/>
      <c r="L5290" s="383"/>
      <c r="M5290" s="350"/>
      <c r="N5290" s="404"/>
      <c r="O5290" s="381"/>
      <c r="R5290" s="386"/>
      <c r="S5290" s="393"/>
      <c r="V5290" s="350"/>
    </row>
    <row r="5291" spans="1:22">
      <c r="A5291" s="403"/>
      <c r="B5291" s="379"/>
      <c r="C5291" s="350"/>
      <c r="D5291" s="380"/>
      <c r="G5291" s="380"/>
      <c r="J5291" s="350"/>
      <c r="K5291" s="383"/>
      <c r="L5291" s="383"/>
      <c r="M5291" s="350"/>
      <c r="N5291" s="404"/>
      <c r="O5291" s="381"/>
      <c r="R5291" s="386"/>
      <c r="S5291" s="393"/>
      <c r="V5291" s="350"/>
    </row>
    <row r="5292" spans="1:22">
      <c r="A5292" s="403"/>
      <c r="B5292" s="379"/>
      <c r="C5292" s="350"/>
      <c r="D5292" s="380"/>
      <c r="G5292" s="380"/>
      <c r="J5292" s="350"/>
      <c r="K5292" s="383"/>
      <c r="L5292" s="383"/>
      <c r="M5292" s="350"/>
      <c r="N5292" s="404"/>
      <c r="O5292" s="381"/>
      <c r="R5292" s="386"/>
      <c r="S5292" s="393"/>
      <c r="V5292" s="350"/>
    </row>
    <row r="5293" spans="1:22">
      <c r="A5293" s="403"/>
      <c r="B5293" s="379"/>
      <c r="C5293" s="350"/>
      <c r="D5293" s="380"/>
      <c r="G5293" s="380"/>
      <c r="J5293" s="350"/>
      <c r="K5293" s="383"/>
      <c r="L5293" s="383"/>
      <c r="M5293" s="350"/>
      <c r="N5293" s="404"/>
      <c r="O5293" s="381"/>
      <c r="R5293" s="386"/>
      <c r="S5293" s="393"/>
      <c r="V5293" s="350"/>
    </row>
    <row r="5294" spans="1:22">
      <c r="A5294" s="403"/>
      <c r="B5294" s="379"/>
      <c r="C5294" s="350"/>
      <c r="D5294" s="380"/>
      <c r="G5294" s="380"/>
      <c r="J5294" s="350"/>
      <c r="K5294" s="383"/>
      <c r="L5294" s="383"/>
      <c r="M5294" s="350"/>
      <c r="N5294" s="404"/>
      <c r="O5294" s="381"/>
      <c r="R5294" s="386"/>
      <c r="S5294" s="393"/>
      <c r="V5294" s="350"/>
    </row>
    <row r="5295" spans="1:22">
      <c r="A5295" s="403"/>
      <c r="B5295" s="379"/>
      <c r="C5295" s="350"/>
      <c r="D5295" s="380"/>
      <c r="G5295" s="380"/>
      <c r="J5295" s="350"/>
      <c r="K5295" s="383"/>
      <c r="L5295" s="383"/>
      <c r="M5295" s="350"/>
      <c r="N5295" s="404"/>
      <c r="O5295" s="381"/>
      <c r="R5295" s="386"/>
      <c r="S5295" s="393"/>
      <c r="V5295" s="350"/>
    </row>
    <row r="5296" spans="1:22">
      <c r="A5296" s="403"/>
      <c r="B5296" s="379"/>
      <c r="C5296" s="350"/>
      <c r="D5296" s="380"/>
      <c r="G5296" s="380"/>
      <c r="J5296" s="350"/>
      <c r="K5296" s="383"/>
      <c r="L5296" s="383"/>
      <c r="M5296" s="350"/>
      <c r="N5296" s="404"/>
      <c r="O5296" s="381"/>
      <c r="R5296" s="386"/>
      <c r="S5296" s="393"/>
      <c r="V5296" s="350"/>
    </row>
    <row r="5297" spans="1:22">
      <c r="A5297" s="403"/>
      <c r="B5297" s="379"/>
      <c r="C5297" s="350"/>
      <c r="D5297" s="380"/>
      <c r="G5297" s="380"/>
      <c r="J5297" s="350"/>
      <c r="K5297" s="383"/>
      <c r="L5297" s="383"/>
      <c r="M5297" s="350"/>
      <c r="N5297" s="404"/>
      <c r="O5297" s="381"/>
      <c r="R5297" s="386"/>
      <c r="S5297" s="393"/>
      <c r="V5297" s="350"/>
    </row>
    <row r="5298" spans="1:22">
      <c r="A5298" s="403"/>
      <c r="B5298" s="379"/>
      <c r="C5298" s="350"/>
      <c r="D5298" s="380"/>
      <c r="G5298" s="380"/>
      <c r="J5298" s="350"/>
      <c r="K5298" s="383"/>
      <c r="L5298" s="383"/>
      <c r="M5298" s="350"/>
      <c r="N5298" s="404"/>
      <c r="O5298" s="381"/>
      <c r="R5298" s="386"/>
      <c r="S5298" s="393"/>
      <c r="V5298" s="350"/>
    </row>
    <row r="5299" spans="1:22">
      <c r="A5299" s="403"/>
      <c r="B5299" s="379"/>
      <c r="C5299" s="350"/>
      <c r="D5299" s="380"/>
      <c r="G5299" s="380"/>
      <c r="J5299" s="350"/>
      <c r="K5299" s="383"/>
      <c r="L5299" s="383"/>
      <c r="M5299" s="350"/>
      <c r="N5299" s="404"/>
      <c r="O5299" s="381"/>
      <c r="R5299" s="386"/>
      <c r="S5299" s="393"/>
      <c r="V5299" s="350"/>
    </row>
    <row r="5300" spans="1:22">
      <c r="A5300" s="403"/>
      <c r="B5300" s="379"/>
      <c r="C5300" s="350"/>
      <c r="D5300" s="380"/>
      <c r="G5300" s="380"/>
      <c r="J5300" s="350"/>
      <c r="K5300" s="383"/>
      <c r="L5300" s="383"/>
      <c r="M5300" s="350"/>
      <c r="N5300" s="404"/>
      <c r="O5300" s="381"/>
      <c r="R5300" s="386"/>
      <c r="S5300" s="393"/>
      <c r="V5300" s="350"/>
    </row>
    <row r="5301" spans="1:22">
      <c r="A5301" s="403"/>
      <c r="B5301" s="379"/>
      <c r="C5301" s="350"/>
      <c r="D5301" s="380"/>
      <c r="G5301" s="380"/>
      <c r="J5301" s="350"/>
      <c r="K5301" s="383"/>
      <c r="L5301" s="383"/>
      <c r="M5301" s="350"/>
      <c r="N5301" s="404"/>
      <c r="O5301" s="381"/>
      <c r="R5301" s="386"/>
      <c r="S5301" s="393"/>
      <c r="V5301" s="350"/>
    </row>
    <row r="5302" spans="1:22">
      <c r="A5302" s="403"/>
      <c r="B5302" s="379"/>
      <c r="C5302" s="350"/>
      <c r="D5302" s="380"/>
      <c r="G5302" s="380"/>
      <c r="J5302" s="350"/>
      <c r="K5302" s="383"/>
      <c r="L5302" s="383"/>
      <c r="M5302" s="350"/>
      <c r="N5302" s="404"/>
      <c r="O5302" s="381"/>
      <c r="R5302" s="386"/>
      <c r="S5302" s="393"/>
      <c r="V5302" s="350"/>
    </row>
    <row r="5303" spans="1:22">
      <c r="A5303" s="403"/>
      <c r="B5303" s="379"/>
      <c r="C5303" s="350"/>
      <c r="D5303" s="380"/>
      <c r="G5303" s="380"/>
      <c r="J5303" s="350"/>
      <c r="K5303" s="383"/>
      <c r="L5303" s="383"/>
      <c r="M5303" s="350"/>
      <c r="N5303" s="404"/>
      <c r="O5303" s="381"/>
      <c r="R5303" s="386"/>
      <c r="S5303" s="393"/>
      <c r="V5303" s="350"/>
    </row>
    <row r="5304" spans="1:22">
      <c r="A5304" s="403"/>
      <c r="B5304" s="379"/>
      <c r="C5304" s="350"/>
      <c r="D5304" s="380"/>
      <c r="G5304" s="380"/>
      <c r="J5304" s="350"/>
      <c r="K5304" s="383"/>
      <c r="L5304" s="383"/>
      <c r="M5304" s="350"/>
      <c r="N5304" s="404"/>
      <c r="O5304" s="381"/>
      <c r="R5304" s="386"/>
      <c r="S5304" s="393"/>
      <c r="V5304" s="350"/>
    </row>
    <row r="5305" spans="1:22">
      <c r="A5305" s="403"/>
      <c r="B5305" s="379"/>
      <c r="C5305" s="350"/>
      <c r="D5305" s="380"/>
      <c r="G5305" s="380"/>
      <c r="J5305" s="350"/>
      <c r="K5305" s="383"/>
      <c r="L5305" s="383"/>
      <c r="M5305" s="350"/>
      <c r="N5305" s="404"/>
      <c r="O5305" s="381"/>
      <c r="R5305" s="386"/>
      <c r="S5305" s="393"/>
      <c r="V5305" s="350"/>
    </row>
    <row r="5306" spans="1:22">
      <c r="A5306" s="403"/>
      <c r="B5306" s="379"/>
      <c r="C5306" s="350"/>
      <c r="D5306" s="380"/>
      <c r="G5306" s="380"/>
      <c r="J5306" s="350"/>
      <c r="K5306" s="383"/>
      <c r="L5306" s="383"/>
      <c r="M5306" s="350"/>
      <c r="N5306" s="404"/>
      <c r="O5306" s="381"/>
      <c r="R5306" s="386"/>
      <c r="S5306" s="393"/>
      <c r="V5306" s="350"/>
    </row>
    <row r="5307" spans="1:22">
      <c r="A5307" s="403"/>
      <c r="B5307" s="379"/>
      <c r="C5307" s="350"/>
      <c r="D5307" s="380"/>
      <c r="G5307" s="380"/>
      <c r="J5307" s="350"/>
      <c r="K5307" s="383"/>
      <c r="L5307" s="383"/>
      <c r="M5307" s="350"/>
      <c r="N5307" s="404"/>
      <c r="O5307" s="381"/>
      <c r="R5307" s="386"/>
      <c r="S5307" s="393"/>
      <c r="V5307" s="350"/>
    </row>
    <row r="5308" spans="1:22">
      <c r="A5308" s="403"/>
      <c r="B5308" s="379"/>
      <c r="C5308" s="350"/>
      <c r="D5308" s="380"/>
      <c r="G5308" s="380"/>
      <c r="J5308" s="350"/>
      <c r="K5308" s="383"/>
      <c r="L5308" s="383"/>
      <c r="M5308" s="350"/>
      <c r="N5308" s="404"/>
      <c r="O5308" s="381"/>
      <c r="R5308" s="386"/>
      <c r="S5308" s="393"/>
      <c r="V5308" s="350"/>
    </row>
    <row r="5309" spans="1:22">
      <c r="A5309" s="403"/>
      <c r="B5309" s="379"/>
      <c r="C5309" s="350"/>
      <c r="D5309" s="380"/>
      <c r="G5309" s="380"/>
      <c r="J5309" s="350"/>
      <c r="K5309" s="383"/>
      <c r="L5309" s="383"/>
      <c r="M5309" s="350"/>
      <c r="N5309" s="404"/>
      <c r="O5309" s="381"/>
      <c r="R5309" s="386"/>
      <c r="S5309" s="393"/>
      <c r="V5309" s="350"/>
    </row>
    <row r="5310" spans="1:22">
      <c r="A5310" s="403"/>
      <c r="B5310" s="379"/>
      <c r="C5310" s="350"/>
      <c r="D5310" s="380"/>
      <c r="G5310" s="380"/>
      <c r="J5310" s="350"/>
      <c r="K5310" s="383"/>
      <c r="L5310" s="383"/>
      <c r="M5310" s="350"/>
      <c r="N5310" s="404"/>
      <c r="O5310" s="381"/>
      <c r="R5310" s="386"/>
      <c r="S5310" s="393"/>
      <c r="V5310" s="350"/>
    </row>
    <row r="5311" spans="1:22">
      <c r="A5311" s="403"/>
      <c r="B5311" s="379"/>
      <c r="C5311" s="350"/>
      <c r="D5311" s="380"/>
      <c r="G5311" s="380"/>
      <c r="J5311" s="350"/>
      <c r="K5311" s="383"/>
      <c r="L5311" s="383"/>
      <c r="M5311" s="350"/>
      <c r="N5311" s="404"/>
      <c r="O5311" s="381"/>
      <c r="R5311" s="386"/>
      <c r="S5311" s="393"/>
      <c r="V5311" s="350"/>
    </row>
    <row r="5312" spans="1:22">
      <c r="A5312" s="403"/>
      <c r="B5312" s="379"/>
      <c r="C5312" s="350"/>
      <c r="D5312" s="380"/>
      <c r="G5312" s="380"/>
      <c r="J5312" s="350"/>
      <c r="K5312" s="383"/>
      <c r="L5312" s="383"/>
      <c r="M5312" s="350"/>
      <c r="N5312" s="404"/>
      <c r="O5312" s="381"/>
      <c r="R5312" s="386"/>
      <c r="S5312" s="393"/>
      <c r="V5312" s="350"/>
    </row>
    <row r="5313" spans="1:22">
      <c r="A5313" s="403"/>
      <c r="B5313" s="379"/>
      <c r="C5313" s="350"/>
      <c r="D5313" s="380"/>
      <c r="G5313" s="380"/>
      <c r="J5313" s="350"/>
      <c r="K5313" s="383"/>
      <c r="L5313" s="383"/>
      <c r="M5313" s="350"/>
      <c r="N5313" s="404"/>
      <c r="O5313" s="381"/>
      <c r="R5313" s="386"/>
      <c r="S5313" s="393"/>
      <c r="V5313" s="350"/>
    </row>
    <row r="5314" spans="1:22">
      <c r="A5314" s="403"/>
      <c r="B5314" s="379"/>
      <c r="C5314" s="350"/>
      <c r="D5314" s="380"/>
      <c r="G5314" s="380"/>
      <c r="J5314" s="350"/>
      <c r="K5314" s="383"/>
      <c r="L5314" s="383"/>
      <c r="M5314" s="350"/>
      <c r="N5314" s="404"/>
      <c r="O5314" s="381"/>
      <c r="R5314" s="386"/>
      <c r="S5314" s="393"/>
      <c r="V5314" s="350"/>
    </row>
    <row r="5315" spans="1:22">
      <c r="A5315" s="403"/>
      <c r="B5315" s="379"/>
      <c r="C5315" s="350"/>
      <c r="D5315" s="380"/>
      <c r="G5315" s="380"/>
      <c r="J5315" s="350"/>
      <c r="K5315" s="383"/>
      <c r="L5315" s="383"/>
      <c r="M5315" s="350"/>
      <c r="N5315" s="404"/>
      <c r="O5315" s="381"/>
      <c r="R5315" s="386"/>
      <c r="S5315" s="393"/>
      <c r="V5315" s="350"/>
    </row>
    <row r="5316" spans="1:22">
      <c r="A5316" s="403"/>
      <c r="B5316" s="379"/>
      <c r="C5316" s="350"/>
      <c r="D5316" s="380"/>
      <c r="G5316" s="380"/>
      <c r="J5316" s="350"/>
      <c r="K5316" s="383"/>
      <c r="L5316" s="383"/>
      <c r="M5316" s="350"/>
      <c r="N5316" s="404"/>
      <c r="O5316" s="381"/>
      <c r="R5316" s="386"/>
      <c r="S5316" s="393"/>
      <c r="V5316" s="350"/>
    </row>
    <row r="5317" spans="1:22">
      <c r="A5317" s="403"/>
      <c r="B5317" s="379"/>
      <c r="C5317" s="350"/>
      <c r="D5317" s="380"/>
      <c r="G5317" s="380"/>
      <c r="J5317" s="350"/>
      <c r="K5317" s="383"/>
      <c r="L5317" s="383"/>
      <c r="M5317" s="350"/>
      <c r="N5317" s="404"/>
      <c r="O5317" s="381"/>
      <c r="R5317" s="386"/>
      <c r="S5317" s="393"/>
      <c r="V5317" s="350"/>
    </row>
    <row r="5318" spans="1:22">
      <c r="A5318" s="403"/>
      <c r="B5318" s="379"/>
      <c r="C5318" s="350"/>
      <c r="D5318" s="380"/>
      <c r="G5318" s="380"/>
      <c r="J5318" s="350"/>
      <c r="K5318" s="383"/>
      <c r="L5318" s="383"/>
      <c r="M5318" s="350"/>
      <c r="N5318" s="404"/>
      <c r="O5318" s="381"/>
      <c r="R5318" s="386"/>
      <c r="S5318" s="393"/>
      <c r="V5318" s="350"/>
    </row>
    <row r="5319" spans="1:22">
      <c r="A5319" s="403"/>
      <c r="B5319" s="379"/>
      <c r="C5319" s="350"/>
      <c r="D5319" s="380"/>
      <c r="G5319" s="380"/>
      <c r="J5319" s="350"/>
      <c r="K5319" s="383"/>
      <c r="L5319" s="383"/>
      <c r="M5319" s="350"/>
      <c r="N5319" s="404"/>
      <c r="O5319" s="381"/>
      <c r="R5319" s="386"/>
      <c r="S5319" s="393"/>
      <c r="V5319" s="350"/>
    </row>
    <row r="5320" spans="1:22">
      <c r="A5320" s="403"/>
      <c r="B5320" s="379"/>
      <c r="C5320" s="350"/>
      <c r="D5320" s="380"/>
      <c r="G5320" s="380"/>
      <c r="J5320" s="350"/>
      <c r="K5320" s="383"/>
      <c r="L5320" s="383"/>
      <c r="M5320" s="350"/>
      <c r="N5320" s="404"/>
      <c r="O5320" s="381"/>
      <c r="R5320" s="386"/>
      <c r="S5320" s="393"/>
      <c r="V5320" s="350"/>
    </row>
    <row r="5321" spans="1:22">
      <c r="A5321" s="403"/>
      <c r="B5321" s="379"/>
      <c r="C5321" s="350"/>
      <c r="D5321" s="380"/>
      <c r="G5321" s="380"/>
      <c r="J5321" s="350"/>
      <c r="K5321" s="383"/>
      <c r="L5321" s="383"/>
      <c r="M5321" s="350"/>
      <c r="N5321" s="404"/>
      <c r="O5321" s="381"/>
      <c r="R5321" s="386"/>
      <c r="S5321" s="393"/>
      <c r="V5321" s="350"/>
    </row>
    <row r="5322" spans="1:22">
      <c r="A5322" s="403"/>
      <c r="B5322" s="379"/>
      <c r="C5322" s="350"/>
      <c r="D5322" s="380"/>
      <c r="G5322" s="380"/>
      <c r="J5322" s="350"/>
      <c r="K5322" s="383"/>
      <c r="L5322" s="383"/>
      <c r="M5322" s="350"/>
      <c r="N5322" s="404"/>
      <c r="O5322" s="381"/>
      <c r="R5322" s="386"/>
      <c r="S5322" s="393"/>
      <c r="V5322" s="350"/>
    </row>
    <row r="5323" spans="1:22">
      <c r="A5323" s="403"/>
      <c r="B5323" s="379"/>
      <c r="C5323" s="350"/>
      <c r="D5323" s="380"/>
      <c r="G5323" s="380"/>
      <c r="J5323" s="350"/>
      <c r="K5323" s="383"/>
      <c r="L5323" s="383"/>
      <c r="M5323" s="350"/>
      <c r="N5323" s="404"/>
      <c r="O5323" s="381"/>
      <c r="R5323" s="386"/>
      <c r="S5323" s="393"/>
      <c r="V5323" s="350"/>
    </row>
    <row r="5324" spans="1:22">
      <c r="A5324" s="403"/>
      <c r="B5324" s="379"/>
      <c r="C5324" s="350"/>
      <c r="D5324" s="380"/>
      <c r="G5324" s="380"/>
      <c r="J5324" s="350"/>
      <c r="K5324" s="383"/>
      <c r="L5324" s="383"/>
      <c r="M5324" s="350"/>
      <c r="N5324" s="404"/>
      <c r="O5324" s="381"/>
      <c r="R5324" s="386"/>
      <c r="S5324" s="393"/>
      <c r="V5324" s="350"/>
    </row>
    <row r="5325" spans="1:22">
      <c r="A5325" s="403"/>
      <c r="B5325" s="379"/>
      <c r="C5325" s="350"/>
      <c r="D5325" s="380"/>
      <c r="G5325" s="380"/>
      <c r="J5325" s="350"/>
      <c r="K5325" s="383"/>
      <c r="L5325" s="383"/>
      <c r="M5325" s="350"/>
      <c r="N5325" s="404"/>
      <c r="O5325" s="381"/>
      <c r="R5325" s="386"/>
      <c r="S5325" s="393"/>
      <c r="V5325" s="350"/>
    </row>
    <row r="5326" spans="1:22">
      <c r="A5326" s="403"/>
      <c r="B5326" s="379"/>
      <c r="C5326" s="350"/>
      <c r="D5326" s="380"/>
      <c r="G5326" s="380"/>
      <c r="J5326" s="350"/>
      <c r="K5326" s="383"/>
      <c r="L5326" s="383"/>
      <c r="M5326" s="350"/>
      <c r="N5326" s="404"/>
      <c r="O5326" s="381"/>
      <c r="R5326" s="386"/>
      <c r="S5326" s="393"/>
      <c r="V5326" s="350"/>
    </row>
    <row r="5327" spans="1:22">
      <c r="A5327" s="403"/>
      <c r="B5327" s="379"/>
      <c r="C5327" s="350"/>
      <c r="D5327" s="380"/>
      <c r="G5327" s="380"/>
      <c r="J5327" s="350"/>
      <c r="K5327" s="383"/>
      <c r="L5327" s="383"/>
      <c r="M5327" s="350"/>
      <c r="N5327" s="404"/>
      <c r="O5327" s="381"/>
      <c r="R5327" s="386"/>
      <c r="S5327" s="393"/>
      <c r="V5327" s="350"/>
    </row>
    <row r="5328" spans="1:22">
      <c r="A5328" s="403"/>
      <c r="B5328" s="379"/>
      <c r="C5328" s="350"/>
      <c r="D5328" s="380"/>
      <c r="G5328" s="380"/>
      <c r="J5328" s="350"/>
      <c r="K5328" s="383"/>
      <c r="L5328" s="383"/>
      <c r="M5328" s="350"/>
      <c r="N5328" s="404"/>
      <c r="O5328" s="381"/>
      <c r="R5328" s="386"/>
      <c r="S5328" s="393"/>
      <c r="V5328" s="350"/>
    </row>
    <row r="5329" spans="1:22">
      <c r="A5329" s="403"/>
      <c r="B5329" s="379"/>
      <c r="C5329" s="350"/>
      <c r="D5329" s="380"/>
      <c r="G5329" s="380"/>
      <c r="J5329" s="350"/>
      <c r="K5329" s="383"/>
      <c r="L5329" s="383"/>
      <c r="M5329" s="350"/>
      <c r="N5329" s="404"/>
      <c r="O5329" s="381"/>
      <c r="R5329" s="386"/>
      <c r="S5329" s="393"/>
      <c r="V5329" s="350"/>
    </row>
    <row r="5330" spans="1:22">
      <c r="A5330" s="403"/>
      <c r="B5330" s="379"/>
      <c r="C5330" s="350"/>
      <c r="D5330" s="380"/>
      <c r="G5330" s="380"/>
      <c r="J5330" s="350"/>
      <c r="K5330" s="383"/>
      <c r="L5330" s="383"/>
      <c r="M5330" s="350"/>
      <c r="N5330" s="404"/>
      <c r="O5330" s="381"/>
      <c r="R5330" s="386"/>
      <c r="S5330" s="393"/>
      <c r="V5330" s="350"/>
    </row>
    <row r="5331" spans="1:22">
      <c r="A5331" s="403"/>
      <c r="B5331" s="379"/>
      <c r="C5331" s="350"/>
      <c r="D5331" s="380"/>
      <c r="G5331" s="380"/>
      <c r="J5331" s="350"/>
      <c r="K5331" s="383"/>
      <c r="L5331" s="383"/>
      <c r="M5331" s="350"/>
      <c r="N5331" s="404"/>
      <c r="O5331" s="381"/>
      <c r="R5331" s="386"/>
      <c r="S5331" s="393"/>
      <c r="V5331" s="350"/>
    </row>
    <row r="5332" spans="1:22">
      <c r="A5332" s="403"/>
      <c r="B5332" s="379"/>
      <c r="C5332" s="350"/>
      <c r="D5332" s="380"/>
      <c r="G5332" s="380"/>
      <c r="J5332" s="350"/>
      <c r="K5332" s="383"/>
      <c r="L5332" s="383"/>
      <c r="M5332" s="350"/>
      <c r="N5332" s="404"/>
      <c r="O5332" s="381"/>
      <c r="R5332" s="386"/>
      <c r="S5332" s="393"/>
      <c r="V5332" s="350"/>
    </row>
    <row r="5333" spans="1:22">
      <c r="A5333" s="403"/>
      <c r="B5333" s="379"/>
      <c r="C5333" s="350"/>
      <c r="D5333" s="380"/>
      <c r="G5333" s="380"/>
      <c r="J5333" s="350"/>
      <c r="K5333" s="383"/>
      <c r="L5333" s="383"/>
      <c r="M5333" s="350"/>
      <c r="N5333" s="404"/>
      <c r="O5333" s="381"/>
      <c r="R5333" s="386"/>
      <c r="S5333" s="393"/>
      <c r="V5333" s="350"/>
    </row>
    <row r="5334" spans="1:22">
      <c r="A5334" s="403"/>
      <c r="B5334" s="379"/>
      <c r="C5334" s="350"/>
      <c r="D5334" s="380"/>
      <c r="G5334" s="380"/>
      <c r="J5334" s="350"/>
      <c r="K5334" s="383"/>
      <c r="L5334" s="383"/>
      <c r="M5334" s="350"/>
      <c r="N5334" s="404"/>
      <c r="O5334" s="381"/>
      <c r="R5334" s="386"/>
      <c r="S5334" s="393"/>
      <c r="V5334" s="350"/>
    </row>
    <row r="5335" spans="1:22">
      <c r="A5335" s="403"/>
      <c r="B5335" s="379"/>
      <c r="C5335" s="350"/>
      <c r="D5335" s="380"/>
      <c r="G5335" s="380"/>
      <c r="J5335" s="350"/>
      <c r="K5335" s="383"/>
      <c r="L5335" s="383"/>
      <c r="M5335" s="350"/>
      <c r="N5335" s="404"/>
      <c r="O5335" s="381"/>
      <c r="R5335" s="386"/>
      <c r="S5335" s="393"/>
      <c r="V5335" s="350"/>
    </row>
    <row r="5336" spans="1:22">
      <c r="A5336" s="403"/>
      <c r="B5336" s="379"/>
      <c r="C5336" s="350"/>
      <c r="D5336" s="380"/>
      <c r="G5336" s="380"/>
      <c r="J5336" s="350"/>
      <c r="K5336" s="383"/>
      <c r="L5336" s="383"/>
      <c r="M5336" s="350"/>
      <c r="N5336" s="404"/>
      <c r="O5336" s="381"/>
      <c r="R5336" s="386"/>
      <c r="S5336" s="393"/>
      <c r="V5336" s="350"/>
    </row>
    <row r="5337" spans="1:22">
      <c r="A5337" s="403"/>
      <c r="B5337" s="379"/>
      <c r="C5337" s="350"/>
      <c r="D5337" s="380"/>
      <c r="G5337" s="380"/>
      <c r="J5337" s="350"/>
      <c r="K5337" s="383"/>
      <c r="L5337" s="383"/>
      <c r="M5337" s="350"/>
      <c r="N5337" s="404"/>
      <c r="O5337" s="381"/>
      <c r="R5337" s="386"/>
      <c r="S5337" s="393"/>
      <c r="V5337" s="350"/>
    </row>
    <row r="5338" spans="1:22">
      <c r="A5338" s="403"/>
      <c r="B5338" s="379"/>
      <c r="C5338" s="350"/>
      <c r="D5338" s="380"/>
      <c r="G5338" s="380"/>
      <c r="J5338" s="350"/>
      <c r="K5338" s="383"/>
      <c r="L5338" s="383"/>
      <c r="M5338" s="350"/>
      <c r="N5338" s="404"/>
      <c r="O5338" s="381"/>
      <c r="R5338" s="386"/>
      <c r="S5338" s="393"/>
      <c r="V5338" s="350"/>
    </row>
    <row r="5339" spans="1:22">
      <c r="A5339" s="403"/>
      <c r="B5339" s="379"/>
      <c r="C5339" s="350"/>
      <c r="D5339" s="380"/>
      <c r="G5339" s="380"/>
      <c r="J5339" s="350"/>
      <c r="K5339" s="383"/>
      <c r="L5339" s="383"/>
      <c r="M5339" s="350"/>
      <c r="N5339" s="404"/>
      <c r="O5339" s="381"/>
      <c r="R5339" s="386"/>
      <c r="S5339" s="393"/>
      <c r="V5339" s="350"/>
    </row>
    <row r="5340" spans="1:22">
      <c r="A5340" s="403"/>
      <c r="B5340" s="379"/>
      <c r="C5340" s="350"/>
      <c r="D5340" s="380"/>
      <c r="G5340" s="380"/>
      <c r="J5340" s="350"/>
      <c r="K5340" s="383"/>
      <c r="L5340" s="383"/>
      <c r="M5340" s="350"/>
      <c r="N5340" s="404"/>
      <c r="O5340" s="381"/>
      <c r="R5340" s="386"/>
      <c r="S5340" s="393"/>
      <c r="V5340" s="350"/>
    </row>
    <row r="5341" spans="1:22">
      <c r="A5341" s="403"/>
      <c r="B5341" s="379"/>
      <c r="C5341" s="350"/>
      <c r="D5341" s="380"/>
      <c r="G5341" s="380"/>
      <c r="J5341" s="350"/>
      <c r="K5341" s="383"/>
      <c r="L5341" s="383"/>
      <c r="M5341" s="350"/>
      <c r="N5341" s="404"/>
      <c r="O5341" s="381"/>
      <c r="R5341" s="386"/>
      <c r="S5341" s="393"/>
      <c r="V5341" s="350"/>
    </row>
    <row r="5342" spans="1:22">
      <c r="A5342" s="403"/>
      <c r="B5342" s="379"/>
      <c r="C5342" s="350"/>
      <c r="D5342" s="380"/>
      <c r="G5342" s="380"/>
      <c r="J5342" s="350"/>
      <c r="K5342" s="383"/>
      <c r="L5342" s="383"/>
      <c r="M5342" s="350"/>
      <c r="N5342" s="404"/>
      <c r="O5342" s="381"/>
      <c r="R5342" s="386"/>
      <c r="S5342" s="393"/>
      <c r="V5342" s="350"/>
    </row>
    <row r="5343" spans="1:22">
      <c r="A5343" s="403"/>
      <c r="B5343" s="379"/>
      <c r="C5343" s="350"/>
      <c r="D5343" s="380"/>
      <c r="G5343" s="380"/>
      <c r="J5343" s="350"/>
      <c r="K5343" s="383"/>
      <c r="L5343" s="383"/>
      <c r="M5343" s="350"/>
      <c r="N5343" s="404"/>
      <c r="O5343" s="381"/>
      <c r="R5343" s="386"/>
      <c r="S5343" s="393"/>
      <c r="V5343" s="350"/>
    </row>
    <row r="5344" spans="1:22">
      <c r="A5344" s="403"/>
      <c r="B5344" s="379"/>
      <c r="C5344" s="350"/>
      <c r="D5344" s="380"/>
      <c r="G5344" s="380"/>
      <c r="J5344" s="350"/>
      <c r="K5344" s="383"/>
      <c r="L5344" s="383"/>
      <c r="M5344" s="350"/>
      <c r="N5344" s="404"/>
      <c r="O5344" s="381"/>
      <c r="R5344" s="386"/>
      <c r="S5344" s="393"/>
      <c r="V5344" s="350"/>
    </row>
    <row r="5345" spans="1:22">
      <c r="A5345" s="403"/>
      <c r="B5345" s="379"/>
      <c r="C5345" s="350"/>
      <c r="D5345" s="380"/>
      <c r="G5345" s="380"/>
      <c r="J5345" s="350"/>
      <c r="K5345" s="383"/>
      <c r="L5345" s="383"/>
      <c r="M5345" s="350"/>
      <c r="N5345" s="404"/>
      <c r="O5345" s="381"/>
      <c r="R5345" s="386"/>
      <c r="S5345" s="393"/>
      <c r="V5345" s="350"/>
    </row>
    <row r="5346" spans="1:22">
      <c r="A5346" s="403"/>
      <c r="B5346" s="379"/>
      <c r="C5346" s="350"/>
      <c r="D5346" s="380"/>
      <c r="G5346" s="380"/>
      <c r="J5346" s="350"/>
      <c r="K5346" s="383"/>
      <c r="L5346" s="383"/>
      <c r="M5346" s="350"/>
      <c r="N5346" s="404"/>
      <c r="O5346" s="381"/>
      <c r="R5346" s="386"/>
      <c r="S5346" s="393"/>
      <c r="V5346" s="350"/>
    </row>
    <row r="5347" spans="1:22">
      <c r="A5347" s="403"/>
      <c r="B5347" s="379"/>
      <c r="C5347" s="350"/>
      <c r="D5347" s="380"/>
      <c r="G5347" s="380"/>
      <c r="J5347" s="350"/>
      <c r="K5347" s="383"/>
      <c r="L5347" s="383"/>
      <c r="M5347" s="350"/>
      <c r="N5347" s="404"/>
      <c r="O5347" s="381"/>
      <c r="R5347" s="386"/>
      <c r="S5347" s="393"/>
      <c r="V5347" s="350"/>
    </row>
    <row r="5348" spans="1:22">
      <c r="A5348" s="403"/>
      <c r="B5348" s="379"/>
      <c r="C5348" s="350"/>
      <c r="D5348" s="380"/>
      <c r="G5348" s="380"/>
      <c r="J5348" s="350"/>
      <c r="K5348" s="383"/>
      <c r="L5348" s="383"/>
      <c r="M5348" s="350"/>
      <c r="N5348" s="404"/>
      <c r="O5348" s="381"/>
      <c r="R5348" s="386"/>
      <c r="S5348" s="393"/>
      <c r="V5348" s="350"/>
    </row>
    <row r="5349" spans="1:22">
      <c r="A5349" s="403"/>
      <c r="B5349" s="379"/>
      <c r="C5349" s="350"/>
      <c r="D5349" s="380"/>
      <c r="G5349" s="380"/>
      <c r="J5349" s="350"/>
      <c r="K5349" s="383"/>
      <c r="L5349" s="383"/>
      <c r="M5349" s="350"/>
      <c r="N5349" s="404"/>
      <c r="O5349" s="381"/>
      <c r="R5349" s="386"/>
      <c r="S5349" s="393"/>
      <c r="V5349" s="350"/>
    </row>
    <row r="5350" spans="1:22">
      <c r="A5350" s="403"/>
      <c r="B5350" s="379"/>
      <c r="C5350" s="350"/>
      <c r="D5350" s="380"/>
      <c r="G5350" s="380"/>
      <c r="J5350" s="350"/>
      <c r="K5350" s="383"/>
      <c r="L5350" s="383"/>
      <c r="M5350" s="350"/>
      <c r="N5350" s="404"/>
      <c r="O5350" s="381"/>
      <c r="R5350" s="386"/>
      <c r="S5350" s="393"/>
      <c r="V5350" s="350"/>
    </row>
    <row r="5351" spans="1:22">
      <c r="A5351" s="403"/>
      <c r="B5351" s="379"/>
      <c r="C5351" s="350"/>
      <c r="D5351" s="380"/>
      <c r="G5351" s="380"/>
      <c r="J5351" s="350"/>
      <c r="K5351" s="383"/>
      <c r="L5351" s="383"/>
      <c r="M5351" s="350"/>
      <c r="N5351" s="404"/>
      <c r="O5351" s="381"/>
      <c r="R5351" s="386"/>
      <c r="S5351" s="393"/>
      <c r="V5351" s="350"/>
    </row>
    <row r="5352" spans="1:22">
      <c r="A5352" s="403"/>
      <c r="B5352" s="379"/>
      <c r="C5352" s="350"/>
      <c r="D5352" s="380"/>
      <c r="G5352" s="380"/>
      <c r="J5352" s="350"/>
      <c r="K5352" s="383"/>
      <c r="L5352" s="383"/>
      <c r="M5352" s="350"/>
      <c r="N5352" s="404"/>
      <c r="O5352" s="381"/>
      <c r="R5352" s="386"/>
      <c r="S5352" s="393"/>
      <c r="V5352" s="350"/>
    </row>
    <row r="5353" spans="1:22">
      <c r="A5353" s="403"/>
      <c r="B5353" s="379"/>
      <c r="C5353" s="350"/>
      <c r="D5353" s="380"/>
      <c r="G5353" s="380"/>
      <c r="J5353" s="350"/>
      <c r="K5353" s="383"/>
      <c r="L5353" s="383"/>
      <c r="M5353" s="350"/>
      <c r="N5353" s="404"/>
      <c r="O5353" s="381"/>
      <c r="R5353" s="386"/>
      <c r="S5353" s="393"/>
      <c r="V5353" s="350"/>
    </row>
    <row r="5354" spans="1:22">
      <c r="A5354" s="403"/>
      <c r="B5354" s="379"/>
      <c r="C5354" s="350"/>
      <c r="D5354" s="380"/>
      <c r="G5354" s="380"/>
      <c r="J5354" s="350"/>
      <c r="K5354" s="383"/>
      <c r="L5354" s="383"/>
      <c r="M5354" s="350"/>
      <c r="N5354" s="404"/>
      <c r="O5354" s="381"/>
      <c r="R5354" s="386"/>
      <c r="S5354" s="393"/>
      <c r="V5354" s="350"/>
    </row>
    <row r="5355" spans="1:22">
      <c r="A5355" s="403"/>
      <c r="B5355" s="379"/>
      <c r="C5355" s="350"/>
      <c r="D5355" s="380"/>
      <c r="G5355" s="380"/>
      <c r="J5355" s="350"/>
      <c r="K5355" s="383"/>
      <c r="L5355" s="383"/>
      <c r="M5355" s="350"/>
      <c r="N5355" s="404"/>
      <c r="O5355" s="381"/>
      <c r="R5355" s="386"/>
      <c r="S5355" s="393"/>
      <c r="V5355" s="350"/>
    </row>
    <row r="5356" spans="1:22">
      <c r="A5356" s="403"/>
      <c r="B5356" s="379"/>
      <c r="C5356" s="350"/>
      <c r="D5356" s="380"/>
      <c r="G5356" s="380"/>
      <c r="J5356" s="350"/>
      <c r="K5356" s="383"/>
      <c r="L5356" s="383"/>
      <c r="M5356" s="350"/>
      <c r="N5356" s="404"/>
      <c r="O5356" s="381"/>
      <c r="R5356" s="386"/>
      <c r="S5356" s="393"/>
      <c r="V5356" s="350"/>
    </row>
    <row r="5357" spans="1:22">
      <c r="A5357" s="403"/>
      <c r="B5357" s="379"/>
      <c r="C5357" s="350"/>
      <c r="D5357" s="380"/>
      <c r="G5357" s="380"/>
      <c r="J5357" s="350"/>
      <c r="K5357" s="383"/>
      <c r="L5357" s="383"/>
      <c r="M5357" s="350"/>
      <c r="N5357" s="404"/>
      <c r="O5357" s="381"/>
      <c r="R5357" s="386"/>
      <c r="S5357" s="393"/>
      <c r="V5357" s="350"/>
    </row>
    <row r="5358" spans="1:22">
      <c r="A5358" s="403"/>
      <c r="B5358" s="379"/>
      <c r="C5358" s="350"/>
      <c r="D5358" s="380"/>
      <c r="G5358" s="380"/>
      <c r="J5358" s="350"/>
      <c r="K5358" s="383"/>
      <c r="L5358" s="383"/>
      <c r="M5358" s="350"/>
      <c r="N5358" s="404"/>
      <c r="O5358" s="381"/>
      <c r="R5358" s="386"/>
      <c r="S5358" s="393"/>
      <c r="V5358" s="350"/>
    </row>
    <row r="5359" spans="1:22">
      <c r="A5359" s="403"/>
      <c r="B5359" s="379"/>
      <c r="C5359" s="350"/>
      <c r="D5359" s="380"/>
      <c r="G5359" s="380"/>
      <c r="J5359" s="350"/>
      <c r="K5359" s="383"/>
      <c r="L5359" s="383"/>
      <c r="M5359" s="350"/>
      <c r="N5359" s="404"/>
      <c r="O5359" s="381"/>
      <c r="R5359" s="386"/>
      <c r="S5359" s="393"/>
      <c r="V5359" s="350"/>
    </row>
    <row r="5360" spans="1:22">
      <c r="A5360" s="403"/>
      <c r="B5360" s="379"/>
      <c r="C5360" s="350"/>
      <c r="D5360" s="380"/>
      <c r="G5360" s="380"/>
      <c r="J5360" s="350"/>
      <c r="K5360" s="383"/>
      <c r="L5360" s="383"/>
      <c r="M5360" s="350"/>
      <c r="N5360" s="404"/>
      <c r="O5360" s="381"/>
      <c r="R5360" s="386"/>
      <c r="S5360" s="393"/>
      <c r="V5360" s="350"/>
    </row>
    <row r="5361" spans="1:22">
      <c r="A5361" s="403"/>
      <c r="B5361" s="379"/>
      <c r="C5361" s="350"/>
      <c r="D5361" s="380"/>
      <c r="G5361" s="380"/>
      <c r="J5361" s="350"/>
      <c r="K5361" s="383"/>
      <c r="L5361" s="383"/>
      <c r="M5361" s="350"/>
      <c r="N5361" s="404"/>
      <c r="O5361" s="381"/>
      <c r="R5361" s="386"/>
      <c r="S5361" s="393"/>
      <c r="V5361" s="350"/>
    </row>
    <row r="5362" spans="1:22">
      <c r="A5362" s="403"/>
      <c r="B5362" s="379"/>
      <c r="C5362" s="350"/>
      <c r="D5362" s="380"/>
      <c r="G5362" s="380"/>
      <c r="J5362" s="350"/>
      <c r="K5362" s="383"/>
      <c r="L5362" s="383"/>
      <c r="M5362" s="350"/>
      <c r="N5362" s="404"/>
      <c r="O5362" s="381"/>
      <c r="R5362" s="386"/>
      <c r="S5362" s="393"/>
      <c r="V5362" s="350"/>
    </row>
    <row r="5363" spans="1:22">
      <c r="A5363" s="403"/>
      <c r="B5363" s="379"/>
      <c r="C5363" s="350"/>
      <c r="D5363" s="380"/>
      <c r="G5363" s="380"/>
      <c r="J5363" s="350"/>
      <c r="K5363" s="383"/>
      <c r="L5363" s="383"/>
      <c r="M5363" s="350"/>
      <c r="N5363" s="404"/>
      <c r="O5363" s="381"/>
      <c r="R5363" s="386"/>
      <c r="S5363" s="393"/>
      <c r="V5363" s="350"/>
    </row>
    <row r="5364" spans="1:22">
      <c r="A5364" s="403"/>
      <c r="B5364" s="379"/>
      <c r="C5364" s="350"/>
      <c r="D5364" s="380"/>
      <c r="G5364" s="380"/>
      <c r="J5364" s="350"/>
      <c r="K5364" s="383"/>
      <c r="L5364" s="383"/>
      <c r="M5364" s="350"/>
      <c r="N5364" s="404"/>
      <c r="O5364" s="381"/>
      <c r="R5364" s="386"/>
      <c r="S5364" s="393"/>
      <c r="V5364" s="350"/>
    </row>
    <row r="5365" spans="1:22">
      <c r="A5365" s="403"/>
      <c r="B5365" s="379"/>
      <c r="C5365" s="350"/>
      <c r="D5365" s="380"/>
      <c r="G5365" s="380"/>
      <c r="J5365" s="350"/>
      <c r="K5365" s="383"/>
      <c r="L5365" s="383"/>
      <c r="M5365" s="350"/>
      <c r="N5365" s="404"/>
      <c r="O5365" s="381"/>
      <c r="R5365" s="386"/>
      <c r="S5365" s="393"/>
      <c r="V5365" s="350"/>
    </row>
    <row r="5366" spans="1:22">
      <c r="A5366" s="403"/>
      <c r="B5366" s="379"/>
      <c r="C5366" s="350"/>
      <c r="D5366" s="380"/>
      <c r="G5366" s="380"/>
      <c r="J5366" s="350"/>
      <c r="K5366" s="383"/>
      <c r="L5366" s="383"/>
      <c r="M5366" s="350"/>
      <c r="N5366" s="404"/>
      <c r="O5366" s="381"/>
      <c r="R5366" s="386"/>
      <c r="S5366" s="393"/>
      <c r="V5366" s="350"/>
    </row>
    <row r="5367" spans="1:22">
      <c r="A5367" s="403"/>
      <c r="B5367" s="379"/>
      <c r="C5367" s="350"/>
      <c r="D5367" s="380"/>
      <c r="G5367" s="380"/>
      <c r="J5367" s="350"/>
      <c r="K5367" s="383"/>
      <c r="L5367" s="383"/>
      <c r="M5367" s="350"/>
      <c r="N5367" s="404"/>
      <c r="O5367" s="381"/>
      <c r="R5367" s="386"/>
      <c r="S5367" s="393"/>
      <c r="V5367" s="350"/>
    </row>
    <row r="5368" spans="1:22">
      <c r="A5368" s="403"/>
      <c r="B5368" s="379"/>
      <c r="C5368" s="350"/>
      <c r="D5368" s="380"/>
      <c r="G5368" s="380"/>
      <c r="J5368" s="350"/>
      <c r="K5368" s="383"/>
      <c r="L5368" s="383"/>
      <c r="M5368" s="350"/>
      <c r="N5368" s="404"/>
      <c r="O5368" s="381"/>
      <c r="R5368" s="386"/>
      <c r="S5368" s="393"/>
      <c r="V5368" s="350"/>
    </row>
    <row r="5369" spans="1:22">
      <c r="A5369" s="403"/>
      <c r="B5369" s="379"/>
      <c r="C5369" s="350"/>
      <c r="D5369" s="380"/>
      <c r="G5369" s="380"/>
      <c r="J5369" s="350"/>
      <c r="K5369" s="383"/>
      <c r="L5369" s="383"/>
      <c r="M5369" s="350"/>
      <c r="N5369" s="404"/>
      <c r="O5369" s="381"/>
      <c r="R5369" s="386"/>
      <c r="S5369" s="393"/>
      <c r="V5369" s="350"/>
    </row>
    <row r="5370" spans="1:22">
      <c r="A5370" s="403"/>
      <c r="B5370" s="379"/>
      <c r="C5370" s="350"/>
      <c r="D5370" s="380"/>
      <c r="G5370" s="380"/>
      <c r="J5370" s="350"/>
      <c r="K5370" s="383"/>
      <c r="L5370" s="383"/>
      <c r="M5370" s="350"/>
      <c r="N5370" s="404"/>
      <c r="O5370" s="381"/>
      <c r="R5370" s="386"/>
      <c r="S5370" s="393"/>
      <c r="V5370" s="350"/>
    </row>
    <row r="5371" spans="1:22">
      <c r="A5371" s="403"/>
      <c r="B5371" s="379"/>
      <c r="C5371" s="350"/>
      <c r="D5371" s="380"/>
      <c r="G5371" s="380"/>
      <c r="J5371" s="350"/>
      <c r="K5371" s="383"/>
      <c r="L5371" s="383"/>
      <c r="M5371" s="350"/>
      <c r="N5371" s="404"/>
      <c r="O5371" s="381"/>
      <c r="R5371" s="386"/>
      <c r="S5371" s="393"/>
      <c r="V5371" s="350"/>
    </row>
    <row r="5372" spans="1:22">
      <c r="A5372" s="403"/>
      <c r="B5372" s="379"/>
      <c r="C5372" s="350"/>
      <c r="D5372" s="380"/>
      <c r="G5372" s="380"/>
      <c r="J5372" s="350"/>
      <c r="K5372" s="383"/>
      <c r="L5372" s="383"/>
      <c r="M5372" s="350"/>
      <c r="N5372" s="404"/>
      <c r="O5372" s="381"/>
      <c r="R5372" s="386"/>
      <c r="S5372" s="393"/>
      <c r="V5372" s="350"/>
    </row>
    <row r="5373" spans="1:22">
      <c r="A5373" s="403"/>
      <c r="B5373" s="379"/>
      <c r="C5373" s="350"/>
      <c r="D5373" s="380"/>
      <c r="G5373" s="380"/>
      <c r="J5373" s="350"/>
      <c r="K5373" s="383"/>
      <c r="L5373" s="383"/>
      <c r="M5373" s="350"/>
      <c r="N5373" s="404"/>
      <c r="O5373" s="381"/>
      <c r="R5373" s="386"/>
      <c r="S5373" s="393"/>
      <c r="V5373" s="350"/>
    </row>
    <row r="5374" spans="1:22">
      <c r="A5374" s="403"/>
      <c r="B5374" s="379"/>
      <c r="C5374" s="350"/>
      <c r="D5374" s="380"/>
      <c r="G5374" s="380"/>
      <c r="J5374" s="350"/>
      <c r="K5374" s="383"/>
      <c r="L5374" s="383"/>
      <c r="M5374" s="350"/>
      <c r="N5374" s="404"/>
      <c r="O5374" s="381"/>
      <c r="R5374" s="386"/>
      <c r="S5374" s="393"/>
      <c r="V5374" s="350"/>
    </row>
    <row r="5375" spans="1:22">
      <c r="A5375" s="403"/>
      <c r="B5375" s="379"/>
      <c r="C5375" s="350"/>
      <c r="D5375" s="380"/>
      <c r="G5375" s="380"/>
      <c r="J5375" s="350"/>
      <c r="K5375" s="383"/>
      <c r="L5375" s="383"/>
      <c r="M5375" s="350"/>
      <c r="N5375" s="404"/>
      <c r="O5375" s="381"/>
      <c r="R5375" s="386"/>
      <c r="S5375" s="393"/>
      <c r="V5375" s="350"/>
    </row>
    <row r="5376" spans="1:22">
      <c r="A5376" s="403"/>
      <c r="B5376" s="379"/>
      <c r="C5376" s="350"/>
      <c r="D5376" s="380"/>
      <c r="G5376" s="380"/>
      <c r="J5376" s="350"/>
      <c r="K5376" s="383"/>
      <c r="L5376" s="383"/>
      <c r="M5376" s="350"/>
      <c r="N5376" s="404"/>
      <c r="O5376" s="381"/>
      <c r="R5376" s="386"/>
      <c r="S5376" s="393"/>
      <c r="V5376" s="350"/>
    </row>
    <row r="5377" spans="1:22">
      <c r="A5377" s="403"/>
      <c r="B5377" s="379"/>
      <c r="C5377" s="350"/>
      <c r="D5377" s="380"/>
      <c r="G5377" s="380"/>
      <c r="J5377" s="350"/>
      <c r="K5377" s="383"/>
      <c r="L5377" s="383"/>
      <c r="M5377" s="350"/>
      <c r="N5377" s="404"/>
      <c r="O5377" s="381"/>
      <c r="R5377" s="386"/>
      <c r="S5377" s="393"/>
      <c r="V5377" s="350"/>
    </row>
    <row r="5378" spans="1:22">
      <c r="A5378" s="403"/>
      <c r="B5378" s="379"/>
      <c r="C5378" s="350"/>
      <c r="D5378" s="380"/>
      <c r="G5378" s="380"/>
      <c r="J5378" s="350"/>
      <c r="K5378" s="383"/>
      <c r="L5378" s="383"/>
      <c r="M5378" s="350"/>
      <c r="N5378" s="404"/>
      <c r="O5378" s="381"/>
      <c r="R5378" s="386"/>
      <c r="S5378" s="393"/>
      <c r="V5378" s="350"/>
    </row>
    <row r="5379" spans="1:22">
      <c r="A5379" s="403"/>
      <c r="B5379" s="379"/>
      <c r="C5379" s="350"/>
      <c r="D5379" s="380"/>
      <c r="G5379" s="380"/>
      <c r="J5379" s="350"/>
      <c r="K5379" s="383"/>
      <c r="L5379" s="383"/>
      <c r="M5379" s="350"/>
      <c r="N5379" s="404"/>
      <c r="O5379" s="381"/>
      <c r="R5379" s="386"/>
      <c r="S5379" s="393"/>
      <c r="V5379" s="350"/>
    </row>
    <row r="5380" spans="1:22">
      <c r="A5380" s="403"/>
      <c r="B5380" s="379"/>
      <c r="C5380" s="350"/>
      <c r="D5380" s="380"/>
      <c r="G5380" s="380"/>
      <c r="J5380" s="350"/>
      <c r="K5380" s="383"/>
      <c r="L5380" s="383"/>
      <c r="M5380" s="350"/>
      <c r="N5380" s="404"/>
      <c r="O5380" s="381"/>
      <c r="R5380" s="386"/>
      <c r="S5380" s="393"/>
      <c r="V5380" s="350"/>
    </row>
    <row r="5381" spans="1:22">
      <c r="A5381" s="403"/>
      <c r="B5381" s="379"/>
      <c r="C5381" s="350"/>
      <c r="D5381" s="380"/>
      <c r="G5381" s="380"/>
      <c r="J5381" s="350"/>
      <c r="K5381" s="383"/>
      <c r="L5381" s="383"/>
      <c r="M5381" s="350"/>
      <c r="N5381" s="404"/>
      <c r="O5381" s="381"/>
      <c r="R5381" s="386"/>
      <c r="S5381" s="393"/>
      <c r="V5381" s="350"/>
    </row>
    <row r="5382" spans="1:22">
      <c r="A5382" s="403"/>
      <c r="B5382" s="379"/>
      <c r="C5382" s="350"/>
      <c r="D5382" s="380"/>
      <c r="G5382" s="380"/>
      <c r="J5382" s="350"/>
      <c r="K5382" s="383"/>
      <c r="L5382" s="383"/>
      <c r="M5382" s="350"/>
      <c r="N5382" s="404"/>
      <c r="O5382" s="381"/>
      <c r="R5382" s="386"/>
      <c r="S5382" s="393"/>
      <c r="V5382" s="350"/>
    </row>
    <row r="5383" spans="1:22">
      <c r="A5383" s="403"/>
      <c r="B5383" s="379"/>
      <c r="C5383" s="350"/>
      <c r="D5383" s="380"/>
      <c r="G5383" s="380"/>
      <c r="J5383" s="350"/>
      <c r="K5383" s="383"/>
      <c r="L5383" s="383"/>
      <c r="M5383" s="350"/>
      <c r="N5383" s="404"/>
      <c r="O5383" s="381"/>
      <c r="R5383" s="386"/>
      <c r="S5383" s="393"/>
      <c r="V5383" s="350"/>
    </row>
    <row r="5384" spans="1:22">
      <c r="A5384" s="403"/>
      <c r="B5384" s="379"/>
      <c r="C5384" s="350"/>
      <c r="D5384" s="380"/>
      <c r="G5384" s="380"/>
      <c r="J5384" s="350"/>
      <c r="K5384" s="383"/>
      <c r="L5384" s="383"/>
      <c r="M5384" s="350"/>
      <c r="N5384" s="404"/>
      <c r="O5384" s="381"/>
      <c r="R5384" s="386"/>
      <c r="S5384" s="393"/>
      <c r="V5384" s="350"/>
    </row>
    <row r="5385" spans="1:22">
      <c r="A5385" s="403"/>
      <c r="B5385" s="379"/>
      <c r="C5385" s="350"/>
      <c r="D5385" s="380"/>
      <c r="G5385" s="380"/>
      <c r="J5385" s="350"/>
      <c r="K5385" s="383"/>
      <c r="L5385" s="383"/>
      <c r="M5385" s="350"/>
      <c r="N5385" s="404"/>
      <c r="O5385" s="381"/>
      <c r="R5385" s="386"/>
      <c r="S5385" s="393"/>
      <c r="V5385" s="350"/>
    </row>
    <row r="5386" spans="1:22">
      <c r="A5386" s="403"/>
      <c r="B5386" s="379"/>
      <c r="C5386" s="350"/>
      <c r="D5386" s="380"/>
      <c r="G5386" s="380"/>
      <c r="J5386" s="350"/>
      <c r="K5386" s="383"/>
      <c r="L5386" s="383"/>
      <c r="M5386" s="350"/>
      <c r="N5386" s="404"/>
      <c r="O5386" s="381"/>
      <c r="R5386" s="386"/>
      <c r="S5386" s="393"/>
      <c r="V5386" s="350"/>
    </row>
    <row r="5387" spans="1:22">
      <c r="A5387" s="403"/>
      <c r="B5387" s="379"/>
      <c r="C5387" s="350"/>
      <c r="D5387" s="380"/>
      <c r="G5387" s="380"/>
      <c r="J5387" s="350"/>
      <c r="K5387" s="383"/>
      <c r="L5387" s="383"/>
      <c r="M5387" s="350"/>
      <c r="N5387" s="404"/>
      <c r="O5387" s="381"/>
      <c r="R5387" s="386"/>
      <c r="S5387" s="393"/>
      <c r="V5387" s="350"/>
    </row>
    <row r="5388" spans="1:22">
      <c r="A5388" s="403"/>
      <c r="B5388" s="379"/>
      <c r="C5388" s="350"/>
      <c r="D5388" s="380"/>
      <c r="G5388" s="380"/>
      <c r="J5388" s="350"/>
      <c r="K5388" s="383"/>
      <c r="L5388" s="383"/>
      <c r="M5388" s="350"/>
      <c r="N5388" s="404"/>
      <c r="O5388" s="381"/>
      <c r="R5388" s="386"/>
      <c r="S5388" s="393"/>
      <c r="V5388" s="350"/>
    </row>
    <row r="5389" spans="1:22">
      <c r="A5389" s="403"/>
      <c r="B5389" s="379"/>
      <c r="C5389" s="350"/>
      <c r="D5389" s="380"/>
      <c r="G5389" s="380"/>
      <c r="J5389" s="350"/>
      <c r="K5389" s="383"/>
      <c r="L5389" s="383"/>
      <c r="M5389" s="350"/>
      <c r="N5389" s="404"/>
      <c r="O5389" s="381"/>
      <c r="R5389" s="386"/>
      <c r="S5389" s="393"/>
      <c r="V5389" s="350"/>
    </row>
    <row r="5390" spans="1:22">
      <c r="A5390" s="403"/>
      <c r="B5390" s="379"/>
      <c r="C5390" s="350"/>
      <c r="D5390" s="380"/>
      <c r="G5390" s="380"/>
      <c r="J5390" s="350"/>
      <c r="K5390" s="383"/>
      <c r="L5390" s="383"/>
      <c r="M5390" s="350"/>
      <c r="N5390" s="404"/>
      <c r="O5390" s="381"/>
      <c r="R5390" s="386"/>
      <c r="S5390" s="393"/>
      <c r="V5390" s="350"/>
    </row>
    <row r="5391" spans="1:22">
      <c r="A5391" s="403"/>
      <c r="B5391" s="379"/>
      <c r="C5391" s="350"/>
      <c r="D5391" s="380"/>
      <c r="G5391" s="380"/>
      <c r="J5391" s="350"/>
      <c r="K5391" s="383"/>
      <c r="L5391" s="383"/>
      <c r="M5391" s="350"/>
      <c r="N5391" s="404"/>
      <c r="O5391" s="381"/>
      <c r="R5391" s="386"/>
      <c r="S5391" s="393"/>
      <c r="V5391" s="350"/>
    </row>
    <row r="5392" spans="1:22">
      <c r="A5392" s="403"/>
      <c r="B5392" s="379"/>
      <c r="C5392" s="350"/>
      <c r="D5392" s="380"/>
      <c r="G5392" s="380"/>
      <c r="J5392" s="350"/>
      <c r="K5392" s="383"/>
      <c r="L5392" s="383"/>
      <c r="M5392" s="350"/>
      <c r="N5392" s="404"/>
      <c r="O5392" s="381"/>
      <c r="R5392" s="386"/>
      <c r="S5392" s="393"/>
      <c r="V5392" s="350"/>
    </row>
    <row r="5393" spans="1:22">
      <c r="A5393" s="403"/>
      <c r="B5393" s="379"/>
      <c r="C5393" s="350"/>
      <c r="D5393" s="380"/>
      <c r="G5393" s="380"/>
      <c r="J5393" s="350"/>
      <c r="K5393" s="383"/>
      <c r="L5393" s="383"/>
      <c r="M5393" s="350"/>
      <c r="N5393" s="404"/>
      <c r="O5393" s="381"/>
      <c r="R5393" s="386"/>
      <c r="S5393" s="393"/>
      <c r="V5393" s="350"/>
    </row>
    <row r="5394" spans="1:22">
      <c r="A5394" s="403"/>
      <c r="B5394" s="379"/>
      <c r="C5394" s="350"/>
      <c r="D5394" s="380"/>
      <c r="G5394" s="380"/>
      <c r="J5394" s="350"/>
      <c r="K5394" s="383"/>
      <c r="L5394" s="383"/>
      <c r="M5394" s="350"/>
      <c r="N5394" s="404"/>
      <c r="O5394" s="381"/>
      <c r="R5394" s="386"/>
      <c r="S5394" s="393"/>
      <c r="V5394" s="350"/>
    </row>
    <row r="5395" spans="1:22">
      <c r="A5395" s="403"/>
      <c r="B5395" s="379"/>
      <c r="C5395" s="350"/>
      <c r="D5395" s="380"/>
      <c r="G5395" s="380"/>
      <c r="J5395" s="350"/>
      <c r="K5395" s="383"/>
      <c r="L5395" s="383"/>
      <c r="M5395" s="350"/>
      <c r="N5395" s="404"/>
      <c r="O5395" s="381"/>
      <c r="R5395" s="386"/>
      <c r="S5395" s="393"/>
      <c r="V5395" s="350"/>
    </row>
    <row r="5396" spans="1:22">
      <c r="A5396" s="403"/>
      <c r="B5396" s="379"/>
      <c r="C5396" s="350"/>
      <c r="D5396" s="380"/>
      <c r="G5396" s="380"/>
      <c r="J5396" s="350"/>
      <c r="K5396" s="383"/>
      <c r="L5396" s="383"/>
      <c r="M5396" s="350"/>
      <c r="N5396" s="404"/>
      <c r="O5396" s="381"/>
      <c r="R5396" s="386"/>
      <c r="S5396" s="393"/>
      <c r="V5396" s="350"/>
    </row>
    <row r="5397" spans="1:22">
      <c r="A5397" s="403"/>
      <c r="B5397" s="379"/>
      <c r="C5397" s="350"/>
      <c r="D5397" s="380"/>
      <c r="G5397" s="380"/>
      <c r="J5397" s="350"/>
      <c r="K5397" s="383"/>
      <c r="L5397" s="383"/>
      <c r="M5397" s="350"/>
      <c r="N5397" s="404"/>
      <c r="O5397" s="381"/>
      <c r="R5397" s="386"/>
      <c r="S5397" s="393"/>
      <c r="V5397" s="350"/>
    </row>
    <row r="5398" spans="1:22">
      <c r="A5398" s="403"/>
      <c r="B5398" s="379"/>
      <c r="C5398" s="350"/>
      <c r="D5398" s="380"/>
      <c r="G5398" s="380"/>
      <c r="J5398" s="350"/>
      <c r="K5398" s="383"/>
      <c r="L5398" s="383"/>
      <c r="M5398" s="350"/>
      <c r="N5398" s="404"/>
      <c r="O5398" s="381"/>
      <c r="R5398" s="386"/>
      <c r="S5398" s="393"/>
      <c r="V5398" s="350"/>
    </row>
    <row r="5399" spans="1:22">
      <c r="A5399" s="403"/>
      <c r="B5399" s="379"/>
      <c r="C5399" s="350"/>
      <c r="D5399" s="380"/>
      <c r="G5399" s="380"/>
      <c r="J5399" s="350"/>
      <c r="K5399" s="383"/>
      <c r="L5399" s="383"/>
      <c r="M5399" s="350"/>
      <c r="N5399" s="404"/>
      <c r="O5399" s="381"/>
      <c r="R5399" s="386"/>
      <c r="S5399" s="393"/>
      <c r="V5399" s="350"/>
    </row>
    <row r="5400" spans="1:22">
      <c r="A5400" s="403"/>
      <c r="B5400" s="379"/>
      <c r="C5400" s="350"/>
      <c r="D5400" s="380"/>
      <c r="G5400" s="380"/>
      <c r="J5400" s="350"/>
      <c r="K5400" s="383"/>
      <c r="L5400" s="383"/>
      <c r="M5400" s="350"/>
      <c r="N5400" s="404"/>
      <c r="O5400" s="381"/>
      <c r="R5400" s="386"/>
      <c r="S5400" s="393"/>
      <c r="V5400" s="350"/>
    </row>
    <row r="5401" spans="1:22">
      <c r="A5401" s="403"/>
      <c r="B5401" s="379"/>
      <c r="C5401" s="350"/>
      <c r="D5401" s="380"/>
      <c r="G5401" s="380"/>
      <c r="J5401" s="350"/>
      <c r="K5401" s="383"/>
      <c r="L5401" s="383"/>
      <c r="M5401" s="350"/>
      <c r="N5401" s="404"/>
      <c r="O5401" s="381"/>
      <c r="R5401" s="386"/>
      <c r="S5401" s="393"/>
      <c r="V5401" s="350"/>
    </row>
    <row r="5402" spans="1:22">
      <c r="A5402" s="403"/>
      <c r="B5402" s="379"/>
      <c r="C5402" s="350"/>
      <c r="D5402" s="380"/>
      <c r="G5402" s="380"/>
      <c r="J5402" s="350"/>
      <c r="K5402" s="383"/>
      <c r="L5402" s="383"/>
      <c r="M5402" s="350"/>
      <c r="N5402" s="404"/>
      <c r="O5402" s="381"/>
      <c r="R5402" s="386"/>
      <c r="S5402" s="393"/>
      <c r="V5402" s="350"/>
    </row>
    <row r="5403" spans="1:22">
      <c r="A5403" s="403"/>
      <c r="B5403" s="379"/>
      <c r="C5403" s="350"/>
      <c r="D5403" s="380"/>
      <c r="G5403" s="380"/>
      <c r="J5403" s="350"/>
      <c r="K5403" s="383"/>
      <c r="L5403" s="383"/>
      <c r="M5403" s="350"/>
      <c r="N5403" s="404"/>
      <c r="O5403" s="381"/>
      <c r="R5403" s="386"/>
      <c r="S5403" s="393"/>
      <c r="V5403" s="350"/>
    </row>
    <row r="5404" spans="1:22">
      <c r="A5404" s="403"/>
      <c r="B5404" s="379"/>
      <c r="C5404" s="350"/>
      <c r="D5404" s="380"/>
      <c r="G5404" s="380"/>
      <c r="J5404" s="350"/>
      <c r="K5404" s="383"/>
      <c r="L5404" s="383"/>
      <c r="M5404" s="350"/>
      <c r="N5404" s="404"/>
      <c r="O5404" s="381"/>
      <c r="R5404" s="386"/>
      <c r="S5404" s="393"/>
      <c r="V5404" s="350"/>
    </row>
    <row r="5405" spans="1:22">
      <c r="A5405" s="403"/>
      <c r="B5405" s="379"/>
      <c r="C5405" s="350"/>
      <c r="D5405" s="380"/>
      <c r="G5405" s="380"/>
      <c r="J5405" s="350"/>
      <c r="K5405" s="383"/>
      <c r="L5405" s="383"/>
      <c r="M5405" s="350"/>
      <c r="N5405" s="404"/>
      <c r="O5405" s="381"/>
      <c r="R5405" s="386"/>
      <c r="S5405" s="393"/>
      <c r="V5405" s="350"/>
    </row>
    <row r="5406" spans="1:22">
      <c r="A5406" s="403"/>
      <c r="B5406" s="379"/>
      <c r="C5406" s="350"/>
      <c r="D5406" s="380"/>
      <c r="G5406" s="380"/>
      <c r="J5406" s="350"/>
      <c r="K5406" s="383"/>
      <c r="L5406" s="383"/>
      <c r="M5406" s="350"/>
      <c r="N5406" s="404"/>
      <c r="O5406" s="381"/>
      <c r="R5406" s="386"/>
      <c r="S5406" s="393"/>
      <c r="V5406" s="350"/>
    </row>
    <row r="5407" spans="1:22">
      <c r="A5407" s="403"/>
      <c r="B5407" s="379"/>
      <c r="C5407" s="350"/>
      <c r="D5407" s="380"/>
      <c r="G5407" s="380"/>
      <c r="J5407" s="350"/>
      <c r="K5407" s="383"/>
      <c r="L5407" s="383"/>
      <c r="M5407" s="350"/>
      <c r="N5407" s="404"/>
      <c r="O5407" s="381"/>
      <c r="R5407" s="386"/>
      <c r="S5407" s="393"/>
      <c r="V5407" s="350"/>
    </row>
    <row r="5408" spans="1:22">
      <c r="A5408" s="403"/>
      <c r="B5408" s="379"/>
      <c r="C5408" s="350"/>
      <c r="D5408" s="380"/>
      <c r="G5408" s="380"/>
      <c r="J5408" s="350"/>
      <c r="K5408" s="383"/>
      <c r="L5408" s="383"/>
      <c r="M5408" s="350"/>
      <c r="N5408" s="404"/>
      <c r="O5408" s="381"/>
      <c r="R5408" s="386"/>
      <c r="S5408" s="393"/>
      <c r="V5408" s="350"/>
    </row>
    <row r="5409" spans="1:22">
      <c r="A5409" s="403"/>
      <c r="B5409" s="379"/>
      <c r="C5409" s="350"/>
      <c r="D5409" s="380"/>
      <c r="G5409" s="380"/>
      <c r="J5409" s="350"/>
      <c r="K5409" s="383"/>
      <c r="L5409" s="383"/>
      <c r="M5409" s="350"/>
      <c r="N5409" s="404"/>
      <c r="O5409" s="381"/>
      <c r="R5409" s="386"/>
      <c r="S5409" s="393"/>
      <c r="V5409" s="350"/>
    </row>
    <row r="5410" spans="1:22">
      <c r="A5410" s="403"/>
      <c r="B5410" s="379"/>
      <c r="C5410" s="350"/>
      <c r="D5410" s="380"/>
      <c r="G5410" s="380"/>
      <c r="J5410" s="350"/>
      <c r="K5410" s="383"/>
      <c r="L5410" s="383"/>
      <c r="M5410" s="350"/>
      <c r="N5410" s="404"/>
      <c r="O5410" s="381"/>
      <c r="R5410" s="386"/>
      <c r="S5410" s="393"/>
      <c r="V5410" s="350"/>
    </row>
    <row r="5411" spans="1:22">
      <c r="A5411" s="403"/>
      <c r="B5411" s="379"/>
      <c r="C5411" s="350"/>
      <c r="D5411" s="380"/>
      <c r="G5411" s="380"/>
      <c r="J5411" s="350"/>
      <c r="K5411" s="383"/>
      <c r="L5411" s="383"/>
      <c r="M5411" s="350"/>
      <c r="N5411" s="404"/>
      <c r="O5411" s="381"/>
      <c r="R5411" s="386"/>
      <c r="S5411" s="393"/>
      <c r="V5411" s="350"/>
    </row>
    <row r="5412" spans="1:22">
      <c r="A5412" s="403"/>
      <c r="B5412" s="379"/>
      <c r="C5412" s="350"/>
      <c r="D5412" s="380"/>
      <c r="G5412" s="380"/>
      <c r="J5412" s="350"/>
      <c r="K5412" s="383"/>
      <c r="L5412" s="383"/>
      <c r="M5412" s="350"/>
      <c r="N5412" s="404"/>
      <c r="O5412" s="381"/>
      <c r="R5412" s="386"/>
      <c r="S5412" s="393"/>
      <c r="V5412" s="350"/>
    </row>
    <row r="5413" spans="1:22">
      <c r="A5413" s="403"/>
      <c r="B5413" s="379"/>
      <c r="C5413" s="350"/>
      <c r="D5413" s="380"/>
      <c r="G5413" s="380"/>
      <c r="J5413" s="350"/>
      <c r="K5413" s="383"/>
      <c r="L5413" s="383"/>
      <c r="M5413" s="350"/>
      <c r="N5413" s="404"/>
      <c r="O5413" s="381"/>
      <c r="R5413" s="386"/>
      <c r="S5413" s="393"/>
      <c r="V5413" s="350"/>
    </row>
    <row r="5414" spans="1:22">
      <c r="A5414" s="403"/>
      <c r="B5414" s="379"/>
      <c r="C5414" s="350"/>
      <c r="D5414" s="380"/>
      <c r="G5414" s="380"/>
      <c r="J5414" s="350"/>
      <c r="K5414" s="383"/>
      <c r="L5414" s="383"/>
      <c r="M5414" s="350"/>
      <c r="N5414" s="404"/>
      <c r="O5414" s="381"/>
      <c r="R5414" s="386"/>
      <c r="S5414" s="393"/>
      <c r="V5414" s="350"/>
    </row>
    <row r="5415" spans="1:22">
      <c r="A5415" s="403"/>
      <c r="B5415" s="379"/>
      <c r="C5415" s="350"/>
      <c r="D5415" s="380"/>
      <c r="G5415" s="380"/>
      <c r="J5415" s="350"/>
      <c r="K5415" s="383"/>
      <c r="L5415" s="383"/>
      <c r="M5415" s="350"/>
      <c r="N5415" s="404"/>
      <c r="O5415" s="381"/>
      <c r="R5415" s="386"/>
      <c r="S5415" s="393"/>
      <c r="V5415" s="350"/>
    </row>
    <row r="5416" spans="1:22">
      <c r="A5416" s="403"/>
      <c r="B5416" s="379"/>
      <c r="C5416" s="350"/>
      <c r="D5416" s="380"/>
      <c r="G5416" s="380"/>
      <c r="J5416" s="350"/>
      <c r="K5416" s="383"/>
      <c r="L5416" s="383"/>
      <c r="M5416" s="350"/>
      <c r="N5416" s="404"/>
      <c r="O5416" s="381"/>
      <c r="R5416" s="386"/>
      <c r="S5416" s="393"/>
      <c r="V5416" s="350"/>
    </row>
    <row r="5417" spans="1:22">
      <c r="A5417" s="403"/>
      <c r="B5417" s="379"/>
      <c r="C5417" s="350"/>
      <c r="D5417" s="380"/>
      <c r="G5417" s="380"/>
      <c r="J5417" s="350"/>
      <c r="K5417" s="383"/>
      <c r="L5417" s="383"/>
      <c r="M5417" s="350"/>
      <c r="N5417" s="404"/>
      <c r="O5417" s="381"/>
      <c r="R5417" s="386"/>
      <c r="S5417" s="393"/>
      <c r="V5417" s="350"/>
    </row>
    <row r="5418" spans="1:22">
      <c r="A5418" s="403"/>
      <c r="B5418" s="379"/>
      <c r="C5418" s="350"/>
      <c r="D5418" s="380"/>
      <c r="G5418" s="380"/>
      <c r="J5418" s="350"/>
      <c r="K5418" s="383"/>
      <c r="L5418" s="383"/>
      <c r="M5418" s="350"/>
      <c r="N5418" s="404"/>
      <c r="O5418" s="381"/>
      <c r="R5418" s="386"/>
      <c r="S5418" s="393"/>
      <c r="V5418" s="350"/>
    </row>
    <row r="5419" spans="1:22">
      <c r="A5419" s="403"/>
      <c r="B5419" s="379"/>
      <c r="C5419" s="350"/>
      <c r="D5419" s="380"/>
      <c r="G5419" s="380"/>
      <c r="J5419" s="350"/>
      <c r="K5419" s="383"/>
      <c r="L5419" s="383"/>
      <c r="M5419" s="350"/>
      <c r="N5419" s="404"/>
      <c r="O5419" s="381"/>
      <c r="R5419" s="386"/>
      <c r="S5419" s="393"/>
      <c r="V5419" s="350"/>
    </row>
    <row r="5420" spans="1:22">
      <c r="A5420" s="403"/>
      <c r="B5420" s="379"/>
      <c r="C5420" s="350"/>
      <c r="D5420" s="380"/>
      <c r="G5420" s="380"/>
      <c r="J5420" s="350"/>
      <c r="K5420" s="383"/>
      <c r="L5420" s="383"/>
      <c r="M5420" s="350"/>
      <c r="N5420" s="404"/>
      <c r="O5420" s="381"/>
      <c r="R5420" s="386"/>
      <c r="S5420" s="393"/>
      <c r="V5420" s="350"/>
    </row>
    <row r="5421" spans="1:22">
      <c r="A5421" s="403"/>
      <c r="B5421" s="379"/>
      <c r="C5421" s="350"/>
      <c r="D5421" s="380"/>
      <c r="G5421" s="380"/>
      <c r="J5421" s="350"/>
      <c r="K5421" s="383"/>
      <c r="L5421" s="383"/>
      <c r="M5421" s="350"/>
      <c r="N5421" s="404"/>
      <c r="O5421" s="381"/>
      <c r="R5421" s="386"/>
      <c r="S5421" s="393"/>
      <c r="V5421" s="350"/>
    </row>
    <row r="5422" spans="1:22">
      <c r="A5422" s="403"/>
      <c r="B5422" s="379"/>
      <c r="C5422" s="350"/>
      <c r="D5422" s="380"/>
      <c r="G5422" s="380"/>
      <c r="J5422" s="350"/>
      <c r="K5422" s="383"/>
      <c r="L5422" s="383"/>
      <c r="M5422" s="350"/>
      <c r="N5422" s="404"/>
      <c r="O5422" s="381"/>
      <c r="R5422" s="386"/>
      <c r="S5422" s="393"/>
      <c r="V5422" s="350"/>
    </row>
    <row r="5423" spans="1:22">
      <c r="A5423" s="403"/>
      <c r="B5423" s="379"/>
      <c r="C5423" s="350"/>
      <c r="D5423" s="380"/>
      <c r="G5423" s="380"/>
      <c r="J5423" s="350"/>
      <c r="K5423" s="383"/>
      <c r="L5423" s="383"/>
      <c r="M5423" s="350"/>
      <c r="N5423" s="404"/>
      <c r="O5423" s="381"/>
      <c r="R5423" s="386"/>
      <c r="S5423" s="393"/>
      <c r="V5423" s="350"/>
    </row>
    <row r="5424" spans="1:22">
      <c r="A5424" s="403"/>
      <c r="B5424" s="379"/>
      <c r="C5424" s="350"/>
      <c r="D5424" s="380"/>
      <c r="G5424" s="380"/>
      <c r="J5424" s="350"/>
      <c r="K5424" s="383"/>
      <c r="L5424" s="383"/>
      <c r="M5424" s="350"/>
      <c r="N5424" s="404"/>
      <c r="O5424" s="381"/>
      <c r="R5424" s="386"/>
      <c r="S5424" s="393"/>
      <c r="V5424" s="350"/>
    </row>
    <row r="5425" spans="1:22">
      <c r="A5425" s="403"/>
      <c r="B5425" s="379"/>
      <c r="C5425" s="350"/>
      <c r="D5425" s="380"/>
      <c r="G5425" s="380"/>
      <c r="J5425" s="350"/>
      <c r="K5425" s="383"/>
      <c r="L5425" s="383"/>
      <c r="M5425" s="350"/>
      <c r="N5425" s="404"/>
      <c r="O5425" s="381"/>
      <c r="R5425" s="386"/>
      <c r="S5425" s="393"/>
      <c r="V5425" s="350"/>
    </row>
    <row r="5426" spans="1:22">
      <c r="A5426" s="403"/>
      <c r="B5426" s="379"/>
      <c r="C5426" s="350"/>
      <c r="D5426" s="380"/>
      <c r="G5426" s="380"/>
      <c r="J5426" s="350"/>
      <c r="K5426" s="383"/>
      <c r="L5426" s="383"/>
      <c r="M5426" s="350"/>
      <c r="N5426" s="404"/>
      <c r="O5426" s="381"/>
      <c r="R5426" s="386"/>
      <c r="S5426" s="393"/>
      <c r="V5426" s="350"/>
    </row>
    <row r="5427" spans="1:22">
      <c r="A5427" s="403"/>
      <c r="B5427" s="379"/>
      <c r="C5427" s="350"/>
      <c r="D5427" s="380"/>
      <c r="G5427" s="380"/>
      <c r="J5427" s="350"/>
      <c r="K5427" s="383"/>
      <c r="L5427" s="383"/>
      <c r="M5427" s="350"/>
      <c r="N5427" s="404"/>
      <c r="O5427" s="381"/>
      <c r="R5427" s="386"/>
      <c r="S5427" s="393"/>
      <c r="V5427" s="350"/>
    </row>
    <row r="5428" spans="1:22">
      <c r="A5428" s="403"/>
      <c r="B5428" s="379"/>
      <c r="C5428" s="350"/>
      <c r="D5428" s="380"/>
      <c r="G5428" s="380"/>
      <c r="J5428" s="350"/>
      <c r="K5428" s="383"/>
      <c r="L5428" s="383"/>
      <c r="M5428" s="350"/>
      <c r="N5428" s="404"/>
      <c r="O5428" s="381"/>
      <c r="R5428" s="386"/>
      <c r="S5428" s="393"/>
      <c r="V5428" s="350"/>
    </row>
    <row r="5429" spans="1:22">
      <c r="A5429" s="403"/>
      <c r="B5429" s="379"/>
      <c r="C5429" s="350"/>
      <c r="D5429" s="380"/>
      <c r="G5429" s="380"/>
      <c r="J5429" s="350"/>
      <c r="K5429" s="383"/>
      <c r="L5429" s="383"/>
      <c r="M5429" s="350"/>
      <c r="N5429" s="404"/>
      <c r="O5429" s="381"/>
      <c r="R5429" s="386"/>
      <c r="S5429" s="393"/>
      <c r="V5429" s="350"/>
    </row>
    <row r="5430" spans="1:22">
      <c r="A5430" s="403"/>
      <c r="B5430" s="379"/>
      <c r="C5430" s="350"/>
      <c r="D5430" s="380"/>
      <c r="G5430" s="380"/>
      <c r="J5430" s="350"/>
      <c r="K5430" s="383"/>
      <c r="L5430" s="383"/>
      <c r="M5430" s="350"/>
      <c r="N5430" s="404"/>
      <c r="O5430" s="381"/>
      <c r="R5430" s="386"/>
      <c r="S5430" s="393"/>
      <c r="V5430" s="350"/>
    </row>
    <row r="5431" spans="1:22">
      <c r="A5431" s="403"/>
      <c r="B5431" s="379"/>
      <c r="C5431" s="350"/>
      <c r="D5431" s="380"/>
      <c r="G5431" s="380"/>
      <c r="J5431" s="350"/>
      <c r="K5431" s="383"/>
      <c r="L5431" s="383"/>
      <c r="M5431" s="350"/>
      <c r="N5431" s="404"/>
      <c r="O5431" s="381"/>
      <c r="R5431" s="386"/>
      <c r="S5431" s="393"/>
      <c r="V5431" s="350"/>
    </row>
    <row r="5432" spans="1:22">
      <c r="A5432" s="403"/>
      <c r="B5432" s="379"/>
      <c r="C5432" s="350"/>
      <c r="D5432" s="380"/>
      <c r="G5432" s="380"/>
      <c r="J5432" s="350"/>
      <c r="K5432" s="383"/>
      <c r="L5432" s="383"/>
      <c r="M5432" s="350"/>
      <c r="N5432" s="404"/>
      <c r="O5432" s="381"/>
      <c r="R5432" s="386"/>
      <c r="S5432" s="393"/>
      <c r="V5432" s="350"/>
    </row>
    <row r="5433" spans="1:22">
      <c r="A5433" s="403"/>
      <c r="B5433" s="379"/>
      <c r="C5433" s="350"/>
      <c r="D5433" s="380"/>
      <c r="G5433" s="380"/>
      <c r="J5433" s="350"/>
      <c r="K5433" s="383"/>
      <c r="L5433" s="383"/>
      <c r="M5433" s="350"/>
      <c r="N5433" s="404"/>
      <c r="O5433" s="381"/>
      <c r="R5433" s="386"/>
      <c r="S5433" s="393"/>
      <c r="V5433" s="350"/>
    </row>
    <row r="5434" spans="1:22">
      <c r="A5434" s="403"/>
      <c r="B5434" s="379"/>
      <c r="C5434" s="350"/>
      <c r="D5434" s="380"/>
      <c r="G5434" s="380"/>
      <c r="J5434" s="350"/>
      <c r="K5434" s="383"/>
      <c r="L5434" s="383"/>
      <c r="M5434" s="350"/>
      <c r="N5434" s="404"/>
      <c r="O5434" s="381"/>
      <c r="R5434" s="386"/>
      <c r="S5434" s="393"/>
      <c r="V5434" s="350"/>
    </row>
    <row r="5435" spans="1:22">
      <c r="A5435" s="403"/>
      <c r="B5435" s="379"/>
      <c r="C5435" s="350"/>
      <c r="D5435" s="380"/>
      <c r="G5435" s="380"/>
      <c r="J5435" s="350"/>
      <c r="K5435" s="383"/>
      <c r="L5435" s="383"/>
      <c r="M5435" s="350"/>
      <c r="N5435" s="404"/>
      <c r="O5435" s="381"/>
      <c r="R5435" s="386"/>
      <c r="S5435" s="393"/>
      <c r="V5435" s="350"/>
    </row>
    <row r="5436" spans="1:22">
      <c r="A5436" s="403"/>
      <c r="B5436" s="379"/>
      <c r="C5436" s="350"/>
      <c r="D5436" s="380"/>
      <c r="G5436" s="380"/>
      <c r="J5436" s="350"/>
      <c r="K5436" s="383"/>
      <c r="L5436" s="383"/>
      <c r="M5436" s="350"/>
      <c r="N5436" s="404"/>
      <c r="O5436" s="381"/>
      <c r="R5436" s="386"/>
      <c r="S5436" s="393"/>
      <c r="V5436" s="350"/>
    </row>
    <row r="5437" spans="1:22">
      <c r="A5437" s="403"/>
      <c r="B5437" s="379"/>
      <c r="C5437" s="350"/>
      <c r="D5437" s="380"/>
      <c r="G5437" s="380"/>
      <c r="J5437" s="350"/>
      <c r="K5437" s="383"/>
      <c r="L5437" s="383"/>
      <c r="M5437" s="350"/>
      <c r="N5437" s="404"/>
      <c r="O5437" s="381"/>
      <c r="R5437" s="386"/>
      <c r="S5437" s="393"/>
      <c r="V5437" s="350"/>
    </row>
    <row r="5438" spans="1:22">
      <c r="A5438" s="403"/>
      <c r="B5438" s="379"/>
      <c r="C5438" s="350"/>
      <c r="D5438" s="380"/>
      <c r="G5438" s="380"/>
      <c r="J5438" s="350"/>
      <c r="K5438" s="383"/>
      <c r="L5438" s="383"/>
      <c r="M5438" s="350"/>
      <c r="N5438" s="404"/>
      <c r="O5438" s="381"/>
      <c r="R5438" s="386"/>
      <c r="S5438" s="393"/>
      <c r="V5438" s="350"/>
    </row>
    <row r="5439" spans="1:22">
      <c r="A5439" s="403"/>
      <c r="B5439" s="379"/>
      <c r="C5439" s="350"/>
      <c r="D5439" s="380"/>
      <c r="G5439" s="380"/>
      <c r="J5439" s="350"/>
      <c r="K5439" s="383"/>
      <c r="L5439" s="383"/>
      <c r="M5439" s="350"/>
      <c r="N5439" s="404"/>
      <c r="O5439" s="381"/>
      <c r="R5439" s="386"/>
      <c r="S5439" s="393"/>
      <c r="V5439" s="350"/>
    </row>
    <row r="5440" spans="1:22">
      <c r="A5440" s="403"/>
      <c r="B5440" s="379"/>
      <c r="C5440" s="350"/>
      <c r="D5440" s="380"/>
      <c r="G5440" s="380"/>
      <c r="J5440" s="350"/>
      <c r="K5440" s="383"/>
      <c r="L5440" s="383"/>
      <c r="M5440" s="350"/>
      <c r="N5440" s="404"/>
      <c r="O5440" s="381"/>
      <c r="R5440" s="386"/>
      <c r="S5440" s="393"/>
      <c r="V5440" s="350"/>
    </row>
    <row r="5441" spans="1:22">
      <c r="A5441" s="403"/>
      <c r="B5441" s="379"/>
      <c r="C5441" s="350"/>
      <c r="D5441" s="380"/>
      <c r="G5441" s="380"/>
      <c r="J5441" s="350"/>
      <c r="K5441" s="383"/>
      <c r="L5441" s="383"/>
      <c r="M5441" s="350"/>
      <c r="N5441" s="404"/>
      <c r="O5441" s="381"/>
      <c r="R5441" s="386"/>
      <c r="S5441" s="393"/>
      <c r="V5441" s="350"/>
    </row>
    <row r="5442" spans="1:22">
      <c r="A5442" s="403"/>
      <c r="B5442" s="379"/>
      <c r="C5442" s="350"/>
      <c r="D5442" s="380"/>
      <c r="G5442" s="380"/>
      <c r="J5442" s="350"/>
      <c r="K5442" s="383"/>
      <c r="L5442" s="383"/>
      <c r="M5442" s="350"/>
      <c r="N5442" s="404"/>
      <c r="O5442" s="381"/>
      <c r="R5442" s="386"/>
      <c r="S5442" s="393"/>
      <c r="V5442" s="350"/>
    </row>
    <row r="5443" spans="1:22">
      <c r="A5443" s="403"/>
      <c r="B5443" s="379"/>
      <c r="C5443" s="350"/>
      <c r="D5443" s="380"/>
      <c r="G5443" s="380"/>
      <c r="J5443" s="350"/>
      <c r="K5443" s="383"/>
      <c r="L5443" s="383"/>
      <c r="M5443" s="350"/>
      <c r="N5443" s="404"/>
      <c r="O5443" s="381"/>
      <c r="R5443" s="386"/>
      <c r="S5443" s="393"/>
      <c r="V5443" s="350"/>
    </row>
    <row r="5444" spans="1:22">
      <c r="A5444" s="403"/>
      <c r="B5444" s="379"/>
      <c r="C5444" s="350"/>
      <c r="D5444" s="380"/>
      <c r="G5444" s="380"/>
      <c r="J5444" s="350"/>
      <c r="K5444" s="383"/>
      <c r="L5444" s="383"/>
      <c r="M5444" s="350"/>
      <c r="N5444" s="404"/>
      <c r="O5444" s="381"/>
      <c r="R5444" s="386"/>
      <c r="S5444" s="393"/>
      <c r="V5444" s="350"/>
    </row>
    <row r="5445" spans="1:22">
      <c r="A5445" s="403"/>
      <c r="B5445" s="379"/>
      <c r="C5445" s="350"/>
      <c r="D5445" s="380"/>
      <c r="G5445" s="380"/>
      <c r="J5445" s="350"/>
      <c r="K5445" s="383"/>
      <c r="L5445" s="383"/>
      <c r="M5445" s="350"/>
      <c r="N5445" s="404"/>
      <c r="O5445" s="381"/>
      <c r="R5445" s="386"/>
      <c r="S5445" s="393"/>
      <c r="V5445" s="350"/>
    </row>
    <row r="5446" spans="1:22">
      <c r="A5446" s="403"/>
      <c r="B5446" s="379"/>
      <c r="C5446" s="350"/>
      <c r="D5446" s="380"/>
      <c r="G5446" s="380"/>
      <c r="J5446" s="350"/>
      <c r="K5446" s="383"/>
      <c r="L5446" s="383"/>
      <c r="M5446" s="350"/>
      <c r="N5446" s="404"/>
      <c r="O5446" s="381"/>
      <c r="R5446" s="386"/>
      <c r="S5446" s="393"/>
      <c r="V5446" s="350"/>
    </row>
    <row r="5447" spans="1:22">
      <c r="A5447" s="403"/>
      <c r="B5447" s="379"/>
      <c r="C5447" s="350"/>
      <c r="D5447" s="380"/>
      <c r="G5447" s="380"/>
      <c r="J5447" s="350"/>
      <c r="K5447" s="383"/>
      <c r="L5447" s="383"/>
      <c r="M5447" s="350"/>
      <c r="N5447" s="404"/>
      <c r="O5447" s="381"/>
      <c r="R5447" s="386"/>
      <c r="S5447" s="393"/>
      <c r="V5447" s="350"/>
    </row>
    <row r="5448" spans="1:22">
      <c r="A5448" s="403"/>
      <c r="B5448" s="379"/>
      <c r="C5448" s="350"/>
      <c r="D5448" s="380"/>
      <c r="G5448" s="380"/>
      <c r="J5448" s="350"/>
      <c r="K5448" s="383"/>
      <c r="L5448" s="383"/>
      <c r="M5448" s="350"/>
      <c r="N5448" s="404"/>
      <c r="O5448" s="381"/>
      <c r="R5448" s="386"/>
      <c r="S5448" s="393"/>
      <c r="V5448" s="350"/>
    </row>
    <row r="5449" spans="1:22">
      <c r="A5449" s="403"/>
      <c r="B5449" s="379"/>
      <c r="C5449" s="350"/>
      <c r="D5449" s="380"/>
      <c r="G5449" s="380"/>
      <c r="J5449" s="350"/>
      <c r="K5449" s="383"/>
      <c r="L5449" s="383"/>
      <c r="M5449" s="350"/>
      <c r="N5449" s="404"/>
      <c r="O5449" s="381"/>
      <c r="R5449" s="386"/>
      <c r="S5449" s="393"/>
      <c r="V5449" s="350"/>
    </row>
    <row r="5450" spans="1:22">
      <c r="A5450" s="403"/>
      <c r="B5450" s="379"/>
      <c r="C5450" s="350"/>
      <c r="D5450" s="380"/>
      <c r="G5450" s="380"/>
      <c r="J5450" s="350"/>
      <c r="K5450" s="383"/>
      <c r="L5450" s="383"/>
      <c r="M5450" s="350"/>
      <c r="N5450" s="404"/>
      <c r="O5450" s="381"/>
      <c r="R5450" s="386"/>
      <c r="S5450" s="393"/>
      <c r="V5450" s="350"/>
    </row>
    <row r="5451" spans="1:22">
      <c r="A5451" s="403"/>
      <c r="B5451" s="379"/>
      <c r="C5451" s="350"/>
      <c r="D5451" s="380"/>
      <c r="G5451" s="380"/>
      <c r="J5451" s="350"/>
      <c r="K5451" s="383"/>
      <c r="L5451" s="383"/>
      <c r="M5451" s="350"/>
      <c r="N5451" s="404"/>
      <c r="O5451" s="381"/>
      <c r="R5451" s="386"/>
      <c r="S5451" s="393"/>
      <c r="V5451" s="350"/>
    </row>
    <row r="5452" spans="1:22">
      <c r="A5452" s="403"/>
      <c r="B5452" s="379"/>
      <c r="C5452" s="350"/>
      <c r="D5452" s="380"/>
      <c r="G5452" s="380"/>
      <c r="J5452" s="350"/>
      <c r="K5452" s="383"/>
      <c r="L5452" s="383"/>
      <c r="M5452" s="350"/>
      <c r="N5452" s="404"/>
      <c r="O5452" s="381"/>
      <c r="R5452" s="386"/>
      <c r="S5452" s="393"/>
      <c r="V5452" s="350"/>
    </row>
    <row r="5453" spans="1:22">
      <c r="A5453" s="403"/>
      <c r="B5453" s="379"/>
      <c r="C5453" s="350"/>
      <c r="D5453" s="380"/>
      <c r="G5453" s="380"/>
      <c r="J5453" s="350"/>
      <c r="K5453" s="383"/>
      <c r="L5453" s="383"/>
      <c r="M5453" s="350"/>
      <c r="N5453" s="404"/>
      <c r="O5453" s="381"/>
      <c r="R5453" s="386"/>
      <c r="S5453" s="393"/>
      <c r="V5453" s="350"/>
    </row>
    <row r="5454" spans="1:22">
      <c r="A5454" s="403"/>
      <c r="B5454" s="379"/>
      <c r="C5454" s="350"/>
      <c r="D5454" s="380"/>
      <c r="G5454" s="380"/>
      <c r="J5454" s="350"/>
      <c r="K5454" s="383"/>
      <c r="L5454" s="383"/>
      <c r="M5454" s="350"/>
      <c r="N5454" s="404"/>
      <c r="O5454" s="381"/>
      <c r="R5454" s="386"/>
      <c r="S5454" s="393"/>
      <c r="V5454" s="350"/>
    </row>
    <row r="5455" spans="1:22">
      <c r="A5455" s="403"/>
      <c r="B5455" s="379"/>
      <c r="C5455" s="350"/>
      <c r="D5455" s="380"/>
      <c r="G5455" s="380"/>
      <c r="J5455" s="350"/>
      <c r="K5455" s="383"/>
      <c r="L5455" s="383"/>
      <c r="M5455" s="350"/>
      <c r="N5455" s="404"/>
      <c r="O5455" s="381"/>
      <c r="R5455" s="386"/>
      <c r="S5455" s="393"/>
      <c r="V5455" s="350"/>
    </row>
    <row r="5456" spans="1:22">
      <c r="A5456" s="403"/>
      <c r="B5456" s="379"/>
      <c r="C5456" s="350"/>
      <c r="D5456" s="380"/>
      <c r="G5456" s="380"/>
      <c r="J5456" s="350"/>
      <c r="K5456" s="383"/>
      <c r="L5456" s="383"/>
      <c r="M5456" s="350"/>
      <c r="N5456" s="404"/>
      <c r="O5456" s="381"/>
      <c r="R5456" s="386"/>
      <c r="S5456" s="393"/>
      <c r="V5456" s="350"/>
    </row>
    <row r="5457" spans="1:22">
      <c r="A5457" s="403"/>
      <c r="B5457" s="379"/>
      <c r="C5457" s="350"/>
      <c r="D5457" s="380"/>
      <c r="G5457" s="380"/>
      <c r="J5457" s="350"/>
      <c r="K5457" s="383"/>
      <c r="L5457" s="383"/>
      <c r="M5457" s="350"/>
      <c r="N5457" s="404"/>
      <c r="O5457" s="381"/>
      <c r="R5457" s="386"/>
      <c r="S5457" s="393"/>
      <c r="V5457" s="350"/>
    </row>
    <row r="5458" spans="1:22">
      <c r="A5458" s="403"/>
      <c r="B5458" s="379"/>
      <c r="C5458" s="350"/>
      <c r="D5458" s="380"/>
      <c r="G5458" s="380"/>
      <c r="J5458" s="350"/>
      <c r="K5458" s="383"/>
      <c r="L5458" s="383"/>
      <c r="M5458" s="350"/>
      <c r="N5458" s="404"/>
      <c r="O5458" s="381"/>
      <c r="R5458" s="386"/>
      <c r="S5458" s="393"/>
      <c r="V5458" s="350"/>
    </row>
    <row r="5459" spans="1:22">
      <c r="A5459" s="403"/>
      <c r="B5459" s="379"/>
      <c r="C5459" s="350"/>
      <c r="D5459" s="380"/>
      <c r="G5459" s="380"/>
      <c r="J5459" s="350"/>
      <c r="K5459" s="383"/>
      <c r="L5459" s="383"/>
      <c r="M5459" s="350"/>
      <c r="N5459" s="404"/>
      <c r="O5459" s="381"/>
      <c r="R5459" s="386"/>
      <c r="S5459" s="393"/>
      <c r="V5459" s="350"/>
    </row>
    <row r="5460" spans="1:22">
      <c r="A5460" s="403"/>
      <c r="B5460" s="379"/>
      <c r="C5460" s="350"/>
      <c r="D5460" s="380"/>
      <c r="G5460" s="380"/>
      <c r="J5460" s="350"/>
      <c r="K5460" s="383"/>
      <c r="L5460" s="383"/>
      <c r="M5460" s="350"/>
      <c r="N5460" s="404"/>
      <c r="O5460" s="381"/>
      <c r="R5460" s="386"/>
      <c r="S5460" s="393"/>
      <c r="V5460" s="350"/>
    </row>
    <row r="5461" spans="1:22">
      <c r="A5461" s="403"/>
      <c r="B5461" s="379"/>
      <c r="C5461" s="350"/>
      <c r="D5461" s="380"/>
      <c r="G5461" s="380"/>
      <c r="J5461" s="350"/>
      <c r="K5461" s="383"/>
      <c r="L5461" s="383"/>
      <c r="M5461" s="350"/>
      <c r="N5461" s="404"/>
      <c r="O5461" s="381"/>
      <c r="R5461" s="386"/>
      <c r="S5461" s="393"/>
      <c r="V5461" s="350"/>
    </row>
    <row r="5462" spans="1:22">
      <c r="A5462" s="403"/>
      <c r="B5462" s="379"/>
      <c r="C5462" s="350"/>
      <c r="D5462" s="380"/>
      <c r="G5462" s="380"/>
      <c r="J5462" s="350"/>
      <c r="K5462" s="383"/>
      <c r="L5462" s="383"/>
      <c r="M5462" s="350"/>
      <c r="N5462" s="404"/>
      <c r="O5462" s="381"/>
      <c r="R5462" s="386"/>
      <c r="S5462" s="393"/>
      <c r="V5462" s="350"/>
    </row>
    <row r="5463" spans="1:22">
      <c r="A5463" s="403"/>
      <c r="B5463" s="379"/>
      <c r="C5463" s="350"/>
      <c r="D5463" s="380"/>
      <c r="G5463" s="380"/>
      <c r="J5463" s="350"/>
      <c r="K5463" s="383"/>
      <c r="L5463" s="383"/>
      <c r="M5463" s="350"/>
      <c r="N5463" s="404"/>
      <c r="O5463" s="381"/>
      <c r="R5463" s="386"/>
      <c r="S5463" s="393"/>
      <c r="V5463" s="350"/>
    </row>
    <row r="5464" spans="1:22">
      <c r="A5464" s="403"/>
      <c r="B5464" s="379"/>
      <c r="C5464" s="350"/>
      <c r="D5464" s="380"/>
      <c r="G5464" s="380"/>
      <c r="J5464" s="350"/>
      <c r="K5464" s="383"/>
      <c r="L5464" s="383"/>
      <c r="M5464" s="350"/>
      <c r="N5464" s="404"/>
      <c r="O5464" s="381"/>
      <c r="R5464" s="386"/>
      <c r="S5464" s="393"/>
      <c r="V5464" s="350"/>
    </row>
    <row r="5465" spans="1:22">
      <c r="A5465" s="403"/>
      <c r="B5465" s="379"/>
      <c r="C5465" s="350"/>
      <c r="D5465" s="380"/>
      <c r="G5465" s="380"/>
      <c r="J5465" s="350"/>
      <c r="K5465" s="383"/>
      <c r="L5465" s="383"/>
      <c r="M5465" s="350"/>
      <c r="N5465" s="404"/>
      <c r="O5465" s="381"/>
      <c r="R5465" s="386"/>
      <c r="S5465" s="393"/>
      <c r="V5465" s="350"/>
    </row>
    <row r="5466" spans="1:22">
      <c r="A5466" s="403"/>
      <c r="B5466" s="379"/>
      <c r="C5466" s="350"/>
      <c r="D5466" s="380"/>
      <c r="G5466" s="380"/>
      <c r="J5466" s="350"/>
      <c r="K5466" s="383"/>
      <c r="L5466" s="383"/>
      <c r="M5466" s="350"/>
      <c r="N5466" s="404"/>
      <c r="O5466" s="381"/>
      <c r="R5466" s="386"/>
      <c r="S5466" s="393"/>
      <c r="V5466" s="350"/>
    </row>
    <row r="5467" spans="1:22">
      <c r="A5467" s="403"/>
      <c r="B5467" s="379"/>
      <c r="C5467" s="350"/>
      <c r="D5467" s="380"/>
      <c r="G5467" s="380"/>
      <c r="J5467" s="350"/>
      <c r="K5467" s="383"/>
      <c r="L5467" s="383"/>
      <c r="M5467" s="350"/>
      <c r="N5467" s="404"/>
      <c r="O5467" s="381"/>
      <c r="R5467" s="386"/>
      <c r="S5467" s="393"/>
      <c r="V5467" s="350"/>
    </row>
    <row r="5468" spans="1:22">
      <c r="A5468" s="403"/>
      <c r="B5468" s="379"/>
      <c r="C5468" s="350"/>
      <c r="D5468" s="380"/>
      <c r="G5468" s="380"/>
      <c r="J5468" s="350"/>
      <c r="K5468" s="383"/>
      <c r="L5468" s="383"/>
      <c r="M5468" s="350"/>
      <c r="N5468" s="404"/>
      <c r="O5468" s="381"/>
      <c r="R5468" s="386"/>
      <c r="S5468" s="393"/>
      <c r="V5468" s="350"/>
    </row>
    <row r="5469" spans="1:22">
      <c r="A5469" s="403"/>
      <c r="B5469" s="379"/>
      <c r="C5469" s="350"/>
      <c r="D5469" s="380"/>
      <c r="G5469" s="380"/>
      <c r="J5469" s="350"/>
      <c r="K5469" s="383"/>
      <c r="L5469" s="383"/>
      <c r="M5469" s="350"/>
      <c r="N5469" s="404"/>
      <c r="O5469" s="381"/>
      <c r="R5469" s="386"/>
      <c r="S5469" s="393"/>
      <c r="V5469" s="350"/>
    </row>
    <row r="5470" spans="1:22">
      <c r="A5470" s="403"/>
      <c r="B5470" s="379"/>
      <c r="C5470" s="350"/>
      <c r="D5470" s="380"/>
      <c r="G5470" s="380"/>
      <c r="J5470" s="350"/>
      <c r="K5470" s="383"/>
      <c r="L5470" s="383"/>
      <c r="M5470" s="350"/>
      <c r="N5470" s="404"/>
      <c r="O5470" s="381"/>
      <c r="R5470" s="386"/>
      <c r="S5470" s="393"/>
      <c r="V5470" s="350"/>
    </row>
    <row r="5471" spans="1:22">
      <c r="A5471" s="403"/>
      <c r="B5471" s="379"/>
      <c r="C5471" s="350"/>
      <c r="D5471" s="380"/>
      <c r="G5471" s="380"/>
      <c r="J5471" s="350"/>
      <c r="K5471" s="383"/>
      <c r="L5471" s="383"/>
      <c r="M5471" s="350"/>
      <c r="N5471" s="404"/>
      <c r="O5471" s="381"/>
      <c r="R5471" s="386"/>
      <c r="S5471" s="393"/>
      <c r="V5471" s="350"/>
    </row>
    <row r="5472" spans="1:22">
      <c r="A5472" s="403"/>
      <c r="B5472" s="379"/>
      <c r="C5472" s="350"/>
      <c r="D5472" s="380"/>
      <c r="G5472" s="380"/>
      <c r="J5472" s="350"/>
      <c r="K5472" s="383"/>
      <c r="L5472" s="383"/>
      <c r="M5472" s="350"/>
      <c r="N5472" s="404"/>
      <c r="O5472" s="381"/>
      <c r="R5472" s="386"/>
      <c r="S5472" s="393"/>
      <c r="V5472" s="350"/>
    </row>
    <row r="5473" spans="1:22">
      <c r="A5473" s="403"/>
      <c r="B5473" s="379"/>
      <c r="C5473" s="350"/>
      <c r="D5473" s="380"/>
      <c r="G5473" s="380"/>
      <c r="J5473" s="350"/>
      <c r="K5473" s="383"/>
      <c r="L5473" s="383"/>
      <c r="M5473" s="350"/>
      <c r="N5473" s="404"/>
      <c r="O5473" s="381"/>
      <c r="R5473" s="386"/>
      <c r="S5473" s="393"/>
      <c r="V5473" s="350"/>
    </row>
    <row r="5474" spans="1:22">
      <c r="A5474" s="403"/>
      <c r="B5474" s="379"/>
      <c r="C5474" s="350"/>
      <c r="D5474" s="380"/>
      <c r="G5474" s="380"/>
      <c r="J5474" s="350"/>
      <c r="K5474" s="383"/>
      <c r="L5474" s="383"/>
      <c r="M5474" s="350"/>
      <c r="N5474" s="404"/>
      <c r="O5474" s="381"/>
      <c r="R5474" s="386"/>
      <c r="S5474" s="393"/>
      <c r="V5474" s="350"/>
    </row>
    <row r="5475" spans="1:22">
      <c r="A5475" s="403"/>
      <c r="B5475" s="379"/>
      <c r="C5475" s="350"/>
      <c r="D5475" s="380"/>
      <c r="G5475" s="380"/>
      <c r="J5475" s="350"/>
      <c r="K5475" s="383"/>
      <c r="L5475" s="383"/>
      <c r="M5475" s="350"/>
      <c r="N5475" s="404"/>
      <c r="O5475" s="381"/>
      <c r="R5475" s="386"/>
      <c r="S5475" s="393"/>
      <c r="V5475" s="350"/>
    </row>
    <row r="5476" spans="1:22">
      <c r="A5476" s="403"/>
      <c r="B5476" s="379"/>
      <c r="C5476" s="350"/>
      <c r="D5476" s="380"/>
      <c r="G5476" s="380"/>
      <c r="J5476" s="350"/>
      <c r="K5476" s="383"/>
      <c r="L5476" s="383"/>
      <c r="M5476" s="350"/>
      <c r="N5476" s="404"/>
      <c r="O5476" s="381"/>
      <c r="R5476" s="386"/>
      <c r="S5476" s="393"/>
      <c r="V5476" s="350"/>
    </row>
    <row r="5477" spans="1:22">
      <c r="A5477" s="403"/>
      <c r="B5477" s="379"/>
      <c r="C5477" s="350"/>
      <c r="D5477" s="380"/>
      <c r="G5477" s="380"/>
      <c r="J5477" s="350"/>
      <c r="K5477" s="383"/>
      <c r="L5477" s="383"/>
      <c r="M5477" s="350"/>
      <c r="N5477" s="404"/>
      <c r="O5477" s="381"/>
      <c r="R5477" s="386"/>
      <c r="S5477" s="393"/>
      <c r="V5477" s="350"/>
    </row>
    <row r="5478" spans="1:22">
      <c r="A5478" s="403"/>
      <c r="B5478" s="379"/>
      <c r="C5478" s="350"/>
      <c r="D5478" s="380"/>
      <c r="G5478" s="380"/>
      <c r="J5478" s="350"/>
      <c r="K5478" s="383"/>
      <c r="L5478" s="383"/>
      <c r="M5478" s="350"/>
      <c r="N5478" s="404"/>
      <c r="O5478" s="381"/>
      <c r="R5478" s="386"/>
      <c r="S5478" s="393"/>
      <c r="V5478" s="350"/>
    </row>
    <row r="5479" spans="1:22">
      <c r="A5479" s="403"/>
      <c r="B5479" s="379"/>
      <c r="C5479" s="350"/>
      <c r="D5479" s="380"/>
      <c r="G5479" s="380"/>
      <c r="J5479" s="350"/>
      <c r="K5479" s="383"/>
      <c r="L5479" s="383"/>
      <c r="M5479" s="350"/>
      <c r="N5479" s="404"/>
      <c r="O5479" s="381"/>
      <c r="R5479" s="386"/>
      <c r="S5479" s="393"/>
      <c r="V5479" s="350"/>
    </row>
    <row r="5480" spans="1:22">
      <c r="A5480" s="403"/>
      <c r="B5480" s="379"/>
      <c r="C5480" s="350"/>
      <c r="D5480" s="380"/>
      <c r="G5480" s="380"/>
      <c r="J5480" s="350"/>
      <c r="K5480" s="383"/>
      <c r="L5480" s="383"/>
      <c r="M5480" s="350"/>
      <c r="N5480" s="404"/>
      <c r="O5480" s="381"/>
      <c r="R5480" s="386"/>
      <c r="S5480" s="393"/>
      <c r="V5480" s="350"/>
    </row>
    <row r="5481" spans="1:22">
      <c r="A5481" s="403"/>
      <c r="B5481" s="379"/>
      <c r="C5481" s="350"/>
      <c r="D5481" s="380"/>
      <c r="G5481" s="380"/>
      <c r="J5481" s="350"/>
      <c r="K5481" s="383"/>
      <c r="L5481" s="383"/>
      <c r="M5481" s="350"/>
      <c r="N5481" s="404"/>
      <c r="O5481" s="381"/>
      <c r="R5481" s="386"/>
      <c r="S5481" s="393"/>
      <c r="V5481" s="350"/>
    </row>
    <row r="5482" spans="1:22">
      <c r="A5482" s="403"/>
      <c r="B5482" s="379"/>
      <c r="C5482" s="350"/>
      <c r="D5482" s="380"/>
      <c r="G5482" s="380"/>
      <c r="J5482" s="350"/>
      <c r="K5482" s="383"/>
      <c r="L5482" s="383"/>
      <c r="M5482" s="350"/>
      <c r="N5482" s="404"/>
      <c r="O5482" s="381"/>
      <c r="R5482" s="386"/>
      <c r="S5482" s="393"/>
      <c r="V5482" s="350"/>
    </row>
    <row r="5483" spans="1:22">
      <c r="A5483" s="403"/>
      <c r="B5483" s="379"/>
      <c r="C5483" s="350"/>
      <c r="D5483" s="380"/>
      <c r="G5483" s="380"/>
      <c r="J5483" s="350"/>
      <c r="K5483" s="383"/>
      <c r="L5483" s="383"/>
      <c r="M5483" s="350"/>
      <c r="N5483" s="404"/>
      <c r="O5483" s="381"/>
      <c r="R5483" s="386"/>
      <c r="S5483" s="393"/>
      <c r="V5483" s="350"/>
    </row>
    <row r="5484" spans="1:22">
      <c r="A5484" s="403"/>
      <c r="B5484" s="379"/>
      <c r="C5484" s="350"/>
      <c r="D5484" s="380"/>
      <c r="G5484" s="380"/>
      <c r="J5484" s="350"/>
      <c r="K5484" s="383"/>
      <c r="L5484" s="383"/>
      <c r="M5484" s="350"/>
      <c r="N5484" s="404"/>
      <c r="O5484" s="381"/>
      <c r="R5484" s="386"/>
      <c r="S5484" s="393"/>
      <c r="V5484" s="350"/>
    </row>
    <row r="5485" spans="1:22">
      <c r="A5485" s="403"/>
      <c r="B5485" s="379"/>
      <c r="C5485" s="350"/>
      <c r="D5485" s="380"/>
      <c r="G5485" s="380"/>
      <c r="J5485" s="350"/>
      <c r="K5485" s="383"/>
      <c r="L5485" s="383"/>
      <c r="M5485" s="350"/>
      <c r="N5485" s="404"/>
      <c r="O5485" s="381"/>
      <c r="R5485" s="386"/>
      <c r="S5485" s="393"/>
      <c r="V5485" s="350"/>
    </row>
    <row r="5486" spans="1:22">
      <c r="A5486" s="403"/>
      <c r="B5486" s="379"/>
      <c r="C5486" s="350"/>
      <c r="D5486" s="380"/>
      <c r="G5486" s="380"/>
      <c r="J5486" s="350"/>
      <c r="K5486" s="383"/>
      <c r="L5486" s="383"/>
      <c r="M5486" s="350"/>
      <c r="N5486" s="404"/>
      <c r="O5486" s="381"/>
      <c r="R5486" s="386"/>
      <c r="S5486" s="393"/>
      <c r="V5486" s="350"/>
    </row>
    <row r="5487" spans="1:22">
      <c r="A5487" s="403"/>
      <c r="B5487" s="379"/>
      <c r="C5487" s="350"/>
      <c r="D5487" s="380"/>
      <c r="G5487" s="380"/>
      <c r="J5487" s="350"/>
      <c r="K5487" s="383"/>
      <c r="L5487" s="383"/>
      <c r="M5487" s="350"/>
      <c r="N5487" s="404"/>
      <c r="O5487" s="381"/>
      <c r="R5487" s="386"/>
      <c r="S5487" s="393"/>
      <c r="V5487" s="350"/>
    </row>
    <row r="5488" spans="1:22">
      <c r="A5488" s="403"/>
      <c r="B5488" s="379"/>
      <c r="C5488" s="350"/>
      <c r="D5488" s="380"/>
      <c r="G5488" s="380"/>
      <c r="J5488" s="350"/>
      <c r="K5488" s="383"/>
      <c r="L5488" s="383"/>
      <c r="M5488" s="350"/>
      <c r="N5488" s="404"/>
      <c r="O5488" s="381"/>
      <c r="R5488" s="386"/>
      <c r="S5488" s="393"/>
      <c r="V5488" s="350"/>
    </row>
    <row r="5489" spans="1:22">
      <c r="A5489" s="403"/>
      <c r="B5489" s="379"/>
      <c r="C5489" s="350"/>
      <c r="D5489" s="380"/>
      <c r="G5489" s="380"/>
      <c r="J5489" s="350"/>
      <c r="K5489" s="383"/>
      <c r="L5489" s="383"/>
      <c r="M5489" s="350"/>
      <c r="N5489" s="404"/>
      <c r="O5489" s="381"/>
      <c r="R5489" s="386"/>
      <c r="S5489" s="393"/>
      <c r="V5489" s="350"/>
    </row>
    <row r="5490" spans="1:22">
      <c r="A5490" s="403"/>
      <c r="B5490" s="379"/>
      <c r="C5490" s="350"/>
      <c r="D5490" s="380"/>
      <c r="G5490" s="380"/>
      <c r="J5490" s="350"/>
      <c r="K5490" s="383"/>
      <c r="L5490" s="383"/>
      <c r="M5490" s="350"/>
      <c r="N5490" s="404"/>
      <c r="O5490" s="381"/>
      <c r="R5490" s="386"/>
      <c r="S5490" s="393"/>
      <c r="V5490" s="350"/>
    </row>
    <row r="5491" spans="1:22">
      <c r="A5491" s="403"/>
      <c r="B5491" s="379"/>
      <c r="C5491" s="350"/>
      <c r="D5491" s="380"/>
      <c r="G5491" s="380"/>
      <c r="J5491" s="350"/>
      <c r="K5491" s="383"/>
      <c r="L5491" s="383"/>
      <c r="M5491" s="350"/>
      <c r="N5491" s="404"/>
      <c r="O5491" s="381"/>
      <c r="R5491" s="386"/>
      <c r="S5491" s="393"/>
      <c r="V5491" s="350"/>
    </row>
    <row r="5492" spans="1:22">
      <c r="A5492" s="403"/>
      <c r="B5492" s="379"/>
      <c r="C5492" s="350"/>
      <c r="D5492" s="380"/>
      <c r="G5492" s="380"/>
      <c r="J5492" s="350"/>
      <c r="K5492" s="383"/>
      <c r="L5492" s="383"/>
      <c r="M5492" s="350"/>
      <c r="N5492" s="404"/>
      <c r="O5492" s="381"/>
      <c r="R5492" s="386"/>
      <c r="S5492" s="393"/>
      <c r="V5492" s="350"/>
    </row>
    <row r="5493" spans="1:22">
      <c r="A5493" s="403"/>
      <c r="B5493" s="379"/>
      <c r="C5493" s="350"/>
      <c r="D5493" s="380"/>
      <c r="G5493" s="380"/>
      <c r="J5493" s="350"/>
      <c r="K5493" s="383"/>
      <c r="L5493" s="383"/>
      <c r="M5493" s="350"/>
      <c r="N5493" s="404"/>
      <c r="O5493" s="381"/>
      <c r="R5493" s="386"/>
      <c r="S5493" s="393"/>
      <c r="V5493" s="350"/>
    </row>
    <row r="5494" spans="1:22">
      <c r="A5494" s="403"/>
      <c r="B5494" s="379"/>
      <c r="C5494" s="350"/>
      <c r="D5494" s="380"/>
      <c r="G5494" s="380"/>
      <c r="J5494" s="350"/>
      <c r="K5494" s="383"/>
      <c r="L5494" s="383"/>
      <c r="M5494" s="350"/>
      <c r="N5494" s="404"/>
      <c r="O5494" s="381"/>
      <c r="R5494" s="386"/>
      <c r="S5494" s="393"/>
      <c r="V5494" s="350"/>
    </row>
    <row r="5495" spans="1:22">
      <c r="A5495" s="403"/>
      <c r="B5495" s="379"/>
      <c r="C5495" s="350"/>
      <c r="D5495" s="380"/>
      <c r="G5495" s="380"/>
      <c r="J5495" s="350"/>
      <c r="K5495" s="383"/>
      <c r="L5495" s="383"/>
      <c r="M5495" s="350"/>
      <c r="N5495" s="404"/>
      <c r="O5495" s="381"/>
      <c r="R5495" s="386"/>
      <c r="S5495" s="393"/>
      <c r="V5495" s="350"/>
    </row>
    <row r="5496" spans="1:22">
      <c r="A5496" s="403"/>
      <c r="B5496" s="379"/>
      <c r="C5496" s="350"/>
      <c r="D5496" s="380"/>
      <c r="G5496" s="380"/>
      <c r="J5496" s="350"/>
      <c r="K5496" s="383"/>
      <c r="L5496" s="383"/>
      <c r="M5496" s="350"/>
      <c r="N5496" s="404"/>
      <c r="O5496" s="381"/>
      <c r="R5496" s="386"/>
      <c r="S5496" s="393"/>
      <c r="V5496" s="350"/>
    </row>
    <row r="5497" spans="1:22">
      <c r="A5497" s="403"/>
      <c r="B5497" s="379"/>
      <c r="C5497" s="350"/>
      <c r="D5497" s="380"/>
      <c r="G5497" s="380"/>
      <c r="J5497" s="350"/>
      <c r="K5497" s="383"/>
      <c r="L5497" s="383"/>
      <c r="M5497" s="350"/>
      <c r="N5497" s="404"/>
      <c r="O5497" s="381"/>
      <c r="R5497" s="386"/>
      <c r="S5497" s="393"/>
      <c r="V5497" s="350"/>
    </row>
    <row r="5498" spans="1:22">
      <c r="A5498" s="403"/>
      <c r="B5498" s="379"/>
      <c r="C5498" s="350"/>
      <c r="D5498" s="380"/>
      <c r="G5498" s="380"/>
      <c r="J5498" s="350"/>
      <c r="K5498" s="383"/>
      <c r="L5498" s="383"/>
      <c r="M5498" s="350"/>
      <c r="N5498" s="404"/>
      <c r="O5498" s="381"/>
      <c r="R5498" s="386"/>
      <c r="S5498" s="393"/>
      <c r="V5498" s="350"/>
    </row>
    <row r="5499" spans="1:22">
      <c r="A5499" s="403"/>
      <c r="B5499" s="379"/>
      <c r="C5499" s="350"/>
      <c r="D5499" s="380"/>
      <c r="G5499" s="380"/>
      <c r="J5499" s="350"/>
      <c r="K5499" s="383"/>
      <c r="L5499" s="383"/>
      <c r="M5499" s="350"/>
      <c r="N5499" s="404"/>
      <c r="O5499" s="381"/>
      <c r="R5499" s="386"/>
      <c r="S5499" s="393"/>
      <c r="V5499" s="350"/>
    </row>
    <row r="5500" spans="1:22">
      <c r="A5500" s="403"/>
      <c r="B5500" s="379"/>
      <c r="C5500" s="350"/>
      <c r="D5500" s="380"/>
      <c r="G5500" s="380"/>
      <c r="J5500" s="350"/>
      <c r="K5500" s="383"/>
      <c r="L5500" s="383"/>
      <c r="M5500" s="350"/>
      <c r="N5500" s="404"/>
      <c r="O5500" s="381"/>
      <c r="R5500" s="386"/>
      <c r="S5500" s="393"/>
      <c r="V5500" s="350"/>
    </row>
    <row r="5501" spans="1:22">
      <c r="A5501" s="403"/>
      <c r="B5501" s="379"/>
      <c r="C5501" s="350"/>
      <c r="D5501" s="380"/>
      <c r="G5501" s="380"/>
      <c r="J5501" s="350"/>
      <c r="K5501" s="383"/>
      <c r="L5501" s="383"/>
      <c r="M5501" s="350"/>
      <c r="N5501" s="404"/>
      <c r="O5501" s="381"/>
      <c r="R5501" s="386"/>
      <c r="S5501" s="393"/>
      <c r="V5501" s="350"/>
    </row>
    <row r="5502" spans="1:22">
      <c r="A5502" s="403"/>
      <c r="B5502" s="379"/>
      <c r="C5502" s="350"/>
      <c r="D5502" s="380"/>
      <c r="G5502" s="380"/>
      <c r="J5502" s="350"/>
      <c r="K5502" s="383"/>
      <c r="L5502" s="383"/>
      <c r="M5502" s="350"/>
      <c r="N5502" s="404"/>
      <c r="O5502" s="381"/>
      <c r="R5502" s="386"/>
      <c r="S5502" s="393"/>
      <c r="V5502" s="350"/>
    </row>
    <row r="5503" spans="1:22">
      <c r="A5503" s="403"/>
      <c r="B5503" s="379"/>
      <c r="C5503" s="350"/>
      <c r="D5503" s="380"/>
      <c r="G5503" s="380"/>
      <c r="J5503" s="350"/>
      <c r="K5503" s="383"/>
      <c r="L5503" s="383"/>
      <c r="M5503" s="350"/>
      <c r="N5503" s="404"/>
      <c r="O5503" s="381"/>
      <c r="R5503" s="386"/>
      <c r="S5503" s="393"/>
      <c r="V5503" s="350"/>
    </row>
    <row r="5504" spans="1:22">
      <c r="A5504" s="403"/>
      <c r="B5504" s="379"/>
      <c r="C5504" s="350"/>
      <c r="D5504" s="380"/>
      <c r="G5504" s="380"/>
      <c r="J5504" s="350"/>
      <c r="K5504" s="383"/>
      <c r="L5504" s="383"/>
      <c r="M5504" s="350"/>
      <c r="N5504" s="404"/>
      <c r="O5504" s="381"/>
      <c r="R5504" s="386"/>
      <c r="S5504" s="393"/>
      <c r="V5504" s="350"/>
    </row>
    <row r="5505" spans="1:22">
      <c r="A5505" s="403"/>
      <c r="B5505" s="379"/>
      <c r="C5505" s="350"/>
      <c r="D5505" s="380"/>
      <c r="G5505" s="380"/>
      <c r="J5505" s="350"/>
      <c r="K5505" s="383"/>
      <c r="L5505" s="383"/>
      <c r="M5505" s="350"/>
      <c r="N5505" s="404"/>
      <c r="O5505" s="381"/>
      <c r="R5505" s="386"/>
      <c r="S5505" s="393"/>
      <c r="V5505" s="350"/>
    </row>
    <row r="5506" spans="1:22">
      <c r="A5506" s="403"/>
      <c r="B5506" s="379"/>
      <c r="C5506" s="350"/>
      <c r="D5506" s="380"/>
      <c r="G5506" s="380"/>
      <c r="J5506" s="350"/>
      <c r="K5506" s="383"/>
      <c r="L5506" s="383"/>
      <c r="M5506" s="350"/>
      <c r="N5506" s="404"/>
      <c r="O5506" s="381"/>
      <c r="R5506" s="386"/>
      <c r="S5506" s="393"/>
      <c r="V5506" s="350"/>
    </row>
    <row r="5507" spans="1:22">
      <c r="A5507" s="403"/>
      <c r="B5507" s="379"/>
      <c r="C5507" s="350"/>
      <c r="D5507" s="380"/>
      <c r="G5507" s="380"/>
      <c r="J5507" s="350"/>
      <c r="K5507" s="383"/>
      <c r="L5507" s="383"/>
      <c r="M5507" s="350"/>
      <c r="N5507" s="404"/>
      <c r="O5507" s="381"/>
      <c r="R5507" s="386"/>
      <c r="S5507" s="393"/>
      <c r="V5507" s="350"/>
    </row>
    <row r="5508" spans="1:22">
      <c r="A5508" s="403"/>
      <c r="B5508" s="379"/>
      <c r="C5508" s="350"/>
      <c r="D5508" s="380"/>
      <c r="G5508" s="380"/>
      <c r="J5508" s="350"/>
      <c r="K5508" s="383"/>
      <c r="L5508" s="383"/>
      <c r="M5508" s="350"/>
      <c r="N5508" s="404"/>
      <c r="O5508" s="381"/>
      <c r="R5508" s="386"/>
      <c r="S5508" s="393"/>
      <c r="V5508" s="350"/>
    </row>
    <row r="5509" spans="1:22">
      <c r="A5509" s="403"/>
      <c r="B5509" s="379"/>
      <c r="C5509" s="350"/>
      <c r="D5509" s="380"/>
      <c r="G5509" s="380"/>
      <c r="J5509" s="350"/>
      <c r="K5509" s="383"/>
      <c r="L5509" s="383"/>
      <c r="M5509" s="350"/>
      <c r="N5509" s="404"/>
      <c r="O5509" s="381"/>
      <c r="R5509" s="386"/>
      <c r="S5509" s="393"/>
      <c r="V5509" s="350"/>
    </row>
    <row r="5510" spans="1:22">
      <c r="A5510" s="403"/>
      <c r="B5510" s="379"/>
      <c r="C5510" s="350"/>
      <c r="D5510" s="380"/>
      <c r="G5510" s="380"/>
      <c r="J5510" s="350"/>
      <c r="K5510" s="383"/>
      <c r="L5510" s="383"/>
      <c r="M5510" s="350"/>
      <c r="N5510" s="404"/>
      <c r="O5510" s="381"/>
      <c r="R5510" s="386"/>
      <c r="S5510" s="393"/>
      <c r="V5510" s="350"/>
    </row>
    <row r="5511" spans="1:22">
      <c r="A5511" s="403"/>
      <c r="B5511" s="379"/>
      <c r="C5511" s="350"/>
      <c r="D5511" s="380"/>
      <c r="G5511" s="380"/>
      <c r="J5511" s="350"/>
      <c r="K5511" s="383"/>
      <c r="L5511" s="383"/>
      <c r="M5511" s="350"/>
      <c r="N5511" s="404"/>
      <c r="O5511" s="381"/>
      <c r="R5511" s="386"/>
      <c r="S5511" s="393"/>
      <c r="V5511" s="350"/>
    </row>
    <row r="5512" spans="1:22">
      <c r="A5512" s="403"/>
      <c r="B5512" s="379"/>
      <c r="C5512" s="350"/>
      <c r="D5512" s="380"/>
      <c r="G5512" s="380"/>
      <c r="J5512" s="350"/>
      <c r="K5512" s="383"/>
      <c r="L5512" s="383"/>
      <c r="M5512" s="350"/>
      <c r="N5512" s="404"/>
      <c r="O5512" s="381"/>
      <c r="R5512" s="386"/>
      <c r="S5512" s="393"/>
      <c r="V5512" s="350"/>
    </row>
    <row r="5513" spans="1:22">
      <c r="A5513" s="403"/>
      <c r="B5513" s="379"/>
      <c r="C5513" s="350"/>
      <c r="D5513" s="380"/>
      <c r="G5513" s="380"/>
      <c r="J5513" s="350"/>
      <c r="K5513" s="383"/>
      <c r="L5513" s="383"/>
      <c r="M5513" s="350"/>
      <c r="N5513" s="404"/>
      <c r="O5513" s="381"/>
      <c r="R5513" s="386"/>
      <c r="S5513" s="393"/>
      <c r="V5513" s="350"/>
    </row>
    <row r="5514" spans="1:22">
      <c r="A5514" s="403"/>
      <c r="B5514" s="379"/>
      <c r="C5514" s="350"/>
      <c r="D5514" s="380"/>
      <c r="G5514" s="380"/>
      <c r="J5514" s="350"/>
      <c r="K5514" s="383"/>
      <c r="L5514" s="383"/>
      <c r="M5514" s="350"/>
      <c r="N5514" s="404"/>
      <c r="O5514" s="381"/>
      <c r="R5514" s="386"/>
      <c r="S5514" s="393"/>
      <c r="V5514" s="350"/>
    </row>
    <row r="5515" spans="1:22">
      <c r="A5515" s="403"/>
      <c r="B5515" s="379"/>
      <c r="C5515" s="350"/>
      <c r="D5515" s="380"/>
      <c r="G5515" s="380"/>
      <c r="J5515" s="350"/>
      <c r="K5515" s="383"/>
      <c r="L5515" s="383"/>
      <c r="M5515" s="350"/>
      <c r="N5515" s="404"/>
      <c r="O5515" s="381"/>
      <c r="R5515" s="386"/>
      <c r="S5515" s="393"/>
      <c r="V5515" s="350"/>
    </row>
    <row r="5516" spans="1:22">
      <c r="A5516" s="403"/>
      <c r="B5516" s="379"/>
      <c r="C5516" s="350"/>
      <c r="D5516" s="380"/>
      <c r="G5516" s="380"/>
      <c r="J5516" s="350"/>
      <c r="K5516" s="383"/>
      <c r="L5516" s="383"/>
      <c r="M5516" s="350"/>
      <c r="N5516" s="404"/>
      <c r="O5516" s="381"/>
      <c r="R5516" s="386"/>
      <c r="S5516" s="393"/>
      <c r="V5516" s="350"/>
    </row>
    <row r="5517" spans="1:22">
      <c r="A5517" s="403"/>
      <c r="B5517" s="379"/>
      <c r="C5517" s="350"/>
      <c r="D5517" s="380"/>
      <c r="G5517" s="380"/>
      <c r="J5517" s="350"/>
      <c r="K5517" s="383"/>
      <c r="L5517" s="383"/>
      <c r="M5517" s="350"/>
      <c r="N5517" s="404"/>
      <c r="O5517" s="381"/>
      <c r="R5517" s="386"/>
      <c r="S5517" s="393"/>
      <c r="V5517" s="350"/>
    </row>
    <row r="5518" spans="1:22">
      <c r="A5518" s="403"/>
      <c r="B5518" s="379"/>
      <c r="C5518" s="350"/>
      <c r="D5518" s="380"/>
      <c r="G5518" s="380"/>
      <c r="J5518" s="350"/>
      <c r="K5518" s="383"/>
      <c r="L5518" s="383"/>
      <c r="M5518" s="350"/>
      <c r="N5518" s="404"/>
      <c r="O5518" s="381"/>
      <c r="R5518" s="386"/>
      <c r="S5518" s="393"/>
      <c r="V5518" s="350"/>
    </row>
    <row r="5519" spans="1:22">
      <c r="A5519" s="403"/>
      <c r="B5519" s="379"/>
      <c r="C5519" s="350"/>
      <c r="D5519" s="380"/>
      <c r="G5519" s="380"/>
      <c r="J5519" s="350"/>
      <c r="K5519" s="383"/>
      <c r="L5519" s="383"/>
      <c r="M5519" s="350"/>
      <c r="N5519" s="404"/>
      <c r="O5519" s="381"/>
      <c r="R5519" s="386"/>
      <c r="S5519" s="393"/>
      <c r="V5519" s="350"/>
    </row>
    <row r="5520" spans="1:22">
      <c r="A5520" s="403"/>
      <c r="B5520" s="379"/>
      <c r="C5520" s="350"/>
      <c r="D5520" s="380"/>
      <c r="G5520" s="380"/>
      <c r="J5520" s="350"/>
      <c r="K5520" s="383"/>
      <c r="L5520" s="383"/>
      <c r="M5520" s="350"/>
      <c r="N5520" s="404"/>
      <c r="O5520" s="381"/>
      <c r="R5520" s="386"/>
      <c r="S5520" s="393"/>
      <c r="V5520" s="350"/>
    </row>
    <row r="5521" spans="1:22">
      <c r="A5521" s="403"/>
      <c r="B5521" s="379"/>
      <c r="C5521" s="350"/>
      <c r="D5521" s="380"/>
      <c r="G5521" s="380"/>
      <c r="J5521" s="350"/>
      <c r="K5521" s="383"/>
      <c r="L5521" s="383"/>
      <c r="M5521" s="350"/>
      <c r="N5521" s="404"/>
      <c r="O5521" s="381"/>
      <c r="R5521" s="386"/>
      <c r="S5521" s="393"/>
      <c r="V5521" s="350"/>
    </row>
    <row r="5522" spans="1:22">
      <c r="A5522" s="403"/>
      <c r="B5522" s="379"/>
      <c r="C5522" s="350"/>
      <c r="D5522" s="380"/>
      <c r="G5522" s="380"/>
      <c r="J5522" s="350"/>
      <c r="K5522" s="383"/>
      <c r="L5522" s="383"/>
      <c r="M5522" s="350"/>
      <c r="N5522" s="404"/>
      <c r="O5522" s="381"/>
      <c r="R5522" s="386"/>
      <c r="S5522" s="393"/>
      <c r="V5522" s="350"/>
    </row>
    <row r="5523" spans="1:22">
      <c r="A5523" s="403"/>
      <c r="B5523" s="379"/>
      <c r="C5523" s="350"/>
      <c r="D5523" s="380"/>
      <c r="G5523" s="380"/>
      <c r="J5523" s="350"/>
      <c r="K5523" s="383"/>
      <c r="L5523" s="383"/>
      <c r="M5523" s="350"/>
      <c r="N5523" s="404"/>
      <c r="O5523" s="381"/>
      <c r="R5523" s="386"/>
      <c r="S5523" s="393"/>
      <c r="V5523" s="350"/>
    </row>
    <row r="5524" spans="1:22">
      <c r="A5524" s="403"/>
      <c r="B5524" s="379"/>
      <c r="C5524" s="350"/>
      <c r="D5524" s="380"/>
      <c r="G5524" s="380"/>
      <c r="J5524" s="350"/>
      <c r="K5524" s="383"/>
      <c r="L5524" s="383"/>
      <c r="M5524" s="350"/>
      <c r="N5524" s="404"/>
      <c r="O5524" s="381"/>
      <c r="R5524" s="386"/>
      <c r="S5524" s="393"/>
      <c r="V5524" s="350"/>
    </row>
    <row r="5525" spans="1:22">
      <c r="A5525" s="403"/>
      <c r="B5525" s="379"/>
      <c r="C5525" s="350"/>
      <c r="D5525" s="380"/>
      <c r="G5525" s="380"/>
      <c r="J5525" s="350"/>
      <c r="K5525" s="383"/>
      <c r="L5525" s="383"/>
      <c r="M5525" s="350"/>
      <c r="N5525" s="404"/>
      <c r="O5525" s="381"/>
      <c r="R5525" s="386"/>
      <c r="S5525" s="393"/>
      <c r="V5525" s="350"/>
    </row>
    <row r="5526" spans="1:22">
      <c r="A5526" s="403"/>
      <c r="B5526" s="379"/>
      <c r="C5526" s="350"/>
      <c r="D5526" s="380"/>
      <c r="G5526" s="380"/>
      <c r="J5526" s="350"/>
      <c r="K5526" s="383"/>
      <c r="L5526" s="383"/>
      <c r="M5526" s="350"/>
      <c r="N5526" s="404"/>
      <c r="O5526" s="381"/>
      <c r="R5526" s="386"/>
      <c r="S5526" s="393"/>
      <c r="V5526" s="350"/>
    </row>
    <row r="5527" spans="1:22">
      <c r="A5527" s="403"/>
      <c r="S5527" s="393"/>
      <c r="V5527" s="350"/>
    </row>
    <row r="5528" spans="1:22">
      <c r="A5528" s="403"/>
      <c r="S5528" s="393"/>
      <c r="V5528" s="350"/>
    </row>
    <row r="5529" spans="1:22">
      <c r="A5529" s="403"/>
      <c r="S5529" s="393"/>
      <c r="V5529" s="350"/>
    </row>
    <row r="5530" spans="1:22">
      <c r="A5530" s="403"/>
      <c r="S5530" s="393"/>
      <c r="V5530" s="350"/>
    </row>
  </sheetData>
  <sheetProtection selectLockedCells="1" selectUnlockedCells="1"/>
  <autoFilter ref="V1:V5530" xr:uid="{00000000-0009-0000-0000-000006000000}">
    <filterColumn colId="0">
      <filters blank="1">
        <filter val="1.800,000"/>
        <filter val="10.685,644"/>
        <filter val="18,000"/>
        <filter val="19,370"/>
        <filter val="2,000"/>
        <filter val="25.167,808"/>
        <filter val="36,000"/>
        <filter val="450,000"/>
        <filter val="50,000"/>
        <filter val="53.935,617"/>
        <filter val="79,153"/>
        <filter val="900,000"/>
        <filter val="949,130"/>
      </filters>
    </filterColumn>
  </autoFilter>
  <mergeCells count="10555">
    <mergeCell ref="B4805:B4806"/>
    <mergeCell ref="C4805:C4806"/>
    <mergeCell ref="D4805:I4805"/>
    <mergeCell ref="J4805:J4806"/>
    <mergeCell ref="K4805:K4806"/>
    <mergeCell ref="L4805:L4806"/>
    <mergeCell ref="M4805:M4806"/>
    <mergeCell ref="N4805:N4806"/>
    <mergeCell ref="O4805:O4806"/>
    <mergeCell ref="Q4805:Q4806"/>
    <mergeCell ref="R4805:R4806"/>
    <mergeCell ref="S4805:S4806"/>
    <mergeCell ref="T4805:T4806"/>
    <mergeCell ref="U4805:U4806"/>
    <mergeCell ref="D4806:F4806"/>
    <mergeCell ref="G4806:I4806"/>
    <mergeCell ref="D4807:F4807"/>
    <mergeCell ref="G4807:I4807"/>
    <mergeCell ref="D4812:I4812"/>
    <mergeCell ref="J4812:K4812"/>
    <mergeCell ref="M4812:Q4812"/>
    <mergeCell ref="D4813:I4814"/>
    <mergeCell ref="J4813:K4814"/>
    <mergeCell ref="L4813:L4814"/>
    <mergeCell ref="M4813:Q4813"/>
    <mergeCell ref="M4814:Q4814"/>
    <mergeCell ref="D4784:F4784"/>
    <mergeCell ref="G4784:I4784"/>
    <mergeCell ref="D4790:I4790"/>
    <mergeCell ref="J4790:K4790"/>
    <mergeCell ref="M4790:Q4790"/>
    <mergeCell ref="D4791:I4792"/>
    <mergeCell ref="J4791:K4792"/>
    <mergeCell ref="L4791:L4792"/>
    <mergeCell ref="M4791:Q4791"/>
    <mergeCell ref="M4792:Q4792"/>
    <mergeCell ref="B4794:B4795"/>
    <mergeCell ref="C4794:C4795"/>
    <mergeCell ref="D4794:I4794"/>
    <mergeCell ref="J4794:J4795"/>
    <mergeCell ref="K4794:K4795"/>
    <mergeCell ref="L4794:L4795"/>
    <mergeCell ref="M4794:M4795"/>
    <mergeCell ref="N4794:N4795"/>
    <mergeCell ref="O4794:O4795"/>
    <mergeCell ref="Q4794:Q4795"/>
    <mergeCell ref="R4794:R4795"/>
    <mergeCell ref="S4794:S4795"/>
    <mergeCell ref="T4794:T4795"/>
    <mergeCell ref="U4794:U4795"/>
    <mergeCell ref="D4795:F4795"/>
    <mergeCell ref="G4795:I4795"/>
    <mergeCell ref="D4796:F4796"/>
    <mergeCell ref="G4796:I4796"/>
    <mergeCell ref="D4801:I4801"/>
    <mergeCell ref="J4801:K4801"/>
    <mergeCell ref="M4801:Q4801"/>
    <mergeCell ref="D4802:I4803"/>
    <mergeCell ref="J4802:K4803"/>
    <mergeCell ref="L4802:L4803"/>
    <mergeCell ref="M4802:Q4802"/>
    <mergeCell ref="M4803:Q4803"/>
    <mergeCell ref="B4771:B4772"/>
    <mergeCell ref="C4771:C4772"/>
    <mergeCell ref="D4771:I4771"/>
    <mergeCell ref="J4771:J4772"/>
    <mergeCell ref="K4771:K4772"/>
    <mergeCell ref="L4771:L4772"/>
    <mergeCell ref="M4771:M4772"/>
    <mergeCell ref="N4771:N4772"/>
    <mergeCell ref="O4771:O4772"/>
    <mergeCell ref="Q4771:Q4772"/>
    <mergeCell ref="R4771:R4772"/>
    <mergeCell ref="S4771:S4772"/>
    <mergeCell ref="T4771:T4772"/>
    <mergeCell ref="U4771:U4772"/>
    <mergeCell ref="D4772:F4772"/>
    <mergeCell ref="G4772:I4772"/>
    <mergeCell ref="D4773:F4773"/>
    <mergeCell ref="G4773:I4773"/>
    <mergeCell ref="D4778:I4778"/>
    <mergeCell ref="J4778:K4778"/>
    <mergeCell ref="M4778:Q4778"/>
    <mergeCell ref="D4779:I4780"/>
    <mergeCell ref="J4779:K4780"/>
    <mergeCell ref="L4779:L4780"/>
    <mergeCell ref="M4779:Q4779"/>
    <mergeCell ref="M4780:Q4780"/>
    <mergeCell ref="B4782:B4783"/>
    <mergeCell ref="C4782:C4783"/>
    <mergeCell ref="D4782:I4782"/>
    <mergeCell ref="J4782:J4783"/>
    <mergeCell ref="K4782:K4783"/>
    <mergeCell ref="L4782:L4783"/>
    <mergeCell ref="M4782:M4783"/>
    <mergeCell ref="N4782:N4783"/>
    <mergeCell ref="O4782:O4783"/>
    <mergeCell ref="Q4782:Q4783"/>
    <mergeCell ref="R4782:R4783"/>
    <mergeCell ref="S4782:S4783"/>
    <mergeCell ref="T4782:T4783"/>
    <mergeCell ref="U4782:U4783"/>
    <mergeCell ref="D4783:F4783"/>
    <mergeCell ref="G4783:I4783"/>
    <mergeCell ref="C841:C848"/>
    <mergeCell ref="B841:B848"/>
    <mergeCell ref="D841:F848"/>
    <mergeCell ref="G846:I846"/>
    <mergeCell ref="G848:I848"/>
    <mergeCell ref="R841:R848"/>
    <mergeCell ref="S841:S848"/>
    <mergeCell ref="T841:T848"/>
    <mergeCell ref="U841:U848"/>
    <mergeCell ref="D119:F119"/>
    <mergeCell ref="D4690:F4690"/>
    <mergeCell ref="G4690:I4690"/>
    <mergeCell ref="D4694:I4694"/>
    <mergeCell ref="B4718:B4719"/>
    <mergeCell ref="C4718:C4719"/>
    <mergeCell ref="C4758:C4759"/>
    <mergeCell ref="D4758:I4758"/>
    <mergeCell ref="J4758:J4759"/>
    <mergeCell ref="M4714:Q4714"/>
    <mergeCell ref="D4715:I4716"/>
    <mergeCell ref="J4715:K4716"/>
    <mergeCell ref="D236:F236"/>
    <mergeCell ref="G236:I236"/>
    <mergeCell ref="D4551:F4551"/>
    <mergeCell ref="G4551:I4551"/>
    <mergeCell ref="G4550:I4550"/>
    <mergeCell ref="D118:F118"/>
    <mergeCell ref="G118:I118"/>
    <mergeCell ref="D157:F157"/>
    <mergeCell ref="G157:I157"/>
    <mergeCell ref="D196:F196"/>
    <mergeCell ref="G196:I196"/>
    <mergeCell ref="D235:F235"/>
    <mergeCell ref="G235:I235"/>
    <mergeCell ref="K4758:K4759"/>
    <mergeCell ref="L4758:L4759"/>
    <mergeCell ref="M4758:M4759"/>
    <mergeCell ref="N4758:N4759"/>
    <mergeCell ref="O4758:O4759"/>
    <mergeCell ref="Q4758:Q4759"/>
    <mergeCell ref="J4645:K4646"/>
    <mergeCell ref="L4645:L4646"/>
    <mergeCell ref="M4645:Q4645"/>
    <mergeCell ref="M4646:Q4646"/>
    <mergeCell ref="B4648:B4649"/>
    <mergeCell ref="C4648:C4649"/>
    <mergeCell ref="D4648:I4648"/>
    <mergeCell ref="J4648:J4649"/>
    <mergeCell ref="K4648:K4649"/>
    <mergeCell ref="L4648:L4649"/>
    <mergeCell ref="M4648:M4649"/>
    <mergeCell ref="N4648:N4649"/>
    <mergeCell ref="C4658:C4659"/>
    <mergeCell ref="B4658:B4659"/>
    <mergeCell ref="D4660:F4660"/>
    <mergeCell ref="G4660:I4660"/>
    <mergeCell ref="D4664:I4664"/>
    <mergeCell ref="J4664:K4664"/>
    <mergeCell ref="M4664:Q4664"/>
    <mergeCell ref="D4665:I4666"/>
    <mergeCell ref="J4665:K4666"/>
    <mergeCell ref="L4665:L4666"/>
    <mergeCell ref="M4665:Q4665"/>
    <mergeCell ref="M4666:Q4666"/>
    <mergeCell ref="L4728:L4729"/>
    <mergeCell ref="M4728:M4729"/>
    <mergeCell ref="N4728:N4729"/>
    <mergeCell ref="O4728:O4729"/>
    <mergeCell ref="Q4728:Q4729"/>
    <mergeCell ref="Q4698:Q4699"/>
    <mergeCell ref="R4698:R4699"/>
    <mergeCell ref="S4698:S4699"/>
    <mergeCell ref="T4698:T4699"/>
    <mergeCell ref="U4758:U4759"/>
    <mergeCell ref="D4759:F4759"/>
    <mergeCell ref="G4759:I4759"/>
    <mergeCell ref="U4698:U4699"/>
    <mergeCell ref="D4699:F4699"/>
    <mergeCell ref="G4699:I4699"/>
    <mergeCell ref="D4700:F4700"/>
    <mergeCell ref="G4700:I4700"/>
    <mergeCell ref="D4704:I4704"/>
    <mergeCell ref="J4704:K4704"/>
    <mergeCell ref="M4704:Q4704"/>
    <mergeCell ref="D4705:I4706"/>
    <mergeCell ref="J4705:K4706"/>
    <mergeCell ref="L4705:L4706"/>
    <mergeCell ref="M4705:Q4705"/>
    <mergeCell ref="M4706:Q4706"/>
    <mergeCell ref="D4724:I4724"/>
    <mergeCell ref="J4724:K4724"/>
    <mergeCell ref="M4724:Q4724"/>
    <mergeCell ref="D4725:I4726"/>
    <mergeCell ref="J4725:K4726"/>
    <mergeCell ref="L4725:L4726"/>
    <mergeCell ref="M4725:Q4725"/>
    <mergeCell ref="K4718:K4719"/>
    <mergeCell ref="L4718:L4719"/>
    <mergeCell ref="M4718:M4719"/>
    <mergeCell ref="N4718:N4719"/>
    <mergeCell ref="O4718:O4719"/>
    <mergeCell ref="Q4718:Q4719"/>
    <mergeCell ref="R4728:R4729"/>
    <mergeCell ref="S4728:S4729"/>
    <mergeCell ref="T4728:T4729"/>
    <mergeCell ref="D4718:I4718"/>
    <mergeCell ref="J4718:J4719"/>
    <mergeCell ref="M4715:Q4715"/>
    <mergeCell ref="M4716:Q4716"/>
    <mergeCell ref="G4710:I4710"/>
    <mergeCell ref="D4714:I4714"/>
    <mergeCell ref="J4714:K4714"/>
    <mergeCell ref="L4715:L4716"/>
    <mergeCell ref="C836:C840"/>
    <mergeCell ref="G197:I197"/>
    <mergeCell ref="J4767:K4767"/>
    <mergeCell ref="M4767:Q4767"/>
    <mergeCell ref="U4728:U4729"/>
    <mergeCell ref="D4729:F4729"/>
    <mergeCell ref="G4729:I4729"/>
    <mergeCell ref="D4730:F4730"/>
    <mergeCell ref="G4730:I4730"/>
    <mergeCell ref="D4734:I4734"/>
    <mergeCell ref="J4734:K4734"/>
    <mergeCell ref="M4734:Q4734"/>
    <mergeCell ref="D4735:I4736"/>
    <mergeCell ref="J4735:K4736"/>
    <mergeCell ref="L4735:L4736"/>
    <mergeCell ref="M4735:Q4735"/>
    <mergeCell ref="M4736:Q4736"/>
    <mergeCell ref="B4708:B4709"/>
    <mergeCell ref="C4708:C4709"/>
    <mergeCell ref="D4708:I4708"/>
    <mergeCell ref="J4708:J4709"/>
    <mergeCell ref="K4708:K4709"/>
    <mergeCell ref="L4708:L4709"/>
    <mergeCell ref="M4708:M4709"/>
    <mergeCell ref="N4708:N4709"/>
    <mergeCell ref="O4708:O4709"/>
    <mergeCell ref="Q4708:Q4709"/>
    <mergeCell ref="R4708:R4709"/>
    <mergeCell ref="S4708:S4709"/>
    <mergeCell ref="T4708:T4709"/>
    <mergeCell ref="U4708:U4709"/>
    <mergeCell ref="D4709:F4709"/>
    <mergeCell ref="G4709:I4709"/>
    <mergeCell ref="D4710:F4710"/>
    <mergeCell ref="R4718:R4719"/>
    <mergeCell ref="S4718:S4719"/>
    <mergeCell ref="T4718:T4719"/>
    <mergeCell ref="U4718:U4719"/>
    <mergeCell ref="D4719:F4719"/>
    <mergeCell ref="G4719:I4719"/>
    <mergeCell ref="D4720:F4720"/>
    <mergeCell ref="G4720:I4720"/>
    <mergeCell ref="J4694:K4694"/>
    <mergeCell ref="M4694:Q4694"/>
    <mergeCell ref="D4695:I4696"/>
    <mergeCell ref="J4695:K4696"/>
    <mergeCell ref="L4695:L4696"/>
    <mergeCell ref="M4695:Q4695"/>
    <mergeCell ref="M4696:Q4696"/>
    <mergeCell ref="B4698:B4699"/>
    <mergeCell ref="C4698:C4699"/>
    <mergeCell ref="D4698:I4698"/>
    <mergeCell ref="J4698:J4699"/>
    <mergeCell ref="K4698:K4699"/>
    <mergeCell ref="L4698:L4699"/>
    <mergeCell ref="M4698:M4699"/>
    <mergeCell ref="N4698:N4699"/>
    <mergeCell ref="O4698:O4699"/>
    <mergeCell ref="M4726:Q4726"/>
    <mergeCell ref="B4728:B4729"/>
    <mergeCell ref="C4728:C4729"/>
    <mergeCell ref="D4728:I4728"/>
    <mergeCell ref="J4728:J4729"/>
    <mergeCell ref="K4728:K4729"/>
    <mergeCell ref="D4768:I4769"/>
    <mergeCell ref="J4768:K4769"/>
    <mergeCell ref="L4768:L4769"/>
    <mergeCell ref="M4768:Q4768"/>
    <mergeCell ref="M4769:Q4769"/>
    <mergeCell ref="B4738:B4739"/>
    <mergeCell ref="C4738:C4739"/>
    <mergeCell ref="D4738:I4738"/>
    <mergeCell ref="J4738:J4739"/>
    <mergeCell ref="K4738:K4739"/>
    <mergeCell ref="L4738:L4739"/>
    <mergeCell ref="M4738:M4739"/>
    <mergeCell ref="N4738:N4739"/>
    <mergeCell ref="O4738:O4739"/>
    <mergeCell ref="Q4738:Q4739"/>
    <mergeCell ref="R4738:R4739"/>
    <mergeCell ref="S4738:S4739"/>
    <mergeCell ref="T4738:T4739"/>
    <mergeCell ref="U4738:U4739"/>
    <mergeCell ref="D4739:F4739"/>
    <mergeCell ref="G4739:I4739"/>
    <mergeCell ref="D4740:F4740"/>
    <mergeCell ref="G4740:I4740"/>
    <mergeCell ref="D4744:I4744"/>
    <mergeCell ref="J4744:K4744"/>
    <mergeCell ref="M4744:Q4744"/>
    <mergeCell ref="D4745:I4746"/>
    <mergeCell ref="J4745:K4746"/>
    <mergeCell ref="L4745:L4746"/>
    <mergeCell ref="M4745:Q4745"/>
    <mergeCell ref="M4746:Q4746"/>
    <mergeCell ref="B4748:B4749"/>
    <mergeCell ref="C4748:C4749"/>
    <mergeCell ref="D4748:I4748"/>
    <mergeCell ref="J4748:J4749"/>
    <mergeCell ref="K4748:K4749"/>
    <mergeCell ref="L4748:L4749"/>
    <mergeCell ref="M4748:M4749"/>
    <mergeCell ref="N4748:N4749"/>
    <mergeCell ref="O4748:O4749"/>
    <mergeCell ref="Q4748:Q4749"/>
    <mergeCell ref="R4748:R4749"/>
    <mergeCell ref="S4748:S4749"/>
    <mergeCell ref="T4748:T4749"/>
    <mergeCell ref="U4748:U4749"/>
    <mergeCell ref="D4749:F4749"/>
    <mergeCell ref="G4749:I4749"/>
    <mergeCell ref="R4758:R4759"/>
    <mergeCell ref="S4758:S4759"/>
    <mergeCell ref="T4758:T4759"/>
    <mergeCell ref="D4750:F4750"/>
    <mergeCell ref="G4750:I4750"/>
    <mergeCell ref="D4754:I4754"/>
    <mergeCell ref="J4754:K4754"/>
    <mergeCell ref="M4754:Q4754"/>
    <mergeCell ref="D4755:I4756"/>
    <mergeCell ref="J4755:K4756"/>
    <mergeCell ref="L4755:L4756"/>
    <mergeCell ref="M4755:Q4755"/>
    <mergeCell ref="M4756:Q4756"/>
    <mergeCell ref="B4758:B4759"/>
    <mergeCell ref="D4760:F4760"/>
    <mergeCell ref="G4760:I4760"/>
    <mergeCell ref="D4767:I4767"/>
    <mergeCell ref="C4688:C4689"/>
    <mergeCell ref="D4688:I4688"/>
    <mergeCell ref="J4688:J4689"/>
    <mergeCell ref="K4688:K4689"/>
    <mergeCell ref="L4688:L4689"/>
    <mergeCell ref="M4688:M4689"/>
    <mergeCell ref="N4688:N4689"/>
    <mergeCell ref="O4688:O4689"/>
    <mergeCell ref="Q4688:Q4689"/>
    <mergeCell ref="R4688:R4689"/>
    <mergeCell ref="S4688:S4689"/>
    <mergeCell ref="T4688:T4689"/>
    <mergeCell ref="U4688:U4689"/>
    <mergeCell ref="D4689:F4689"/>
    <mergeCell ref="G4689:I4689"/>
    <mergeCell ref="U4658:U4659"/>
    <mergeCell ref="T4658:T4659"/>
    <mergeCell ref="S4658:S4659"/>
    <mergeCell ref="R4658:R4659"/>
    <mergeCell ref="Q4658:Q4659"/>
    <mergeCell ref="O4658:O4659"/>
    <mergeCell ref="N4658:N4659"/>
    <mergeCell ref="M4658:M4659"/>
    <mergeCell ref="L4658:L4659"/>
    <mergeCell ref="K4658:K4659"/>
    <mergeCell ref="J4658:J4659"/>
    <mergeCell ref="D4658:I4658"/>
    <mergeCell ref="G4680:I4680"/>
    <mergeCell ref="D4684:I4684"/>
    <mergeCell ref="J4684:K4684"/>
    <mergeCell ref="B4678:B4679"/>
    <mergeCell ref="C4678:C4679"/>
    <mergeCell ref="D4678:I4678"/>
    <mergeCell ref="J4678:J4679"/>
    <mergeCell ref="K4678:K4679"/>
    <mergeCell ref="L4678:L4679"/>
    <mergeCell ref="M4678:M4679"/>
    <mergeCell ref="N4678:N4679"/>
    <mergeCell ref="O4678:O4679"/>
    <mergeCell ref="Q4678:Q4679"/>
    <mergeCell ref="R4678:R4679"/>
    <mergeCell ref="S4678:S4679"/>
    <mergeCell ref="T4678:T4679"/>
    <mergeCell ref="U4678:U4679"/>
    <mergeCell ref="D4679:F4679"/>
    <mergeCell ref="G4679:I4679"/>
    <mergeCell ref="G4659:I4659"/>
    <mergeCell ref="D4659:F4659"/>
    <mergeCell ref="M4684:Q4684"/>
    <mergeCell ref="D4685:I4686"/>
    <mergeCell ref="J4685:K4686"/>
    <mergeCell ref="L4685:L4686"/>
    <mergeCell ref="M4685:Q4685"/>
    <mergeCell ref="M4686:Q4686"/>
    <mergeCell ref="B4688:B4689"/>
    <mergeCell ref="D4680:F4680"/>
    <mergeCell ref="R4648:R4649"/>
    <mergeCell ref="S4648:S4649"/>
    <mergeCell ref="T4648:T4649"/>
    <mergeCell ref="U4648:U4649"/>
    <mergeCell ref="D4649:F4649"/>
    <mergeCell ref="G4649:I4649"/>
    <mergeCell ref="D4650:F4650"/>
    <mergeCell ref="G4650:I4650"/>
    <mergeCell ref="D4654:I4654"/>
    <mergeCell ref="J4654:K4654"/>
    <mergeCell ref="M4654:Q4654"/>
    <mergeCell ref="D4655:I4656"/>
    <mergeCell ref="J4655:K4656"/>
    <mergeCell ref="L4655:L4656"/>
    <mergeCell ref="M4655:Q4655"/>
    <mergeCell ref="M4656:Q4656"/>
    <mergeCell ref="O4648:O4649"/>
    <mergeCell ref="Q4648:Q4649"/>
    <mergeCell ref="D4675:I4676"/>
    <mergeCell ref="J4675:K4676"/>
    <mergeCell ref="D114:F114"/>
    <mergeCell ref="G114:I114"/>
    <mergeCell ref="D153:F153"/>
    <mergeCell ref="G153:I153"/>
    <mergeCell ref="D192:F192"/>
    <mergeCell ref="G192:I192"/>
    <mergeCell ref="D231:F231"/>
    <mergeCell ref="G231:I231"/>
    <mergeCell ref="D286:F286"/>
    <mergeCell ref="G286:I286"/>
    <mergeCell ref="R4638:R4639"/>
    <mergeCell ref="S4638:S4639"/>
    <mergeCell ref="D811:F816"/>
    <mergeCell ref="G811:I816"/>
    <mergeCell ref="D817:F818"/>
    <mergeCell ref="G817:I818"/>
    <mergeCell ref="R817:R818"/>
    <mergeCell ref="D2192:I2193"/>
    <mergeCell ref="J2192:K2193"/>
    <mergeCell ref="L2192:L2193"/>
    <mergeCell ref="M2192:Q2192"/>
    <mergeCell ref="M2193:Q2193"/>
    <mergeCell ref="D2172:I2173"/>
    <mergeCell ref="J2172:K2173"/>
    <mergeCell ref="L2172:L2173"/>
    <mergeCell ref="M2172:Q2172"/>
    <mergeCell ref="M2173:Q2173"/>
    <mergeCell ref="D2152:I2153"/>
    <mergeCell ref="J2152:K2153"/>
    <mergeCell ref="L2152:L2153"/>
    <mergeCell ref="M2152:Q2152"/>
    <mergeCell ref="M2153:Q2153"/>
    <mergeCell ref="D4573:I4573"/>
    <mergeCell ref="J4573:K4573"/>
    <mergeCell ref="R819:R828"/>
    <mergeCell ref="D4593:I4593"/>
    <mergeCell ref="J4593:K4593"/>
    <mergeCell ref="M4593:Q4593"/>
    <mergeCell ref="D4639:F4639"/>
    <mergeCell ref="G4639:I4639"/>
    <mergeCell ref="D4628:F4628"/>
    <mergeCell ref="G4628:I4628"/>
    <mergeCell ref="D4629:F4629"/>
    <mergeCell ref="G4629:I4629"/>
    <mergeCell ref="D4634:I4634"/>
    <mergeCell ref="J4634:K4634"/>
    <mergeCell ref="M4634:Q4634"/>
    <mergeCell ref="D4635:I4636"/>
    <mergeCell ref="J4635:K4636"/>
    <mergeCell ref="L4635:L4636"/>
    <mergeCell ref="M4635:Q4635"/>
    <mergeCell ref="M4636:Q4636"/>
    <mergeCell ref="G4193:L4193"/>
    <mergeCell ref="Q4567:Q4568"/>
    <mergeCell ref="J2420:J2421"/>
    <mergeCell ref="K2420:K2421"/>
    <mergeCell ref="D2801:I2801"/>
    <mergeCell ref="J2801:K2801"/>
    <mergeCell ref="M2801:Q2801"/>
    <mergeCell ref="S4617:S4618"/>
    <mergeCell ref="M2133:Q2133"/>
    <mergeCell ref="M2263:Q2263"/>
    <mergeCell ref="M2264:Q2264"/>
    <mergeCell ref="K2266:K2267"/>
    <mergeCell ref="L2359:L2360"/>
    <mergeCell ref="D2313:I2314"/>
    <mergeCell ref="M4567:M4568"/>
    <mergeCell ref="N4567:N4568"/>
    <mergeCell ref="O4567:O4568"/>
    <mergeCell ref="L4627:L4628"/>
    <mergeCell ref="M4627:M4628"/>
    <mergeCell ref="N4627:N4628"/>
    <mergeCell ref="O4627:O4628"/>
    <mergeCell ref="Q4627:Q4628"/>
    <mergeCell ref="L2021:L2022"/>
    <mergeCell ref="M2021:Q2021"/>
    <mergeCell ref="M2022:Q2022"/>
    <mergeCell ref="G4599:I4599"/>
    <mergeCell ref="D4603:I4603"/>
    <mergeCell ref="J4603:K4603"/>
    <mergeCell ref="D4607:I4607"/>
    <mergeCell ref="J4607:J4608"/>
    <mergeCell ref="K4607:K4608"/>
    <mergeCell ref="L4607:L4608"/>
    <mergeCell ref="M4607:M4608"/>
    <mergeCell ref="N4607:N4608"/>
    <mergeCell ref="O4607:O4608"/>
    <mergeCell ref="Q4607:Q4608"/>
    <mergeCell ref="O2825:O2826"/>
    <mergeCell ref="K2835:K2836"/>
    <mergeCell ref="D2831:I2831"/>
    <mergeCell ref="M2722:Q2722"/>
    <mergeCell ref="M2723:Q2723"/>
    <mergeCell ref="D2725:I2725"/>
    <mergeCell ref="J2725:J2726"/>
    <mergeCell ref="K2735:K2736"/>
    <mergeCell ref="M2355:Q2355"/>
    <mergeCell ref="L4567:L4568"/>
    <mergeCell ref="D4543:F4543"/>
    <mergeCell ref="O4306:O4307"/>
    <mergeCell ref="Q4306:Q4307"/>
    <mergeCell ref="D2293:I2294"/>
    <mergeCell ref="J2266:J2267"/>
    <mergeCell ref="M2283:Q2283"/>
    <mergeCell ref="M2284:Q2284"/>
    <mergeCell ref="O2266:O2267"/>
    <mergeCell ref="Q2266:Q2267"/>
    <mergeCell ref="L2293:L2294"/>
    <mergeCell ref="D2722:I2723"/>
    <mergeCell ref="J2722:K2723"/>
    <mergeCell ref="L2722:L2723"/>
    <mergeCell ref="J2802:K2803"/>
    <mergeCell ref="L2802:L2803"/>
    <mergeCell ref="G4561:I4561"/>
    <mergeCell ref="J4567:J4568"/>
    <mergeCell ref="K4567:K4568"/>
    <mergeCell ref="M4573:Q4573"/>
    <mergeCell ref="D4574:I4575"/>
    <mergeCell ref="J4574:K4575"/>
    <mergeCell ref="L4574:L4575"/>
    <mergeCell ref="D4303:I4304"/>
    <mergeCell ref="C2380:C2381"/>
    <mergeCell ref="D2380:I2380"/>
    <mergeCell ref="J2380:J2381"/>
    <mergeCell ref="N2410:N2411"/>
    <mergeCell ref="C2286:C2287"/>
    <mergeCell ref="M2418:Q2418"/>
    <mergeCell ref="R4306:R4307"/>
    <mergeCell ref="J2841:K2841"/>
    <mergeCell ref="M2841:Q2841"/>
    <mergeCell ref="L2835:L2836"/>
    <mergeCell ref="M2835:M2836"/>
    <mergeCell ref="L4261:L4262"/>
    <mergeCell ref="G4579:I4579"/>
    <mergeCell ref="D4583:I4583"/>
    <mergeCell ref="G2716:I2716"/>
    <mergeCell ref="D2721:I2721"/>
    <mergeCell ref="J2721:K2721"/>
    <mergeCell ref="M2721:Q2721"/>
    <mergeCell ref="L2715:L2716"/>
    <mergeCell ref="D2845:I2845"/>
    <mergeCell ref="J2845:J2846"/>
    <mergeCell ref="K2845:K2846"/>
    <mergeCell ref="O2835:O2836"/>
    <mergeCell ref="Q2835:Q2836"/>
    <mergeCell ref="M2822:Q2822"/>
    <mergeCell ref="Q2306:Q2307"/>
    <mergeCell ref="M2420:M2421"/>
    <mergeCell ref="J2416:K2416"/>
    <mergeCell ref="J4343:K4344"/>
    <mergeCell ref="L4343:L4344"/>
    <mergeCell ref="M4343:Q4343"/>
    <mergeCell ref="D4326:I4326"/>
    <mergeCell ref="N2835:N2836"/>
    <mergeCell ref="D4020:I4021"/>
    <mergeCell ref="J4020:K4021"/>
    <mergeCell ref="L4020:L4021"/>
    <mergeCell ref="M4020:Q4020"/>
    <mergeCell ref="M4021:Q4021"/>
    <mergeCell ref="D4000:I4001"/>
    <mergeCell ref="J4000:K4001"/>
    <mergeCell ref="L4000:L4001"/>
    <mergeCell ref="M4000:Q4000"/>
    <mergeCell ref="C2805:C2806"/>
    <mergeCell ref="M2752:Q2752"/>
    <mergeCell ref="M2753:Q2753"/>
    <mergeCell ref="J4373:K4373"/>
    <mergeCell ref="M4373:Q4373"/>
    <mergeCell ref="L4367:L4368"/>
    <mergeCell ref="M4367:M4368"/>
    <mergeCell ref="N4367:N4368"/>
    <mergeCell ref="D4363:I4364"/>
    <mergeCell ref="T4638:T4639"/>
    <mergeCell ref="U4638:U4639"/>
    <mergeCell ref="D4640:F4640"/>
    <mergeCell ref="G4640:I4640"/>
    <mergeCell ref="D4644:I4644"/>
    <mergeCell ref="J4644:K4644"/>
    <mergeCell ref="M4644:Q4644"/>
    <mergeCell ref="D4645:I4646"/>
    <mergeCell ref="D4623:I4623"/>
    <mergeCell ref="J4623:K4623"/>
    <mergeCell ref="M4623:Q4623"/>
    <mergeCell ref="D4624:I4625"/>
    <mergeCell ref="J4624:K4625"/>
    <mergeCell ref="L4624:L4625"/>
    <mergeCell ref="M4624:Q4624"/>
    <mergeCell ref="M4625:Q4625"/>
    <mergeCell ref="B4638:B4639"/>
    <mergeCell ref="C4638:C4639"/>
    <mergeCell ref="D4638:I4638"/>
    <mergeCell ref="J4638:J4639"/>
    <mergeCell ref="K4638:K4639"/>
    <mergeCell ref="L4638:L4639"/>
    <mergeCell ref="M4638:M4639"/>
    <mergeCell ref="N4638:N4639"/>
    <mergeCell ref="O4638:O4639"/>
    <mergeCell ref="Q4638:Q4639"/>
    <mergeCell ref="B4627:B4628"/>
    <mergeCell ref="C4627:C4628"/>
    <mergeCell ref="D4627:I4627"/>
    <mergeCell ref="J4627:J4628"/>
    <mergeCell ref="K4627:K4628"/>
    <mergeCell ref="R4617:R4618"/>
    <mergeCell ref="D2836:F2836"/>
    <mergeCell ref="G2836:I2836"/>
    <mergeCell ref="D2841:I2841"/>
    <mergeCell ref="M2862:Q2862"/>
    <mergeCell ref="M2863:Q2863"/>
    <mergeCell ref="D2865:I2865"/>
    <mergeCell ref="J2865:J2866"/>
    <mergeCell ref="K2865:K2866"/>
    <mergeCell ref="J4302:K4302"/>
    <mergeCell ref="M4302:Q4302"/>
    <mergeCell ref="G4357:I4357"/>
    <mergeCell ref="D4353:I4354"/>
    <mergeCell ref="T4617:T4618"/>
    <mergeCell ref="U4617:U4618"/>
    <mergeCell ref="D4618:F4618"/>
    <mergeCell ref="G4618:I4618"/>
    <mergeCell ref="D4619:F4619"/>
    <mergeCell ref="G4619:I4619"/>
    <mergeCell ref="R4627:R4628"/>
    <mergeCell ref="S4627:S4628"/>
    <mergeCell ref="T4627:T4628"/>
    <mergeCell ref="U4627:U4628"/>
    <mergeCell ref="B4617:B4618"/>
    <mergeCell ref="C4617:C4618"/>
    <mergeCell ref="D4617:I4617"/>
    <mergeCell ref="J4617:J4618"/>
    <mergeCell ref="K4617:K4618"/>
    <mergeCell ref="L4617:L4618"/>
    <mergeCell ref="M4617:M4618"/>
    <mergeCell ref="N4617:N4618"/>
    <mergeCell ref="O4617:O4618"/>
    <mergeCell ref="Q4617:Q4618"/>
    <mergeCell ref="J4363:K4364"/>
    <mergeCell ref="L4363:L4364"/>
    <mergeCell ref="G2666:I2666"/>
    <mergeCell ref="D2671:I2671"/>
    <mergeCell ref="J2671:K2671"/>
    <mergeCell ref="M2671:Q2671"/>
    <mergeCell ref="L2665:L2666"/>
    <mergeCell ref="R765:R767"/>
    <mergeCell ref="J2292:K2292"/>
    <mergeCell ref="L2286:L2287"/>
    <mergeCell ref="D2283:I2284"/>
    <mergeCell ref="J2283:K2284"/>
    <mergeCell ref="L2283:L2284"/>
    <mergeCell ref="G2287:I2287"/>
    <mergeCell ref="D2276:I2276"/>
    <mergeCell ref="J2276:J2277"/>
    <mergeCell ref="R799:R800"/>
    <mergeCell ref="R801:R802"/>
    <mergeCell ref="R803:R804"/>
    <mergeCell ref="J2313:K2314"/>
    <mergeCell ref="G2316:L2316"/>
    <mergeCell ref="L2313:L2314"/>
    <mergeCell ref="M2313:Q2313"/>
    <mergeCell ref="M2314:Q2314"/>
    <mergeCell ref="K2430:K2431"/>
    <mergeCell ref="D2426:I2426"/>
    <mergeCell ref="L2380:L2381"/>
    <mergeCell ref="M2380:M2381"/>
    <mergeCell ref="D2390:I2390"/>
    <mergeCell ref="O2725:O2726"/>
    <mergeCell ref="Q2725:Q2726"/>
    <mergeCell ref="R2725:R2726"/>
    <mergeCell ref="M2407:Q2407"/>
    <mergeCell ref="D2386:I2386"/>
    <mergeCell ref="O2420:O2421"/>
    <mergeCell ref="K2725:K2726"/>
    <mergeCell ref="J2831:K2831"/>
    <mergeCell ref="M2831:Q2831"/>
    <mergeCell ref="M2825:M2826"/>
    <mergeCell ref="N2825:N2826"/>
    <mergeCell ref="D2832:I2833"/>
    <mergeCell ref="J2832:K2833"/>
    <mergeCell ref="L2832:L2833"/>
    <mergeCell ref="M2793:Q2793"/>
    <mergeCell ref="R2805:R2806"/>
    <mergeCell ref="Q4326:Q4327"/>
    <mergeCell ref="R4326:R4327"/>
    <mergeCell ref="J4283:K4284"/>
    <mergeCell ref="D4283:I4284"/>
    <mergeCell ref="L4273:L4274"/>
    <mergeCell ref="M4273:Q4273"/>
    <mergeCell ref="M4274:Q4274"/>
    <mergeCell ref="D2001:I2002"/>
    <mergeCell ref="J2001:K2002"/>
    <mergeCell ref="L2001:L2002"/>
    <mergeCell ref="M2001:Q2001"/>
    <mergeCell ref="M2002:Q2002"/>
    <mergeCell ref="D1981:I1982"/>
    <mergeCell ref="D2155:I2155"/>
    <mergeCell ref="J2155:J2156"/>
    <mergeCell ref="K2155:K2156"/>
    <mergeCell ref="D2182:I2183"/>
    <mergeCell ref="J2182:K2183"/>
    <mergeCell ref="L2182:L2183"/>
    <mergeCell ref="M2241:Q2241"/>
    <mergeCell ref="L2235:L2236"/>
    <mergeCell ref="Q2235:Q2236"/>
    <mergeCell ref="D2242:I2243"/>
    <mergeCell ref="J2242:K2243"/>
    <mergeCell ref="O2235:O2236"/>
    <mergeCell ref="G2245:L2245"/>
    <mergeCell ref="L2242:L2243"/>
    <mergeCell ref="M2242:Q2242"/>
    <mergeCell ref="D2132:I2133"/>
    <mergeCell ref="J2132:K2133"/>
    <mergeCell ref="L2132:L2133"/>
    <mergeCell ref="M2132:Q2132"/>
    <mergeCell ref="M2243:Q2243"/>
    <mergeCell ref="M2235:M2236"/>
    <mergeCell ref="N2235:N2236"/>
    <mergeCell ref="D2122:I2123"/>
    <mergeCell ref="D287:F287"/>
    <mergeCell ref="G287:I287"/>
    <mergeCell ref="J2122:K2123"/>
    <mergeCell ref="L2122:L2123"/>
    <mergeCell ref="M2122:Q2122"/>
    <mergeCell ref="M2123:Q2123"/>
    <mergeCell ref="D2102:I2103"/>
    <mergeCell ref="J2102:K2103"/>
    <mergeCell ref="L2102:L2103"/>
    <mergeCell ref="M2102:Q2102"/>
    <mergeCell ref="M2103:Q2103"/>
    <mergeCell ref="D2081:I2082"/>
    <mergeCell ref="J2081:K2082"/>
    <mergeCell ref="L2081:L2082"/>
    <mergeCell ref="M2081:Q2081"/>
    <mergeCell ref="M2082:Q2082"/>
    <mergeCell ref="D2061:I2062"/>
    <mergeCell ref="J2061:K2062"/>
    <mergeCell ref="L2061:L2062"/>
    <mergeCell ref="M2061:Q2061"/>
    <mergeCell ref="M2062:Q2062"/>
    <mergeCell ref="D2041:I2042"/>
    <mergeCell ref="J2041:K2042"/>
    <mergeCell ref="L2041:L2042"/>
    <mergeCell ref="M2041:Q2041"/>
    <mergeCell ref="M2042:Q2042"/>
    <mergeCell ref="D2021:I2022"/>
    <mergeCell ref="J2021:K2022"/>
    <mergeCell ref="M1942:Q1942"/>
    <mergeCell ref="D1921:I1922"/>
    <mergeCell ref="J1921:K1922"/>
    <mergeCell ref="L1921:L1922"/>
    <mergeCell ref="M1921:Q1921"/>
    <mergeCell ref="M1922:Q1922"/>
    <mergeCell ref="D1901:I1902"/>
    <mergeCell ref="J1901:K1902"/>
    <mergeCell ref="L1901:L1902"/>
    <mergeCell ref="M1901:Q1901"/>
    <mergeCell ref="M1902:Q1902"/>
    <mergeCell ref="D1881:I1882"/>
    <mergeCell ref="J1881:K1882"/>
    <mergeCell ref="L1881:L1882"/>
    <mergeCell ref="M1881:Q1881"/>
    <mergeCell ref="M1882:Q1882"/>
    <mergeCell ref="D1861:I1862"/>
    <mergeCell ref="J1861:K1862"/>
    <mergeCell ref="L1861:L1862"/>
    <mergeCell ref="R744:R745"/>
    <mergeCell ref="M2231:Q2231"/>
    <mergeCell ref="O2225:O2226"/>
    <mergeCell ref="M2112:Q2112"/>
    <mergeCell ref="M2113:Q2113"/>
    <mergeCell ref="D2112:I2113"/>
    <mergeCell ref="D2417:I2418"/>
    <mergeCell ref="D2592:I2593"/>
    <mergeCell ref="J2592:K2593"/>
    <mergeCell ref="L2592:L2593"/>
    <mergeCell ref="M2592:Q2592"/>
    <mergeCell ref="M2593:Q2593"/>
    <mergeCell ref="D2572:I2573"/>
    <mergeCell ref="J2572:K2573"/>
    <mergeCell ref="L2572:L2573"/>
    <mergeCell ref="M2572:Q2572"/>
    <mergeCell ref="M2573:Q2573"/>
    <mergeCell ref="D2552:I2553"/>
    <mergeCell ref="J2552:K2553"/>
    <mergeCell ref="L2552:L2553"/>
    <mergeCell ref="M2552:Q2552"/>
    <mergeCell ref="M2553:Q2553"/>
    <mergeCell ref="D2531:I2532"/>
    <mergeCell ref="J2531:K2532"/>
    <mergeCell ref="L2531:L2532"/>
    <mergeCell ref="M2531:Q2531"/>
    <mergeCell ref="M2532:Q2532"/>
    <mergeCell ref="J2377:K2378"/>
    <mergeCell ref="M2387:Q2387"/>
    <mergeCell ref="M2388:Q2388"/>
    <mergeCell ref="L2407:L2408"/>
    <mergeCell ref="M2406:Q2406"/>
    <mergeCell ref="L2377:L2378"/>
    <mergeCell ref="D2387:I2388"/>
    <mergeCell ref="R783:R784"/>
    <mergeCell ref="J2366:K2367"/>
    <mergeCell ref="N2380:N2381"/>
    <mergeCell ref="O2380:O2381"/>
    <mergeCell ref="Q2380:Q2381"/>
    <mergeCell ref="D2377:I2378"/>
    <mergeCell ref="R2370:R2371"/>
    <mergeCell ref="J2461:J2462"/>
    <mergeCell ref="K2461:K2462"/>
    <mergeCell ref="L2461:L2462"/>
    <mergeCell ref="M2461:M2462"/>
    <mergeCell ref="N2461:N2462"/>
    <mergeCell ref="R2461:R2462"/>
    <mergeCell ref="D2468:I2469"/>
    <mergeCell ref="D2440:I2440"/>
    <mergeCell ref="J2440:J2441"/>
    <mergeCell ref="R2235:R2236"/>
    <mergeCell ref="J1981:K1982"/>
    <mergeCell ref="L1981:L1982"/>
    <mergeCell ref="M1981:Q1981"/>
    <mergeCell ref="M1982:Q1982"/>
    <mergeCell ref="D1961:I1962"/>
    <mergeCell ref="J1961:K1962"/>
    <mergeCell ref="L1961:L1962"/>
    <mergeCell ref="M1961:Q1961"/>
    <mergeCell ref="M1962:Q1962"/>
    <mergeCell ref="D1941:I1942"/>
    <mergeCell ref="J1941:K1942"/>
    <mergeCell ref="L1941:L1942"/>
    <mergeCell ref="M1941:Q1941"/>
    <mergeCell ref="D4614:I4615"/>
    <mergeCell ref="J4614:K4615"/>
    <mergeCell ref="L4614:L4615"/>
    <mergeCell ref="M4614:Q4614"/>
    <mergeCell ref="M4615:Q4615"/>
    <mergeCell ref="M4613:Q4613"/>
    <mergeCell ref="D4604:I4605"/>
    <mergeCell ref="J4604:K4605"/>
    <mergeCell ref="L4604:L4605"/>
    <mergeCell ref="U4607:U4608"/>
    <mergeCell ref="D4608:F4608"/>
    <mergeCell ref="G4608:I4608"/>
    <mergeCell ref="C2755:C2756"/>
    <mergeCell ref="M2467:Q2467"/>
    <mergeCell ref="M2715:M2716"/>
    <mergeCell ref="N2715:N2716"/>
    <mergeCell ref="O2715:O2716"/>
    <mergeCell ref="Q2715:Q2716"/>
    <mergeCell ref="R2715:R2716"/>
    <mergeCell ref="S2725:S2726"/>
    <mergeCell ref="M2682:Q2682"/>
    <mergeCell ref="M2683:Q2683"/>
    <mergeCell ref="S2675:S2676"/>
    <mergeCell ref="D2662:I2663"/>
    <mergeCell ref="J2662:K2663"/>
    <mergeCell ref="L2662:L2663"/>
    <mergeCell ref="M2662:Q2662"/>
    <mergeCell ref="M2663:Q2663"/>
    <mergeCell ref="S2655:S2656"/>
    <mergeCell ref="D2642:I2643"/>
    <mergeCell ref="J2642:K2643"/>
    <mergeCell ref="L2642:L2643"/>
    <mergeCell ref="R4587:R4588"/>
    <mergeCell ref="S4587:S4588"/>
    <mergeCell ref="T4587:T4588"/>
    <mergeCell ref="J4584:K4585"/>
    <mergeCell ref="M4603:Q4603"/>
    <mergeCell ref="M2501:Q2501"/>
    <mergeCell ref="D2490:I2491"/>
    <mergeCell ref="J2490:K2491"/>
    <mergeCell ref="J2765:J2766"/>
    <mergeCell ref="D4561:F4561"/>
    <mergeCell ref="M2741:Q2741"/>
    <mergeCell ref="J2815:J2816"/>
    <mergeCell ref="D2805:I2805"/>
    <mergeCell ref="J2805:J2806"/>
    <mergeCell ref="K2805:K2806"/>
    <mergeCell ref="M2813:Q2813"/>
    <mergeCell ref="J2785:J2786"/>
    <mergeCell ref="M4204:M4205"/>
    <mergeCell ref="N4204:N4205"/>
    <mergeCell ref="O4204:O4205"/>
    <mergeCell ref="Q4204:Q4205"/>
    <mergeCell ref="D2856:F2856"/>
    <mergeCell ref="L2872:L2873"/>
    <mergeCell ref="O2845:O2846"/>
    <mergeCell ref="J4201:K4202"/>
    <mergeCell ref="M2812:Q2812"/>
    <mergeCell ref="J2851:K2851"/>
    <mergeCell ref="D2835:I2835"/>
    <mergeCell ref="J2835:J2836"/>
    <mergeCell ref="M2823:Q2823"/>
    <mergeCell ref="G2816:I2816"/>
    <mergeCell ref="M2821:Q2821"/>
    <mergeCell ref="B2865:B2866"/>
    <mergeCell ref="C2865:C2866"/>
    <mergeCell ref="U2815:U2816"/>
    <mergeCell ref="T2845:T2846"/>
    <mergeCell ref="M2842:Q2842"/>
    <mergeCell ref="M2843:Q2843"/>
    <mergeCell ref="M2795:M2796"/>
    <mergeCell ref="S2735:S2736"/>
    <mergeCell ref="R2775:R2776"/>
    <mergeCell ref="D2772:I2773"/>
    <mergeCell ref="J2772:K2773"/>
    <mergeCell ref="L2772:L2773"/>
    <mergeCell ref="M2772:Q2772"/>
    <mergeCell ref="M2773:Q2773"/>
    <mergeCell ref="D2842:I2843"/>
    <mergeCell ref="J2842:K2843"/>
    <mergeCell ref="L2842:L2843"/>
    <mergeCell ref="U2805:U2806"/>
    <mergeCell ref="G4264:L4264"/>
    <mergeCell ref="G4541:I4541"/>
    <mergeCell ref="N4467:N4468"/>
    <mergeCell ref="K4346:K4347"/>
    <mergeCell ref="O4367:O4368"/>
    <mergeCell ref="Q4367:Q4368"/>
    <mergeCell ref="R4367:R4368"/>
    <mergeCell ref="J4557:J4558"/>
    <mergeCell ref="M4554:Q4554"/>
    <mergeCell ref="J4554:K4555"/>
    <mergeCell ref="L4554:L4555"/>
    <mergeCell ref="J4553:K4553"/>
    <mergeCell ref="M4553:Q4553"/>
    <mergeCell ref="B2745:B2746"/>
    <mergeCell ref="C2745:C2746"/>
    <mergeCell ref="L2815:L2816"/>
    <mergeCell ref="D2811:I2811"/>
    <mergeCell ref="J2811:K2811"/>
    <mergeCell ref="M2811:Q2811"/>
    <mergeCell ref="M2832:Q2832"/>
    <mergeCell ref="D2825:I2825"/>
    <mergeCell ref="J2825:J2826"/>
    <mergeCell ref="J2812:K2813"/>
    <mergeCell ref="L2812:L2813"/>
    <mergeCell ref="N2815:N2816"/>
    <mergeCell ref="O2815:O2816"/>
    <mergeCell ref="Q2815:Q2816"/>
    <mergeCell ref="O4254:O4255"/>
    <mergeCell ref="Q4254:Q4255"/>
    <mergeCell ref="M4180:Q4180"/>
    <mergeCell ref="M4181:Q4181"/>
    <mergeCell ref="D4160:I4161"/>
    <mergeCell ref="J4160:K4161"/>
    <mergeCell ref="L4160:L4161"/>
    <mergeCell ref="M4160:Q4160"/>
    <mergeCell ref="M4161:Q4161"/>
    <mergeCell ref="D2846:F2846"/>
    <mergeCell ref="D4127:I4127"/>
    <mergeCell ref="J4127:K4127"/>
    <mergeCell ref="M4127:Q4127"/>
    <mergeCell ref="L4122:L4123"/>
    <mergeCell ref="M4122:M4123"/>
    <mergeCell ref="N4122:N4123"/>
    <mergeCell ref="O4122:O4123"/>
    <mergeCell ref="Q4122:Q4123"/>
    <mergeCell ref="D4550:F4550"/>
    <mergeCell ref="B4597:B4598"/>
    <mergeCell ref="C4597:C4598"/>
    <mergeCell ref="D4597:I4597"/>
    <mergeCell ref="B4607:B4608"/>
    <mergeCell ref="C4607:C4608"/>
    <mergeCell ref="M4605:Q4605"/>
    <mergeCell ref="K4597:K4598"/>
    <mergeCell ref="L4597:L4598"/>
    <mergeCell ref="M4597:M4598"/>
    <mergeCell ref="N4597:N4598"/>
    <mergeCell ref="R4597:R4598"/>
    <mergeCell ref="S4597:S4598"/>
    <mergeCell ref="T4597:T4598"/>
    <mergeCell ref="D4613:I4613"/>
    <mergeCell ref="J4613:K4613"/>
    <mergeCell ref="S4607:S4608"/>
    <mergeCell ref="T4607:T4608"/>
    <mergeCell ref="Q4597:Q4598"/>
    <mergeCell ref="D4609:F4609"/>
    <mergeCell ref="G4609:I4609"/>
    <mergeCell ref="S4577:S4578"/>
    <mergeCell ref="T4577:T4578"/>
    <mergeCell ref="U4577:U4578"/>
    <mergeCell ref="D4578:F4578"/>
    <mergeCell ref="G4578:I4578"/>
    <mergeCell ref="D4579:F4579"/>
    <mergeCell ref="R4577:R4578"/>
    <mergeCell ref="U4597:U4598"/>
    <mergeCell ref="M4584:Q4584"/>
    <mergeCell ref="M4585:Q4585"/>
    <mergeCell ref="D4599:F4599"/>
    <mergeCell ref="D4598:F4598"/>
    <mergeCell ref="G4598:I4598"/>
    <mergeCell ref="D4587:I4587"/>
    <mergeCell ref="J4587:J4588"/>
    <mergeCell ref="D4594:I4595"/>
    <mergeCell ref="J4594:K4595"/>
    <mergeCell ref="L4594:L4595"/>
    <mergeCell ref="M4594:Q4594"/>
    <mergeCell ref="M4595:Q4595"/>
    <mergeCell ref="J4597:J4598"/>
    <mergeCell ref="K4587:K4588"/>
    <mergeCell ref="L4584:L4585"/>
    <mergeCell ref="M4604:Q4604"/>
    <mergeCell ref="U4500:U4515"/>
    <mergeCell ref="G461:I461"/>
    <mergeCell ref="R768:R773"/>
    <mergeCell ref="N537:N538"/>
    <mergeCell ref="J595:K596"/>
    <mergeCell ref="L595:L596"/>
    <mergeCell ref="M595:Q595"/>
    <mergeCell ref="S752:S754"/>
    <mergeCell ref="S783:S784"/>
    <mergeCell ref="G2875:L2875"/>
    <mergeCell ref="S2286:S2287"/>
    <mergeCell ref="D2273:I2274"/>
    <mergeCell ref="J2273:K2274"/>
    <mergeCell ref="J4352:K4352"/>
    <mergeCell ref="M4352:Q4352"/>
    <mergeCell ref="L4346:L4347"/>
    <mergeCell ref="M4346:M4347"/>
    <mergeCell ref="N4346:N4347"/>
    <mergeCell ref="O4346:O4347"/>
    <mergeCell ref="Q4346:Q4347"/>
    <mergeCell ref="N524:N525"/>
    <mergeCell ref="R702:R705"/>
    <mergeCell ref="R708:R709"/>
    <mergeCell ref="S2256:S2257"/>
    <mergeCell ref="N2855:N2856"/>
    <mergeCell ref="K2390:K2391"/>
    <mergeCell ref="J2387:K2388"/>
    <mergeCell ref="M2253:Q2253"/>
    <mergeCell ref="S2440:S2441"/>
    <mergeCell ref="M2377:Q2377"/>
    <mergeCell ref="M2378:Q2378"/>
    <mergeCell ref="L2420:L2421"/>
    <mergeCell ref="D2851:I2851"/>
    <mergeCell ref="K2825:K2826"/>
    <mergeCell ref="L2825:L2826"/>
    <mergeCell ref="G2846:I2846"/>
    <mergeCell ref="Q2825:Q2826"/>
    <mergeCell ref="J2861:K2861"/>
    <mergeCell ref="G4225:I4225"/>
    <mergeCell ref="R781:R782"/>
    <mergeCell ref="M2802:Q2802"/>
    <mergeCell ref="M2803:Q2803"/>
    <mergeCell ref="O2795:O2796"/>
    <mergeCell ref="M2762:Q2762"/>
    <mergeCell ref="M2763:Q2763"/>
    <mergeCell ref="D2602:I2603"/>
    <mergeCell ref="J2602:K2603"/>
    <mergeCell ref="T2755:T2756"/>
    <mergeCell ref="S2825:S2826"/>
    <mergeCell ref="S2695:S2696"/>
    <mergeCell ref="U2725:U2726"/>
    <mergeCell ref="G2726:I2726"/>
    <mergeCell ref="S2665:S2666"/>
    <mergeCell ref="T2665:T2666"/>
    <mergeCell ref="U2665:U2666"/>
    <mergeCell ref="D2666:F2666"/>
    <mergeCell ref="L2232:L2233"/>
    <mergeCell ref="M2232:Q2232"/>
    <mergeCell ref="D2241:I2241"/>
    <mergeCell ref="L2253:L2254"/>
    <mergeCell ref="L2263:L2264"/>
    <mergeCell ref="D4373:I4373"/>
    <mergeCell ref="D2366:I2367"/>
    <mergeCell ref="U4424:U4435"/>
    <mergeCell ref="B2266:B2267"/>
    <mergeCell ref="C2266:C2267"/>
    <mergeCell ref="B2276:B2277"/>
    <mergeCell ref="C2276:C2277"/>
    <mergeCell ref="L2276:L2277"/>
    <mergeCell ref="B2370:B2371"/>
    <mergeCell ref="C2370:C2371"/>
    <mergeCell ref="D2370:I2370"/>
    <mergeCell ref="J2370:J2371"/>
    <mergeCell ref="K2370:K2371"/>
    <mergeCell ref="M2349:M2350"/>
    <mergeCell ref="N2349:N2350"/>
    <mergeCell ref="O2349:O2350"/>
    <mergeCell ref="Q2349:Q2350"/>
    <mergeCell ref="M2366:Q2366"/>
    <mergeCell ref="M2367:Q2367"/>
    <mergeCell ref="M2356:Q2356"/>
    <mergeCell ref="B2286:B2287"/>
    <mergeCell ref="R2359:R2360"/>
    <mergeCell ref="L2366:L2367"/>
    <mergeCell ref="B2339:B2340"/>
    <mergeCell ref="C2339:C2340"/>
    <mergeCell ref="G2327:L2327"/>
    <mergeCell ref="B2380:B2381"/>
    <mergeCell ref="L2400:L2401"/>
    <mergeCell ref="M2400:M2401"/>
    <mergeCell ref="N2400:N2401"/>
    <mergeCell ref="B2359:B2360"/>
    <mergeCell ref="C2359:C2360"/>
    <mergeCell ref="R2276:R2277"/>
    <mergeCell ref="L2387:L2388"/>
    <mergeCell ref="R2266:R2267"/>
    <mergeCell ref="C2410:C2411"/>
    <mergeCell ref="R2410:R2411"/>
    <mergeCell ref="G2350:I2350"/>
    <mergeCell ref="M2347:Q2347"/>
    <mergeCell ref="O2339:O2340"/>
    <mergeCell ref="Q2339:Q2340"/>
    <mergeCell ref="D2340:F2340"/>
    <mergeCell ref="G2340:I2340"/>
    <mergeCell ref="M2345:Q2345"/>
    <mergeCell ref="D2346:I2347"/>
    <mergeCell ref="D2335:I2335"/>
    <mergeCell ref="J2335:K2335"/>
    <mergeCell ref="M2335:Q2335"/>
    <mergeCell ref="O2286:O2287"/>
    <mergeCell ref="Q2286:Q2287"/>
    <mergeCell ref="R2286:R2287"/>
    <mergeCell ref="D2292:I2292"/>
    <mergeCell ref="M2293:Q2293"/>
    <mergeCell ref="M2294:Q2294"/>
    <mergeCell ref="M2292:Q2292"/>
    <mergeCell ref="J2293:K2294"/>
    <mergeCell ref="J2286:J2287"/>
    <mergeCell ref="K2286:K2287"/>
    <mergeCell ref="R2306:R2307"/>
    <mergeCell ref="D2312:I2312"/>
    <mergeCell ref="J2312:K2312"/>
    <mergeCell ref="M2312:Q2312"/>
    <mergeCell ref="L2306:L2307"/>
    <mergeCell ref="M2306:M2307"/>
    <mergeCell ref="N2306:N2307"/>
    <mergeCell ref="Q2410:Q2411"/>
    <mergeCell ref="G2369:L2369"/>
    <mergeCell ref="B2765:B2766"/>
    <mergeCell ref="C2765:C2766"/>
    <mergeCell ref="D2765:I2765"/>
    <mergeCell ref="B2735:B2736"/>
    <mergeCell ref="T2400:T2401"/>
    <mergeCell ref="B2400:B2401"/>
    <mergeCell ref="C2400:C2401"/>
    <mergeCell ref="L2805:L2806"/>
    <mergeCell ref="M2805:M2806"/>
    <mergeCell ref="N2805:N2806"/>
    <mergeCell ref="O2805:O2806"/>
    <mergeCell ref="Q2805:Q2806"/>
    <mergeCell ref="M2408:Q2408"/>
    <mergeCell ref="B2410:B2411"/>
    <mergeCell ref="J2417:K2418"/>
    <mergeCell ref="B2420:B2421"/>
    <mergeCell ref="O2410:O2411"/>
    <mergeCell ref="C2420:C2421"/>
    <mergeCell ref="D2701:I2701"/>
    <mergeCell ref="J2701:K2701"/>
    <mergeCell ref="M2701:Q2701"/>
    <mergeCell ref="L2695:L2696"/>
    <mergeCell ref="M2695:M2696"/>
    <mergeCell ref="N2695:N2696"/>
    <mergeCell ref="O2695:O2696"/>
    <mergeCell ref="Q2695:Q2696"/>
    <mergeCell ref="N2420:N2421"/>
    <mergeCell ref="M2713:Q2713"/>
    <mergeCell ref="J2386:K2386"/>
    <mergeCell ref="B2755:B2756"/>
    <mergeCell ref="B2390:B2391"/>
    <mergeCell ref="C2390:C2391"/>
    <mergeCell ref="J2390:J2391"/>
    <mergeCell ref="T2735:T2736"/>
    <mergeCell ref="D2672:I2673"/>
    <mergeCell ref="J2672:K2673"/>
    <mergeCell ref="L2672:L2673"/>
    <mergeCell ref="M2672:Q2672"/>
    <mergeCell ref="M2673:Q2673"/>
    <mergeCell ref="O2705:O2706"/>
    <mergeCell ref="Q2705:Q2706"/>
    <mergeCell ref="R2705:R2706"/>
    <mergeCell ref="M2386:Q2386"/>
    <mergeCell ref="L2765:L2766"/>
    <mergeCell ref="M2765:M2766"/>
    <mergeCell ref="N2765:N2766"/>
    <mergeCell ref="O2765:O2766"/>
    <mergeCell ref="B2775:B2776"/>
    <mergeCell ref="B2805:B2806"/>
    <mergeCell ref="B2785:B2786"/>
    <mergeCell ref="C2785:C2786"/>
    <mergeCell ref="B2725:B2726"/>
    <mergeCell ref="L2712:L2713"/>
    <mergeCell ref="M2712:Q2712"/>
    <mergeCell ref="S2420:S2421"/>
    <mergeCell ref="D2430:I2430"/>
    <mergeCell ref="L2417:L2418"/>
    <mergeCell ref="M2732:Q2732"/>
    <mergeCell ref="M2733:Q2733"/>
    <mergeCell ref="Q2735:Q2736"/>
    <mergeCell ref="R2735:R2736"/>
    <mergeCell ref="C2775:C2776"/>
    <mergeCell ref="D2775:I2775"/>
    <mergeCell ref="L2735:L2736"/>
    <mergeCell ref="T2440:T2441"/>
    <mergeCell ref="B2440:B2441"/>
    <mergeCell ref="C2835:C2836"/>
    <mergeCell ref="D2822:I2823"/>
    <mergeCell ref="M2456:Q2456"/>
    <mergeCell ref="D2457:I2458"/>
    <mergeCell ref="D2500:I2501"/>
    <mergeCell ref="J2500:K2501"/>
    <mergeCell ref="D2416:I2416"/>
    <mergeCell ref="D2702:I2703"/>
    <mergeCell ref="J2702:K2703"/>
    <mergeCell ref="L2702:L2703"/>
    <mergeCell ref="M2702:Q2702"/>
    <mergeCell ref="M2703:Q2703"/>
    <mergeCell ref="L2490:L2491"/>
    <mergeCell ref="M2490:Q2490"/>
    <mergeCell ref="D2467:I2467"/>
    <mergeCell ref="J2467:K2467"/>
    <mergeCell ref="R2835:R2836"/>
    <mergeCell ref="S2835:S2836"/>
    <mergeCell ref="T2835:T2836"/>
    <mergeCell ref="T2825:T2826"/>
    <mergeCell ref="B2815:B2816"/>
    <mergeCell ref="C2815:C2816"/>
    <mergeCell ref="M2815:M2816"/>
    <mergeCell ref="D2786:F2786"/>
    <mergeCell ref="G2786:I2786"/>
    <mergeCell ref="D2791:I2791"/>
    <mergeCell ref="J2791:K2791"/>
    <mergeCell ref="M2791:Q2791"/>
    <mergeCell ref="L2785:L2786"/>
    <mergeCell ref="M2785:M2786"/>
    <mergeCell ref="N2785:N2786"/>
    <mergeCell ref="O2785:O2786"/>
    <mergeCell ref="T2725:T2726"/>
    <mergeCell ref="J2741:K2741"/>
    <mergeCell ref="C2725:C2726"/>
    <mergeCell ref="D2712:I2713"/>
    <mergeCell ref="J2712:K2713"/>
    <mergeCell ref="D2755:I2755"/>
    <mergeCell ref="J2755:J2756"/>
    <mergeCell ref="K2755:K2756"/>
    <mergeCell ref="Q2765:Q2766"/>
    <mergeCell ref="R2765:R2766"/>
    <mergeCell ref="D2752:I2753"/>
    <mergeCell ref="K2815:K2816"/>
    <mergeCell ref="G2806:I2806"/>
    <mergeCell ref="L2795:L2796"/>
    <mergeCell ref="D2735:I2735"/>
    <mergeCell ref="D2726:F2726"/>
    <mergeCell ref="J2771:K2771"/>
    <mergeCell ref="N2735:N2736"/>
    <mergeCell ref="O2735:O2736"/>
    <mergeCell ref="D2732:I2733"/>
    <mergeCell ref="J2732:K2733"/>
    <mergeCell ref="L2732:L2733"/>
    <mergeCell ref="D2731:I2731"/>
    <mergeCell ref="J2731:K2731"/>
    <mergeCell ref="M2731:Q2731"/>
    <mergeCell ref="L2725:L2726"/>
    <mergeCell ref="M2725:M2726"/>
    <mergeCell ref="N2725:N2726"/>
    <mergeCell ref="J2735:J2736"/>
    <mergeCell ref="D2802:I2803"/>
    <mergeCell ref="U2735:U2736"/>
    <mergeCell ref="D2736:F2736"/>
    <mergeCell ref="G2736:I2736"/>
    <mergeCell ref="M2735:M2736"/>
    <mergeCell ref="U2715:U2716"/>
    <mergeCell ref="D2741:I2741"/>
    <mergeCell ref="J2705:J2706"/>
    <mergeCell ref="K2705:K2706"/>
    <mergeCell ref="S2715:S2716"/>
    <mergeCell ref="T2695:T2696"/>
    <mergeCell ref="U2695:U2696"/>
    <mergeCell ref="D2696:F2696"/>
    <mergeCell ref="C2735:C2736"/>
    <mergeCell ref="Q2775:Q2776"/>
    <mergeCell ref="M2792:Q2792"/>
    <mergeCell ref="T2785:T2786"/>
    <mergeCell ref="U2795:U2796"/>
    <mergeCell ref="J2762:K2763"/>
    <mergeCell ref="L2762:L2763"/>
    <mergeCell ref="M2771:Q2771"/>
    <mergeCell ref="D2716:F2716"/>
    <mergeCell ref="U2745:U2746"/>
    <mergeCell ref="D2746:F2746"/>
    <mergeCell ref="G2746:I2746"/>
    <mergeCell ref="D2751:I2751"/>
    <mergeCell ref="J2751:K2751"/>
    <mergeCell ref="M2751:Q2751"/>
    <mergeCell ref="L2745:L2746"/>
    <mergeCell ref="M2745:M2746"/>
    <mergeCell ref="N2745:N2746"/>
    <mergeCell ref="O2745:O2746"/>
    <mergeCell ref="Q2745:Q2746"/>
    <mergeCell ref="R2745:R2746"/>
    <mergeCell ref="D2742:I2743"/>
    <mergeCell ref="J2742:K2743"/>
    <mergeCell ref="L2742:L2743"/>
    <mergeCell ref="M2742:Q2742"/>
    <mergeCell ref="M2743:Q2743"/>
    <mergeCell ref="S2745:S2746"/>
    <mergeCell ref="T2745:T2746"/>
    <mergeCell ref="J2745:J2746"/>
    <mergeCell ref="K2745:K2746"/>
    <mergeCell ref="D2745:I2745"/>
    <mergeCell ref="D2771:I2771"/>
    <mergeCell ref="D2796:F2796"/>
    <mergeCell ref="T2795:T2796"/>
    <mergeCell ref="K2795:K2796"/>
    <mergeCell ref="S2755:S2756"/>
    <mergeCell ref="S2785:S2786"/>
    <mergeCell ref="J2752:K2753"/>
    <mergeCell ref="Q2795:Q2796"/>
    <mergeCell ref="K2765:K2766"/>
    <mergeCell ref="G2796:I2796"/>
    <mergeCell ref="L2752:L2753"/>
    <mergeCell ref="J2782:K2783"/>
    <mergeCell ref="L2782:L2783"/>
    <mergeCell ref="M2782:Q2782"/>
    <mergeCell ref="N2795:N2796"/>
    <mergeCell ref="R2795:R2796"/>
    <mergeCell ref="J2775:J2776"/>
    <mergeCell ref="K2775:K2776"/>
    <mergeCell ref="D2782:I2783"/>
    <mergeCell ref="D2792:I2793"/>
    <mergeCell ref="J2792:K2793"/>
    <mergeCell ref="S2805:S2806"/>
    <mergeCell ref="T2805:T2806"/>
    <mergeCell ref="D2806:F2806"/>
    <mergeCell ref="L2792:L2793"/>
    <mergeCell ref="Q2785:Q2786"/>
    <mergeCell ref="R2785:R2786"/>
    <mergeCell ref="D2785:I2785"/>
    <mergeCell ref="M2783:Q2783"/>
    <mergeCell ref="K2785:K2786"/>
    <mergeCell ref="M2775:M2776"/>
    <mergeCell ref="N2775:N2776"/>
    <mergeCell ref="O2775:O2776"/>
    <mergeCell ref="S2815:S2816"/>
    <mergeCell ref="T2815:T2816"/>
    <mergeCell ref="R2825:R2826"/>
    <mergeCell ref="G2826:I2826"/>
    <mergeCell ref="L2775:L2776"/>
    <mergeCell ref="D2826:F2826"/>
    <mergeCell ref="M2851:Q2851"/>
    <mergeCell ref="L2845:L2846"/>
    <mergeCell ref="J2822:K2823"/>
    <mergeCell ref="L2822:L2823"/>
    <mergeCell ref="R2815:R2816"/>
    <mergeCell ref="O2875:R2875"/>
    <mergeCell ref="D4374:I4375"/>
    <mergeCell ref="J4374:K4375"/>
    <mergeCell ref="L4374:L4375"/>
    <mergeCell ref="M4374:Q4374"/>
    <mergeCell ref="M4375:Q4375"/>
    <mergeCell ref="O2855:O2856"/>
    <mergeCell ref="G2856:I2856"/>
    <mergeCell ref="U2845:U2846"/>
    <mergeCell ref="G2866:I2866"/>
    <mergeCell ref="D2871:I2871"/>
    <mergeCell ref="J2871:K2871"/>
    <mergeCell ref="M2871:Q2871"/>
    <mergeCell ref="L2865:L2866"/>
    <mergeCell ref="M2865:M2866"/>
    <mergeCell ref="Q2855:Q2856"/>
    <mergeCell ref="J4353:K4354"/>
    <mergeCell ref="L4353:L4354"/>
    <mergeCell ref="M4353:Q4353"/>
    <mergeCell ref="M4354:Q4354"/>
    <mergeCell ref="L4356:L4357"/>
    <mergeCell ref="R4346:R4347"/>
    <mergeCell ref="D4362:I4362"/>
    <mergeCell ref="J4362:K4362"/>
    <mergeCell ref="J4323:K4324"/>
    <mergeCell ref="L4313:L4314"/>
    <mergeCell ref="M4313:Q4313"/>
    <mergeCell ref="M4314:Q4314"/>
    <mergeCell ref="D4333:I4334"/>
    <mergeCell ref="J4333:K4334"/>
    <mergeCell ref="L4333:L4334"/>
    <mergeCell ref="M4333:Q4333"/>
    <mergeCell ref="M4334:Q4334"/>
    <mergeCell ref="U4296:U4297"/>
    <mergeCell ref="M4363:Q4363"/>
    <mergeCell ref="M4262:Q4262"/>
    <mergeCell ref="S4254:S4255"/>
    <mergeCell ref="T4254:T4255"/>
    <mergeCell ref="U4254:U4255"/>
    <mergeCell ref="S2845:S2846"/>
    <mergeCell ref="M2872:Q2872"/>
    <mergeCell ref="U2825:U2826"/>
    <mergeCell ref="M2845:M2846"/>
    <mergeCell ref="N2845:N2846"/>
    <mergeCell ref="D2866:F2866"/>
    <mergeCell ref="M2852:Q2852"/>
    <mergeCell ref="M2853:Q2853"/>
    <mergeCell ref="D4260:I4260"/>
    <mergeCell ref="J4260:K4260"/>
    <mergeCell ref="M4260:Q4260"/>
    <mergeCell ref="L4254:L4255"/>
    <mergeCell ref="M4254:M4255"/>
    <mergeCell ref="N4254:N4255"/>
    <mergeCell ref="O4264:R4264"/>
    <mergeCell ref="G4265:L4265"/>
    <mergeCell ref="O4265:R4265"/>
    <mergeCell ref="D4261:I4262"/>
    <mergeCell ref="J4261:K4262"/>
    <mergeCell ref="T4266:T4267"/>
    <mergeCell ref="U4266:U4267"/>
    <mergeCell ref="D4267:F4267"/>
    <mergeCell ref="G4267:I4267"/>
    <mergeCell ref="L4251:L4252"/>
    <mergeCell ref="M4251:Q4251"/>
    <mergeCell ref="M4252:Q4252"/>
    <mergeCell ref="L4231:L4232"/>
    <mergeCell ref="M4231:Q4231"/>
    <mergeCell ref="M4232:Q4232"/>
    <mergeCell ref="M4261:Q4261"/>
    <mergeCell ref="R4204:R4205"/>
    <mergeCell ref="M4202:Q4202"/>
    <mergeCell ref="D4210:I4210"/>
    <mergeCell ref="J4210:K4210"/>
    <mergeCell ref="M4210:Q4210"/>
    <mergeCell ref="S4183:S4184"/>
    <mergeCell ref="T4183:T4184"/>
    <mergeCell ref="U4183:U4184"/>
    <mergeCell ref="D4184:F4184"/>
    <mergeCell ref="G4184:I4184"/>
    <mergeCell ref="D4189:I4189"/>
    <mergeCell ref="J4189:K4189"/>
    <mergeCell ref="M4189:Q4189"/>
    <mergeCell ref="L4183:L4184"/>
    <mergeCell ref="M4183:M4184"/>
    <mergeCell ref="N4183:N4184"/>
    <mergeCell ref="O4183:O4184"/>
    <mergeCell ref="Q4183:Q4184"/>
    <mergeCell ref="R4183:R4184"/>
    <mergeCell ref="D4201:I4202"/>
    <mergeCell ref="L4119:L4120"/>
    <mergeCell ref="M4119:Q4119"/>
    <mergeCell ref="M4120:Q4120"/>
    <mergeCell ref="T4093:T4094"/>
    <mergeCell ref="U4093:U4094"/>
    <mergeCell ref="D4094:F4094"/>
    <mergeCell ref="G4094:I4094"/>
    <mergeCell ref="D4099:I4099"/>
    <mergeCell ref="J4099:K4099"/>
    <mergeCell ref="M4099:Q4099"/>
    <mergeCell ref="L4093:L4094"/>
    <mergeCell ref="M4093:M4094"/>
    <mergeCell ref="N4093:N4094"/>
    <mergeCell ref="O4093:O4094"/>
    <mergeCell ref="Q4093:Q4094"/>
    <mergeCell ref="R4093:R4094"/>
    <mergeCell ref="S4306:S4307"/>
    <mergeCell ref="T4306:T4307"/>
    <mergeCell ref="U4306:U4307"/>
    <mergeCell ref="S4316:S4317"/>
    <mergeCell ref="T4316:T4317"/>
    <mergeCell ref="U4316:U4317"/>
    <mergeCell ref="U4286:U4287"/>
    <mergeCell ref="D4287:F4287"/>
    <mergeCell ref="G4287:I4287"/>
    <mergeCell ref="D4292:I4292"/>
    <mergeCell ref="J4292:K4292"/>
    <mergeCell ref="M4292:Q4292"/>
    <mergeCell ref="L4286:L4287"/>
    <mergeCell ref="M4286:M4287"/>
    <mergeCell ref="N4286:N4287"/>
    <mergeCell ref="O4286:O4287"/>
    <mergeCell ref="Q4286:Q4287"/>
    <mergeCell ref="R4286:R4287"/>
    <mergeCell ref="J4293:K4294"/>
    <mergeCell ref="U4276:U4277"/>
    <mergeCell ref="M2873:Q2873"/>
    <mergeCell ref="N2865:N2866"/>
    <mergeCell ref="O2865:O2866"/>
    <mergeCell ref="Q2865:Q2866"/>
    <mergeCell ref="D2872:I2873"/>
    <mergeCell ref="J2872:K2873"/>
    <mergeCell ref="T4153:T4154"/>
    <mergeCell ref="U4153:U4154"/>
    <mergeCell ref="D4154:F4154"/>
    <mergeCell ref="G4154:I4154"/>
    <mergeCell ref="D4159:I4159"/>
    <mergeCell ref="J4159:K4159"/>
    <mergeCell ref="M4159:Q4159"/>
    <mergeCell ref="L4153:L4154"/>
    <mergeCell ref="M4153:M4154"/>
    <mergeCell ref="N4153:N4154"/>
    <mergeCell ref="O4153:O4154"/>
    <mergeCell ref="Q4153:Q4154"/>
    <mergeCell ref="R4153:R4154"/>
    <mergeCell ref="D4150:I4151"/>
    <mergeCell ref="J4150:K4151"/>
    <mergeCell ref="L4150:L4151"/>
    <mergeCell ref="M4150:Q4150"/>
    <mergeCell ref="M4151:Q4151"/>
    <mergeCell ref="D4128:I4129"/>
    <mergeCell ref="J4128:K4129"/>
    <mergeCell ref="L4128:L4129"/>
    <mergeCell ref="M4128:Q4128"/>
    <mergeCell ref="M4129:Q4129"/>
    <mergeCell ref="S4122:S4123"/>
    <mergeCell ref="T4122:T4123"/>
    <mergeCell ref="U4122:U4123"/>
    <mergeCell ref="D4123:F4123"/>
    <mergeCell ref="R4254:R4255"/>
    <mergeCell ref="G4123:I4123"/>
    <mergeCell ref="R4122:R4123"/>
    <mergeCell ref="G4131:L4131"/>
    <mergeCell ref="O4131:R4131"/>
    <mergeCell ref="G4132:L4132"/>
    <mergeCell ref="O4132:R4132"/>
    <mergeCell ref="D4119:I4120"/>
    <mergeCell ref="J4119:K4120"/>
    <mergeCell ref="D4044:F4044"/>
    <mergeCell ref="G4044:I4044"/>
    <mergeCell ref="D4390:F4390"/>
    <mergeCell ref="D4343:I4344"/>
    <mergeCell ref="U4408:U4423"/>
    <mergeCell ref="D4367:I4367"/>
    <mergeCell ref="J4367:J4368"/>
    <mergeCell ref="K4367:K4368"/>
    <mergeCell ref="J4326:J4327"/>
    <mergeCell ref="K4356:K4357"/>
    <mergeCell ref="J4538:J4539"/>
    <mergeCell ref="K4538:K4539"/>
    <mergeCell ref="L4538:L4539"/>
    <mergeCell ref="M4538:M4539"/>
    <mergeCell ref="N4538:N4539"/>
    <mergeCell ref="J4467:J4468"/>
    <mergeCell ref="K4467:K4468"/>
    <mergeCell ref="L4467:L4468"/>
    <mergeCell ref="D4468:F4468"/>
    <mergeCell ref="G4468:I4468"/>
    <mergeCell ref="T4467:T4468"/>
    <mergeCell ref="S4467:S4468"/>
    <mergeCell ref="U4517:U4529"/>
    <mergeCell ref="D4378:I4378"/>
    <mergeCell ref="J4378:J4379"/>
    <mergeCell ref="K4378:K4379"/>
    <mergeCell ref="O4378:O4379"/>
    <mergeCell ref="R4356:R4357"/>
    <mergeCell ref="O4366:R4366"/>
    <mergeCell ref="B4377:U4377"/>
    <mergeCell ref="K4326:K4327"/>
    <mergeCell ref="B4367:B4368"/>
    <mergeCell ref="C4367:C4368"/>
    <mergeCell ref="B4326:B4327"/>
    <mergeCell ref="C4326:C4327"/>
    <mergeCell ref="L4464:L4465"/>
    <mergeCell ref="M4464:Q4464"/>
    <mergeCell ref="M4465:Q4465"/>
    <mergeCell ref="D4535:I4536"/>
    <mergeCell ref="M4364:Q4364"/>
    <mergeCell ref="N4378:N4379"/>
    <mergeCell ref="Q4378:Q4379"/>
    <mergeCell ref="S4356:S4357"/>
    <mergeCell ref="T4356:T4357"/>
    <mergeCell ref="U4356:U4357"/>
    <mergeCell ref="M4356:M4357"/>
    <mergeCell ref="N4356:N4357"/>
    <mergeCell ref="O4356:O4357"/>
    <mergeCell ref="Q4356:Q4357"/>
    <mergeCell ref="D4357:F4357"/>
    <mergeCell ref="U4346:U4347"/>
    <mergeCell ref="D4347:F4347"/>
    <mergeCell ref="D4332:I4332"/>
    <mergeCell ref="J4332:K4332"/>
    <mergeCell ref="M4332:Q4332"/>
    <mergeCell ref="S4336:S4337"/>
    <mergeCell ref="T4336:T4337"/>
    <mergeCell ref="S4326:S4327"/>
    <mergeCell ref="T4326:T4327"/>
    <mergeCell ref="U4326:U4327"/>
    <mergeCell ref="D4327:F4327"/>
    <mergeCell ref="G4327:I4327"/>
    <mergeCell ref="L4326:L4327"/>
    <mergeCell ref="M4326:M4327"/>
    <mergeCell ref="N4326:N4327"/>
    <mergeCell ref="O4326:O4327"/>
    <mergeCell ref="R4567:R4568"/>
    <mergeCell ref="S4567:S4568"/>
    <mergeCell ref="T4567:T4568"/>
    <mergeCell ref="U4567:U4568"/>
    <mergeCell ref="D4568:F4568"/>
    <mergeCell ref="G4568:I4568"/>
    <mergeCell ref="R4607:R4608"/>
    <mergeCell ref="U4587:U4588"/>
    <mergeCell ref="D4588:F4588"/>
    <mergeCell ref="G4588:I4588"/>
    <mergeCell ref="O4597:O4598"/>
    <mergeCell ref="U4367:U4368"/>
    <mergeCell ref="D4368:F4368"/>
    <mergeCell ref="G4368:I4368"/>
    <mergeCell ref="D4467:I4467"/>
    <mergeCell ref="J4534:K4534"/>
    <mergeCell ref="U4538:U4539"/>
    <mergeCell ref="M4467:M4468"/>
    <mergeCell ref="D4554:I4555"/>
    <mergeCell ref="D4564:I4565"/>
    <mergeCell ref="J4564:K4565"/>
    <mergeCell ref="L4564:L4565"/>
    <mergeCell ref="M4564:Q4564"/>
    <mergeCell ref="M4565:Q4565"/>
    <mergeCell ref="D4559:F4559"/>
    <mergeCell ref="G4559:I4559"/>
    <mergeCell ref="D4540:F4540"/>
    <mergeCell ref="G4540:I4540"/>
    <mergeCell ref="R4378:R4379"/>
    <mergeCell ref="D4463:I4463"/>
    <mergeCell ref="T4367:T4368"/>
    <mergeCell ref="B4467:B4468"/>
    <mergeCell ref="B4577:B4578"/>
    <mergeCell ref="C4577:C4578"/>
    <mergeCell ref="D4577:I4577"/>
    <mergeCell ref="J4577:J4578"/>
    <mergeCell ref="K4577:K4578"/>
    <mergeCell ref="L4577:L4578"/>
    <mergeCell ref="M4577:M4578"/>
    <mergeCell ref="N4577:N4578"/>
    <mergeCell ref="O4577:O4578"/>
    <mergeCell ref="Q4577:Q4578"/>
    <mergeCell ref="D4569:F4569"/>
    <mergeCell ref="G4569:I4569"/>
    <mergeCell ref="M4574:Q4574"/>
    <mergeCell ref="M4575:Q4575"/>
    <mergeCell ref="J4583:K4583"/>
    <mergeCell ref="M4583:Q4583"/>
    <mergeCell ref="D4584:I4585"/>
    <mergeCell ref="B4587:B4588"/>
    <mergeCell ref="C4587:C4588"/>
    <mergeCell ref="L4587:L4588"/>
    <mergeCell ref="M4587:M4588"/>
    <mergeCell ref="N4587:N4588"/>
    <mergeCell ref="O4587:O4588"/>
    <mergeCell ref="Q4587:Q4588"/>
    <mergeCell ref="D4589:F4589"/>
    <mergeCell ref="G4589:I4589"/>
    <mergeCell ref="G4560:I4560"/>
    <mergeCell ref="D4560:F4560"/>
    <mergeCell ref="B4567:B4568"/>
    <mergeCell ref="C4567:C4568"/>
    <mergeCell ref="D4567:I4567"/>
    <mergeCell ref="S4367:S4368"/>
    <mergeCell ref="U4838:W4838"/>
    <mergeCell ref="P4839:R4839"/>
    <mergeCell ref="U4839:W4839"/>
    <mergeCell ref="P4838:R4838"/>
    <mergeCell ref="D4385:I4386"/>
    <mergeCell ref="J4385:K4386"/>
    <mergeCell ref="L4385:L4386"/>
    <mergeCell ref="M4385:Q4385"/>
    <mergeCell ref="M4386:Q4386"/>
    <mergeCell ref="S4378:S4379"/>
    <mergeCell ref="T4378:T4379"/>
    <mergeCell ref="U4378:U4379"/>
    <mergeCell ref="D4379:F4379"/>
    <mergeCell ref="G4379:I4379"/>
    <mergeCell ref="D4384:I4384"/>
    <mergeCell ref="J4384:K4384"/>
    <mergeCell ref="M4384:Q4384"/>
    <mergeCell ref="L4378:L4379"/>
    <mergeCell ref="M4378:M4379"/>
    <mergeCell ref="D4552:F4552"/>
    <mergeCell ref="J4463:K4463"/>
    <mergeCell ref="M4463:Q4463"/>
    <mergeCell ref="D4464:I4465"/>
    <mergeCell ref="J4464:K4465"/>
    <mergeCell ref="M4557:M4558"/>
    <mergeCell ref="D4563:I4563"/>
    <mergeCell ref="J4563:K4563"/>
    <mergeCell ref="M4563:Q4563"/>
    <mergeCell ref="T4538:T4539"/>
    <mergeCell ref="R4557:R4558"/>
    <mergeCell ref="S4557:S4558"/>
    <mergeCell ref="T4557:T4558"/>
    <mergeCell ref="C4538:C4539"/>
    <mergeCell ref="D4538:I4538"/>
    <mergeCell ref="M4534:Q4534"/>
    <mergeCell ref="C4467:C4468"/>
    <mergeCell ref="T4389:T4390"/>
    <mergeCell ref="B4388:U4388"/>
    <mergeCell ref="G4546:I4546"/>
    <mergeCell ref="D4544:F4544"/>
    <mergeCell ref="G4544:I4544"/>
    <mergeCell ref="U4467:U4468"/>
    <mergeCell ref="R4467:R4468"/>
    <mergeCell ref="U4557:U4558"/>
    <mergeCell ref="G4558:I4558"/>
    <mergeCell ref="O4538:O4539"/>
    <mergeCell ref="Q4538:Q4539"/>
    <mergeCell ref="K4557:K4558"/>
    <mergeCell ref="L4557:L4558"/>
    <mergeCell ref="N4557:N4558"/>
    <mergeCell ref="U4389:U4390"/>
    <mergeCell ref="M4389:M4390"/>
    <mergeCell ref="N4389:N4390"/>
    <mergeCell ref="O4389:O4390"/>
    <mergeCell ref="D4557:I4557"/>
    <mergeCell ref="D4547:F4547"/>
    <mergeCell ref="G4547:I4547"/>
    <mergeCell ref="U4469:U4485"/>
    <mergeCell ref="U4436:U4447"/>
    <mergeCell ref="U4448:U4456"/>
    <mergeCell ref="O4467:O4468"/>
    <mergeCell ref="Q4467:Q4468"/>
    <mergeCell ref="D4548:F4548"/>
    <mergeCell ref="G4548:I4548"/>
    <mergeCell ref="B4557:B4558"/>
    <mergeCell ref="O4557:O4558"/>
    <mergeCell ref="Q4557:Q4558"/>
    <mergeCell ref="U4336:U4337"/>
    <mergeCell ref="D4337:F4337"/>
    <mergeCell ref="G4337:I4337"/>
    <mergeCell ref="D4342:I4342"/>
    <mergeCell ref="J4342:K4342"/>
    <mergeCell ref="M4342:Q4342"/>
    <mergeCell ref="L4336:L4337"/>
    <mergeCell ref="M4336:M4337"/>
    <mergeCell ref="N4336:N4337"/>
    <mergeCell ref="O4336:O4337"/>
    <mergeCell ref="Q4336:Q4337"/>
    <mergeCell ref="R4336:R4337"/>
    <mergeCell ref="B4356:B4357"/>
    <mergeCell ref="C4356:C4357"/>
    <mergeCell ref="B4336:B4337"/>
    <mergeCell ref="C4336:C4337"/>
    <mergeCell ref="D4336:I4336"/>
    <mergeCell ref="J4336:J4337"/>
    <mergeCell ref="K4336:K4337"/>
    <mergeCell ref="C4557:C4558"/>
    <mergeCell ref="D4539:F4539"/>
    <mergeCell ref="G4539:I4539"/>
    <mergeCell ref="M4535:Q4535"/>
    <mergeCell ref="M4536:Q4536"/>
    <mergeCell ref="D4553:I4553"/>
    <mergeCell ref="J4535:K4536"/>
    <mergeCell ref="L4535:L4536"/>
    <mergeCell ref="D4542:F4542"/>
    <mergeCell ref="G4542:I4542"/>
    <mergeCell ref="M4555:Q4555"/>
    <mergeCell ref="D4541:F4541"/>
    <mergeCell ref="D4534:I4534"/>
    <mergeCell ref="G4543:I4543"/>
    <mergeCell ref="D4545:F4545"/>
    <mergeCell ref="G4545:I4545"/>
    <mergeCell ref="D4558:F4558"/>
    <mergeCell ref="M4344:Q4344"/>
    <mergeCell ref="G4347:I4347"/>
    <mergeCell ref="D4352:I4352"/>
    <mergeCell ref="D4356:I4356"/>
    <mergeCell ref="J4356:J4357"/>
    <mergeCell ref="B4346:B4347"/>
    <mergeCell ref="C4346:C4347"/>
    <mergeCell ref="D4346:I4346"/>
    <mergeCell ref="J4346:J4347"/>
    <mergeCell ref="B4538:B4539"/>
    <mergeCell ref="M4362:Q4362"/>
    <mergeCell ref="S4346:S4347"/>
    <mergeCell ref="T4346:T4347"/>
    <mergeCell ref="B4378:B4379"/>
    <mergeCell ref="C4378:C4379"/>
    <mergeCell ref="D4546:F4546"/>
    <mergeCell ref="G4552:I4552"/>
    <mergeCell ref="R4538:R4539"/>
    <mergeCell ref="S4538:S4539"/>
    <mergeCell ref="G4390:I4390"/>
    <mergeCell ref="S4389:S4390"/>
    <mergeCell ref="J4389:J4390"/>
    <mergeCell ref="K4389:K4390"/>
    <mergeCell ref="L4389:L4390"/>
    <mergeCell ref="R4389:R4390"/>
    <mergeCell ref="B4306:B4307"/>
    <mergeCell ref="C4306:C4307"/>
    <mergeCell ref="D4306:I4306"/>
    <mergeCell ref="J4306:J4307"/>
    <mergeCell ref="K4306:K4307"/>
    <mergeCell ref="D4322:I4322"/>
    <mergeCell ref="J4322:K4322"/>
    <mergeCell ref="M4322:Q4322"/>
    <mergeCell ref="L4316:L4317"/>
    <mergeCell ref="M4316:M4317"/>
    <mergeCell ref="N4316:N4317"/>
    <mergeCell ref="O4316:O4317"/>
    <mergeCell ref="Q4316:Q4317"/>
    <mergeCell ref="R4316:R4317"/>
    <mergeCell ref="B4316:B4317"/>
    <mergeCell ref="C4316:C4317"/>
    <mergeCell ref="D4316:I4316"/>
    <mergeCell ref="J4316:J4317"/>
    <mergeCell ref="K4316:K4317"/>
    <mergeCell ref="D4307:F4307"/>
    <mergeCell ref="G4307:I4307"/>
    <mergeCell ref="D4312:I4312"/>
    <mergeCell ref="J4312:K4312"/>
    <mergeCell ref="M4312:Q4312"/>
    <mergeCell ref="L4306:L4307"/>
    <mergeCell ref="M4306:M4307"/>
    <mergeCell ref="N4306:N4307"/>
    <mergeCell ref="D4317:F4317"/>
    <mergeCell ref="G4317:I4317"/>
    <mergeCell ref="D4323:I4324"/>
    <mergeCell ref="D4313:I4314"/>
    <mergeCell ref="B4286:B4287"/>
    <mergeCell ref="C4286:C4287"/>
    <mergeCell ref="D4286:I4286"/>
    <mergeCell ref="J4286:J4287"/>
    <mergeCell ref="K4286:K4287"/>
    <mergeCell ref="D4293:I4294"/>
    <mergeCell ref="L4293:L4294"/>
    <mergeCell ref="M4293:Q4293"/>
    <mergeCell ref="M4294:Q4294"/>
    <mergeCell ref="L4303:L4304"/>
    <mergeCell ref="M4303:Q4303"/>
    <mergeCell ref="M4304:Q4304"/>
    <mergeCell ref="M4323:Q4323"/>
    <mergeCell ref="D4297:F4297"/>
    <mergeCell ref="G4297:I4297"/>
    <mergeCell ref="D4302:I4302"/>
    <mergeCell ref="B4296:B4297"/>
    <mergeCell ref="C4296:C4297"/>
    <mergeCell ref="D4296:I4296"/>
    <mergeCell ref="J4296:J4297"/>
    <mergeCell ref="K4296:K4297"/>
    <mergeCell ref="L4323:L4324"/>
    <mergeCell ref="M4324:Q4324"/>
    <mergeCell ref="J4313:K4314"/>
    <mergeCell ref="J4303:K4304"/>
    <mergeCell ref="B4276:B4277"/>
    <mergeCell ref="C4276:C4277"/>
    <mergeCell ref="D4276:I4276"/>
    <mergeCell ref="J4276:J4277"/>
    <mergeCell ref="K4276:K4277"/>
    <mergeCell ref="S4286:S4287"/>
    <mergeCell ref="T4286:T4287"/>
    <mergeCell ref="S4296:S4297"/>
    <mergeCell ref="T4296:T4297"/>
    <mergeCell ref="D4272:I4272"/>
    <mergeCell ref="J4272:K4272"/>
    <mergeCell ref="M4272:Q4272"/>
    <mergeCell ref="L4266:L4267"/>
    <mergeCell ref="M4266:M4267"/>
    <mergeCell ref="N4266:N4267"/>
    <mergeCell ref="O4266:O4267"/>
    <mergeCell ref="Q4266:Q4267"/>
    <mergeCell ref="R4266:R4267"/>
    <mergeCell ref="D4273:I4274"/>
    <mergeCell ref="J4273:K4274"/>
    <mergeCell ref="S4276:S4277"/>
    <mergeCell ref="T4276:T4277"/>
    <mergeCell ref="D4277:F4277"/>
    <mergeCell ref="G4277:I4277"/>
    <mergeCell ref="D4282:I4282"/>
    <mergeCell ref="J4282:K4282"/>
    <mergeCell ref="M4282:Q4282"/>
    <mergeCell ref="L4276:L4277"/>
    <mergeCell ref="M4276:M4277"/>
    <mergeCell ref="N4276:N4277"/>
    <mergeCell ref="O4276:O4277"/>
    <mergeCell ref="Q4276:Q4277"/>
    <mergeCell ref="R4276:R4277"/>
    <mergeCell ref="L4296:L4297"/>
    <mergeCell ref="M4296:M4297"/>
    <mergeCell ref="N4296:N4297"/>
    <mergeCell ref="O4296:O4297"/>
    <mergeCell ref="Q4296:Q4297"/>
    <mergeCell ref="R4296:R4297"/>
    <mergeCell ref="B4266:B4267"/>
    <mergeCell ref="C4266:C4267"/>
    <mergeCell ref="D4266:I4266"/>
    <mergeCell ref="J4266:J4267"/>
    <mergeCell ref="K4266:K4267"/>
    <mergeCell ref="S4266:S4267"/>
    <mergeCell ref="L4283:L4284"/>
    <mergeCell ref="M4283:Q4283"/>
    <mergeCell ref="M4284:Q4284"/>
    <mergeCell ref="B4254:B4255"/>
    <mergeCell ref="C4254:C4255"/>
    <mergeCell ref="D4254:I4254"/>
    <mergeCell ref="J4254:J4255"/>
    <mergeCell ref="K4254:K4255"/>
    <mergeCell ref="S4244:S4245"/>
    <mergeCell ref="T4244:T4245"/>
    <mergeCell ref="U4244:U4245"/>
    <mergeCell ref="D4245:F4245"/>
    <mergeCell ref="G4245:I4245"/>
    <mergeCell ref="D4250:I4250"/>
    <mergeCell ref="J4250:K4250"/>
    <mergeCell ref="M4250:Q4250"/>
    <mergeCell ref="L4244:L4245"/>
    <mergeCell ref="M4244:M4245"/>
    <mergeCell ref="N4244:N4245"/>
    <mergeCell ref="O4244:O4245"/>
    <mergeCell ref="Q4244:Q4245"/>
    <mergeCell ref="R4244:R4245"/>
    <mergeCell ref="D4251:I4252"/>
    <mergeCell ref="J4251:K4252"/>
    <mergeCell ref="L4241:L4242"/>
    <mergeCell ref="M4241:Q4241"/>
    <mergeCell ref="M4242:Q4242"/>
    <mergeCell ref="B4244:B4245"/>
    <mergeCell ref="C4244:C4245"/>
    <mergeCell ref="D4244:I4244"/>
    <mergeCell ref="J4244:J4245"/>
    <mergeCell ref="K4244:K4245"/>
    <mergeCell ref="S4234:S4235"/>
    <mergeCell ref="T4234:T4235"/>
    <mergeCell ref="U4234:U4235"/>
    <mergeCell ref="D4235:F4235"/>
    <mergeCell ref="G4235:I4235"/>
    <mergeCell ref="D4240:I4240"/>
    <mergeCell ref="J4240:K4240"/>
    <mergeCell ref="M4240:Q4240"/>
    <mergeCell ref="L4234:L4235"/>
    <mergeCell ref="M4234:M4235"/>
    <mergeCell ref="N4234:N4235"/>
    <mergeCell ref="O4234:O4235"/>
    <mergeCell ref="Q4234:Q4235"/>
    <mergeCell ref="R4234:R4235"/>
    <mergeCell ref="D4241:I4242"/>
    <mergeCell ref="J4241:K4242"/>
    <mergeCell ref="B4234:B4235"/>
    <mergeCell ref="C4234:C4235"/>
    <mergeCell ref="D4234:I4234"/>
    <mergeCell ref="J4234:J4235"/>
    <mergeCell ref="K4234:K4235"/>
    <mergeCell ref="D4255:F4255"/>
    <mergeCell ref="G4255:I4255"/>
    <mergeCell ref="B4224:B4225"/>
    <mergeCell ref="C4224:C4225"/>
    <mergeCell ref="D4224:I4224"/>
    <mergeCell ref="J4224:J4225"/>
    <mergeCell ref="K4224:K4225"/>
    <mergeCell ref="L4224:L4225"/>
    <mergeCell ref="D4231:I4232"/>
    <mergeCell ref="J4231:K4232"/>
    <mergeCell ref="L4221:L4222"/>
    <mergeCell ref="M4221:Q4221"/>
    <mergeCell ref="M4222:Q4222"/>
    <mergeCell ref="S4214:S4215"/>
    <mergeCell ref="T4214:T4215"/>
    <mergeCell ref="U4214:U4215"/>
    <mergeCell ref="D4215:F4215"/>
    <mergeCell ref="G4215:I4215"/>
    <mergeCell ref="D4220:I4220"/>
    <mergeCell ref="J4220:K4220"/>
    <mergeCell ref="M4220:Q4220"/>
    <mergeCell ref="L4214:L4215"/>
    <mergeCell ref="M4214:M4215"/>
    <mergeCell ref="N4214:N4215"/>
    <mergeCell ref="O4214:O4215"/>
    <mergeCell ref="Q4214:Q4215"/>
    <mergeCell ref="R4214:R4215"/>
    <mergeCell ref="D4221:I4222"/>
    <mergeCell ref="J4221:K4222"/>
    <mergeCell ref="J4211:K4212"/>
    <mergeCell ref="L4211:L4212"/>
    <mergeCell ref="M4211:Q4211"/>
    <mergeCell ref="M4212:Q4212"/>
    <mergeCell ref="B4214:B4215"/>
    <mergeCell ref="C4214:C4215"/>
    <mergeCell ref="D4214:I4214"/>
    <mergeCell ref="J4214:J4215"/>
    <mergeCell ref="K4214:K4215"/>
    <mergeCell ref="D4230:I4230"/>
    <mergeCell ref="J4230:K4230"/>
    <mergeCell ref="M4230:Q4230"/>
    <mergeCell ref="M4224:M4225"/>
    <mergeCell ref="N4224:N4225"/>
    <mergeCell ref="O4224:O4225"/>
    <mergeCell ref="Q4224:Q4225"/>
    <mergeCell ref="T4224:T4225"/>
    <mergeCell ref="U4224:U4225"/>
    <mergeCell ref="D4225:F4225"/>
    <mergeCell ref="R4224:R4225"/>
    <mergeCell ref="S4224:S4225"/>
    <mergeCell ref="D4211:I4212"/>
    <mergeCell ref="B4204:B4205"/>
    <mergeCell ref="C4204:C4205"/>
    <mergeCell ref="D4204:I4204"/>
    <mergeCell ref="J4204:J4205"/>
    <mergeCell ref="K4204:K4205"/>
    <mergeCell ref="S4194:S4195"/>
    <mergeCell ref="T4194:T4195"/>
    <mergeCell ref="U4194:U4195"/>
    <mergeCell ref="D4195:F4195"/>
    <mergeCell ref="G4195:I4195"/>
    <mergeCell ref="D4200:I4200"/>
    <mergeCell ref="J4200:K4200"/>
    <mergeCell ref="M4200:Q4200"/>
    <mergeCell ref="L4194:L4195"/>
    <mergeCell ref="M4194:M4195"/>
    <mergeCell ref="N4194:N4195"/>
    <mergeCell ref="O4194:O4195"/>
    <mergeCell ref="Q4194:Q4195"/>
    <mergeCell ref="R4194:R4195"/>
    <mergeCell ref="L4201:L4202"/>
    <mergeCell ref="M4201:Q4201"/>
    <mergeCell ref="D4190:I4191"/>
    <mergeCell ref="J4190:K4191"/>
    <mergeCell ref="L4190:L4191"/>
    <mergeCell ref="M4190:Q4190"/>
    <mergeCell ref="M4191:Q4191"/>
    <mergeCell ref="B4194:B4195"/>
    <mergeCell ref="C4194:C4195"/>
    <mergeCell ref="D4194:I4194"/>
    <mergeCell ref="J4194:J4195"/>
    <mergeCell ref="K4194:K4195"/>
    <mergeCell ref="O4193:R4193"/>
    <mergeCell ref="S4204:S4205"/>
    <mergeCell ref="T4204:T4205"/>
    <mergeCell ref="U4204:U4205"/>
    <mergeCell ref="D4205:F4205"/>
    <mergeCell ref="G4205:I4205"/>
    <mergeCell ref="L4204:L4205"/>
    <mergeCell ref="B4183:B4184"/>
    <mergeCell ref="C4183:C4184"/>
    <mergeCell ref="D4183:I4183"/>
    <mergeCell ref="J4183:J4184"/>
    <mergeCell ref="K4183:K4184"/>
    <mergeCell ref="S4173:S4174"/>
    <mergeCell ref="T4173:T4174"/>
    <mergeCell ref="U4173:U4174"/>
    <mergeCell ref="D4174:F4174"/>
    <mergeCell ref="G4174:I4174"/>
    <mergeCell ref="D4179:I4179"/>
    <mergeCell ref="J4179:K4179"/>
    <mergeCell ref="M4179:Q4179"/>
    <mergeCell ref="L4173:L4174"/>
    <mergeCell ref="M4173:M4174"/>
    <mergeCell ref="N4173:N4174"/>
    <mergeCell ref="O4173:O4174"/>
    <mergeCell ref="Q4173:Q4174"/>
    <mergeCell ref="R4173:R4174"/>
    <mergeCell ref="J4180:K4181"/>
    <mergeCell ref="L4180:L4181"/>
    <mergeCell ref="D4180:I4181"/>
    <mergeCell ref="M4170:Q4170"/>
    <mergeCell ref="M4171:Q4171"/>
    <mergeCell ref="B4173:B4174"/>
    <mergeCell ref="C4173:C4174"/>
    <mergeCell ref="D4173:I4173"/>
    <mergeCell ref="J4173:J4174"/>
    <mergeCell ref="K4173:K4174"/>
    <mergeCell ref="S4163:S4164"/>
    <mergeCell ref="T4163:T4164"/>
    <mergeCell ref="U4163:U4164"/>
    <mergeCell ref="D4164:F4164"/>
    <mergeCell ref="G4164:I4164"/>
    <mergeCell ref="D4169:I4169"/>
    <mergeCell ref="J4169:K4169"/>
    <mergeCell ref="M4169:Q4169"/>
    <mergeCell ref="L4163:L4164"/>
    <mergeCell ref="M4163:M4164"/>
    <mergeCell ref="N4163:N4164"/>
    <mergeCell ref="O4163:O4164"/>
    <mergeCell ref="Q4163:Q4164"/>
    <mergeCell ref="R4163:R4164"/>
    <mergeCell ref="D4170:I4171"/>
    <mergeCell ref="B4163:B4164"/>
    <mergeCell ref="C4163:C4164"/>
    <mergeCell ref="D4163:I4163"/>
    <mergeCell ref="J4163:J4164"/>
    <mergeCell ref="K4163:K4164"/>
    <mergeCell ref="J4170:K4171"/>
    <mergeCell ref="L4170:L4171"/>
    <mergeCell ref="B4153:B4154"/>
    <mergeCell ref="C4153:C4154"/>
    <mergeCell ref="D4153:I4153"/>
    <mergeCell ref="J4153:J4154"/>
    <mergeCell ref="K4153:K4154"/>
    <mergeCell ref="T4143:T4144"/>
    <mergeCell ref="U4143:U4144"/>
    <mergeCell ref="D4144:F4144"/>
    <mergeCell ref="G4144:I4144"/>
    <mergeCell ref="D4149:I4149"/>
    <mergeCell ref="J4149:K4149"/>
    <mergeCell ref="M4149:Q4149"/>
    <mergeCell ref="M4143:M4144"/>
    <mergeCell ref="N4143:N4144"/>
    <mergeCell ref="O4143:O4144"/>
    <mergeCell ref="Q4143:Q4144"/>
    <mergeCell ref="R4143:R4144"/>
    <mergeCell ref="S4143:S4144"/>
    <mergeCell ref="B4143:B4144"/>
    <mergeCell ref="C4143:C4144"/>
    <mergeCell ref="D4143:I4143"/>
    <mergeCell ref="J4143:J4144"/>
    <mergeCell ref="K4143:K4144"/>
    <mergeCell ref="L4143:L4144"/>
    <mergeCell ref="D4140:I4141"/>
    <mergeCell ref="J4140:K4141"/>
    <mergeCell ref="L4140:L4141"/>
    <mergeCell ref="M4140:Q4140"/>
    <mergeCell ref="M4141:Q4141"/>
    <mergeCell ref="S4133:S4134"/>
    <mergeCell ref="T4133:T4134"/>
    <mergeCell ref="U4133:U4134"/>
    <mergeCell ref="D4134:F4134"/>
    <mergeCell ref="G4134:I4134"/>
    <mergeCell ref="D4139:I4139"/>
    <mergeCell ref="J4139:K4139"/>
    <mergeCell ref="M4139:Q4139"/>
    <mergeCell ref="L4133:L4134"/>
    <mergeCell ref="M4133:M4134"/>
    <mergeCell ref="N4133:N4134"/>
    <mergeCell ref="O4133:O4134"/>
    <mergeCell ref="Q4133:Q4134"/>
    <mergeCell ref="R4133:R4134"/>
    <mergeCell ref="B4133:B4134"/>
    <mergeCell ref="C4133:C4134"/>
    <mergeCell ref="D4133:I4133"/>
    <mergeCell ref="J4133:J4134"/>
    <mergeCell ref="K4133:K4134"/>
    <mergeCell ref="S4153:S4154"/>
    <mergeCell ref="B4122:B4123"/>
    <mergeCell ref="C4122:C4123"/>
    <mergeCell ref="D4122:I4122"/>
    <mergeCell ref="J4122:J4123"/>
    <mergeCell ref="K4122:K4123"/>
    <mergeCell ref="S4113:S4114"/>
    <mergeCell ref="T4113:T4114"/>
    <mergeCell ref="U4113:U4114"/>
    <mergeCell ref="D4114:F4114"/>
    <mergeCell ref="G4114:I4114"/>
    <mergeCell ref="D4118:I4118"/>
    <mergeCell ref="J4118:K4118"/>
    <mergeCell ref="M4118:Q4118"/>
    <mergeCell ref="L4113:L4114"/>
    <mergeCell ref="M4113:M4114"/>
    <mergeCell ref="N4113:N4114"/>
    <mergeCell ref="O4113:O4114"/>
    <mergeCell ref="Q4113:Q4114"/>
    <mergeCell ref="R4113:R4114"/>
    <mergeCell ref="D4110:I4111"/>
    <mergeCell ref="J4110:K4111"/>
    <mergeCell ref="L4110:L4111"/>
    <mergeCell ref="M4110:Q4110"/>
    <mergeCell ref="M4111:Q4111"/>
    <mergeCell ref="B4113:B4114"/>
    <mergeCell ref="C4113:C4114"/>
    <mergeCell ref="D4113:I4113"/>
    <mergeCell ref="J4113:J4114"/>
    <mergeCell ref="K4113:K4114"/>
    <mergeCell ref="S4103:S4104"/>
    <mergeCell ref="T4103:T4104"/>
    <mergeCell ref="U4103:U4104"/>
    <mergeCell ref="D4104:F4104"/>
    <mergeCell ref="G4104:I4104"/>
    <mergeCell ref="D4109:I4109"/>
    <mergeCell ref="J4109:K4109"/>
    <mergeCell ref="M4109:Q4109"/>
    <mergeCell ref="L4103:L4104"/>
    <mergeCell ref="M4103:M4104"/>
    <mergeCell ref="N4103:N4104"/>
    <mergeCell ref="O4103:O4104"/>
    <mergeCell ref="Q4103:Q4104"/>
    <mergeCell ref="R4103:R4104"/>
    <mergeCell ref="B4093:B4094"/>
    <mergeCell ref="C4093:C4094"/>
    <mergeCell ref="D4093:I4093"/>
    <mergeCell ref="J4093:J4094"/>
    <mergeCell ref="K4093:K4094"/>
    <mergeCell ref="B4083:B4084"/>
    <mergeCell ref="C4083:C4084"/>
    <mergeCell ref="D4083:I4083"/>
    <mergeCell ref="J4083:J4084"/>
    <mergeCell ref="K4083:K4084"/>
    <mergeCell ref="L4083:L4084"/>
    <mergeCell ref="D4100:I4101"/>
    <mergeCell ref="J4100:K4101"/>
    <mergeCell ref="L4100:L4101"/>
    <mergeCell ref="M4100:Q4100"/>
    <mergeCell ref="M4101:Q4101"/>
    <mergeCell ref="B4103:B4104"/>
    <mergeCell ref="C4103:C4104"/>
    <mergeCell ref="D4103:I4103"/>
    <mergeCell ref="J4103:J4104"/>
    <mergeCell ref="K4103:K4104"/>
    <mergeCell ref="S4093:S4094"/>
    <mergeCell ref="R4073:R4074"/>
    <mergeCell ref="U4063:U4064"/>
    <mergeCell ref="D4064:F4064"/>
    <mergeCell ref="G4064:I4064"/>
    <mergeCell ref="S4063:S4064"/>
    <mergeCell ref="T4063:T4064"/>
    <mergeCell ref="S4073:S4074"/>
    <mergeCell ref="T4073:T4074"/>
    <mergeCell ref="U4073:U4074"/>
    <mergeCell ref="D4090:I4091"/>
    <mergeCell ref="J4090:K4091"/>
    <mergeCell ref="L4090:L4091"/>
    <mergeCell ref="M4090:Q4090"/>
    <mergeCell ref="M4091:Q4091"/>
    <mergeCell ref="T4083:T4084"/>
    <mergeCell ref="U4083:U4084"/>
    <mergeCell ref="D4084:F4084"/>
    <mergeCell ref="G4084:I4084"/>
    <mergeCell ref="D4089:I4089"/>
    <mergeCell ref="J4089:K4089"/>
    <mergeCell ref="M4089:Q4089"/>
    <mergeCell ref="M4083:M4084"/>
    <mergeCell ref="N4083:N4084"/>
    <mergeCell ref="O4083:O4084"/>
    <mergeCell ref="Q4083:Q4084"/>
    <mergeCell ref="R4083:R4084"/>
    <mergeCell ref="S4083:S4084"/>
    <mergeCell ref="B4073:B4074"/>
    <mergeCell ref="C4073:C4074"/>
    <mergeCell ref="D4073:I4073"/>
    <mergeCell ref="J4073:J4074"/>
    <mergeCell ref="K4073:K4074"/>
    <mergeCell ref="L4073:L4074"/>
    <mergeCell ref="M4073:M4074"/>
    <mergeCell ref="N4073:N4074"/>
    <mergeCell ref="D4070:I4071"/>
    <mergeCell ref="J4070:K4071"/>
    <mergeCell ref="L4070:L4071"/>
    <mergeCell ref="M4070:Q4070"/>
    <mergeCell ref="M4071:Q4071"/>
    <mergeCell ref="D4079:I4079"/>
    <mergeCell ref="J4079:K4079"/>
    <mergeCell ref="U4033:U4034"/>
    <mergeCell ref="M4079:Q4079"/>
    <mergeCell ref="D4080:I4081"/>
    <mergeCell ref="J4080:K4081"/>
    <mergeCell ref="L4080:L4081"/>
    <mergeCell ref="M4080:Q4080"/>
    <mergeCell ref="M4081:Q4081"/>
    <mergeCell ref="O4073:O4074"/>
    <mergeCell ref="Q4073:Q4074"/>
    <mergeCell ref="D4074:F4074"/>
    <mergeCell ref="G4074:I4074"/>
    <mergeCell ref="D4069:I4069"/>
    <mergeCell ref="J4069:K4069"/>
    <mergeCell ref="M4069:Q4069"/>
    <mergeCell ref="L4063:L4064"/>
    <mergeCell ref="M4063:M4064"/>
    <mergeCell ref="N4063:N4064"/>
    <mergeCell ref="O4063:O4064"/>
    <mergeCell ref="Q4063:Q4064"/>
    <mergeCell ref="R4063:R4064"/>
    <mergeCell ref="D4060:I4061"/>
    <mergeCell ref="J4060:K4061"/>
    <mergeCell ref="L4060:L4061"/>
    <mergeCell ref="M4060:Q4060"/>
    <mergeCell ref="M4061:Q4061"/>
    <mergeCell ref="D4063:I4063"/>
    <mergeCell ref="J4063:J4064"/>
    <mergeCell ref="K4063:K4064"/>
    <mergeCell ref="D4059:I4059"/>
    <mergeCell ref="J4059:K4059"/>
    <mergeCell ref="M4059:Q4059"/>
    <mergeCell ref="L4053:L4054"/>
    <mergeCell ref="M4053:M4054"/>
    <mergeCell ref="N4053:N4054"/>
    <mergeCell ref="O4053:O4054"/>
    <mergeCell ref="Q4053:Q4054"/>
    <mergeCell ref="R4053:R4054"/>
    <mergeCell ref="D4034:F4034"/>
    <mergeCell ref="G4034:I4034"/>
    <mergeCell ref="D4039:I4039"/>
    <mergeCell ref="J4039:K4039"/>
    <mergeCell ref="M4039:Q4039"/>
    <mergeCell ref="L4033:L4034"/>
    <mergeCell ref="M4033:M4034"/>
    <mergeCell ref="N4033:N4034"/>
    <mergeCell ref="O4033:O4034"/>
    <mergeCell ref="Q4033:Q4034"/>
    <mergeCell ref="R4033:R4034"/>
    <mergeCell ref="O4003:O4004"/>
    <mergeCell ref="Q4003:Q4004"/>
    <mergeCell ref="R4003:R4004"/>
    <mergeCell ref="D4050:I4051"/>
    <mergeCell ref="J4050:K4051"/>
    <mergeCell ref="L4050:L4051"/>
    <mergeCell ref="M4050:Q4050"/>
    <mergeCell ref="M4051:Q4051"/>
    <mergeCell ref="B4063:B4064"/>
    <mergeCell ref="C4063:C4064"/>
    <mergeCell ref="B4053:B4054"/>
    <mergeCell ref="C4053:C4054"/>
    <mergeCell ref="D4053:I4053"/>
    <mergeCell ref="J4053:J4054"/>
    <mergeCell ref="K4053:K4054"/>
    <mergeCell ref="K4033:K4034"/>
    <mergeCell ref="S4023:S4024"/>
    <mergeCell ref="T4023:T4024"/>
    <mergeCell ref="U4023:U4024"/>
    <mergeCell ref="D4024:F4024"/>
    <mergeCell ref="G4024:I4024"/>
    <mergeCell ref="D4029:I4029"/>
    <mergeCell ref="J4029:K4029"/>
    <mergeCell ref="M4029:Q4029"/>
    <mergeCell ref="L4023:L4024"/>
    <mergeCell ref="M4023:M4024"/>
    <mergeCell ref="N4023:N4024"/>
    <mergeCell ref="O4023:O4024"/>
    <mergeCell ref="Q4023:Q4024"/>
    <mergeCell ref="R4023:R4024"/>
    <mergeCell ref="B4023:B4024"/>
    <mergeCell ref="C4023:C4024"/>
    <mergeCell ref="D4023:I4023"/>
    <mergeCell ref="J4023:J4024"/>
    <mergeCell ref="K4023:K4024"/>
    <mergeCell ref="S4053:S4054"/>
    <mergeCell ref="T4053:T4054"/>
    <mergeCell ref="U4053:U4054"/>
    <mergeCell ref="D4054:F4054"/>
    <mergeCell ref="G4054:I4054"/>
    <mergeCell ref="D4040:I4041"/>
    <mergeCell ref="J4040:K4041"/>
    <mergeCell ref="L4040:L4041"/>
    <mergeCell ref="M4040:Q4040"/>
    <mergeCell ref="M4041:Q4041"/>
    <mergeCell ref="B4043:B4044"/>
    <mergeCell ref="C4043:C4044"/>
    <mergeCell ref="D4043:I4043"/>
    <mergeCell ref="J4043:J4044"/>
    <mergeCell ref="K4043:K4044"/>
    <mergeCell ref="S4043:S4044"/>
    <mergeCell ref="T4043:T4044"/>
    <mergeCell ref="U4043:U4044"/>
    <mergeCell ref="D4049:I4049"/>
    <mergeCell ref="J4049:K4049"/>
    <mergeCell ref="M4049:Q4049"/>
    <mergeCell ref="L4043:L4044"/>
    <mergeCell ref="M4043:M4044"/>
    <mergeCell ref="N4043:N4044"/>
    <mergeCell ref="O4043:O4044"/>
    <mergeCell ref="Q4043:Q4044"/>
    <mergeCell ref="R4043:R4044"/>
    <mergeCell ref="S4033:S4034"/>
    <mergeCell ref="T4033:T4034"/>
    <mergeCell ref="D4030:I4031"/>
    <mergeCell ref="J4030:K4031"/>
    <mergeCell ref="L4030:L4031"/>
    <mergeCell ref="M4030:Q4030"/>
    <mergeCell ref="M4031:Q4031"/>
    <mergeCell ref="B4033:B4034"/>
    <mergeCell ref="C4033:C4034"/>
    <mergeCell ref="D4033:I4033"/>
    <mergeCell ref="J4033:J4034"/>
    <mergeCell ref="M4001:Q4001"/>
    <mergeCell ref="B4003:B4004"/>
    <mergeCell ref="C4003:C4004"/>
    <mergeCell ref="D4003:I4003"/>
    <mergeCell ref="J4003:J4004"/>
    <mergeCell ref="K4003:K4004"/>
    <mergeCell ref="S3993:S3994"/>
    <mergeCell ref="T3993:T3994"/>
    <mergeCell ref="U3993:U3994"/>
    <mergeCell ref="D3994:F3994"/>
    <mergeCell ref="G3994:I3994"/>
    <mergeCell ref="D3999:I3999"/>
    <mergeCell ref="J3999:K3999"/>
    <mergeCell ref="M3999:Q3999"/>
    <mergeCell ref="L3993:L3994"/>
    <mergeCell ref="M3993:M3994"/>
    <mergeCell ref="N3993:N3994"/>
    <mergeCell ref="O3993:O3994"/>
    <mergeCell ref="Q3993:Q3994"/>
    <mergeCell ref="R3993:R3994"/>
    <mergeCell ref="S4013:S4014"/>
    <mergeCell ref="T4013:T4014"/>
    <mergeCell ref="U4013:U4014"/>
    <mergeCell ref="D4014:F4014"/>
    <mergeCell ref="G4014:I4014"/>
    <mergeCell ref="D4019:I4019"/>
    <mergeCell ref="J4019:K4019"/>
    <mergeCell ref="M4019:Q4019"/>
    <mergeCell ref="L4013:L4014"/>
    <mergeCell ref="M4013:M4014"/>
    <mergeCell ref="N4013:N4014"/>
    <mergeCell ref="O4013:O4014"/>
    <mergeCell ref="Q4013:Q4014"/>
    <mergeCell ref="R4013:R4014"/>
    <mergeCell ref="D4010:I4011"/>
    <mergeCell ref="J4010:K4011"/>
    <mergeCell ref="L4010:L4011"/>
    <mergeCell ref="M4010:Q4010"/>
    <mergeCell ref="M4011:Q4011"/>
    <mergeCell ref="B4013:B4014"/>
    <mergeCell ref="C4013:C4014"/>
    <mergeCell ref="D4013:I4013"/>
    <mergeCell ref="J4013:J4014"/>
    <mergeCell ref="K4013:K4014"/>
    <mergeCell ref="S4003:S4004"/>
    <mergeCell ref="T4003:T4004"/>
    <mergeCell ref="U4003:U4004"/>
    <mergeCell ref="D4004:F4004"/>
    <mergeCell ref="G4004:I4004"/>
    <mergeCell ref="D4009:I4009"/>
    <mergeCell ref="J4009:K4009"/>
    <mergeCell ref="M4009:Q4009"/>
    <mergeCell ref="L4003:L4004"/>
    <mergeCell ref="M4003:M4004"/>
    <mergeCell ref="N4003:N4004"/>
    <mergeCell ref="D3990:I3991"/>
    <mergeCell ref="J3990:K3991"/>
    <mergeCell ref="L3990:L3991"/>
    <mergeCell ref="M3990:Q3990"/>
    <mergeCell ref="M3991:Q3991"/>
    <mergeCell ref="B3993:B3994"/>
    <mergeCell ref="C3993:C3994"/>
    <mergeCell ref="D3993:I3993"/>
    <mergeCell ref="J3993:J3994"/>
    <mergeCell ref="K3993:K3994"/>
    <mergeCell ref="S3983:S3984"/>
    <mergeCell ref="T3983:T3984"/>
    <mergeCell ref="U3983:U3984"/>
    <mergeCell ref="D3984:F3984"/>
    <mergeCell ref="G3984:I3984"/>
    <mergeCell ref="D3989:I3989"/>
    <mergeCell ref="J3989:K3989"/>
    <mergeCell ref="M3989:Q3989"/>
    <mergeCell ref="L3983:L3984"/>
    <mergeCell ref="M3983:M3984"/>
    <mergeCell ref="N3983:N3984"/>
    <mergeCell ref="O3983:O3984"/>
    <mergeCell ref="Q3983:Q3984"/>
    <mergeCell ref="R3983:R3984"/>
    <mergeCell ref="D3980:I3981"/>
    <mergeCell ref="J3980:K3981"/>
    <mergeCell ref="L3980:L3981"/>
    <mergeCell ref="M3980:Q3980"/>
    <mergeCell ref="M3981:Q3981"/>
    <mergeCell ref="B3983:B3984"/>
    <mergeCell ref="C3983:C3984"/>
    <mergeCell ref="D3983:I3983"/>
    <mergeCell ref="J3983:J3984"/>
    <mergeCell ref="K3983:K3984"/>
    <mergeCell ref="S3973:S3974"/>
    <mergeCell ref="T3973:T3974"/>
    <mergeCell ref="U3973:U3974"/>
    <mergeCell ref="D3974:F3974"/>
    <mergeCell ref="G3974:I3974"/>
    <mergeCell ref="D3979:I3979"/>
    <mergeCell ref="J3979:K3979"/>
    <mergeCell ref="M3979:Q3979"/>
    <mergeCell ref="L3973:L3974"/>
    <mergeCell ref="M3973:M3974"/>
    <mergeCell ref="N3973:N3974"/>
    <mergeCell ref="O3973:O3974"/>
    <mergeCell ref="Q3973:Q3974"/>
    <mergeCell ref="R3973:R3974"/>
    <mergeCell ref="D3970:I3971"/>
    <mergeCell ref="J3970:K3971"/>
    <mergeCell ref="L3970:L3971"/>
    <mergeCell ref="M3970:Q3970"/>
    <mergeCell ref="M3971:Q3971"/>
    <mergeCell ref="B3973:B3974"/>
    <mergeCell ref="C3973:C3974"/>
    <mergeCell ref="D3973:I3973"/>
    <mergeCell ref="J3973:J3974"/>
    <mergeCell ref="K3973:K3974"/>
    <mergeCell ref="S3963:S3964"/>
    <mergeCell ref="T3963:T3964"/>
    <mergeCell ref="U3963:U3964"/>
    <mergeCell ref="D3964:F3964"/>
    <mergeCell ref="G3964:I3964"/>
    <mergeCell ref="D3969:I3969"/>
    <mergeCell ref="J3969:K3969"/>
    <mergeCell ref="M3969:Q3969"/>
    <mergeCell ref="L3963:L3964"/>
    <mergeCell ref="M3963:M3964"/>
    <mergeCell ref="N3963:N3964"/>
    <mergeCell ref="O3963:O3964"/>
    <mergeCell ref="Q3963:Q3964"/>
    <mergeCell ref="R3963:R3964"/>
    <mergeCell ref="D3960:I3961"/>
    <mergeCell ref="J3960:K3961"/>
    <mergeCell ref="L3960:L3961"/>
    <mergeCell ref="M3960:Q3960"/>
    <mergeCell ref="M3961:Q3961"/>
    <mergeCell ref="B3963:B3964"/>
    <mergeCell ref="C3963:C3964"/>
    <mergeCell ref="D3963:I3963"/>
    <mergeCell ref="J3963:J3964"/>
    <mergeCell ref="K3963:K3964"/>
    <mergeCell ref="S3953:S3954"/>
    <mergeCell ref="T3953:T3954"/>
    <mergeCell ref="U3953:U3954"/>
    <mergeCell ref="D3954:F3954"/>
    <mergeCell ref="G3954:I3954"/>
    <mergeCell ref="D3959:I3959"/>
    <mergeCell ref="J3959:K3959"/>
    <mergeCell ref="M3959:Q3959"/>
    <mergeCell ref="L3953:L3954"/>
    <mergeCell ref="M3953:M3954"/>
    <mergeCell ref="N3953:N3954"/>
    <mergeCell ref="O3953:O3954"/>
    <mergeCell ref="Q3953:Q3954"/>
    <mergeCell ref="R3953:R3954"/>
    <mergeCell ref="D3950:I3951"/>
    <mergeCell ref="J3950:K3951"/>
    <mergeCell ref="L3950:L3951"/>
    <mergeCell ref="M3950:Q3950"/>
    <mergeCell ref="M3951:Q3951"/>
    <mergeCell ref="B3953:B3954"/>
    <mergeCell ref="C3953:C3954"/>
    <mergeCell ref="D3953:I3953"/>
    <mergeCell ref="J3953:J3954"/>
    <mergeCell ref="K3953:K3954"/>
    <mergeCell ref="S3943:S3944"/>
    <mergeCell ref="T3943:T3944"/>
    <mergeCell ref="U3943:U3944"/>
    <mergeCell ref="D3944:F3944"/>
    <mergeCell ref="G3944:I3944"/>
    <mergeCell ref="D3949:I3949"/>
    <mergeCell ref="J3949:K3949"/>
    <mergeCell ref="M3949:Q3949"/>
    <mergeCell ref="L3943:L3944"/>
    <mergeCell ref="M3943:M3944"/>
    <mergeCell ref="N3943:N3944"/>
    <mergeCell ref="O3943:O3944"/>
    <mergeCell ref="Q3943:Q3944"/>
    <mergeCell ref="R3943:R3944"/>
    <mergeCell ref="D3940:I3941"/>
    <mergeCell ref="J3940:K3941"/>
    <mergeCell ref="L3940:L3941"/>
    <mergeCell ref="M3940:Q3940"/>
    <mergeCell ref="M3941:Q3941"/>
    <mergeCell ref="B3943:B3944"/>
    <mergeCell ref="C3943:C3944"/>
    <mergeCell ref="D3943:I3943"/>
    <mergeCell ref="J3943:J3944"/>
    <mergeCell ref="K3943:K3944"/>
    <mergeCell ref="S3933:S3934"/>
    <mergeCell ref="T3933:T3934"/>
    <mergeCell ref="U3933:U3934"/>
    <mergeCell ref="D3934:F3934"/>
    <mergeCell ref="G3934:I3934"/>
    <mergeCell ref="D3939:I3939"/>
    <mergeCell ref="J3939:K3939"/>
    <mergeCell ref="M3939:Q3939"/>
    <mergeCell ref="L3933:L3934"/>
    <mergeCell ref="M3933:M3934"/>
    <mergeCell ref="N3933:N3934"/>
    <mergeCell ref="O3933:O3934"/>
    <mergeCell ref="Q3933:Q3934"/>
    <mergeCell ref="R3933:R3934"/>
    <mergeCell ref="D3930:I3931"/>
    <mergeCell ref="J3930:K3931"/>
    <mergeCell ref="L3930:L3931"/>
    <mergeCell ref="M3930:Q3930"/>
    <mergeCell ref="M3931:Q3931"/>
    <mergeCell ref="B3933:B3934"/>
    <mergeCell ref="C3933:C3934"/>
    <mergeCell ref="D3933:I3933"/>
    <mergeCell ref="J3933:J3934"/>
    <mergeCell ref="K3933:K3934"/>
    <mergeCell ref="S3923:S3924"/>
    <mergeCell ref="T3923:T3924"/>
    <mergeCell ref="U3923:U3924"/>
    <mergeCell ref="D3924:F3924"/>
    <mergeCell ref="G3924:I3924"/>
    <mergeCell ref="D3929:I3929"/>
    <mergeCell ref="J3929:K3929"/>
    <mergeCell ref="M3929:Q3929"/>
    <mergeCell ref="L3923:L3924"/>
    <mergeCell ref="M3923:M3924"/>
    <mergeCell ref="N3923:N3924"/>
    <mergeCell ref="O3923:O3924"/>
    <mergeCell ref="Q3923:Q3924"/>
    <mergeCell ref="R3923:R3924"/>
    <mergeCell ref="D3920:I3921"/>
    <mergeCell ref="J3920:K3921"/>
    <mergeCell ref="L3920:L3921"/>
    <mergeCell ref="M3920:Q3920"/>
    <mergeCell ref="M3921:Q3921"/>
    <mergeCell ref="B3923:B3924"/>
    <mergeCell ref="C3923:C3924"/>
    <mergeCell ref="D3923:I3923"/>
    <mergeCell ref="J3923:J3924"/>
    <mergeCell ref="K3923:K3924"/>
    <mergeCell ref="S3913:S3914"/>
    <mergeCell ref="T3913:T3914"/>
    <mergeCell ref="U3913:U3914"/>
    <mergeCell ref="D3914:F3914"/>
    <mergeCell ref="G3914:I3914"/>
    <mergeCell ref="D3919:I3919"/>
    <mergeCell ref="J3919:K3919"/>
    <mergeCell ref="M3919:Q3919"/>
    <mergeCell ref="L3913:L3914"/>
    <mergeCell ref="M3913:M3914"/>
    <mergeCell ref="N3913:N3914"/>
    <mergeCell ref="O3913:O3914"/>
    <mergeCell ref="Q3913:Q3914"/>
    <mergeCell ref="R3913:R3914"/>
    <mergeCell ref="D3910:I3911"/>
    <mergeCell ref="J3910:K3911"/>
    <mergeCell ref="L3910:L3911"/>
    <mergeCell ref="M3910:Q3910"/>
    <mergeCell ref="M3911:Q3911"/>
    <mergeCell ref="B3913:B3914"/>
    <mergeCell ref="C3913:C3914"/>
    <mergeCell ref="D3913:I3913"/>
    <mergeCell ref="J3913:J3914"/>
    <mergeCell ref="K3913:K3914"/>
    <mergeCell ref="S3903:S3904"/>
    <mergeCell ref="T3903:T3904"/>
    <mergeCell ref="U3903:U3904"/>
    <mergeCell ref="D3904:F3904"/>
    <mergeCell ref="G3904:I3904"/>
    <mergeCell ref="D3909:I3909"/>
    <mergeCell ref="J3909:K3909"/>
    <mergeCell ref="M3909:Q3909"/>
    <mergeCell ref="L3903:L3904"/>
    <mergeCell ref="M3903:M3904"/>
    <mergeCell ref="N3903:N3904"/>
    <mergeCell ref="O3903:O3904"/>
    <mergeCell ref="Q3903:Q3904"/>
    <mergeCell ref="R3903:R3904"/>
    <mergeCell ref="D3900:I3901"/>
    <mergeCell ref="J3900:K3901"/>
    <mergeCell ref="L3900:L3901"/>
    <mergeCell ref="M3900:Q3900"/>
    <mergeCell ref="M3901:Q3901"/>
    <mergeCell ref="B3903:B3904"/>
    <mergeCell ref="C3903:C3904"/>
    <mergeCell ref="D3903:I3903"/>
    <mergeCell ref="J3903:J3904"/>
    <mergeCell ref="K3903:K3904"/>
    <mergeCell ref="S3893:S3894"/>
    <mergeCell ref="T3893:T3894"/>
    <mergeCell ref="U3893:U3894"/>
    <mergeCell ref="D3894:F3894"/>
    <mergeCell ref="G3894:I3894"/>
    <mergeCell ref="D3899:I3899"/>
    <mergeCell ref="J3899:K3899"/>
    <mergeCell ref="M3899:Q3899"/>
    <mergeCell ref="L3893:L3894"/>
    <mergeCell ref="M3893:M3894"/>
    <mergeCell ref="N3893:N3894"/>
    <mergeCell ref="O3893:O3894"/>
    <mergeCell ref="Q3893:Q3894"/>
    <mergeCell ref="R3893:R3894"/>
    <mergeCell ref="D3890:I3891"/>
    <mergeCell ref="J3890:K3891"/>
    <mergeCell ref="L3890:L3891"/>
    <mergeCell ref="M3890:Q3890"/>
    <mergeCell ref="M3891:Q3891"/>
    <mergeCell ref="B3893:B3894"/>
    <mergeCell ref="C3893:C3894"/>
    <mergeCell ref="D3893:I3893"/>
    <mergeCell ref="J3893:J3894"/>
    <mergeCell ref="K3893:K3894"/>
    <mergeCell ref="S3883:S3884"/>
    <mergeCell ref="T3883:T3884"/>
    <mergeCell ref="U3883:U3884"/>
    <mergeCell ref="D3884:F3884"/>
    <mergeCell ref="G3884:I3884"/>
    <mergeCell ref="D3889:I3889"/>
    <mergeCell ref="J3889:K3889"/>
    <mergeCell ref="M3889:Q3889"/>
    <mergeCell ref="L3883:L3884"/>
    <mergeCell ref="M3883:M3884"/>
    <mergeCell ref="N3883:N3884"/>
    <mergeCell ref="O3883:O3884"/>
    <mergeCell ref="Q3883:Q3884"/>
    <mergeCell ref="R3883:R3884"/>
    <mergeCell ref="D3880:I3881"/>
    <mergeCell ref="J3880:K3881"/>
    <mergeCell ref="L3880:L3881"/>
    <mergeCell ref="M3880:Q3880"/>
    <mergeCell ref="M3881:Q3881"/>
    <mergeCell ref="B3883:B3884"/>
    <mergeCell ref="C3883:C3884"/>
    <mergeCell ref="D3883:I3883"/>
    <mergeCell ref="J3883:J3884"/>
    <mergeCell ref="K3883:K3884"/>
    <mergeCell ref="S3873:S3874"/>
    <mergeCell ref="T3873:T3874"/>
    <mergeCell ref="U3873:U3874"/>
    <mergeCell ref="D3874:F3874"/>
    <mergeCell ref="G3874:I3874"/>
    <mergeCell ref="D3879:I3879"/>
    <mergeCell ref="J3879:K3879"/>
    <mergeCell ref="M3879:Q3879"/>
    <mergeCell ref="L3873:L3874"/>
    <mergeCell ref="M3873:M3874"/>
    <mergeCell ref="N3873:N3874"/>
    <mergeCell ref="O3873:O3874"/>
    <mergeCell ref="Q3873:Q3874"/>
    <mergeCell ref="R3873:R3874"/>
    <mergeCell ref="D3870:I3871"/>
    <mergeCell ref="J3870:K3871"/>
    <mergeCell ref="L3870:L3871"/>
    <mergeCell ref="M3870:Q3870"/>
    <mergeCell ref="M3871:Q3871"/>
    <mergeCell ref="B3873:B3874"/>
    <mergeCell ref="C3873:C3874"/>
    <mergeCell ref="D3873:I3873"/>
    <mergeCell ref="J3873:J3874"/>
    <mergeCell ref="K3873:K3874"/>
    <mergeCell ref="S3863:S3864"/>
    <mergeCell ref="T3863:T3864"/>
    <mergeCell ref="U3863:U3864"/>
    <mergeCell ref="D3864:F3864"/>
    <mergeCell ref="G3864:I3864"/>
    <mergeCell ref="D3869:I3869"/>
    <mergeCell ref="J3869:K3869"/>
    <mergeCell ref="M3869:Q3869"/>
    <mergeCell ref="L3863:L3864"/>
    <mergeCell ref="M3863:M3864"/>
    <mergeCell ref="N3863:N3864"/>
    <mergeCell ref="O3863:O3864"/>
    <mergeCell ref="Q3863:Q3864"/>
    <mergeCell ref="R3863:R3864"/>
    <mergeCell ref="D3860:I3861"/>
    <mergeCell ref="J3860:K3861"/>
    <mergeCell ref="L3860:L3861"/>
    <mergeCell ref="M3860:Q3860"/>
    <mergeCell ref="M3861:Q3861"/>
    <mergeCell ref="B3863:B3864"/>
    <mergeCell ref="C3863:C3864"/>
    <mergeCell ref="D3863:I3863"/>
    <mergeCell ref="J3863:J3864"/>
    <mergeCell ref="K3863:K3864"/>
    <mergeCell ref="S3853:S3854"/>
    <mergeCell ref="T3853:T3854"/>
    <mergeCell ref="U3853:U3854"/>
    <mergeCell ref="D3854:F3854"/>
    <mergeCell ref="G3854:I3854"/>
    <mergeCell ref="D3859:I3859"/>
    <mergeCell ref="J3859:K3859"/>
    <mergeCell ref="M3859:Q3859"/>
    <mergeCell ref="L3853:L3854"/>
    <mergeCell ref="M3853:M3854"/>
    <mergeCell ref="N3853:N3854"/>
    <mergeCell ref="O3853:O3854"/>
    <mergeCell ref="Q3853:Q3854"/>
    <mergeCell ref="R3853:R3854"/>
    <mergeCell ref="D3850:I3851"/>
    <mergeCell ref="J3850:K3851"/>
    <mergeCell ref="L3850:L3851"/>
    <mergeCell ref="M3850:Q3850"/>
    <mergeCell ref="M3851:Q3851"/>
    <mergeCell ref="B3853:B3854"/>
    <mergeCell ref="C3853:C3854"/>
    <mergeCell ref="D3853:I3853"/>
    <mergeCell ref="J3853:J3854"/>
    <mergeCell ref="K3853:K3854"/>
    <mergeCell ref="S3843:S3844"/>
    <mergeCell ref="T3843:T3844"/>
    <mergeCell ref="U3843:U3844"/>
    <mergeCell ref="D3844:F3844"/>
    <mergeCell ref="G3844:I3844"/>
    <mergeCell ref="D3849:I3849"/>
    <mergeCell ref="J3849:K3849"/>
    <mergeCell ref="M3849:Q3849"/>
    <mergeCell ref="L3843:L3844"/>
    <mergeCell ref="M3843:M3844"/>
    <mergeCell ref="N3843:N3844"/>
    <mergeCell ref="O3843:O3844"/>
    <mergeCell ref="Q3843:Q3844"/>
    <mergeCell ref="R3843:R3844"/>
    <mergeCell ref="D3840:I3841"/>
    <mergeCell ref="J3840:K3841"/>
    <mergeCell ref="L3840:L3841"/>
    <mergeCell ref="M3840:Q3840"/>
    <mergeCell ref="M3841:Q3841"/>
    <mergeCell ref="B3843:B3844"/>
    <mergeCell ref="C3843:C3844"/>
    <mergeCell ref="D3843:I3843"/>
    <mergeCell ref="J3843:J3844"/>
    <mergeCell ref="K3843:K3844"/>
    <mergeCell ref="S3833:S3834"/>
    <mergeCell ref="T3833:T3834"/>
    <mergeCell ref="U3833:U3834"/>
    <mergeCell ref="D3834:F3834"/>
    <mergeCell ref="G3834:I3834"/>
    <mergeCell ref="D3839:I3839"/>
    <mergeCell ref="J3839:K3839"/>
    <mergeCell ref="M3839:Q3839"/>
    <mergeCell ref="L3833:L3834"/>
    <mergeCell ref="M3833:M3834"/>
    <mergeCell ref="N3833:N3834"/>
    <mergeCell ref="O3833:O3834"/>
    <mergeCell ref="Q3833:Q3834"/>
    <mergeCell ref="R3833:R3834"/>
    <mergeCell ref="D3830:I3831"/>
    <mergeCell ref="J3830:K3831"/>
    <mergeCell ref="L3830:L3831"/>
    <mergeCell ref="M3830:Q3830"/>
    <mergeCell ref="M3831:Q3831"/>
    <mergeCell ref="B3833:B3834"/>
    <mergeCell ref="C3833:C3834"/>
    <mergeCell ref="D3833:I3833"/>
    <mergeCell ref="J3833:J3834"/>
    <mergeCell ref="K3833:K3834"/>
    <mergeCell ref="S3823:S3824"/>
    <mergeCell ref="T3823:T3824"/>
    <mergeCell ref="U3823:U3824"/>
    <mergeCell ref="D3824:F3824"/>
    <mergeCell ref="G3824:I3824"/>
    <mergeCell ref="D3829:I3829"/>
    <mergeCell ref="J3829:K3829"/>
    <mergeCell ref="M3829:Q3829"/>
    <mergeCell ref="L3823:L3824"/>
    <mergeCell ref="M3823:M3824"/>
    <mergeCell ref="N3823:N3824"/>
    <mergeCell ref="O3823:O3824"/>
    <mergeCell ref="Q3823:Q3824"/>
    <mergeCell ref="R3823:R3824"/>
    <mergeCell ref="D3820:I3821"/>
    <mergeCell ref="J3820:K3821"/>
    <mergeCell ref="L3820:L3821"/>
    <mergeCell ref="M3820:Q3820"/>
    <mergeCell ref="M3821:Q3821"/>
    <mergeCell ref="B3823:B3824"/>
    <mergeCell ref="C3823:C3824"/>
    <mergeCell ref="D3823:I3823"/>
    <mergeCell ref="J3823:J3824"/>
    <mergeCell ref="K3823:K3824"/>
    <mergeCell ref="S3813:S3814"/>
    <mergeCell ref="T3813:T3814"/>
    <mergeCell ref="U3813:U3814"/>
    <mergeCell ref="D3814:F3814"/>
    <mergeCell ref="G3814:I3814"/>
    <mergeCell ref="D3819:I3819"/>
    <mergeCell ref="J3819:K3819"/>
    <mergeCell ref="M3819:Q3819"/>
    <mergeCell ref="L3813:L3814"/>
    <mergeCell ref="M3813:M3814"/>
    <mergeCell ref="N3813:N3814"/>
    <mergeCell ref="O3813:O3814"/>
    <mergeCell ref="Q3813:Q3814"/>
    <mergeCell ref="R3813:R3814"/>
    <mergeCell ref="D3810:I3811"/>
    <mergeCell ref="J3810:K3811"/>
    <mergeCell ref="L3810:L3811"/>
    <mergeCell ref="M3810:Q3810"/>
    <mergeCell ref="M3811:Q3811"/>
    <mergeCell ref="B3813:B3814"/>
    <mergeCell ref="C3813:C3814"/>
    <mergeCell ref="D3813:I3813"/>
    <mergeCell ref="J3813:J3814"/>
    <mergeCell ref="K3813:K3814"/>
    <mergeCell ref="S3803:S3804"/>
    <mergeCell ref="T3803:T3804"/>
    <mergeCell ref="U3803:U3804"/>
    <mergeCell ref="D3804:F3804"/>
    <mergeCell ref="G3804:I3804"/>
    <mergeCell ref="D3809:I3809"/>
    <mergeCell ref="J3809:K3809"/>
    <mergeCell ref="M3809:Q3809"/>
    <mergeCell ref="L3803:L3804"/>
    <mergeCell ref="M3803:M3804"/>
    <mergeCell ref="N3803:N3804"/>
    <mergeCell ref="O3803:O3804"/>
    <mergeCell ref="Q3803:Q3804"/>
    <mergeCell ref="R3803:R3804"/>
    <mergeCell ref="D3799:I3800"/>
    <mergeCell ref="J3799:K3800"/>
    <mergeCell ref="L3799:L3800"/>
    <mergeCell ref="M3799:Q3799"/>
    <mergeCell ref="M3800:Q3800"/>
    <mergeCell ref="B3803:B3804"/>
    <mergeCell ref="C3803:C3804"/>
    <mergeCell ref="D3803:I3803"/>
    <mergeCell ref="J3803:J3804"/>
    <mergeCell ref="K3803:K3804"/>
    <mergeCell ref="S3792:S3793"/>
    <mergeCell ref="T3792:T3793"/>
    <mergeCell ref="U3792:U3793"/>
    <mergeCell ref="D3793:F3793"/>
    <mergeCell ref="G3793:I3793"/>
    <mergeCell ref="D3798:I3798"/>
    <mergeCell ref="J3798:K3798"/>
    <mergeCell ref="M3798:Q3798"/>
    <mergeCell ref="L3792:L3793"/>
    <mergeCell ref="M3792:M3793"/>
    <mergeCell ref="N3792:N3793"/>
    <mergeCell ref="O3792:O3793"/>
    <mergeCell ref="Q3792:Q3793"/>
    <mergeCell ref="R3792:R3793"/>
    <mergeCell ref="G3802:L3802"/>
    <mergeCell ref="O3802:R3802"/>
    <mergeCell ref="D3789:I3790"/>
    <mergeCell ref="J3789:K3790"/>
    <mergeCell ref="L3789:L3790"/>
    <mergeCell ref="M3789:Q3789"/>
    <mergeCell ref="M3790:Q3790"/>
    <mergeCell ref="B3792:B3793"/>
    <mergeCell ref="C3792:C3793"/>
    <mergeCell ref="D3792:I3792"/>
    <mergeCell ref="J3792:J3793"/>
    <mergeCell ref="K3792:K3793"/>
    <mergeCell ref="S3782:S3783"/>
    <mergeCell ref="T3782:T3783"/>
    <mergeCell ref="U3782:U3783"/>
    <mergeCell ref="D3783:F3783"/>
    <mergeCell ref="G3783:I3783"/>
    <mergeCell ref="D3788:I3788"/>
    <mergeCell ref="J3788:K3788"/>
    <mergeCell ref="M3788:Q3788"/>
    <mergeCell ref="L3782:L3783"/>
    <mergeCell ref="M3782:M3783"/>
    <mergeCell ref="N3782:N3783"/>
    <mergeCell ref="O3782:O3783"/>
    <mergeCell ref="Q3782:Q3783"/>
    <mergeCell ref="R3782:R3783"/>
    <mergeCell ref="D3779:I3780"/>
    <mergeCell ref="J3779:K3780"/>
    <mergeCell ref="L3779:L3780"/>
    <mergeCell ref="M3779:Q3779"/>
    <mergeCell ref="M3780:Q3780"/>
    <mergeCell ref="B3782:B3783"/>
    <mergeCell ref="C3782:C3783"/>
    <mergeCell ref="D3782:I3782"/>
    <mergeCell ref="J3782:J3783"/>
    <mergeCell ref="K3782:K3783"/>
    <mergeCell ref="S3772:S3773"/>
    <mergeCell ref="T3772:T3773"/>
    <mergeCell ref="U3772:U3773"/>
    <mergeCell ref="D3773:F3773"/>
    <mergeCell ref="G3773:I3773"/>
    <mergeCell ref="D3778:I3778"/>
    <mergeCell ref="J3778:K3778"/>
    <mergeCell ref="M3778:Q3778"/>
    <mergeCell ref="L3772:L3773"/>
    <mergeCell ref="M3772:M3773"/>
    <mergeCell ref="N3772:N3773"/>
    <mergeCell ref="O3772:O3773"/>
    <mergeCell ref="Q3772:Q3773"/>
    <mergeCell ref="R3772:R3773"/>
    <mergeCell ref="D3769:I3770"/>
    <mergeCell ref="J3769:K3770"/>
    <mergeCell ref="L3769:L3770"/>
    <mergeCell ref="M3769:Q3769"/>
    <mergeCell ref="M3770:Q3770"/>
    <mergeCell ref="B3772:B3773"/>
    <mergeCell ref="C3772:C3773"/>
    <mergeCell ref="D3772:I3772"/>
    <mergeCell ref="J3772:J3773"/>
    <mergeCell ref="K3772:K3773"/>
    <mergeCell ref="S3762:S3763"/>
    <mergeCell ref="T3762:T3763"/>
    <mergeCell ref="U3762:U3763"/>
    <mergeCell ref="D3763:F3763"/>
    <mergeCell ref="G3763:I3763"/>
    <mergeCell ref="D3768:I3768"/>
    <mergeCell ref="J3768:K3768"/>
    <mergeCell ref="M3768:Q3768"/>
    <mergeCell ref="L3762:L3763"/>
    <mergeCell ref="M3762:M3763"/>
    <mergeCell ref="N3762:N3763"/>
    <mergeCell ref="O3762:O3763"/>
    <mergeCell ref="Q3762:Q3763"/>
    <mergeCell ref="R3762:R3763"/>
    <mergeCell ref="D3759:I3760"/>
    <mergeCell ref="J3759:K3760"/>
    <mergeCell ref="L3759:L3760"/>
    <mergeCell ref="M3759:Q3759"/>
    <mergeCell ref="M3760:Q3760"/>
    <mergeCell ref="B3762:B3763"/>
    <mergeCell ref="C3762:C3763"/>
    <mergeCell ref="D3762:I3762"/>
    <mergeCell ref="J3762:J3763"/>
    <mergeCell ref="K3762:K3763"/>
    <mergeCell ref="S3752:S3753"/>
    <mergeCell ref="T3752:T3753"/>
    <mergeCell ref="U3752:U3753"/>
    <mergeCell ref="D3753:F3753"/>
    <mergeCell ref="G3753:I3753"/>
    <mergeCell ref="D3758:I3758"/>
    <mergeCell ref="J3758:K3758"/>
    <mergeCell ref="M3758:Q3758"/>
    <mergeCell ref="L3752:L3753"/>
    <mergeCell ref="M3752:M3753"/>
    <mergeCell ref="N3752:N3753"/>
    <mergeCell ref="O3752:O3753"/>
    <mergeCell ref="Q3752:Q3753"/>
    <mergeCell ref="R3752:R3753"/>
    <mergeCell ref="D3749:I3750"/>
    <mergeCell ref="J3749:K3750"/>
    <mergeCell ref="L3749:L3750"/>
    <mergeCell ref="M3749:Q3749"/>
    <mergeCell ref="M3750:Q3750"/>
    <mergeCell ref="B3752:B3753"/>
    <mergeCell ref="C3752:C3753"/>
    <mergeCell ref="D3752:I3752"/>
    <mergeCell ref="J3752:J3753"/>
    <mergeCell ref="K3752:K3753"/>
    <mergeCell ref="S3742:S3743"/>
    <mergeCell ref="T3742:T3743"/>
    <mergeCell ref="U3742:U3743"/>
    <mergeCell ref="D3743:F3743"/>
    <mergeCell ref="G3743:I3743"/>
    <mergeCell ref="D3748:I3748"/>
    <mergeCell ref="J3748:K3748"/>
    <mergeCell ref="M3748:Q3748"/>
    <mergeCell ref="L3742:L3743"/>
    <mergeCell ref="M3742:M3743"/>
    <mergeCell ref="N3742:N3743"/>
    <mergeCell ref="O3742:O3743"/>
    <mergeCell ref="Q3742:Q3743"/>
    <mergeCell ref="R3742:R3743"/>
    <mergeCell ref="D3739:I3740"/>
    <mergeCell ref="J3739:K3740"/>
    <mergeCell ref="L3739:L3740"/>
    <mergeCell ref="M3739:Q3739"/>
    <mergeCell ref="M3740:Q3740"/>
    <mergeCell ref="B3742:B3743"/>
    <mergeCell ref="C3742:C3743"/>
    <mergeCell ref="D3742:I3742"/>
    <mergeCell ref="J3742:J3743"/>
    <mergeCell ref="K3742:K3743"/>
    <mergeCell ref="S3732:S3733"/>
    <mergeCell ref="T3732:T3733"/>
    <mergeCell ref="U3732:U3733"/>
    <mergeCell ref="D3733:F3733"/>
    <mergeCell ref="G3733:I3733"/>
    <mergeCell ref="D3738:I3738"/>
    <mergeCell ref="J3738:K3738"/>
    <mergeCell ref="M3738:Q3738"/>
    <mergeCell ref="L3732:L3733"/>
    <mergeCell ref="M3732:M3733"/>
    <mergeCell ref="N3732:N3733"/>
    <mergeCell ref="O3732:O3733"/>
    <mergeCell ref="Q3732:Q3733"/>
    <mergeCell ref="R3732:R3733"/>
    <mergeCell ref="D3729:I3730"/>
    <mergeCell ref="J3729:K3730"/>
    <mergeCell ref="L3729:L3730"/>
    <mergeCell ref="M3729:Q3729"/>
    <mergeCell ref="M3730:Q3730"/>
    <mergeCell ref="B3732:B3733"/>
    <mergeCell ref="C3732:C3733"/>
    <mergeCell ref="D3732:I3732"/>
    <mergeCell ref="J3732:J3733"/>
    <mergeCell ref="K3732:K3733"/>
    <mergeCell ref="S3722:S3723"/>
    <mergeCell ref="T3722:T3723"/>
    <mergeCell ref="U3722:U3723"/>
    <mergeCell ref="D3723:F3723"/>
    <mergeCell ref="G3723:I3723"/>
    <mergeCell ref="D3728:I3728"/>
    <mergeCell ref="J3728:K3728"/>
    <mergeCell ref="M3728:Q3728"/>
    <mergeCell ref="L3722:L3723"/>
    <mergeCell ref="M3722:M3723"/>
    <mergeCell ref="N3722:N3723"/>
    <mergeCell ref="O3722:O3723"/>
    <mergeCell ref="Q3722:Q3723"/>
    <mergeCell ref="R3722:R3723"/>
    <mergeCell ref="D3719:I3720"/>
    <mergeCell ref="J3719:K3720"/>
    <mergeCell ref="L3719:L3720"/>
    <mergeCell ref="M3719:Q3719"/>
    <mergeCell ref="M3720:Q3720"/>
    <mergeCell ref="B3722:B3723"/>
    <mergeCell ref="C3722:C3723"/>
    <mergeCell ref="D3722:I3722"/>
    <mergeCell ref="J3722:J3723"/>
    <mergeCell ref="K3722:K3723"/>
    <mergeCell ref="S3712:S3713"/>
    <mergeCell ref="T3712:T3713"/>
    <mergeCell ref="U3712:U3713"/>
    <mergeCell ref="D3713:F3713"/>
    <mergeCell ref="G3713:I3713"/>
    <mergeCell ref="D3718:I3718"/>
    <mergeCell ref="J3718:K3718"/>
    <mergeCell ref="M3718:Q3718"/>
    <mergeCell ref="L3712:L3713"/>
    <mergeCell ref="M3712:M3713"/>
    <mergeCell ref="N3712:N3713"/>
    <mergeCell ref="O3712:O3713"/>
    <mergeCell ref="Q3712:Q3713"/>
    <mergeCell ref="R3712:R3713"/>
    <mergeCell ref="D3709:I3710"/>
    <mergeCell ref="J3709:K3710"/>
    <mergeCell ref="L3709:L3710"/>
    <mergeCell ref="M3709:Q3709"/>
    <mergeCell ref="M3710:Q3710"/>
    <mergeCell ref="B3712:B3713"/>
    <mergeCell ref="C3712:C3713"/>
    <mergeCell ref="D3712:I3712"/>
    <mergeCell ref="J3712:J3713"/>
    <mergeCell ref="K3712:K3713"/>
    <mergeCell ref="S3702:S3703"/>
    <mergeCell ref="T3702:T3703"/>
    <mergeCell ref="U3702:U3703"/>
    <mergeCell ref="D3703:F3703"/>
    <mergeCell ref="G3703:I3703"/>
    <mergeCell ref="D3708:I3708"/>
    <mergeCell ref="J3708:K3708"/>
    <mergeCell ref="M3708:Q3708"/>
    <mergeCell ref="L3702:L3703"/>
    <mergeCell ref="M3702:M3703"/>
    <mergeCell ref="N3702:N3703"/>
    <mergeCell ref="O3702:O3703"/>
    <mergeCell ref="Q3702:Q3703"/>
    <mergeCell ref="R3702:R3703"/>
    <mergeCell ref="D3699:I3700"/>
    <mergeCell ref="J3699:K3700"/>
    <mergeCell ref="L3699:L3700"/>
    <mergeCell ref="M3699:Q3699"/>
    <mergeCell ref="M3700:Q3700"/>
    <mergeCell ref="B3702:B3703"/>
    <mergeCell ref="C3702:C3703"/>
    <mergeCell ref="D3702:I3702"/>
    <mergeCell ref="J3702:J3703"/>
    <mergeCell ref="K3702:K3703"/>
    <mergeCell ref="T3692:T3693"/>
    <mergeCell ref="U3692:U3693"/>
    <mergeCell ref="D3693:F3693"/>
    <mergeCell ref="G3693:I3693"/>
    <mergeCell ref="D3698:I3698"/>
    <mergeCell ref="J3698:K3698"/>
    <mergeCell ref="M3698:Q3698"/>
    <mergeCell ref="M3692:M3693"/>
    <mergeCell ref="N3692:N3693"/>
    <mergeCell ref="O3692:O3693"/>
    <mergeCell ref="Q3692:Q3693"/>
    <mergeCell ref="R3692:R3693"/>
    <mergeCell ref="S3692:S3693"/>
    <mergeCell ref="B3692:B3693"/>
    <mergeCell ref="C3692:C3693"/>
    <mergeCell ref="D3692:I3692"/>
    <mergeCell ref="J3692:J3693"/>
    <mergeCell ref="K3692:K3693"/>
    <mergeCell ref="L3692:L3693"/>
    <mergeCell ref="D3689:I3690"/>
    <mergeCell ref="J3689:K3690"/>
    <mergeCell ref="L3689:L3690"/>
    <mergeCell ref="M3689:Q3689"/>
    <mergeCell ref="M3690:Q3690"/>
    <mergeCell ref="S3682:S3683"/>
    <mergeCell ref="T3682:T3683"/>
    <mergeCell ref="U3682:U3683"/>
    <mergeCell ref="D3683:F3683"/>
    <mergeCell ref="G3683:I3683"/>
    <mergeCell ref="D3688:I3688"/>
    <mergeCell ref="J3688:K3688"/>
    <mergeCell ref="M3688:Q3688"/>
    <mergeCell ref="L3682:L3683"/>
    <mergeCell ref="M3682:M3683"/>
    <mergeCell ref="N3682:N3683"/>
    <mergeCell ref="O3682:O3683"/>
    <mergeCell ref="Q3682:Q3683"/>
    <mergeCell ref="R3682:R3683"/>
    <mergeCell ref="D3679:I3680"/>
    <mergeCell ref="J3679:K3680"/>
    <mergeCell ref="L3679:L3680"/>
    <mergeCell ref="M3679:Q3679"/>
    <mergeCell ref="M3680:Q3680"/>
    <mergeCell ref="B3682:B3683"/>
    <mergeCell ref="C3682:C3683"/>
    <mergeCell ref="D3682:I3682"/>
    <mergeCell ref="J3682:J3683"/>
    <mergeCell ref="K3682:K3683"/>
    <mergeCell ref="S3672:S3673"/>
    <mergeCell ref="T3672:T3673"/>
    <mergeCell ref="U3672:U3673"/>
    <mergeCell ref="D3673:F3673"/>
    <mergeCell ref="G3673:I3673"/>
    <mergeCell ref="D3678:I3678"/>
    <mergeCell ref="J3678:K3678"/>
    <mergeCell ref="M3678:Q3678"/>
    <mergeCell ref="L3672:L3673"/>
    <mergeCell ref="M3672:M3673"/>
    <mergeCell ref="N3672:N3673"/>
    <mergeCell ref="O3672:O3673"/>
    <mergeCell ref="Q3672:Q3673"/>
    <mergeCell ref="R3672:R3673"/>
    <mergeCell ref="D3669:I3670"/>
    <mergeCell ref="J3669:K3670"/>
    <mergeCell ref="L3669:L3670"/>
    <mergeCell ref="M3669:Q3669"/>
    <mergeCell ref="M3670:Q3670"/>
    <mergeCell ref="B3672:B3673"/>
    <mergeCell ref="C3672:C3673"/>
    <mergeCell ref="D3672:I3672"/>
    <mergeCell ref="J3672:J3673"/>
    <mergeCell ref="K3672:K3673"/>
    <mergeCell ref="S3662:S3663"/>
    <mergeCell ref="T3662:T3663"/>
    <mergeCell ref="U3662:U3663"/>
    <mergeCell ref="D3663:F3663"/>
    <mergeCell ref="G3663:I3663"/>
    <mergeCell ref="D3668:I3668"/>
    <mergeCell ref="J3668:K3668"/>
    <mergeCell ref="M3668:Q3668"/>
    <mergeCell ref="L3662:L3663"/>
    <mergeCell ref="M3662:M3663"/>
    <mergeCell ref="N3662:N3663"/>
    <mergeCell ref="O3662:O3663"/>
    <mergeCell ref="Q3662:Q3663"/>
    <mergeCell ref="R3662:R3663"/>
    <mergeCell ref="D3659:I3660"/>
    <mergeCell ref="J3659:K3660"/>
    <mergeCell ref="L3659:L3660"/>
    <mergeCell ref="M3659:Q3659"/>
    <mergeCell ref="M3660:Q3660"/>
    <mergeCell ref="B3662:B3663"/>
    <mergeCell ref="C3662:C3663"/>
    <mergeCell ref="D3662:I3662"/>
    <mergeCell ref="J3662:J3663"/>
    <mergeCell ref="K3662:K3663"/>
    <mergeCell ref="S3652:S3653"/>
    <mergeCell ref="T3652:T3653"/>
    <mergeCell ref="U3652:U3653"/>
    <mergeCell ref="D3653:F3653"/>
    <mergeCell ref="G3653:I3653"/>
    <mergeCell ref="D3658:I3658"/>
    <mergeCell ref="J3658:K3658"/>
    <mergeCell ref="M3658:Q3658"/>
    <mergeCell ref="L3652:L3653"/>
    <mergeCell ref="M3652:M3653"/>
    <mergeCell ref="N3652:N3653"/>
    <mergeCell ref="O3652:O3653"/>
    <mergeCell ref="Q3652:Q3653"/>
    <mergeCell ref="R3652:R3653"/>
    <mergeCell ref="D3649:I3650"/>
    <mergeCell ref="J3649:K3650"/>
    <mergeCell ref="L3649:L3650"/>
    <mergeCell ref="M3649:Q3649"/>
    <mergeCell ref="M3650:Q3650"/>
    <mergeCell ref="B3652:B3653"/>
    <mergeCell ref="C3652:C3653"/>
    <mergeCell ref="D3652:I3652"/>
    <mergeCell ref="J3652:J3653"/>
    <mergeCell ref="K3652:K3653"/>
    <mergeCell ref="S3642:S3643"/>
    <mergeCell ref="T3642:T3643"/>
    <mergeCell ref="U3642:U3643"/>
    <mergeCell ref="D3643:F3643"/>
    <mergeCell ref="G3643:I3643"/>
    <mergeCell ref="D3648:I3648"/>
    <mergeCell ref="J3648:K3648"/>
    <mergeCell ref="M3648:Q3648"/>
    <mergeCell ref="L3642:L3643"/>
    <mergeCell ref="M3642:M3643"/>
    <mergeCell ref="N3642:N3643"/>
    <mergeCell ref="O3642:O3643"/>
    <mergeCell ref="Q3642:Q3643"/>
    <mergeCell ref="R3642:R3643"/>
    <mergeCell ref="D3639:I3640"/>
    <mergeCell ref="J3639:K3640"/>
    <mergeCell ref="L3639:L3640"/>
    <mergeCell ref="M3639:Q3639"/>
    <mergeCell ref="M3640:Q3640"/>
    <mergeCell ref="B3642:B3643"/>
    <mergeCell ref="C3642:C3643"/>
    <mergeCell ref="D3642:I3642"/>
    <mergeCell ref="J3642:J3643"/>
    <mergeCell ref="K3642:K3643"/>
    <mergeCell ref="S3632:S3633"/>
    <mergeCell ref="T3632:T3633"/>
    <mergeCell ref="U3632:U3633"/>
    <mergeCell ref="D3633:F3633"/>
    <mergeCell ref="G3633:I3633"/>
    <mergeCell ref="D3638:I3638"/>
    <mergeCell ref="J3638:K3638"/>
    <mergeCell ref="M3638:Q3638"/>
    <mergeCell ref="L3632:L3633"/>
    <mergeCell ref="M3632:M3633"/>
    <mergeCell ref="N3632:N3633"/>
    <mergeCell ref="O3632:O3633"/>
    <mergeCell ref="Q3632:Q3633"/>
    <mergeCell ref="R3632:R3633"/>
    <mergeCell ref="D3629:I3630"/>
    <mergeCell ref="J3629:K3630"/>
    <mergeCell ref="L3629:L3630"/>
    <mergeCell ref="M3629:Q3629"/>
    <mergeCell ref="M3630:Q3630"/>
    <mergeCell ref="B3632:B3633"/>
    <mergeCell ref="C3632:C3633"/>
    <mergeCell ref="D3632:I3632"/>
    <mergeCell ref="J3632:J3633"/>
    <mergeCell ref="K3632:K3633"/>
    <mergeCell ref="S3622:S3623"/>
    <mergeCell ref="T3622:T3623"/>
    <mergeCell ref="U3622:U3623"/>
    <mergeCell ref="D3623:F3623"/>
    <mergeCell ref="G3623:I3623"/>
    <mergeCell ref="D3628:I3628"/>
    <mergeCell ref="J3628:K3628"/>
    <mergeCell ref="M3628:Q3628"/>
    <mergeCell ref="L3622:L3623"/>
    <mergeCell ref="M3622:M3623"/>
    <mergeCell ref="N3622:N3623"/>
    <mergeCell ref="O3622:O3623"/>
    <mergeCell ref="Q3622:Q3623"/>
    <mergeCell ref="R3622:R3623"/>
    <mergeCell ref="D3619:I3620"/>
    <mergeCell ref="J3619:K3620"/>
    <mergeCell ref="L3619:L3620"/>
    <mergeCell ref="M3619:Q3619"/>
    <mergeCell ref="M3620:Q3620"/>
    <mergeCell ref="B3622:B3623"/>
    <mergeCell ref="C3622:C3623"/>
    <mergeCell ref="D3622:I3622"/>
    <mergeCell ref="J3622:J3623"/>
    <mergeCell ref="K3622:K3623"/>
    <mergeCell ref="S3612:S3613"/>
    <mergeCell ref="T3612:T3613"/>
    <mergeCell ref="U3612:U3613"/>
    <mergeCell ref="D3613:F3613"/>
    <mergeCell ref="G3613:I3613"/>
    <mergeCell ref="D3618:I3618"/>
    <mergeCell ref="J3618:K3618"/>
    <mergeCell ref="M3618:Q3618"/>
    <mergeCell ref="L3612:L3613"/>
    <mergeCell ref="M3612:M3613"/>
    <mergeCell ref="N3612:N3613"/>
    <mergeCell ref="O3612:O3613"/>
    <mergeCell ref="Q3612:Q3613"/>
    <mergeCell ref="R3612:R3613"/>
    <mergeCell ref="D3609:I3610"/>
    <mergeCell ref="J3609:K3610"/>
    <mergeCell ref="L3609:L3610"/>
    <mergeCell ref="M3609:Q3609"/>
    <mergeCell ref="M3610:Q3610"/>
    <mergeCell ref="B3612:B3613"/>
    <mergeCell ref="C3612:C3613"/>
    <mergeCell ref="D3612:I3612"/>
    <mergeCell ref="J3612:J3613"/>
    <mergeCell ref="K3612:K3613"/>
    <mergeCell ref="S3602:S3603"/>
    <mergeCell ref="T3602:T3603"/>
    <mergeCell ref="U3602:U3603"/>
    <mergeCell ref="D3603:F3603"/>
    <mergeCell ref="G3603:I3603"/>
    <mergeCell ref="D3608:I3608"/>
    <mergeCell ref="J3608:K3608"/>
    <mergeCell ref="M3608:Q3608"/>
    <mergeCell ref="L3602:L3603"/>
    <mergeCell ref="M3602:M3603"/>
    <mergeCell ref="N3602:N3603"/>
    <mergeCell ref="O3602:O3603"/>
    <mergeCell ref="Q3602:Q3603"/>
    <mergeCell ref="R3602:R3603"/>
    <mergeCell ref="D3599:I3600"/>
    <mergeCell ref="J3599:K3600"/>
    <mergeCell ref="L3599:L3600"/>
    <mergeCell ref="M3599:Q3599"/>
    <mergeCell ref="M3600:Q3600"/>
    <mergeCell ref="B3602:B3603"/>
    <mergeCell ref="C3602:C3603"/>
    <mergeCell ref="D3602:I3602"/>
    <mergeCell ref="J3602:J3603"/>
    <mergeCell ref="K3602:K3603"/>
    <mergeCell ref="S3592:S3593"/>
    <mergeCell ref="T3592:T3593"/>
    <mergeCell ref="U3592:U3593"/>
    <mergeCell ref="D3593:F3593"/>
    <mergeCell ref="G3593:I3593"/>
    <mergeCell ref="D3598:I3598"/>
    <mergeCell ref="J3598:K3598"/>
    <mergeCell ref="M3598:Q3598"/>
    <mergeCell ref="L3592:L3593"/>
    <mergeCell ref="M3592:M3593"/>
    <mergeCell ref="N3592:N3593"/>
    <mergeCell ref="O3592:O3593"/>
    <mergeCell ref="Q3592:Q3593"/>
    <mergeCell ref="R3592:R3593"/>
    <mergeCell ref="D3589:I3590"/>
    <mergeCell ref="J3589:K3590"/>
    <mergeCell ref="L3589:L3590"/>
    <mergeCell ref="M3589:Q3589"/>
    <mergeCell ref="M3590:Q3590"/>
    <mergeCell ref="B3592:B3593"/>
    <mergeCell ref="C3592:C3593"/>
    <mergeCell ref="D3592:I3592"/>
    <mergeCell ref="J3592:J3593"/>
    <mergeCell ref="K3592:K3593"/>
    <mergeCell ref="S3582:S3583"/>
    <mergeCell ref="T3582:T3583"/>
    <mergeCell ref="U3582:U3583"/>
    <mergeCell ref="D3583:F3583"/>
    <mergeCell ref="G3583:I3583"/>
    <mergeCell ref="D3588:I3588"/>
    <mergeCell ref="J3588:K3588"/>
    <mergeCell ref="M3588:Q3588"/>
    <mergeCell ref="L3582:L3583"/>
    <mergeCell ref="M3582:M3583"/>
    <mergeCell ref="N3582:N3583"/>
    <mergeCell ref="O3582:O3583"/>
    <mergeCell ref="Q3582:Q3583"/>
    <mergeCell ref="R3582:R3583"/>
    <mergeCell ref="D3578:I3579"/>
    <mergeCell ref="J3578:K3579"/>
    <mergeCell ref="L3578:L3579"/>
    <mergeCell ref="M3578:Q3578"/>
    <mergeCell ref="M3579:Q3579"/>
    <mergeCell ref="B3582:B3583"/>
    <mergeCell ref="C3582:C3583"/>
    <mergeCell ref="D3582:I3582"/>
    <mergeCell ref="J3582:J3583"/>
    <mergeCell ref="K3582:K3583"/>
    <mergeCell ref="S3571:S3572"/>
    <mergeCell ref="T3571:T3572"/>
    <mergeCell ref="U3571:U3572"/>
    <mergeCell ref="D3572:F3572"/>
    <mergeCell ref="G3572:I3572"/>
    <mergeCell ref="D3577:I3577"/>
    <mergeCell ref="J3577:K3577"/>
    <mergeCell ref="M3577:Q3577"/>
    <mergeCell ref="L3571:L3572"/>
    <mergeCell ref="M3571:M3572"/>
    <mergeCell ref="N3571:N3572"/>
    <mergeCell ref="O3571:O3572"/>
    <mergeCell ref="Q3571:Q3572"/>
    <mergeCell ref="R3571:R3572"/>
    <mergeCell ref="G3581:L3581"/>
    <mergeCell ref="O3581:R3581"/>
    <mergeCell ref="D3568:I3569"/>
    <mergeCell ref="J3568:K3569"/>
    <mergeCell ref="L3568:L3569"/>
    <mergeCell ref="M3568:Q3568"/>
    <mergeCell ref="M3569:Q3569"/>
    <mergeCell ref="B3571:B3572"/>
    <mergeCell ref="C3571:C3572"/>
    <mergeCell ref="D3571:I3571"/>
    <mergeCell ref="J3571:J3572"/>
    <mergeCell ref="K3571:K3572"/>
    <mergeCell ref="S3561:S3562"/>
    <mergeCell ref="T3561:T3562"/>
    <mergeCell ref="U3561:U3562"/>
    <mergeCell ref="D3562:F3562"/>
    <mergeCell ref="G3562:I3562"/>
    <mergeCell ref="D3567:I3567"/>
    <mergeCell ref="J3567:K3567"/>
    <mergeCell ref="M3567:Q3567"/>
    <mergeCell ref="L3561:L3562"/>
    <mergeCell ref="M3561:M3562"/>
    <mergeCell ref="N3561:N3562"/>
    <mergeCell ref="O3561:O3562"/>
    <mergeCell ref="Q3561:Q3562"/>
    <mergeCell ref="R3561:R3562"/>
    <mergeCell ref="D3558:I3559"/>
    <mergeCell ref="J3558:K3559"/>
    <mergeCell ref="L3558:L3559"/>
    <mergeCell ref="M3558:Q3558"/>
    <mergeCell ref="M3559:Q3559"/>
    <mergeCell ref="B3561:B3562"/>
    <mergeCell ref="C3561:C3562"/>
    <mergeCell ref="D3561:I3561"/>
    <mergeCell ref="J3561:J3562"/>
    <mergeCell ref="K3561:K3562"/>
    <mergeCell ref="S3551:S3552"/>
    <mergeCell ref="T3551:T3552"/>
    <mergeCell ref="U3551:U3552"/>
    <mergeCell ref="D3552:F3552"/>
    <mergeCell ref="G3552:I3552"/>
    <mergeCell ref="D3557:I3557"/>
    <mergeCell ref="J3557:K3557"/>
    <mergeCell ref="M3557:Q3557"/>
    <mergeCell ref="L3551:L3552"/>
    <mergeCell ref="M3551:M3552"/>
    <mergeCell ref="N3551:N3552"/>
    <mergeCell ref="O3551:O3552"/>
    <mergeCell ref="Q3551:Q3552"/>
    <mergeCell ref="R3551:R3552"/>
    <mergeCell ref="D3548:I3549"/>
    <mergeCell ref="J3548:K3549"/>
    <mergeCell ref="L3548:L3549"/>
    <mergeCell ref="M3548:Q3548"/>
    <mergeCell ref="M3549:Q3549"/>
    <mergeCell ref="B3551:B3552"/>
    <mergeCell ref="C3551:C3552"/>
    <mergeCell ref="D3551:I3551"/>
    <mergeCell ref="J3551:J3552"/>
    <mergeCell ref="K3551:K3552"/>
    <mergeCell ref="S3541:S3542"/>
    <mergeCell ref="T3541:T3542"/>
    <mergeCell ref="U3541:U3542"/>
    <mergeCell ref="D3542:F3542"/>
    <mergeCell ref="G3542:I3542"/>
    <mergeCell ref="D3547:I3547"/>
    <mergeCell ref="J3547:K3547"/>
    <mergeCell ref="M3547:Q3547"/>
    <mergeCell ref="L3541:L3542"/>
    <mergeCell ref="M3541:M3542"/>
    <mergeCell ref="N3541:N3542"/>
    <mergeCell ref="O3541:O3542"/>
    <mergeCell ref="Q3541:Q3542"/>
    <mergeCell ref="R3541:R3542"/>
    <mergeCell ref="D3538:I3539"/>
    <mergeCell ref="J3538:K3539"/>
    <mergeCell ref="L3538:L3539"/>
    <mergeCell ref="M3538:Q3538"/>
    <mergeCell ref="M3539:Q3539"/>
    <mergeCell ref="B3541:B3542"/>
    <mergeCell ref="C3541:C3542"/>
    <mergeCell ref="D3541:I3541"/>
    <mergeCell ref="J3541:J3542"/>
    <mergeCell ref="K3541:K3542"/>
    <mergeCell ref="S3531:S3532"/>
    <mergeCell ref="T3531:T3532"/>
    <mergeCell ref="U3531:U3532"/>
    <mergeCell ref="D3532:F3532"/>
    <mergeCell ref="G3532:I3532"/>
    <mergeCell ref="D3537:I3537"/>
    <mergeCell ref="J3537:K3537"/>
    <mergeCell ref="M3537:Q3537"/>
    <mergeCell ref="L3531:L3532"/>
    <mergeCell ref="M3531:M3532"/>
    <mergeCell ref="N3531:N3532"/>
    <mergeCell ref="O3531:O3532"/>
    <mergeCell ref="Q3531:Q3532"/>
    <mergeCell ref="R3531:R3532"/>
    <mergeCell ref="D3528:I3529"/>
    <mergeCell ref="J3528:K3529"/>
    <mergeCell ref="L3528:L3529"/>
    <mergeCell ref="M3528:Q3528"/>
    <mergeCell ref="M3529:Q3529"/>
    <mergeCell ref="B3531:B3532"/>
    <mergeCell ref="C3531:C3532"/>
    <mergeCell ref="D3531:I3531"/>
    <mergeCell ref="J3531:J3532"/>
    <mergeCell ref="K3531:K3532"/>
    <mergeCell ref="S3521:S3522"/>
    <mergeCell ref="T3521:T3522"/>
    <mergeCell ref="U3521:U3522"/>
    <mergeCell ref="D3522:F3522"/>
    <mergeCell ref="G3522:I3522"/>
    <mergeCell ref="D3527:I3527"/>
    <mergeCell ref="J3527:K3527"/>
    <mergeCell ref="M3527:Q3527"/>
    <mergeCell ref="L3521:L3522"/>
    <mergeCell ref="M3521:M3522"/>
    <mergeCell ref="N3521:N3522"/>
    <mergeCell ref="O3521:O3522"/>
    <mergeCell ref="Q3521:Q3522"/>
    <mergeCell ref="R3521:R3522"/>
    <mergeCell ref="D3518:I3519"/>
    <mergeCell ref="J3518:K3519"/>
    <mergeCell ref="L3518:L3519"/>
    <mergeCell ref="M3518:Q3518"/>
    <mergeCell ref="M3519:Q3519"/>
    <mergeCell ref="B3521:B3522"/>
    <mergeCell ref="C3521:C3522"/>
    <mergeCell ref="D3521:I3521"/>
    <mergeCell ref="J3521:J3522"/>
    <mergeCell ref="K3521:K3522"/>
    <mergeCell ref="S3511:S3512"/>
    <mergeCell ref="T3511:T3512"/>
    <mergeCell ref="U3511:U3512"/>
    <mergeCell ref="D3512:F3512"/>
    <mergeCell ref="G3512:I3512"/>
    <mergeCell ref="D3517:I3517"/>
    <mergeCell ref="J3517:K3517"/>
    <mergeCell ref="M3517:Q3517"/>
    <mergeCell ref="L3511:L3512"/>
    <mergeCell ref="M3511:M3512"/>
    <mergeCell ref="N3511:N3512"/>
    <mergeCell ref="O3511:O3512"/>
    <mergeCell ref="Q3511:Q3512"/>
    <mergeCell ref="R3511:R3512"/>
    <mergeCell ref="D3508:I3509"/>
    <mergeCell ref="J3508:K3509"/>
    <mergeCell ref="L3508:L3509"/>
    <mergeCell ref="M3508:Q3508"/>
    <mergeCell ref="M3509:Q3509"/>
    <mergeCell ref="B3511:B3512"/>
    <mergeCell ref="C3511:C3512"/>
    <mergeCell ref="D3511:I3511"/>
    <mergeCell ref="J3511:J3512"/>
    <mergeCell ref="K3511:K3512"/>
    <mergeCell ref="S3501:S3502"/>
    <mergeCell ref="T3501:T3502"/>
    <mergeCell ref="U3501:U3502"/>
    <mergeCell ref="D3502:F3502"/>
    <mergeCell ref="G3502:I3502"/>
    <mergeCell ref="D3507:I3507"/>
    <mergeCell ref="J3507:K3507"/>
    <mergeCell ref="M3507:Q3507"/>
    <mergeCell ref="L3501:L3502"/>
    <mergeCell ref="M3501:M3502"/>
    <mergeCell ref="N3501:N3502"/>
    <mergeCell ref="O3501:O3502"/>
    <mergeCell ref="Q3501:Q3502"/>
    <mergeCell ref="R3501:R3502"/>
    <mergeCell ref="D3498:I3499"/>
    <mergeCell ref="J3498:K3499"/>
    <mergeCell ref="L3498:L3499"/>
    <mergeCell ref="M3498:Q3498"/>
    <mergeCell ref="M3499:Q3499"/>
    <mergeCell ref="B3501:B3502"/>
    <mergeCell ref="C3501:C3502"/>
    <mergeCell ref="D3501:I3501"/>
    <mergeCell ref="J3501:J3502"/>
    <mergeCell ref="K3501:K3502"/>
    <mergeCell ref="S3491:S3492"/>
    <mergeCell ref="T3491:T3492"/>
    <mergeCell ref="U3491:U3492"/>
    <mergeCell ref="D3492:F3492"/>
    <mergeCell ref="G3492:I3492"/>
    <mergeCell ref="D3497:I3497"/>
    <mergeCell ref="J3497:K3497"/>
    <mergeCell ref="M3497:Q3497"/>
    <mergeCell ref="L3491:L3492"/>
    <mergeCell ref="M3491:M3492"/>
    <mergeCell ref="N3491:N3492"/>
    <mergeCell ref="O3491:O3492"/>
    <mergeCell ref="Q3491:Q3492"/>
    <mergeCell ref="R3491:R3492"/>
    <mergeCell ref="D3488:I3489"/>
    <mergeCell ref="J3488:K3489"/>
    <mergeCell ref="L3488:L3489"/>
    <mergeCell ref="M3488:Q3488"/>
    <mergeCell ref="M3489:Q3489"/>
    <mergeCell ref="B3491:B3492"/>
    <mergeCell ref="C3491:C3492"/>
    <mergeCell ref="D3491:I3491"/>
    <mergeCell ref="J3491:J3492"/>
    <mergeCell ref="K3491:K3492"/>
    <mergeCell ref="S3481:S3482"/>
    <mergeCell ref="T3481:T3482"/>
    <mergeCell ref="U3481:U3482"/>
    <mergeCell ref="D3482:F3482"/>
    <mergeCell ref="G3482:I3482"/>
    <mergeCell ref="D3487:I3487"/>
    <mergeCell ref="J3487:K3487"/>
    <mergeCell ref="M3487:Q3487"/>
    <mergeCell ref="L3481:L3482"/>
    <mergeCell ref="M3481:M3482"/>
    <mergeCell ref="N3481:N3482"/>
    <mergeCell ref="O3481:O3482"/>
    <mergeCell ref="Q3481:Q3482"/>
    <mergeCell ref="R3481:R3482"/>
    <mergeCell ref="D3478:I3479"/>
    <mergeCell ref="J3478:K3479"/>
    <mergeCell ref="L3478:L3479"/>
    <mergeCell ref="M3478:Q3478"/>
    <mergeCell ref="M3479:Q3479"/>
    <mergeCell ref="B3481:B3482"/>
    <mergeCell ref="C3481:C3482"/>
    <mergeCell ref="D3481:I3481"/>
    <mergeCell ref="J3481:J3482"/>
    <mergeCell ref="K3481:K3482"/>
    <mergeCell ref="T3471:T3472"/>
    <mergeCell ref="U3471:U3472"/>
    <mergeCell ref="D3472:F3472"/>
    <mergeCell ref="G3472:I3472"/>
    <mergeCell ref="D3477:I3477"/>
    <mergeCell ref="J3477:K3477"/>
    <mergeCell ref="M3477:Q3477"/>
    <mergeCell ref="M3471:M3472"/>
    <mergeCell ref="N3471:N3472"/>
    <mergeCell ref="O3471:O3472"/>
    <mergeCell ref="Q3471:Q3472"/>
    <mergeCell ref="R3471:R3472"/>
    <mergeCell ref="S3471:S3472"/>
    <mergeCell ref="B3471:B3472"/>
    <mergeCell ref="C3471:C3472"/>
    <mergeCell ref="D3471:I3471"/>
    <mergeCell ref="J3471:J3472"/>
    <mergeCell ref="K3471:K3472"/>
    <mergeCell ref="L3471:L3472"/>
    <mergeCell ref="D3468:I3469"/>
    <mergeCell ref="J3468:K3469"/>
    <mergeCell ref="L3468:L3469"/>
    <mergeCell ref="M3468:Q3468"/>
    <mergeCell ref="M3469:Q3469"/>
    <mergeCell ref="S3461:S3462"/>
    <mergeCell ref="T3461:T3462"/>
    <mergeCell ref="U3461:U3462"/>
    <mergeCell ref="D3462:F3462"/>
    <mergeCell ref="G3462:I3462"/>
    <mergeCell ref="D3467:I3467"/>
    <mergeCell ref="J3467:K3467"/>
    <mergeCell ref="M3467:Q3467"/>
    <mergeCell ref="L3461:L3462"/>
    <mergeCell ref="M3461:M3462"/>
    <mergeCell ref="N3461:N3462"/>
    <mergeCell ref="O3461:O3462"/>
    <mergeCell ref="Q3461:Q3462"/>
    <mergeCell ref="R3461:R3462"/>
    <mergeCell ref="D3458:I3459"/>
    <mergeCell ref="J3458:K3459"/>
    <mergeCell ref="L3458:L3459"/>
    <mergeCell ref="M3458:Q3458"/>
    <mergeCell ref="M3459:Q3459"/>
    <mergeCell ref="B3461:B3462"/>
    <mergeCell ref="C3461:C3462"/>
    <mergeCell ref="D3461:I3461"/>
    <mergeCell ref="J3461:J3462"/>
    <mergeCell ref="K3461:K3462"/>
    <mergeCell ref="S3451:S3452"/>
    <mergeCell ref="T3451:T3452"/>
    <mergeCell ref="U3451:U3452"/>
    <mergeCell ref="D3452:F3452"/>
    <mergeCell ref="G3452:I3452"/>
    <mergeCell ref="D3457:I3457"/>
    <mergeCell ref="J3457:K3457"/>
    <mergeCell ref="M3457:Q3457"/>
    <mergeCell ref="L3451:L3452"/>
    <mergeCell ref="M3451:M3452"/>
    <mergeCell ref="N3451:N3452"/>
    <mergeCell ref="O3451:O3452"/>
    <mergeCell ref="Q3451:Q3452"/>
    <mergeCell ref="R3451:R3452"/>
    <mergeCell ref="D3448:I3449"/>
    <mergeCell ref="J3448:K3449"/>
    <mergeCell ref="L3448:L3449"/>
    <mergeCell ref="M3448:Q3448"/>
    <mergeCell ref="M3449:Q3449"/>
    <mergeCell ref="B3451:B3452"/>
    <mergeCell ref="C3451:C3452"/>
    <mergeCell ref="D3451:I3451"/>
    <mergeCell ref="J3451:J3452"/>
    <mergeCell ref="K3451:K3452"/>
    <mergeCell ref="S3441:S3442"/>
    <mergeCell ref="T3441:T3442"/>
    <mergeCell ref="U3441:U3442"/>
    <mergeCell ref="D3442:F3442"/>
    <mergeCell ref="G3442:I3442"/>
    <mergeCell ref="D3447:I3447"/>
    <mergeCell ref="J3447:K3447"/>
    <mergeCell ref="M3447:Q3447"/>
    <mergeCell ref="L3441:L3442"/>
    <mergeCell ref="M3441:M3442"/>
    <mergeCell ref="N3441:N3442"/>
    <mergeCell ref="O3441:O3442"/>
    <mergeCell ref="Q3441:Q3442"/>
    <mergeCell ref="R3441:R3442"/>
    <mergeCell ref="D3438:I3439"/>
    <mergeCell ref="J3438:K3439"/>
    <mergeCell ref="L3438:L3439"/>
    <mergeCell ref="M3438:Q3438"/>
    <mergeCell ref="M3439:Q3439"/>
    <mergeCell ref="B3441:B3442"/>
    <mergeCell ref="C3441:C3442"/>
    <mergeCell ref="D3441:I3441"/>
    <mergeCell ref="J3441:J3442"/>
    <mergeCell ref="K3441:K3442"/>
    <mergeCell ref="S3431:S3432"/>
    <mergeCell ref="T3431:T3432"/>
    <mergeCell ref="U3431:U3432"/>
    <mergeCell ref="D3432:F3432"/>
    <mergeCell ref="G3432:I3432"/>
    <mergeCell ref="D3437:I3437"/>
    <mergeCell ref="J3437:K3437"/>
    <mergeCell ref="M3437:Q3437"/>
    <mergeCell ref="L3431:L3432"/>
    <mergeCell ref="M3431:M3432"/>
    <mergeCell ref="N3431:N3432"/>
    <mergeCell ref="O3431:O3432"/>
    <mergeCell ref="Q3431:Q3432"/>
    <mergeCell ref="R3431:R3432"/>
    <mergeCell ref="D3428:I3429"/>
    <mergeCell ref="J3428:K3429"/>
    <mergeCell ref="L3428:L3429"/>
    <mergeCell ref="M3428:Q3428"/>
    <mergeCell ref="M3429:Q3429"/>
    <mergeCell ref="B3431:B3432"/>
    <mergeCell ref="C3431:C3432"/>
    <mergeCell ref="D3431:I3431"/>
    <mergeCell ref="J3431:J3432"/>
    <mergeCell ref="K3431:K3432"/>
    <mergeCell ref="S3421:S3422"/>
    <mergeCell ref="T3421:T3422"/>
    <mergeCell ref="U3421:U3422"/>
    <mergeCell ref="D3422:F3422"/>
    <mergeCell ref="G3422:I3422"/>
    <mergeCell ref="D3427:I3427"/>
    <mergeCell ref="J3427:K3427"/>
    <mergeCell ref="M3427:Q3427"/>
    <mergeCell ref="L3421:L3422"/>
    <mergeCell ref="M3421:M3422"/>
    <mergeCell ref="N3421:N3422"/>
    <mergeCell ref="O3421:O3422"/>
    <mergeCell ref="Q3421:Q3422"/>
    <mergeCell ref="R3421:R3422"/>
    <mergeCell ref="D3417:I3418"/>
    <mergeCell ref="J3417:K3418"/>
    <mergeCell ref="L3417:L3418"/>
    <mergeCell ref="M3417:Q3417"/>
    <mergeCell ref="M3418:Q3418"/>
    <mergeCell ref="B3421:B3422"/>
    <mergeCell ref="C3421:C3422"/>
    <mergeCell ref="D3421:I3421"/>
    <mergeCell ref="J3421:J3422"/>
    <mergeCell ref="K3421:K3422"/>
    <mergeCell ref="S3410:S3411"/>
    <mergeCell ref="T3410:T3411"/>
    <mergeCell ref="U3410:U3411"/>
    <mergeCell ref="D3411:F3411"/>
    <mergeCell ref="G3411:I3411"/>
    <mergeCell ref="D3416:I3416"/>
    <mergeCell ref="J3416:K3416"/>
    <mergeCell ref="M3416:Q3416"/>
    <mergeCell ref="L3410:L3411"/>
    <mergeCell ref="M3410:M3411"/>
    <mergeCell ref="N3410:N3411"/>
    <mergeCell ref="O3410:O3411"/>
    <mergeCell ref="Q3410:Q3411"/>
    <mergeCell ref="R3410:R3411"/>
    <mergeCell ref="G3420:L3420"/>
    <mergeCell ref="O3420:R3420"/>
    <mergeCell ref="D3407:I3408"/>
    <mergeCell ref="J3407:K3408"/>
    <mergeCell ref="L3407:L3408"/>
    <mergeCell ref="M3407:Q3407"/>
    <mergeCell ref="M3408:Q3408"/>
    <mergeCell ref="B3410:B3411"/>
    <mergeCell ref="C3410:C3411"/>
    <mergeCell ref="D3410:I3410"/>
    <mergeCell ref="J3410:J3411"/>
    <mergeCell ref="K3410:K3411"/>
    <mergeCell ref="S3400:S3401"/>
    <mergeCell ref="T3400:T3401"/>
    <mergeCell ref="U3400:U3401"/>
    <mergeCell ref="D3401:F3401"/>
    <mergeCell ref="G3401:I3401"/>
    <mergeCell ref="D3406:I3406"/>
    <mergeCell ref="J3406:K3406"/>
    <mergeCell ref="M3406:Q3406"/>
    <mergeCell ref="L3400:L3401"/>
    <mergeCell ref="M3400:M3401"/>
    <mergeCell ref="N3400:N3401"/>
    <mergeCell ref="O3400:O3401"/>
    <mergeCell ref="Q3400:Q3401"/>
    <mergeCell ref="R3400:R3401"/>
    <mergeCell ref="D3397:I3398"/>
    <mergeCell ref="J3397:K3398"/>
    <mergeCell ref="L3397:L3398"/>
    <mergeCell ref="M3397:Q3397"/>
    <mergeCell ref="M3398:Q3398"/>
    <mergeCell ref="B3400:B3401"/>
    <mergeCell ref="C3400:C3401"/>
    <mergeCell ref="D3400:I3400"/>
    <mergeCell ref="J3400:J3401"/>
    <mergeCell ref="K3400:K3401"/>
    <mergeCell ref="S3390:S3391"/>
    <mergeCell ref="T3390:T3391"/>
    <mergeCell ref="U3390:U3391"/>
    <mergeCell ref="D3391:F3391"/>
    <mergeCell ref="G3391:I3391"/>
    <mergeCell ref="D3396:I3396"/>
    <mergeCell ref="J3396:K3396"/>
    <mergeCell ref="M3396:Q3396"/>
    <mergeCell ref="L3390:L3391"/>
    <mergeCell ref="M3390:M3391"/>
    <mergeCell ref="N3390:N3391"/>
    <mergeCell ref="O3390:O3391"/>
    <mergeCell ref="Q3390:Q3391"/>
    <mergeCell ref="R3390:R3391"/>
    <mergeCell ref="D3387:I3388"/>
    <mergeCell ref="J3387:K3388"/>
    <mergeCell ref="L3387:L3388"/>
    <mergeCell ref="M3387:Q3387"/>
    <mergeCell ref="M3388:Q3388"/>
    <mergeCell ref="B3390:B3391"/>
    <mergeCell ref="C3390:C3391"/>
    <mergeCell ref="D3390:I3390"/>
    <mergeCell ref="J3390:J3391"/>
    <mergeCell ref="K3390:K3391"/>
    <mergeCell ref="S3380:S3381"/>
    <mergeCell ref="T3380:T3381"/>
    <mergeCell ref="U3380:U3381"/>
    <mergeCell ref="D3381:F3381"/>
    <mergeCell ref="G3381:I3381"/>
    <mergeCell ref="D3386:I3386"/>
    <mergeCell ref="J3386:K3386"/>
    <mergeCell ref="M3386:Q3386"/>
    <mergeCell ref="L3380:L3381"/>
    <mergeCell ref="M3380:M3381"/>
    <mergeCell ref="N3380:N3381"/>
    <mergeCell ref="O3380:O3381"/>
    <mergeCell ref="Q3380:Q3381"/>
    <mergeCell ref="R3380:R3381"/>
    <mergeCell ref="D3377:I3378"/>
    <mergeCell ref="J3377:K3378"/>
    <mergeCell ref="L3377:L3378"/>
    <mergeCell ref="M3377:Q3377"/>
    <mergeCell ref="M3378:Q3378"/>
    <mergeCell ref="B3380:B3381"/>
    <mergeCell ref="C3380:C3381"/>
    <mergeCell ref="D3380:I3380"/>
    <mergeCell ref="J3380:J3381"/>
    <mergeCell ref="K3380:K3381"/>
    <mergeCell ref="S3370:S3371"/>
    <mergeCell ref="T3370:T3371"/>
    <mergeCell ref="U3370:U3371"/>
    <mergeCell ref="D3371:F3371"/>
    <mergeCell ref="G3371:I3371"/>
    <mergeCell ref="D3376:I3376"/>
    <mergeCell ref="J3376:K3376"/>
    <mergeCell ref="M3376:Q3376"/>
    <mergeCell ref="L3370:L3371"/>
    <mergeCell ref="M3370:M3371"/>
    <mergeCell ref="N3370:N3371"/>
    <mergeCell ref="O3370:O3371"/>
    <mergeCell ref="Q3370:Q3371"/>
    <mergeCell ref="R3370:R3371"/>
    <mergeCell ref="D3367:I3368"/>
    <mergeCell ref="J3367:K3368"/>
    <mergeCell ref="L3367:L3368"/>
    <mergeCell ref="M3367:Q3367"/>
    <mergeCell ref="M3368:Q3368"/>
    <mergeCell ref="B3370:B3371"/>
    <mergeCell ref="C3370:C3371"/>
    <mergeCell ref="D3370:I3370"/>
    <mergeCell ref="J3370:J3371"/>
    <mergeCell ref="K3370:K3371"/>
    <mergeCell ref="S3360:S3361"/>
    <mergeCell ref="T3360:T3361"/>
    <mergeCell ref="U3360:U3361"/>
    <mergeCell ref="D3361:F3361"/>
    <mergeCell ref="G3361:I3361"/>
    <mergeCell ref="D3366:I3366"/>
    <mergeCell ref="J3366:K3366"/>
    <mergeCell ref="M3366:Q3366"/>
    <mergeCell ref="L3360:L3361"/>
    <mergeCell ref="M3360:M3361"/>
    <mergeCell ref="N3360:N3361"/>
    <mergeCell ref="O3360:O3361"/>
    <mergeCell ref="Q3360:Q3361"/>
    <mergeCell ref="R3360:R3361"/>
    <mergeCell ref="D3357:I3358"/>
    <mergeCell ref="J3357:K3358"/>
    <mergeCell ref="L3357:L3358"/>
    <mergeCell ref="M3357:Q3357"/>
    <mergeCell ref="M3358:Q3358"/>
    <mergeCell ref="B3360:B3361"/>
    <mergeCell ref="C3360:C3361"/>
    <mergeCell ref="D3360:I3360"/>
    <mergeCell ref="J3360:J3361"/>
    <mergeCell ref="K3360:K3361"/>
    <mergeCell ref="S3350:S3351"/>
    <mergeCell ref="T3350:T3351"/>
    <mergeCell ref="U3350:U3351"/>
    <mergeCell ref="D3351:F3351"/>
    <mergeCell ref="G3351:I3351"/>
    <mergeCell ref="D3356:I3356"/>
    <mergeCell ref="J3356:K3356"/>
    <mergeCell ref="M3356:Q3356"/>
    <mergeCell ref="L3350:L3351"/>
    <mergeCell ref="M3350:M3351"/>
    <mergeCell ref="N3350:N3351"/>
    <mergeCell ref="O3350:O3351"/>
    <mergeCell ref="Q3350:Q3351"/>
    <mergeCell ref="R3350:R3351"/>
    <mergeCell ref="D3346:I3347"/>
    <mergeCell ref="J3346:K3347"/>
    <mergeCell ref="L3346:L3347"/>
    <mergeCell ref="M3346:Q3346"/>
    <mergeCell ref="M3347:Q3347"/>
    <mergeCell ref="B3350:B3351"/>
    <mergeCell ref="C3350:C3351"/>
    <mergeCell ref="D3350:I3350"/>
    <mergeCell ref="J3350:J3351"/>
    <mergeCell ref="K3350:K3351"/>
    <mergeCell ref="S3339:S3340"/>
    <mergeCell ref="T3339:T3340"/>
    <mergeCell ref="U3339:U3340"/>
    <mergeCell ref="D3340:F3340"/>
    <mergeCell ref="G3340:I3340"/>
    <mergeCell ref="D3345:I3345"/>
    <mergeCell ref="J3345:K3345"/>
    <mergeCell ref="M3345:Q3345"/>
    <mergeCell ref="L3339:L3340"/>
    <mergeCell ref="M3339:M3340"/>
    <mergeCell ref="N3339:N3340"/>
    <mergeCell ref="O3339:O3340"/>
    <mergeCell ref="Q3339:Q3340"/>
    <mergeCell ref="R3339:R3340"/>
    <mergeCell ref="G3349:L3349"/>
    <mergeCell ref="O3349:R3349"/>
    <mergeCell ref="D3336:I3337"/>
    <mergeCell ref="J3336:K3337"/>
    <mergeCell ref="L3336:L3337"/>
    <mergeCell ref="M3336:Q3336"/>
    <mergeCell ref="M3337:Q3337"/>
    <mergeCell ref="B3339:B3340"/>
    <mergeCell ref="C3339:C3340"/>
    <mergeCell ref="D3339:I3339"/>
    <mergeCell ref="J3339:J3340"/>
    <mergeCell ref="K3339:K3340"/>
    <mergeCell ref="T3329:T3330"/>
    <mergeCell ref="U3329:U3330"/>
    <mergeCell ref="D3330:F3330"/>
    <mergeCell ref="G3330:I3330"/>
    <mergeCell ref="D3335:I3335"/>
    <mergeCell ref="J3335:K3335"/>
    <mergeCell ref="M3335:Q3335"/>
    <mergeCell ref="M3329:M3330"/>
    <mergeCell ref="N3329:N3330"/>
    <mergeCell ref="O3329:O3330"/>
    <mergeCell ref="Q3329:Q3330"/>
    <mergeCell ref="R3329:R3330"/>
    <mergeCell ref="S3329:S3330"/>
    <mergeCell ref="B3329:B3330"/>
    <mergeCell ref="C3329:C3330"/>
    <mergeCell ref="D3329:I3329"/>
    <mergeCell ref="J3329:J3330"/>
    <mergeCell ref="K3329:K3330"/>
    <mergeCell ref="L3329:L3330"/>
    <mergeCell ref="D3326:I3327"/>
    <mergeCell ref="J3326:K3327"/>
    <mergeCell ref="L3326:L3327"/>
    <mergeCell ref="M3326:Q3326"/>
    <mergeCell ref="M3327:Q3327"/>
    <mergeCell ref="S3319:S3320"/>
    <mergeCell ref="T3319:T3320"/>
    <mergeCell ref="U3319:U3320"/>
    <mergeCell ref="D3320:F3320"/>
    <mergeCell ref="G3320:I3320"/>
    <mergeCell ref="D3325:I3325"/>
    <mergeCell ref="J3325:K3325"/>
    <mergeCell ref="M3325:Q3325"/>
    <mergeCell ref="L3319:L3320"/>
    <mergeCell ref="M3319:M3320"/>
    <mergeCell ref="N3319:N3320"/>
    <mergeCell ref="O3319:O3320"/>
    <mergeCell ref="Q3319:Q3320"/>
    <mergeCell ref="R3319:R3320"/>
    <mergeCell ref="D3316:I3317"/>
    <mergeCell ref="J3316:K3317"/>
    <mergeCell ref="L3316:L3317"/>
    <mergeCell ref="M3316:Q3316"/>
    <mergeCell ref="M3317:Q3317"/>
    <mergeCell ref="B3319:B3320"/>
    <mergeCell ref="C3319:C3320"/>
    <mergeCell ref="D3319:I3319"/>
    <mergeCell ref="J3319:J3320"/>
    <mergeCell ref="K3319:K3320"/>
    <mergeCell ref="S3309:S3310"/>
    <mergeCell ref="T3309:T3310"/>
    <mergeCell ref="U3309:U3310"/>
    <mergeCell ref="D3310:F3310"/>
    <mergeCell ref="G3310:I3310"/>
    <mergeCell ref="D3315:I3315"/>
    <mergeCell ref="J3315:K3315"/>
    <mergeCell ref="M3315:Q3315"/>
    <mergeCell ref="L3309:L3310"/>
    <mergeCell ref="M3309:M3310"/>
    <mergeCell ref="N3309:N3310"/>
    <mergeCell ref="O3309:O3310"/>
    <mergeCell ref="Q3309:Q3310"/>
    <mergeCell ref="R3309:R3310"/>
    <mergeCell ref="D3306:I3307"/>
    <mergeCell ref="J3306:K3307"/>
    <mergeCell ref="L3306:L3307"/>
    <mergeCell ref="M3306:Q3306"/>
    <mergeCell ref="M3307:Q3307"/>
    <mergeCell ref="B3309:B3310"/>
    <mergeCell ref="C3309:C3310"/>
    <mergeCell ref="D3309:I3309"/>
    <mergeCell ref="J3309:J3310"/>
    <mergeCell ref="K3309:K3310"/>
    <mergeCell ref="S3299:S3300"/>
    <mergeCell ref="T3299:T3300"/>
    <mergeCell ref="U3299:U3300"/>
    <mergeCell ref="D3300:F3300"/>
    <mergeCell ref="G3300:I3300"/>
    <mergeCell ref="D3305:I3305"/>
    <mergeCell ref="J3305:K3305"/>
    <mergeCell ref="M3305:Q3305"/>
    <mergeCell ref="L3299:L3300"/>
    <mergeCell ref="M3299:M3300"/>
    <mergeCell ref="N3299:N3300"/>
    <mergeCell ref="O3299:O3300"/>
    <mergeCell ref="Q3299:Q3300"/>
    <mergeCell ref="R3299:R3300"/>
    <mergeCell ref="D3296:I3297"/>
    <mergeCell ref="J3296:K3297"/>
    <mergeCell ref="L3296:L3297"/>
    <mergeCell ref="M3296:Q3296"/>
    <mergeCell ref="M3297:Q3297"/>
    <mergeCell ref="B3299:B3300"/>
    <mergeCell ref="C3299:C3300"/>
    <mergeCell ref="D3299:I3299"/>
    <mergeCell ref="J3299:J3300"/>
    <mergeCell ref="K3299:K3300"/>
    <mergeCell ref="S3289:S3290"/>
    <mergeCell ref="T3289:T3290"/>
    <mergeCell ref="U3289:U3290"/>
    <mergeCell ref="D3290:F3290"/>
    <mergeCell ref="G3290:I3290"/>
    <mergeCell ref="D3295:I3295"/>
    <mergeCell ref="J3295:K3295"/>
    <mergeCell ref="M3295:Q3295"/>
    <mergeCell ref="L3289:L3290"/>
    <mergeCell ref="M3289:M3290"/>
    <mergeCell ref="N3289:N3290"/>
    <mergeCell ref="O3289:O3290"/>
    <mergeCell ref="Q3289:Q3290"/>
    <mergeCell ref="R3289:R3290"/>
    <mergeCell ref="D3286:I3287"/>
    <mergeCell ref="J3286:K3287"/>
    <mergeCell ref="L3286:L3287"/>
    <mergeCell ref="M3286:Q3286"/>
    <mergeCell ref="M3287:Q3287"/>
    <mergeCell ref="B3289:B3290"/>
    <mergeCell ref="C3289:C3290"/>
    <mergeCell ref="D3289:I3289"/>
    <mergeCell ref="J3289:J3290"/>
    <mergeCell ref="K3289:K3290"/>
    <mergeCell ref="S3279:S3280"/>
    <mergeCell ref="T3279:T3280"/>
    <mergeCell ref="U3279:U3280"/>
    <mergeCell ref="D3280:F3280"/>
    <mergeCell ref="G3280:I3280"/>
    <mergeCell ref="D3285:I3285"/>
    <mergeCell ref="J3285:K3285"/>
    <mergeCell ref="M3285:Q3285"/>
    <mergeCell ref="L3279:L3280"/>
    <mergeCell ref="M3279:M3280"/>
    <mergeCell ref="N3279:N3280"/>
    <mergeCell ref="O3279:O3280"/>
    <mergeCell ref="Q3279:Q3280"/>
    <mergeCell ref="R3279:R3280"/>
    <mergeCell ref="D3276:I3277"/>
    <mergeCell ref="J3276:K3277"/>
    <mergeCell ref="L3276:L3277"/>
    <mergeCell ref="M3276:Q3276"/>
    <mergeCell ref="M3277:Q3277"/>
    <mergeCell ref="B3279:B3280"/>
    <mergeCell ref="C3279:C3280"/>
    <mergeCell ref="D3279:I3279"/>
    <mergeCell ref="J3279:J3280"/>
    <mergeCell ref="K3279:K3280"/>
    <mergeCell ref="S3269:S3270"/>
    <mergeCell ref="T3269:T3270"/>
    <mergeCell ref="U3269:U3270"/>
    <mergeCell ref="D3270:F3270"/>
    <mergeCell ref="G3270:I3270"/>
    <mergeCell ref="D3275:I3275"/>
    <mergeCell ref="J3275:K3275"/>
    <mergeCell ref="M3275:Q3275"/>
    <mergeCell ref="L3269:L3270"/>
    <mergeCell ref="M3269:M3270"/>
    <mergeCell ref="N3269:N3270"/>
    <mergeCell ref="O3269:O3270"/>
    <mergeCell ref="Q3269:Q3270"/>
    <mergeCell ref="R3269:R3270"/>
    <mergeCell ref="D3266:I3267"/>
    <mergeCell ref="J3266:K3267"/>
    <mergeCell ref="L3266:L3267"/>
    <mergeCell ref="M3266:Q3266"/>
    <mergeCell ref="M3267:Q3267"/>
    <mergeCell ref="B3269:B3270"/>
    <mergeCell ref="C3269:C3270"/>
    <mergeCell ref="D3269:I3269"/>
    <mergeCell ref="J3269:J3270"/>
    <mergeCell ref="K3269:K3270"/>
    <mergeCell ref="T3259:T3260"/>
    <mergeCell ref="U3259:U3260"/>
    <mergeCell ref="D3260:F3260"/>
    <mergeCell ref="G3260:I3260"/>
    <mergeCell ref="D3265:I3265"/>
    <mergeCell ref="J3265:K3265"/>
    <mergeCell ref="M3265:Q3265"/>
    <mergeCell ref="M3259:M3260"/>
    <mergeCell ref="N3259:N3260"/>
    <mergeCell ref="O3259:O3260"/>
    <mergeCell ref="Q3259:Q3260"/>
    <mergeCell ref="R3259:R3260"/>
    <mergeCell ref="S3259:S3260"/>
    <mergeCell ref="B3259:B3260"/>
    <mergeCell ref="C3259:C3260"/>
    <mergeCell ref="D3259:I3259"/>
    <mergeCell ref="J3259:J3260"/>
    <mergeCell ref="K3259:K3260"/>
    <mergeCell ref="L3259:L3260"/>
    <mergeCell ref="D3256:I3257"/>
    <mergeCell ref="J3256:K3257"/>
    <mergeCell ref="L3256:L3257"/>
    <mergeCell ref="M3256:Q3256"/>
    <mergeCell ref="M3257:Q3257"/>
    <mergeCell ref="S3249:S3250"/>
    <mergeCell ref="T3249:T3250"/>
    <mergeCell ref="U3249:U3250"/>
    <mergeCell ref="D3250:F3250"/>
    <mergeCell ref="G3250:I3250"/>
    <mergeCell ref="D3255:I3255"/>
    <mergeCell ref="J3255:K3255"/>
    <mergeCell ref="M3255:Q3255"/>
    <mergeCell ref="L3249:L3250"/>
    <mergeCell ref="M3249:M3250"/>
    <mergeCell ref="N3249:N3250"/>
    <mergeCell ref="O3249:O3250"/>
    <mergeCell ref="Q3249:Q3250"/>
    <mergeCell ref="R3249:R3250"/>
    <mergeCell ref="D3246:I3247"/>
    <mergeCell ref="J3246:K3247"/>
    <mergeCell ref="L3246:L3247"/>
    <mergeCell ref="M3246:Q3246"/>
    <mergeCell ref="M3247:Q3247"/>
    <mergeCell ref="B3249:B3250"/>
    <mergeCell ref="C3249:C3250"/>
    <mergeCell ref="D3249:I3249"/>
    <mergeCell ref="J3249:J3250"/>
    <mergeCell ref="K3249:K3250"/>
    <mergeCell ref="S3239:S3240"/>
    <mergeCell ref="T3239:T3240"/>
    <mergeCell ref="U3239:U3240"/>
    <mergeCell ref="D3240:F3240"/>
    <mergeCell ref="G3240:I3240"/>
    <mergeCell ref="D3245:I3245"/>
    <mergeCell ref="J3245:K3245"/>
    <mergeCell ref="M3245:Q3245"/>
    <mergeCell ref="L3239:L3240"/>
    <mergeCell ref="M3239:M3240"/>
    <mergeCell ref="N3239:N3240"/>
    <mergeCell ref="O3239:O3240"/>
    <mergeCell ref="Q3239:Q3240"/>
    <mergeCell ref="R3239:R3240"/>
    <mergeCell ref="D3235:I3236"/>
    <mergeCell ref="J3235:K3236"/>
    <mergeCell ref="L3235:L3236"/>
    <mergeCell ref="M3235:Q3235"/>
    <mergeCell ref="M3236:Q3236"/>
    <mergeCell ref="B3239:B3240"/>
    <mergeCell ref="C3239:C3240"/>
    <mergeCell ref="D3239:I3239"/>
    <mergeCell ref="J3239:J3240"/>
    <mergeCell ref="K3239:K3240"/>
    <mergeCell ref="S3228:S3229"/>
    <mergeCell ref="T3228:T3229"/>
    <mergeCell ref="U3228:U3229"/>
    <mergeCell ref="D3229:F3229"/>
    <mergeCell ref="G3229:I3229"/>
    <mergeCell ref="D3234:I3234"/>
    <mergeCell ref="J3234:K3234"/>
    <mergeCell ref="M3234:Q3234"/>
    <mergeCell ref="L3228:L3229"/>
    <mergeCell ref="M3228:M3229"/>
    <mergeCell ref="N3228:N3229"/>
    <mergeCell ref="O3228:O3229"/>
    <mergeCell ref="Q3228:Q3229"/>
    <mergeCell ref="R3228:R3229"/>
    <mergeCell ref="G3238:L3238"/>
    <mergeCell ref="O3238:R3238"/>
    <mergeCell ref="D3225:I3226"/>
    <mergeCell ref="J3225:K3226"/>
    <mergeCell ref="L3225:L3226"/>
    <mergeCell ref="M3225:Q3225"/>
    <mergeCell ref="M3226:Q3226"/>
    <mergeCell ref="B3228:B3229"/>
    <mergeCell ref="C3228:C3229"/>
    <mergeCell ref="D3228:I3228"/>
    <mergeCell ref="J3228:J3229"/>
    <mergeCell ref="K3228:K3229"/>
    <mergeCell ref="S3218:S3219"/>
    <mergeCell ref="T3218:T3219"/>
    <mergeCell ref="U3218:U3219"/>
    <mergeCell ref="D3219:F3219"/>
    <mergeCell ref="G3219:I3219"/>
    <mergeCell ref="D3224:I3224"/>
    <mergeCell ref="J3224:K3224"/>
    <mergeCell ref="M3224:Q3224"/>
    <mergeCell ref="L3218:L3219"/>
    <mergeCell ref="M3218:M3219"/>
    <mergeCell ref="N3218:N3219"/>
    <mergeCell ref="O3218:O3219"/>
    <mergeCell ref="Q3218:Q3219"/>
    <mergeCell ref="R3218:R3219"/>
    <mergeCell ref="D3215:I3216"/>
    <mergeCell ref="J3215:K3216"/>
    <mergeCell ref="L3215:L3216"/>
    <mergeCell ref="M3215:Q3215"/>
    <mergeCell ref="M3216:Q3216"/>
    <mergeCell ref="B3218:B3219"/>
    <mergeCell ref="C3218:C3219"/>
    <mergeCell ref="D3218:I3218"/>
    <mergeCell ref="J3218:J3219"/>
    <mergeCell ref="K3218:K3219"/>
    <mergeCell ref="S3208:S3209"/>
    <mergeCell ref="T3208:T3209"/>
    <mergeCell ref="U3208:U3209"/>
    <mergeCell ref="D3209:F3209"/>
    <mergeCell ref="G3209:I3209"/>
    <mergeCell ref="D3214:I3214"/>
    <mergeCell ref="J3214:K3214"/>
    <mergeCell ref="M3214:Q3214"/>
    <mergeCell ref="L3208:L3209"/>
    <mergeCell ref="M3208:M3209"/>
    <mergeCell ref="N3208:N3209"/>
    <mergeCell ref="O3208:O3209"/>
    <mergeCell ref="Q3208:Q3209"/>
    <mergeCell ref="R3208:R3209"/>
    <mergeCell ref="D3205:I3206"/>
    <mergeCell ref="J3205:K3206"/>
    <mergeCell ref="L3205:L3206"/>
    <mergeCell ref="M3205:Q3205"/>
    <mergeCell ref="M3206:Q3206"/>
    <mergeCell ref="B3208:B3209"/>
    <mergeCell ref="C3208:C3209"/>
    <mergeCell ref="D3208:I3208"/>
    <mergeCell ref="J3208:J3209"/>
    <mergeCell ref="K3208:K3209"/>
    <mergeCell ref="S3198:S3199"/>
    <mergeCell ref="T3198:T3199"/>
    <mergeCell ref="U3198:U3199"/>
    <mergeCell ref="D3199:F3199"/>
    <mergeCell ref="G3199:I3199"/>
    <mergeCell ref="D3204:I3204"/>
    <mergeCell ref="J3204:K3204"/>
    <mergeCell ref="M3204:Q3204"/>
    <mergeCell ref="L3198:L3199"/>
    <mergeCell ref="M3198:M3199"/>
    <mergeCell ref="N3198:N3199"/>
    <mergeCell ref="O3198:O3199"/>
    <mergeCell ref="Q3198:Q3199"/>
    <mergeCell ref="R3198:R3199"/>
    <mergeCell ref="D3195:I3196"/>
    <mergeCell ref="J3195:K3196"/>
    <mergeCell ref="L3195:L3196"/>
    <mergeCell ref="M3195:Q3195"/>
    <mergeCell ref="M3196:Q3196"/>
    <mergeCell ref="B3198:B3199"/>
    <mergeCell ref="C3198:C3199"/>
    <mergeCell ref="D3198:I3198"/>
    <mergeCell ref="J3198:J3199"/>
    <mergeCell ref="K3198:K3199"/>
    <mergeCell ref="S3188:S3189"/>
    <mergeCell ref="T3188:T3189"/>
    <mergeCell ref="U3188:U3189"/>
    <mergeCell ref="D3189:F3189"/>
    <mergeCell ref="G3189:I3189"/>
    <mergeCell ref="D3194:I3194"/>
    <mergeCell ref="J3194:K3194"/>
    <mergeCell ref="M3194:Q3194"/>
    <mergeCell ref="L3188:L3189"/>
    <mergeCell ref="M3188:M3189"/>
    <mergeCell ref="N3188:N3189"/>
    <mergeCell ref="O3188:O3189"/>
    <mergeCell ref="Q3188:Q3189"/>
    <mergeCell ref="R3188:R3189"/>
    <mergeCell ref="D3185:I3186"/>
    <mergeCell ref="J3185:K3186"/>
    <mergeCell ref="L3185:L3186"/>
    <mergeCell ref="M3185:Q3185"/>
    <mergeCell ref="M3186:Q3186"/>
    <mergeCell ref="B3188:B3189"/>
    <mergeCell ref="C3188:C3189"/>
    <mergeCell ref="D3188:I3188"/>
    <mergeCell ref="J3188:J3189"/>
    <mergeCell ref="K3188:K3189"/>
    <mergeCell ref="S3178:S3179"/>
    <mergeCell ref="T3178:T3179"/>
    <mergeCell ref="U3178:U3179"/>
    <mergeCell ref="D3179:F3179"/>
    <mergeCell ref="G3179:I3179"/>
    <mergeCell ref="D3184:I3184"/>
    <mergeCell ref="J3184:K3184"/>
    <mergeCell ref="M3184:Q3184"/>
    <mergeCell ref="L3178:L3179"/>
    <mergeCell ref="M3178:M3179"/>
    <mergeCell ref="N3178:N3179"/>
    <mergeCell ref="O3178:O3179"/>
    <mergeCell ref="Q3178:Q3179"/>
    <mergeCell ref="R3178:R3179"/>
    <mergeCell ref="D3175:I3176"/>
    <mergeCell ref="J3175:K3176"/>
    <mergeCell ref="L3175:L3176"/>
    <mergeCell ref="M3175:Q3175"/>
    <mergeCell ref="M3176:Q3176"/>
    <mergeCell ref="B3178:B3179"/>
    <mergeCell ref="C3178:C3179"/>
    <mergeCell ref="D3178:I3178"/>
    <mergeCell ref="J3178:J3179"/>
    <mergeCell ref="K3178:K3179"/>
    <mergeCell ref="S3168:S3169"/>
    <mergeCell ref="T3168:T3169"/>
    <mergeCell ref="U3168:U3169"/>
    <mergeCell ref="D3169:F3169"/>
    <mergeCell ref="G3169:I3169"/>
    <mergeCell ref="D3174:I3174"/>
    <mergeCell ref="J3174:K3174"/>
    <mergeCell ref="M3174:Q3174"/>
    <mergeCell ref="L3168:L3169"/>
    <mergeCell ref="M3168:M3169"/>
    <mergeCell ref="N3168:N3169"/>
    <mergeCell ref="O3168:O3169"/>
    <mergeCell ref="Q3168:Q3169"/>
    <mergeCell ref="R3168:R3169"/>
    <mergeCell ref="D3164:I3165"/>
    <mergeCell ref="J3164:K3165"/>
    <mergeCell ref="L3164:L3165"/>
    <mergeCell ref="M3164:Q3164"/>
    <mergeCell ref="M3165:Q3165"/>
    <mergeCell ref="B3168:B3169"/>
    <mergeCell ref="C3168:C3169"/>
    <mergeCell ref="D3168:I3168"/>
    <mergeCell ref="J3168:J3169"/>
    <mergeCell ref="K3168:K3169"/>
    <mergeCell ref="S3157:S3158"/>
    <mergeCell ref="T3157:T3158"/>
    <mergeCell ref="U3157:U3158"/>
    <mergeCell ref="D3158:F3158"/>
    <mergeCell ref="G3158:I3158"/>
    <mergeCell ref="D3163:I3163"/>
    <mergeCell ref="J3163:K3163"/>
    <mergeCell ref="M3163:Q3163"/>
    <mergeCell ref="L3157:L3158"/>
    <mergeCell ref="M3157:M3158"/>
    <mergeCell ref="N3157:N3158"/>
    <mergeCell ref="O3157:O3158"/>
    <mergeCell ref="Q3157:Q3158"/>
    <mergeCell ref="R3157:R3158"/>
    <mergeCell ref="G3167:L3167"/>
    <mergeCell ref="O3167:R3167"/>
    <mergeCell ref="D3154:I3155"/>
    <mergeCell ref="J3154:K3155"/>
    <mergeCell ref="L3154:L3155"/>
    <mergeCell ref="M3154:Q3154"/>
    <mergeCell ref="M3155:Q3155"/>
    <mergeCell ref="B3157:B3158"/>
    <mergeCell ref="C3157:C3158"/>
    <mergeCell ref="D3157:I3157"/>
    <mergeCell ref="J3157:J3158"/>
    <mergeCell ref="K3157:K3158"/>
    <mergeCell ref="S3147:S3148"/>
    <mergeCell ref="T3147:T3148"/>
    <mergeCell ref="U3147:U3148"/>
    <mergeCell ref="D3148:F3148"/>
    <mergeCell ref="G3148:I3148"/>
    <mergeCell ref="D3153:I3153"/>
    <mergeCell ref="J3153:K3153"/>
    <mergeCell ref="M3153:Q3153"/>
    <mergeCell ref="L3147:L3148"/>
    <mergeCell ref="M3147:M3148"/>
    <mergeCell ref="N3147:N3148"/>
    <mergeCell ref="O3147:O3148"/>
    <mergeCell ref="Q3147:Q3148"/>
    <mergeCell ref="R3147:R3148"/>
    <mergeCell ref="D3144:I3145"/>
    <mergeCell ref="J3144:K3145"/>
    <mergeCell ref="L3144:L3145"/>
    <mergeCell ref="M3144:Q3144"/>
    <mergeCell ref="M3145:Q3145"/>
    <mergeCell ref="B3147:B3148"/>
    <mergeCell ref="C3147:C3148"/>
    <mergeCell ref="D3147:I3147"/>
    <mergeCell ref="J3147:J3148"/>
    <mergeCell ref="K3147:K3148"/>
    <mergeCell ref="S3137:S3138"/>
    <mergeCell ref="T3137:T3138"/>
    <mergeCell ref="U3137:U3138"/>
    <mergeCell ref="D3138:F3138"/>
    <mergeCell ref="G3138:I3138"/>
    <mergeCell ref="D3143:I3143"/>
    <mergeCell ref="J3143:K3143"/>
    <mergeCell ref="M3143:Q3143"/>
    <mergeCell ref="L3137:L3138"/>
    <mergeCell ref="M3137:M3138"/>
    <mergeCell ref="N3137:N3138"/>
    <mergeCell ref="O3137:O3138"/>
    <mergeCell ref="Q3137:Q3138"/>
    <mergeCell ref="R3137:R3138"/>
    <mergeCell ref="D3134:I3135"/>
    <mergeCell ref="J3134:K3135"/>
    <mergeCell ref="L3134:L3135"/>
    <mergeCell ref="M3134:Q3134"/>
    <mergeCell ref="M3135:Q3135"/>
    <mergeCell ref="B3137:B3138"/>
    <mergeCell ref="C3137:C3138"/>
    <mergeCell ref="D3137:I3137"/>
    <mergeCell ref="J3137:J3138"/>
    <mergeCell ref="K3137:K3138"/>
    <mergeCell ref="S3127:S3128"/>
    <mergeCell ref="T3127:T3128"/>
    <mergeCell ref="U3127:U3128"/>
    <mergeCell ref="D3128:F3128"/>
    <mergeCell ref="G3128:I3128"/>
    <mergeCell ref="D3133:I3133"/>
    <mergeCell ref="J3133:K3133"/>
    <mergeCell ref="M3133:Q3133"/>
    <mergeCell ref="L3127:L3128"/>
    <mergeCell ref="M3127:M3128"/>
    <mergeCell ref="N3127:N3128"/>
    <mergeCell ref="O3127:O3128"/>
    <mergeCell ref="Q3127:Q3128"/>
    <mergeCell ref="R3127:R3128"/>
    <mergeCell ref="D3124:I3125"/>
    <mergeCell ref="J3124:K3125"/>
    <mergeCell ref="L3124:L3125"/>
    <mergeCell ref="M3124:Q3124"/>
    <mergeCell ref="M3125:Q3125"/>
    <mergeCell ref="B3127:B3128"/>
    <mergeCell ref="C3127:C3128"/>
    <mergeCell ref="D3127:I3127"/>
    <mergeCell ref="J3127:J3128"/>
    <mergeCell ref="K3127:K3128"/>
    <mergeCell ref="S3117:S3118"/>
    <mergeCell ref="T3117:T3118"/>
    <mergeCell ref="U3117:U3118"/>
    <mergeCell ref="D3118:F3118"/>
    <mergeCell ref="G3118:I3118"/>
    <mergeCell ref="D3123:I3123"/>
    <mergeCell ref="J3123:K3123"/>
    <mergeCell ref="M3123:Q3123"/>
    <mergeCell ref="L3117:L3118"/>
    <mergeCell ref="M3117:M3118"/>
    <mergeCell ref="N3117:N3118"/>
    <mergeCell ref="O3117:O3118"/>
    <mergeCell ref="Q3117:Q3118"/>
    <mergeCell ref="R3117:R3118"/>
    <mergeCell ref="D3114:I3115"/>
    <mergeCell ref="J3114:K3115"/>
    <mergeCell ref="L3114:L3115"/>
    <mergeCell ref="M3114:Q3114"/>
    <mergeCell ref="M3115:Q3115"/>
    <mergeCell ref="B3117:B3118"/>
    <mergeCell ref="C3117:C3118"/>
    <mergeCell ref="D3117:I3117"/>
    <mergeCell ref="J3117:J3118"/>
    <mergeCell ref="K3117:K3118"/>
    <mergeCell ref="S3107:S3108"/>
    <mergeCell ref="T3107:T3108"/>
    <mergeCell ref="U3107:U3108"/>
    <mergeCell ref="D3108:F3108"/>
    <mergeCell ref="G3108:I3108"/>
    <mergeCell ref="D3113:I3113"/>
    <mergeCell ref="J3113:K3113"/>
    <mergeCell ref="M3113:Q3113"/>
    <mergeCell ref="L3107:L3108"/>
    <mergeCell ref="M3107:M3108"/>
    <mergeCell ref="N3107:N3108"/>
    <mergeCell ref="O3107:O3108"/>
    <mergeCell ref="Q3107:Q3108"/>
    <mergeCell ref="R3107:R3108"/>
    <mergeCell ref="D3104:I3105"/>
    <mergeCell ref="J3104:K3105"/>
    <mergeCell ref="L3104:L3105"/>
    <mergeCell ref="M3104:Q3104"/>
    <mergeCell ref="M3105:Q3105"/>
    <mergeCell ref="B3107:B3108"/>
    <mergeCell ref="C3107:C3108"/>
    <mergeCell ref="D3107:I3107"/>
    <mergeCell ref="J3107:J3108"/>
    <mergeCell ref="K3107:K3108"/>
    <mergeCell ref="S3097:S3098"/>
    <mergeCell ref="T3097:T3098"/>
    <mergeCell ref="U3097:U3098"/>
    <mergeCell ref="D3098:F3098"/>
    <mergeCell ref="G3098:I3098"/>
    <mergeCell ref="D3103:I3103"/>
    <mergeCell ref="J3103:K3103"/>
    <mergeCell ref="M3103:Q3103"/>
    <mergeCell ref="L3097:L3098"/>
    <mergeCell ref="M3097:M3098"/>
    <mergeCell ref="N3097:N3098"/>
    <mergeCell ref="O3097:O3098"/>
    <mergeCell ref="Q3097:Q3098"/>
    <mergeCell ref="R3097:R3098"/>
    <mergeCell ref="D3094:I3095"/>
    <mergeCell ref="J3094:K3095"/>
    <mergeCell ref="L3094:L3095"/>
    <mergeCell ref="M3094:Q3094"/>
    <mergeCell ref="M3095:Q3095"/>
    <mergeCell ref="B3097:B3098"/>
    <mergeCell ref="C3097:C3098"/>
    <mergeCell ref="D3097:I3097"/>
    <mergeCell ref="J3097:J3098"/>
    <mergeCell ref="K3097:K3098"/>
    <mergeCell ref="S3087:S3088"/>
    <mergeCell ref="T3087:T3088"/>
    <mergeCell ref="U3087:U3088"/>
    <mergeCell ref="D3088:F3088"/>
    <mergeCell ref="G3088:I3088"/>
    <mergeCell ref="D3093:I3093"/>
    <mergeCell ref="J3093:K3093"/>
    <mergeCell ref="M3093:Q3093"/>
    <mergeCell ref="L3087:L3088"/>
    <mergeCell ref="M3087:M3088"/>
    <mergeCell ref="N3087:N3088"/>
    <mergeCell ref="O3087:O3088"/>
    <mergeCell ref="Q3087:Q3088"/>
    <mergeCell ref="R3087:R3088"/>
    <mergeCell ref="D3084:I3085"/>
    <mergeCell ref="J3084:K3085"/>
    <mergeCell ref="L3084:L3085"/>
    <mergeCell ref="M3084:Q3084"/>
    <mergeCell ref="M3085:Q3085"/>
    <mergeCell ref="B3087:B3088"/>
    <mergeCell ref="C3087:C3088"/>
    <mergeCell ref="D3087:I3087"/>
    <mergeCell ref="J3087:J3088"/>
    <mergeCell ref="K3087:K3088"/>
    <mergeCell ref="T3077:T3078"/>
    <mergeCell ref="U3077:U3078"/>
    <mergeCell ref="D3078:F3078"/>
    <mergeCell ref="G3078:I3078"/>
    <mergeCell ref="D3083:I3083"/>
    <mergeCell ref="J3083:K3083"/>
    <mergeCell ref="M3083:Q3083"/>
    <mergeCell ref="M3077:M3078"/>
    <mergeCell ref="N3077:N3078"/>
    <mergeCell ref="O3077:O3078"/>
    <mergeCell ref="Q3077:Q3078"/>
    <mergeCell ref="R3077:R3078"/>
    <mergeCell ref="S3077:S3078"/>
    <mergeCell ref="B3077:B3078"/>
    <mergeCell ref="C3077:C3078"/>
    <mergeCell ref="D3077:I3077"/>
    <mergeCell ref="J3077:J3078"/>
    <mergeCell ref="K3077:K3078"/>
    <mergeCell ref="L3077:L3078"/>
    <mergeCell ref="D3074:I3075"/>
    <mergeCell ref="J3074:K3075"/>
    <mergeCell ref="L3074:L3075"/>
    <mergeCell ref="M3074:Q3074"/>
    <mergeCell ref="M3075:Q3075"/>
    <mergeCell ref="S3067:S3068"/>
    <mergeCell ref="T3067:T3068"/>
    <mergeCell ref="U3067:U3068"/>
    <mergeCell ref="D3068:F3068"/>
    <mergeCell ref="G3068:I3068"/>
    <mergeCell ref="D3073:I3073"/>
    <mergeCell ref="J3073:K3073"/>
    <mergeCell ref="M3073:Q3073"/>
    <mergeCell ref="L3067:L3068"/>
    <mergeCell ref="M3067:M3068"/>
    <mergeCell ref="N3067:N3068"/>
    <mergeCell ref="O3067:O3068"/>
    <mergeCell ref="Q3067:Q3068"/>
    <mergeCell ref="R3067:R3068"/>
    <mergeCell ref="D3064:I3065"/>
    <mergeCell ref="J3064:K3065"/>
    <mergeCell ref="L3064:L3065"/>
    <mergeCell ref="M3064:Q3064"/>
    <mergeCell ref="M3065:Q3065"/>
    <mergeCell ref="B3067:B3068"/>
    <mergeCell ref="C3067:C3068"/>
    <mergeCell ref="D3067:I3067"/>
    <mergeCell ref="J3067:J3068"/>
    <mergeCell ref="K3067:K3068"/>
    <mergeCell ref="S3057:S3058"/>
    <mergeCell ref="T3057:T3058"/>
    <mergeCell ref="U3057:U3058"/>
    <mergeCell ref="D3058:F3058"/>
    <mergeCell ref="G3058:I3058"/>
    <mergeCell ref="D3063:I3063"/>
    <mergeCell ref="J3063:K3063"/>
    <mergeCell ref="M3063:Q3063"/>
    <mergeCell ref="L3057:L3058"/>
    <mergeCell ref="M3057:M3058"/>
    <mergeCell ref="N3057:N3058"/>
    <mergeCell ref="O3057:O3058"/>
    <mergeCell ref="Q3057:Q3058"/>
    <mergeCell ref="R3057:R3058"/>
    <mergeCell ref="D3054:I3055"/>
    <mergeCell ref="J3054:K3055"/>
    <mergeCell ref="L3054:L3055"/>
    <mergeCell ref="M3054:Q3054"/>
    <mergeCell ref="M3055:Q3055"/>
    <mergeCell ref="B3057:B3058"/>
    <mergeCell ref="C3057:C3058"/>
    <mergeCell ref="D3057:I3057"/>
    <mergeCell ref="J3057:J3058"/>
    <mergeCell ref="K3057:K3058"/>
    <mergeCell ref="S3047:S3048"/>
    <mergeCell ref="T3047:T3048"/>
    <mergeCell ref="U3047:U3048"/>
    <mergeCell ref="D3048:F3048"/>
    <mergeCell ref="G3048:I3048"/>
    <mergeCell ref="D3053:I3053"/>
    <mergeCell ref="J3053:K3053"/>
    <mergeCell ref="M3053:Q3053"/>
    <mergeCell ref="L3047:L3048"/>
    <mergeCell ref="M3047:M3048"/>
    <mergeCell ref="N3047:N3048"/>
    <mergeCell ref="O3047:O3048"/>
    <mergeCell ref="Q3047:Q3048"/>
    <mergeCell ref="R3047:R3048"/>
    <mergeCell ref="D3043:I3044"/>
    <mergeCell ref="J3043:K3044"/>
    <mergeCell ref="L3043:L3044"/>
    <mergeCell ref="M3043:Q3043"/>
    <mergeCell ref="M3044:Q3044"/>
    <mergeCell ref="B3047:B3048"/>
    <mergeCell ref="C3047:C3048"/>
    <mergeCell ref="D3047:I3047"/>
    <mergeCell ref="J3047:J3048"/>
    <mergeCell ref="K3047:K3048"/>
    <mergeCell ref="T3036:T3037"/>
    <mergeCell ref="U3036:U3037"/>
    <mergeCell ref="D3037:F3037"/>
    <mergeCell ref="G3037:I3037"/>
    <mergeCell ref="D3042:I3042"/>
    <mergeCell ref="J3042:K3042"/>
    <mergeCell ref="M3042:Q3042"/>
    <mergeCell ref="M3036:M3037"/>
    <mergeCell ref="N3036:N3037"/>
    <mergeCell ref="O3036:O3037"/>
    <mergeCell ref="Q3036:Q3037"/>
    <mergeCell ref="R3036:R3037"/>
    <mergeCell ref="S3036:S3037"/>
    <mergeCell ref="B3036:B3037"/>
    <mergeCell ref="C3036:C3037"/>
    <mergeCell ref="D3036:I3036"/>
    <mergeCell ref="J3036:J3037"/>
    <mergeCell ref="K3036:K3037"/>
    <mergeCell ref="L3036:L3037"/>
    <mergeCell ref="G3046:L3046"/>
    <mergeCell ref="O3046:R3046"/>
    <mergeCell ref="D3033:I3034"/>
    <mergeCell ref="J3033:K3034"/>
    <mergeCell ref="L3033:L3034"/>
    <mergeCell ref="M3033:Q3033"/>
    <mergeCell ref="M3034:Q3034"/>
    <mergeCell ref="S3026:S3027"/>
    <mergeCell ref="T3026:T3027"/>
    <mergeCell ref="U3026:U3027"/>
    <mergeCell ref="D3027:F3027"/>
    <mergeCell ref="G3027:I3027"/>
    <mergeCell ref="D3032:I3032"/>
    <mergeCell ref="J3032:K3032"/>
    <mergeCell ref="M3032:Q3032"/>
    <mergeCell ref="L3026:L3027"/>
    <mergeCell ref="M3026:M3027"/>
    <mergeCell ref="N3026:N3027"/>
    <mergeCell ref="O3026:O3027"/>
    <mergeCell ref="Q3026:Q3027"/>
    <mergeCell ref="R3026:R3027"/>
    <mergeCell ref="D3023:I3024"/>
    <mergeCell ref="J3023:K3024"/>
    <mergeCell ref="L3023:L3024"/>
    <mergeCell ref="M3023:Q3023"/>
    <mergeCell ref="M3024:Q3024"/>
    <mergeCell ref="B3026:B3027"/>
    <mergeCell ref="C3026:C3027"/>
    <mergeCell ref="D3026:I3026"/>
    <mergeCell ref="J3026:J3027"/>
    <mergeCell ref="K3026:K3027"/>
    <mergeCell ref="S3016:S3017"/>
    <mergeCell ref="T3016:T3017"/>
    <mergeCell ref="U3016:U3017"/>
    <mergeCell ref="D3017:F3017"/>
    <mergeCell ref="G3017:I3017"/>
    <mergeCell ref="D3022:I3022"/>
    <mergeCell ref="J3022:K3022"/>
    <mergeCell ref="M3022:Q3022"/>
    <mergeCell ref="L3016:L3017"/>
    <mergeCell ref="M3016:M3017"/>
    <mergeCell ref="N3016:N3017"/>
    <mergeCell ref="O3016:O3017"/>
    <mergeCell ref="Q3016:Q3017"/>
    <mergeCell ref="R3016:R3017"/>
    <mergeCell ref="D3013:I3014"/>
    <mergeCell ref="J3013:K3014"/>
    <mergeCell ref="L3013:L3014"/>
    <mergeCell ref="M3013:Q3013"/>
    <mergeCell ref="M3014:Q3014"/>
    <mergeCell ref="B3016:B3017"/>
    <mergeCell ref="C3016:C3017"/>
    <mergeCell ref="D3016:I3016"/>
    <mergeCell ref="J3016:J3017"/>
    <mergeCell ref="K3016:K3017"/>
    <mergeCell ref="S3006:S3007"/>
    <mergeCell ref="T3006:T3007"/>
    <mergeCell ref="U3006:U3007"/>
    <mergeCell ref="D3007:F3007"/>
    <mergeCell ref="G3007:I3007"/>
    <mergeCell ref="D3012:I3012"/>
    <mergeCell ref="J3012:K3012"/>
    <mergeCell ref="M3012:Q3012"/>
    <mergeCell ref="L3006:L3007"/>
    <mergeCell ref="M3006:M3007"/>
    <mergeCell ref="N3006:N3007"/>
    <mergeCell ref="O3006:O3007"/>
    <mergeCell ref="Q3006:Q3007"/>
    <mergeCell ref="R3006:R3007"/>
    <mergeCell ref="D3003:I3004"/>
    <mergeCell ref="J3003:K3004"/>
    <mergeCell ref="L3003:L3004"/>
    <mergeCell ref="M3003:Q3003"/>
    <mergeCell ref="M3004:Q3004"/>
    <mergeCell ref="B3006:B3007"/>
    <mergeCell ref="C3006:C3007"/>
    <mergeCell ref="D3006:I3006"/>
    <mergeCell ref="J3006:J3007"/>
    <mergeCell ref="K3006:K3007"/>
    <mergeCell ref="S2996:S2997"/>
    <mergeCell ref="T2996:T2997"/>
    <mergeCell ref="U2996:U2997"/>
    <mergeCell ref="D2997:F2997"/>
    <mergeCell ref="G2997:I2997"/>
    <mergeCell ref="D3002:I3002"/>
    <mergeCell ref="J3002:K3002"/>
    <mergeCell ref="M3002:Q3002"/>
    <mergeCell ref="L2996:L2997"/>
    <mergeCell ref="M2996:M2997"/>
    <mergeCell ref="N2996:N2997"/>
    <mergeCell ref="O2996:O2997"/>
    <mergeCell ref="Q2996:Q2997"/>
    <mergeCell ref="R2996:R2997"/>
    <mergeCell ref="D2993:I2994"/>
    <mergeCell ref="J2993:K2994"/>
    <mergeCell ref="L2993:L2994"/>
    <mergeCell ref="M2993:Q2993"/>
    <mergeCell ref="M2994:Q2994"/>
    <mergeCell ref="B2996:B2997"/>
    <mergeCell ref="C2996:C2997"/>
    <mergeCell ref="D2996:I2996"/>
    <mergeCell ref="J2996:J2997"/>
    <mergeCell ref="K2996:K2997"/>
    <mergeCell ref="S2986:S2987"/>
    <mergeCell ref="T2986:T2987"/>
    <mergeCell ref="U2986:U2987"/>
    <mergeCell ref="D2987:F2987"/>
    <mergeCell ref="G2987:I2987"/>
    <mergeCell ref="D2992:I2992"/>
    <mergeCell ref="J2992:K2992"/>
    <mergeCell ref="M2992:Q2992"/>
    <mergeCell ref="L2986:L2987"/>
    <mergeCell ref="M2986:M2987"/>
    <mergeCell ref="N2986:N2987"/>
    <mergeCell ref="O2986:O2987"/>
    <mergeCell ref="Q2986:Q2987"/>
    <mergeCell ref="R2986:R2987"/>
    <mergeCell ref="D2983:I2984"/>
    <mergeCell ref="J2983:K2984"/>
    <mergeCell ref="L2983:L2984"/>
    <mergeCell ref="M2983:Q2983"/>
    <mergeCell ref="M2984:Q2984"/>
    <mergeCell ref="B2986:B2987"/>
    <mergeCell ref="C2986:C2987"/>
    <mergeCell ref="D2986:I2986"/>
    <mergeCell ref="J2986:J2987"/>
    <mergeCell ref="K2986:K2987"/>
    <mergeCell ref="S2976:S2977"/>
    <mergeCell ref="T2976:T2977"/>
    <mergeCell ref="U2976:U2977"/>
    <mergeCell ref="D2977:F2977"/>
    <mergeCell ref="G2977:I2977"/>
    <mergeCell ref="D2982:I2982"/>
    <mergeCell ref="J2982:K2982"/>
    <mergeCell ref="M2982:Q2982"/>
    <mergeCell ref="L2976:L2977"/>
    <mergeCell ref="M2976:M2977"/>
    <mergeCell ref="N2976:N2977"/>
    <mergeCell ref="O2976:O2977"/>
    <mergeCell ref="Q2976:Q2977"/>
    <mergeCell ref="R2976:R2977"/>
    <mergeCell ref="D2973:I2974"/>
    <mergeCell ref="J2973:K2974"/>
    <mergeCell ref="L2973:L2974"/>
    <mergeCell ref="M2973:Q2973"/>
    <mergeCell ref="M2974:Q2974"/>
    <mergeCell ref="B2976:B2977"/>
    <mergeCell ref="C2976:C2977"/>
    <mergeCell ref="D2976:I2976"/>
    <mergeCell ref="J2976:J2977"/>
    <mergeCell ref="K2976:K2977"/>
    <mergeCell ref="T2966:T2967"/>
    <mergeCell ref="U2966:U2967"/>
    <mergeCell ref="D2967:F2967"/>
    <mergeCell ref="G2967:I2967"/>
    <mergeCell ref="D2972:I2972"/>
    <mergeCell ref="J2972:K2972"/>
    <mergeCell ref="M2972:Q2972"/>
    <mergeCell ref="M2966:M2967"/>
    <mergeCell ref="N2966:N2967"/>
    <mergeCell ref="O2966:O2967"/>
    <mergeCell ref="Q2966:Q2967"/>
    <mergeCell ref="R2966:R2967"/>
    <mergeCell ref="S2966:S2967"/>
    <mergeCell ref="B2966:B2967"/>
    <mergeCell ref="C2966:C2967"/>
    <mergeCell ref="D2966:I2966"/>
    <mergeCell ref="J2966:J2967"/>
    <mergeCell ref="K2966:K2967"/>
    <mergeCell ref="L2966:L2967"/>
    <mergeCell ref="D2963:I2964"/>
    <mergeCell ref="J2963:K2964"/>
    <mergeCell ref="L2963:L2964"/>
    <mergeCell ref="M2963:Q2963"/>
    <mergeCell ref="M2964:Q2964"/>
    <mergeCell ref="S2956:S2957"/>
    <mergeCell ref="T2956:T2957"/>
    <mergeCell ref="U2956:U2957"/>
    <mergeCell ref="D2957:F2957"/>
    <mergeCell ref="G2957:I2957"/>
    <mergeCell ref="D2962:I2962"/>
    <mergeCell ref="J2962:K2962"/>
    <mergeCell ref="M2962:Q2962"/>
    <mergeCell ref="L2956:L2957"/>
    <mergeCell ref="M2956:M2957"/>
    <mergeCell ref="N2956:N2957"/>
    <mergeCell ref="O2956:O2957"/>
    <mergeCell ref="Q2956:Q2957"/>
    <mergeCell ref="R2956:R2957"/>
    <mergeCell ref="D2953:I2954"/>
    <mergeCell ref="J2953:K2954"/>
    <mergeCell ref="L2953:L2954"/>
    <mergeCell ref="M2953:Q2953"/>
    <mergeCell ref="M2954:Q2954"/>
    <mergeCell ref="B2956:B2957"/>
    <mergeCell ref="C2956:C2957"/>
    <mergeCell ref="D2956:I2956"/>
    <mergeCell ref="J2956:J2957"/>
    <mergeCell ref="K2956:K2957"/>
    <mergeCell ref="S2946:S2947"/>
    <mergeCell ref="T2946:T2947"/>
    <mergeCell ref="U2946:U2947"/>
    <mergeCell ref="D2947:F2947"/>
    <mergeCell ref="G2947:I2947"/>
    <mergeCell ref="D2952:I2952"/>
    <mergeCell ref="J2952:K2952"/>
    <mergeCell ref="M2952:Q2952"/>
    <mergeCell ref="L2946:L2947"/>
    <mergeCell ref="M2946:M2947"/>
    <mergeCell ref="N2946:N2947"/>
    <mergeCell ref="O2946:O2947"/>
    <mergeCell ref="Q2946:Q2947"/>
    <mergeCell ref="R2946:R2947"/>
    <mergeCell ref="D2943:I2944"/>
    <mergeCell ref="J2943:K2944"/>
    <mergeCell ref="L2943:L2944"/>
    <mergeCell ref="M2943:Q2943"/>
    <mergeCell ref="M2944:Q2944"/>
    <mergeCell ref="B2946:B2947"/>
    <mergeCell ref="C2946:C2947"/>
    <mergeCell ref="D2946:I2946"/>
    <mergeCell ref="J2946:J2947"/>
    <mergeCell ref="K2946:K2947"/>
    <mergeCell ref="S2936:S2937"/>
    <mergeCell ref="T2936:T2937"/>
    <mergeCell ref="U2936:U2937"/>
    <mergeCell ref="D2937:F2937"/>
    <mergeCell ref="G2937:I2937"/>
    <mergeCell ref="D2942:I2942"/>
    <mergeCell ref="J2942:K2942"/>
    <mergeCell ref="M2942:Q2942"/>
    <mergeCell ref="L2936:L2937"/>
    <mergeCell ref="M2936:M2937"/>
    <mergeCell ref="N2936:N2937"/>
    <mergeCell ref="O2936:O2937"/>
    <mergeCell ref="Q2936:Q2937"/>
    <mergeCell ref="R2936:R2937"/>
    <mergeCell ref="D2933:I2934"/>
    <mergeCell ref="J2933:K2934"/>
    <mergeCell ref="L2933:L2934"/>
    <mergeCell ref="M2933:Q2933"/>
    <mergeCell ref="M2934:Q2934"/>
    <mergeCell ref="B2936:B2937"/>
    <mergeCell ref="C2936:C2937"/>
    <mergeCell ref="D2936:I2936"/>
    <mergeCell ref="J2936:J2937"/>
    <mergeCell ref="K2936:K2937"/>
    <mergeCell ref="S2926:S2927"/>
    <mergeCell ref="T2926:T2927"/>
    <mergeCell ref="U2926:U2927"/>
    <mergeCell ref="D2927:F2927"/>
    <mergeCell ref="G2927:I2927"/>
    <mergeCell ref="D2932:I2932"/>
    <mergeCell ref="J2932:K2932"/>
    <mergeCell ref="M2932:Q2932"/>
    <mergeCell ref="L2926:L2927"/>
    <mergeCell ref="M2926:M2927"/>
    <mergeCell ref="N2926:N2927"/>
    <mergeCell ref="O2926:O2927"/>
    <mergeCell ref="Q2926:Q2927"/>
    <mergeCell ref="R2926:R2927"/>
    <mergeCell ref="D2893:I2894"/>
    <mergeCell ref="J2893:K2894"/>
    <mergeCell ref="L2893:L2894"/>
    <mergeCell ref="M2893:Q2893"/>
    <mergeCell ref="M2894:Q2894"/>
    <mergeCell ref="B2896:B2897"/>
    <mergeCell ref="C2896:C2897"/>
    <mergeCell ref="D2896:I2896"/>
    <mergeCell ref="J2896:J2897"/>
    <mergeCell ref="K2896:K2897"/>
    <mergeCell ref="D2923:I2924"/>
    <mergeCell ref="J2923:K2924"/>
    <mergeCell ref="L2923:L2924"/>
    <mergeCell ref="M2923:Q2923"/>
    <mergeCell ref="M2924:Q2924"/>
    <mergeCell ref="B2926:B2927"/>
    <mergeCell ref="C2926:C2927"/>
    <mergeCell ref="D2926:I2926"/>
    <mergeCell ref="J2926:J2927"/>
    <mergeCell ref="K2926:K2927"/>
    <mergeCell ref="S2916:S2917"/>
    <mergeCell ref="T2916:T2917"/>
    <mergeCell ref="U2916:U2917"/>
    <mergeCell ref="D2917:F2917"/>
    <mergeCell ref="G2917:I2917"/>
    <mergeCell ref="D2922:I2922"/>
    <mergeCell ref="J2922:K2922"/>
    <mergeCell ref="M2922:Q2922"/>
    <mergeCell ref="L2916:L2917"/>
    <mergeCell ref="M2916:M2917"/>
    <mergeCell ref="N2916:N2917"/>
    <mergeCell ref="O2916:O2917"/>
    <mergeCell ref="Q2916:Q2917"/>
    <mergeCell ref="R2916:R2917"/>
    <mergeCell ref="D2913:I2914"/>
    <mergeCell ref="J2913:K2914"/>
    <mergeCell ref="L2913:L2914"/>
    <mergeCell ref="M2913:Q2913"/>
    <mergeCell ref="M2914:Q2914"/>
    <mergeCell ref="B2916:B2917"/>
    <mergeCell ref="C2916:C2917"/>
    <mergeCell ref="D2916:I2916"/>
    <mergeCell ref="J2916:J2917"/>
    <mergeCell ref="K2916:K2917"/>
    <mergeCell ref="S2906:S2907"/>
    <mergeCell ref="T2906:T2907"/>
    <mergeCell ref="U2906:U2907"/>
    <mergeCell ref="D2907:F2907"/>
    <mergeCell ref="G2907:I2907"/>
    <mergeCell ref="D2912:I2912"/>
    <mergeCell ref="J2912:K2912"/>
    <mergeCell ref="M2912:Q2912"/>
    <mergeCell ref="L2906:L2907"/>
    <mergeCell ref="M2906:M2907"/>
    <mergeCell ref="N2906:N2907"/>
    <mergeCell ref="O2906:O2907"/>
    <mergeCell ref="Q2906:Q2907"/>
    <mergeCell ref="R2906:R2907"/>
    <mergeCell ref="D2903:I2904"/>
    <mergeCell ref="J2903:K2904"/>
    <mergeCell ref="L2903:L2904"/>
    <mergeCell ref="M2903:Q2903"/>
    <mergeCell ref="M2904:Q2904"/>
    <mergeCell ref="B2906:B2907"/>
    <mergeCell ref="C2906:C2907"/>
    <mergeCell ref="D2906:I2906"/>
    <mergeCell ref="J2906:J2907"/>
    <mergeCell ref="K2906:K2907"/>
    <mergeCell ref="S2896:S2897"/>
    <mergeCell ref="T2896:T2897"/>
    <mergeCell ref="U2896:U2897"/>
    <mergeCell ref="D2897:F2897"/>
    <mergeCell ref="G2897:I2897"/>
    <mergeCell ref="D2902:I2902"/>
    <mergeCell ref="J2902:K2902"/>
    <mergeCell ref="M2902:Q2902"/>
    <mergeCell ref="L2896:L2897"/>
    <mergeCell ref="M2896:M2897"/>
    <mergeCell ref="N2896:N2897"/>
    <mergeCell ref="O2896:O2897"/>
    <mergeCell ref="Q2896:Q2897"/>
    <mergeCell ref="R2896:R2897"/>
    <mergeCell ref="B2835:B2836"/>
    <mergeCell ref="S2886:S2887"/>
    <mergeCell ref="T2886:T2887"/>
    <mergeCell ref="U2886:U2887"/>
    <mergeCell ref="D2887:F2887"/>
    <mergeCell ref="G2887:I2887"/>
    <mergeCell ref="D2892:I2892"/>
    <mergeCell ref="J2892:K2892"/>
    <mergeCell ref="M2892:Q2892"/>
    <mergeCell ref="L2886:L2887"/>
    <mergeCell ref="M2886:M2887"/>
    <mergeCell ref="N2886:N2887"/>
    <mergeCell ref="O2886:O2887"/>
    <mergeCell ref="Q2886:Q2887"/>
    <mergeCell ref="R2886:R2887"/>
    <mergeCell ref="T2876:T2877"/>
    <mergeCell ref="U2876:U2877"/>
    <mergeCell ref="D2877:F2877"/>
    <mergeCell ref="G2877:I2877"/>
    <mergeCell ref="D2882:I2882"/>
    <mergeCell ref="J2882:K2882"/>
    <mergeCell ref="M2882:Q2882"/>
    <mergeCell ref="L2876:L2877"/>
    <mergeCell ref="M2876:M2877"/>
    <mergeCell ref="N2876:N2877"/>
    <mergeCell ref="O2876:O2877"/>
    <mergeCell ref="Q2876:Q2877"/>
    <mergeCell ref="R2876:R2877"/>
    <mergeCell ref="B2876:B2877"/>
    <mergeCell ref="C2876:C2877"/>
    <mergeCell ref="D2876:I2876"/>
    <mergeCell ref="J2876:J2877"/>
    <mergeCell ref="K2876:K2877"/>
    <mergeCell ref="D2883:I2884"/>
    <mergeCell ref="J2883:K2884"/>
    <mergeCell ref="L2883:L2884"/>
    <mergeCell ref="M2883:Q2883"/>
    <mergeCell ref="M2884:Q2884"/>
    <mergeCell ref="B2886:B2887"/>
    <mergeCell ref="C2886:C2887"/>
    <mergeCell ref="D2886:I2886"/>
    <mergeCell ref="J2886:J2887"/>
    <mergeCell ref="K2886:K2887"/>
    <mergeCell ref="S2876:S2877"/>
    <mergeCell ref="U2835:U2836"/>
    <mergeCell ref="L2852:L2853"/>
    <mergeCell ref="U2865:U2866"/>
    <mergeCell ref="J2855:J2856"/>
    <mergeCell ref="U2855:U2856"/>
    <mergeCell ref="M2861:Q2861"/>
    <mergeCell ref="D2861:I2861"/>
    <mergeCell ref="S2865:S2866"/>
    <mergeCell ref="T2865:T2866"/>
    <mergeCell ref="S2855:S2856"/>
    <mergeCell ref="R2865:R2866"/>
    <mergeCell ref="D2862:I2863"/>
    <mergeCell ref="J2862:K2863"/>
    <mergeCell ref="L2862:L2863"/>
    <mergeCell ref="K2855:K2856"/>
    <mergeCell ref="M2855:M2856"/>
    <mergeCell ref="L2855:L2856"/>
    <mergeCell ref="G2696:I2696"/>
    <mergeCell ref="R2695:R2696"/>
    <mergeCell ref="D2692:I2693"/>
    <mergeCell ref="J2692:K2693"/>
    <mergeCell ref="L2692:L2693"/>
    <mergeCell ref="M2692:Q2692"/>
    <mergeCell ref="M2693:Q2693"/>
    <mergeCell ref="B2685:B2686"/>
    <mergeCell ref="C2685:C2686"/>
    <mergeCell ref="D2685:I2685"/>
    <mergeCell ref="J2685:J2686"/>
    <mergeCell ref="K2685:K2686"/>
    <mergeCell ref="B2845:B2846"/>
    <mergeCell ref="C2845:C2846"/>
    <mergeCell ref="D2795:I2795"/>
    <mergeCell ref="J2795:J2796"/>
    <mergeCell ref="R2845:R2846"/>
    <mergeCell ref="S2795:S2796"/>
    <mergeCell ref="R2855:R2856"/>
    <mergeCell ref="D2852:I2853"/>
    <mergeCell ref="J2852:K2853"/>
    <mergeCell ref="D2855:I2855"/>
    <mergeCell ref="U2785:U2786"/>
    <mergeCell ref="U2755:U2756"/>
    <mergeCell ref="D2756:F2756"/>
    <mergeCell ref="G2756:I2756"/>
    <mergeCell ref="D2761:I2761"/>
    <mergeCell ref="J2761:K2761"/>
    <mergeCell ref="M2761:Q2761"/>
    <mergeCell ref="L2755:L2756"/>
    <mergeCell ref="M2755:M2756"/>
    <mergeCell ref="N2755:N2756"/>
    <mergeCell ref="O2755:O2756"/>
    <mergeCell ref="Q2755:Q2756"/>
    <mergeCell ref="R2755:R2756"/>
    <mergeCell ref="S2765:S2766"/>
    <mergeCell ref="T2765:T2766"/>
    <mergeCell ref="U2765:U2766"/>
    <mergeCell ref="D2766:F2766"/>
    <mergeCell ref="G2766:I2766"/>
    <mergeCell ref="D2762:I2763"/>
    <mergeCell ref="S2775:S2776"/>
    <mergeCell ref="T2775:T2776"/>
    <mergeCell ref="U2775:U2776"/>
    <mergeCell ref="D2776:F2776"/>
    <mergeCell ref="G2776:I2776"/>
    <mergeCell ref="D2781:I2781"/>
    <mergeCell ref="J2781:K2781"/>
    <mergeCell ref="M2781:Q2781"/>
    <mergeCell ref="B2825:B2826"/>
    <mergeCell ref="C2825:C2826"/>
    <mergeCell ref="D2821:I2821"/>
    <mergeCell ref="J2821:K2821"/>
    <mergeCell ref="B2855:B2856"/>
    <mergeCell ref="M2833:Q2833"/>
    <mergeCell ref="B2795:B2796"/>
    <mergeCell ref="C2795:C2796"/>
    <mergeCell ref="D2816:F2816"/>
    <mergeCell ref="D2815:I2815"/>
    <mergeCell ref="D2812:I2813"/>
    <mergeCell ref="T2675:T2676"/>
    <mergeCell ref="U2675:U2676"/>
    <mergeCell ref="D2676:F2676"/>
    <mergeCell ref="G2676:I2676"/>
    <mergeCell ref="D2681:I2681"/>
    <mergeCell ref="J2681:K2681"/>
    <mergeCell ref="M2681:Q2681"/>
    <mergeCell ref="L2675:L2676"/>
    <mergeCell ref="M2675:M2676"/>
    <mergeCell ref="N2675:N2676"/>
    <mergeCell ref="O2675:O2676"/>
    <mergeCell ref="Q2675:Q2676"/>
    <mergeCell ref="R2675:R2676"/>
    <mergeCell ref="T2685:T2686"/>
    <mergeCell ref="U2685:U2686"/>
    <mergeCell ref="D2686:F2686"/>
    <mergeCell ref="G2686:I2686"/>
    <mergeCell ref="D2682:I2683"/>
    <mergeCell ref="J2682:K2683"/>
    <mergeCell ref="L2682:L2683"/>
    <mergeCell ref="B2675:B2676"/>
    <mergeCell ref="C2675:C2676"/>
    <mergeCell ref="D2675:I2675"/>
    <mergeCell ref="J2675:J2676"/>
    <mergeCell ref="K2675:K2676"/>
    <mergeCell ref="B2715:B2716"/>
    <mergeCell ref="C2715:C2716"/>
    <mergeCell ref="D2715:I2715"/>
    <mergeCell ref="J2715:J2716"/>
    <mergeCell ref="K2715:K2716"/>
    <mergeCell ref="B2695:B2696"/>
    <mergeCell ref="C2695:C2696"/>
    <mergeCell ref="D2695:I2695"/>
    <mergeCell ref="J2695:J2696"/>
    <mergeCell ref="K2695:K2696"/>
    <mergeCell ref="S2685:S2686"/>
    <mergeCell ref="S2705:S2706"/>
    <mergeCell ref="T2705:T2706"/>
    <mergeCell ref="U2705:U2706"/>
    <mergeCell ref="D2706:F2706"/>
    <mergeCell ref="G2706:I2706"/>
    <mergeCell ref="D2711:I2711"/>
    <mergeCell ref="J2711:K2711"/>
    <mergeCell ref="M2711:Q2711"/>
    <mergeCell ref="L2705:L2706"/>
    <mergeCell ref="M2705:M2706"/>
    <mergeCell ref="N2705:N2706"/>
    <mergeCell ref="B2705:B2706"/>
    <mergeCell ref="C2705:C2706"/>
    <mergeCell ref="D2705:I2705"/>
    <mergeCell ref="T2855:T2856"/>
    <mergeCell ref="Q2845:Q2846"/>
    <mergeCell ref="C2855:C2856"/>
    <mergeCell ref="B2665:B2666"/>
    <mergeCell ref="C2665:C2666"/>
    <mergeCell ref="D2665:I2665"/>
    <mergeCell ref="J2665:J2666"/>
    <mergeCell ref="K2665:K2666"/>
    <mergeCell ref="T2655:T2656"/>
    <mergeCell ref="U2655:U2656"/>
    <mergeCell ref="D2656:F2656"/>
    <mergeCell ref="G2656:I2656"/>
    <mergeCell ref="D2661:I2661"/>
    <mergeCell ref="J2661:K2661"/>
    <mergeCell ref="M2661:Q2661"/>
    <mergeCell ref="L2655:L2656"/>
    <mergeCell ref="M2655:M2656"/>
    <mergeCell ref="N2655:N2656"/>
    <mergeCell ref="O2655:O2656"/>
    <mergeCell ref="Q2655:Q2656"/>
    <mergeCell ref="R2655:R2656"/>
    <mergeCell ref="D2652:I2653"/>
    <mergeCell ref="J2652:K2653"/>
    <mergeCell ref="L2652:L2653"/>
    <mergeCell ref="M2652:Q2652"/>
    <mergeCell ref="M2653:Q2653"/>
    <mergeCell ref="B2655:B2656"/>
    <mergeCell ref="C2655:C2656"/>
    <mergeCell ref="D2655:I2655"/>
    <mergeCell ref="J2655:J2656"/>
    <mergeCell ref="K2655:K2656"/>
    <mergeCell ref="T2715:T2716"/>
    <mergeCell ref="D2691:I2691"/>
    <mergeCell ref="J2691:K2691"/>
    <mergeCell ref="M2691:Q2691"/>
    <mergeCell ref="L2685:L2686"/>
    <mergeCell ref="M2685:M2686"/>
    <mergeCell ref="N2685:N2686"/>
    <mergeCell ref="O2685:O2686"/>
    <mergeCell ref="Q2685:Q2686"/>
    <mergeCell ref="R2685:R2686"/>
    <mergeCell ref="M2665:M2666"/>
    <mergeCell ref="N2665:N2666"/>
    <mergeCell ref="O2665:O2666"/>
    <mergeCell ref="Q2665:Q2666"/>
    <mergeCell ref="R2665:R2666"/>
    <mergeCell ref="S2645:S2646"/>
    <mergeCell ref="T2645:T2646"/>
    <mergeCell ref="U2645:U2646"/>
    <mergeCell ref="D2646:F2646"/>
    <mergeCell ref="G2646:I2646"/>
    <mergeCell ref="D2651:I2651"/>
    <mergeCell ref="J2651:K2651"/>
    <mergeCell ref="M2651:Q2651"/>
    <mergeCell ref="L2645:L2646"/>
    <mergeCell ref="M2645:M2646"/>
    <mergeCell ref="N2645:N2646"/>
    <mergeCell ref="O2645:O2646"/>
    <mergeCell ref="Q2645:Q2646"/>
    <mergeCell ref="R2645:R2646"/>
    <mergeCell ref="B2645:B2646"/>
    <mergeCell ref="C2645:C2646"/>
    <mergeCell ref="D2645:I2645"/>
    <mergeCell ref="J2645:J2646"/>
    <mergeCell ref="K2645:K2646"/>
    <mergeCell ref="T2635:T2636"/>
    <mergeCell ref="U2635:U2636"/>
    <mergeCell ref="D2636:F2636"/>
    <mergeCell ref="G2636:I2636"/>
    <mergeCell ref="D2641:I2641"/>
    <mergeCell ref="J2641:K2641"/>
    <mergeCell ref="M2641:Q2641"/>
    <mergeCell ref="L2635:L2636"/>
    <mergeCell ref="M2635:M2636"/>
    <mergeCell ref="N2635:N2636"/>
    <mergeCell ref="O2635:O2636"/>
    <mergeCell ref="Q2635:Q2636"/>
    <mergeCell ref="R2635:R2636"/>
    <mergeCell ref="D2632:I2633"/>
    <mergeCell ref="J2632:K2633"/>
    <mergeCell ref="L2632:L2633"/>
    <mergeCell ref="M2632:Q2632"/>
    <mergeCell ref="M2633:Q2633"/>
    <mergeCell ref="B2635:B2636"/>
    <mergeCell ref="C2635:C2636"/>
    <mergeCell ref="D2635:I2635"/>
    <mergeCell ref="J2635:J2636"/>
    <mergeCell ref="K2635:K2636"/>
    <mergeCell ref="M2642:Q2642"/>
    <mergeCell ref="M2643:Q2643"/>
    <mergeCell ref="S2635:S2636"/>
    <mergeCell ref="S2625:S2626"/>
    <mergeCell ref="T2625:T2626"/>
    <mergeCell ref="U2625:U2626"/>
    <mergeCell ref="D2626:F2626"/>
    <mergeCell ref="G2626:I2626"/>
    <mergeCell ref="D2631:I2631"/>
    <mergeCell ref="J2631:K2631"/>
    <mergeCell ref="M2631:Q2631"/>
    <mergeCell ref="L2625:L2626"/>
    <mergeCell ref="M2625:M2626"/>
    <mergeCell ref="N2625:N2626"/>
    <mergeCell ref="O2625:O2626"/>
    <mergeCell ref="Q2625:Q2626"/>
    <mergeCell ref="R2625:R2626"/>
    <mergeCell ref="B2625:B2626"/>
    <mergeCell ref="C2625:C2626"/>
    <mergeCell ref="D2625:I2625"/>
    <mergeCell ref="J2625:J2626"/>
    <mergeCell ref="K2625:K2626"/>
    <mergeCell ref="T2615:T2616"/>
    <mergeCell ref="U2615:U2616"/>
    <mergeCell ref="D2616:F2616"/>
    <mergeCell ref="G2616:I2616"/>
    <mergeCell ref="D2621:I2621"/>
    <mergeCell ref="J2621:K2621"/>
    <mergeCell ref="M2621:Q2621"/>
    <mergeCell ref="L2615:L2616"/>
    <mergeCell ref="M2615:M2616"/>
    <mergeCell ref="N2615:N2616"/>
    <mergeCell ref="O2615:O2616"/>
    <mergeCell ref="Q2615:Q2616"/>
    <mergeCell ref="R2615:R2616"/>
    <mergeCell ref="D2612:I2613"/>
    <mergeCell ref="J2612:K2613"/>
    <mergeCell ref="L2612:L2613"/>
    <mergeCell ref="M2612:Q2612"/>
    <mergeCell ref="M2613:Q2613"/>
    <mergeCell ref="B2615:B2616"/>
    <mergeCell ref="C2615:C2616"/>
    <mergeCell ref="D2615:I2615"/>
    <mergeCell ref="J2615:J2616"/>
    <mergeCell ref="K2615:K2616"/>
    <mergeCell ref="D2622:I2623"/>
    <mergeCell ref="J2622:K2623"/>
    <mergeCell ref="L2622:L2623"/>
    <mergeCell ref="M2622:Q2622"/>
    <mergeCell ref="M2623:Q2623"/>
    <mergeCell ref="S2605:S2606"/>
    <mergeCell ref="T2605:T2606"/>
    <mergeCell ref="U2605:U2606"/>
    <mergeCell ref="D2606:F2606"/>
    <mergeCell ref="G2606:I2606"/>
    <mergeCell ref="D2611:I2611"/>
    <mergeCell ref="J2611:K2611"/>
    <mergeCell ref="M2611:Q2611"/>
    <mergeCell ref="L2605:L2606"/>
    <mergeCell ref="M2605:M2606"/>
    <mergeCell ref="N2605:N2606"/>
    <mergeCell ref="O2605:O2606"/>
    <mergeCell ref="Q2605:Q2606"/>
    <mergeCell ref="R2605:R2606"/>
    <mergeCell ref="B2605:B2606"/>
    <mergeCell ref="C2605:C2606"/>
    <mergeCell ref="D2605:I2605"/>
    <mergeCell ref="J2605:J2606"/>
    <mergeCell ref="K2605:K2606"/>
    <mergeCell ref="S2615:S2616"/>
    <mergeCell ref="T2595:T2596"/>
    <mergeCell ref="U2595:U2596"/>
    <mergeCell ref="D2596:F2596"/>
    <mergeCell ref="G2596:I2596"/>
    <mergeCell ref="D2601:I2601"/>
    <mergeCell ref="J2601:K2601"/>
    <mergeCell ref="M2601:Q2601"/>
    <mergeCell ref="L2595:L2596"/>
    <mergeCell ref="M2595:M2596"/>
    <mergeCell ref="N2595:N2596"/>
    <mergeCell ref="O2595:O2596"/>
    <mergeCell ref="Q2595:Q2596"/>
    <mergeCell ref="R2595:R2596"/>
    <mergeCell ref="B2595:B2596"/>
    <mergeCell ref="C2595:C2596"/>
    <mergeCell ref="D2595:I2595"/>
    <mergeCell ref="J2595:J2596"/>
    <mergeCell ref="K2595:K2596"/>
    <mergeCell ref="L2602:L2603"/>
    <mergeCell ref="M2602:Q2602"/>
    <mergeCell ref="M2603:Q2603"/>
    <mergeCell ref="S2585:S2586"/>
    <mergeCell ref="T2585:T2586"/>
    <mergeCell ref="U2585:U2586"/>
    <mergeCell ref="D2586:F2586"/>
    <mergeCell ref="G2586:I2586"/>
    <mergeCell ref="D2591:I2591"/>
    <mergeCell ref="J2591:K2591"/>
    <mergeCell ref="M2591:Q2591"/>
    <mergeCell ref="L2585:L2586"/>
    <mergeCell ref="M2585:M2586"/>
    <mergeCell ref="N2585:N2586"/>
    <mergeCell ref="O2585:O2586"/>
    <mergeCell ref="Q2585:Q2586"/>
    <mergeCell ref="R2585:R2586"/>
    <mergeCell ref="S2595:S2596"/>
    <mergeCell ref="J2582:K2583"/>
    <mergeCell ref="L2582:L2583"/>
    <mergeCell ref="M2582:Q2582"/>
    <mergeCell ref="M2583:Q2583"/>
    <mergeCell ref="B2585:B2586"/>
    <mergeCell ref="C2585:C2586"/>
    <mergeCell ref="D2585:I2585"/>
    <mergeCell ref="J2585:J2586"/>
    <mergeCell ref="K2585:K2586"/>
    <mergeCell ref="S2575:S2576"/>
    <mergeCell ref="T2575:T2576"/>
    <mergeCell ref="U2575:U2576"/>
    <mergeCell ref="D2576:F2576"/>
    <mergeCell ref="G2576:I2576"/>
    <mergeCell ref="D2581:I2581"/>
    <mergeCell ref="J2581:K2581"/>
    <mergeCell ref="M2581:Q2581"/>
    <mergeCell ref="L2575:L2576"/>
    <mergeCell ref="M2575:M2576"/>
    <mergeCell ref="N2575:N2576"/>
    <mergeCell ref="O2575:O2576"/>
    <mergeCell ref="Q2575:Q2576"/>
    <mergeCell ref="R2575:R2576"/>
    <mergeCell ref="B2575:B2576"/>
    <mergeCell ref="C2575:C2576"/>
    <mergeCell ref="D2575:I2575"/>
    <mergeCell ref="J2575:J2576"/>
    <mergeCell ref="K2575:K2576"/>
    <mergeCell ref="D2582:I2583"/>
    <mergeCell ref="S2565:S2566"/>
    <mergeCell ref="T2565:T2566"/>
    <mergeCell ref="U2565:U2566"/>
    <mergeCell ref="D2566:F2566"/>
    <mergeCell ref="G2566:I2566"/>
    <mergeCell ref="D2571:I2571"/>
    <mergeCell ref="J2571:K2571"/>
    <mergeCell ref="M2571:Q2571"/>
    <mergeCell ref="L2565:L2566"/>
    <mergeCell ref="M2565:M2566"/>
    <mergeCell ref="N2565:N2566"/>
    <mergeCell ref="O2565:O2566"/>
    <mergeCell ref="Q2565:Q2566"/>
    <mergeCell ref="R2565:R2566"/>
    <mergeCell ref="D2562:I2563"/>
    <mergeCell ref="J2562:K2563"/>
    <mergeCell ref="L2562:L2563"/>
    <mergeCell ref="M2562:Q2562"/>
    <mergeCell ref="M2563:Q2563"/>
    <mergeCell ref="B2565:B2566"/>
    <mergeCell ref="C2565:C2566"/>
    <mergeCell ref="D2565:I2565"/>
    <mergeCell ref="J2565:J2566"/>
    <mergeCell ref="K2565:K2566"/>
    <mergeCell ref="S2555:S2556"/>
    <mergeCell ref="T2555:T2556"/>
    <mergeCell ref="U2555:U2556"/>
    <mergeCell ref="D2556:F2556"/>
    <mergeCell ref="G2556:I2556"/>
    <mergeCell ref="D2561:I2561"/>
    <mergeCell ref="J2561:K2561"/>
    <mergeCell ref="M2561:Q2561"/>
    <mergeCell ref="L2555:L2556"/>
    <mergeCell ref="M2555:M2556"/>
    <mergeCell ref="N2555:N2556"/>
    <mergeCell ref="O2555:O2556"/>
    <mergeCell ref="Q2555:Q2556"/>
    <mergeCell ref="R2555:R2556"/>
    <mergeCell ref="B2555:B2556"/>
    <mergeCell ref="C2555:C2556"/>
    <mergeCell ref="D2555:I2555"/>
    <mergeCell ref="J2555:J2556"/>
    <mergeCell ref="K2555:K2556"/>
    <mergeCell ref="S2545:S2546"/>
    <mergeCell ref="T2545:T2546"/>
    <mergeCell ref="U2545:U2546"/>
    <mergeCell ref="D2546:F2546"/>
    <mergeCell ref="G2546:I2546"/>
    <mergeCell ref="D2551:I2551"/>
    <mergeCell ref="J2551:K2551"/>
    <mergeCell ref="M2551:Q2551"/>
    <mergeCell ref="L2545:L2546"/>
    <mergeCell ref="M2545:M2546"/>
    <mergeCell ref="N2545:N2546"/>
    <mergeCell ref="O2545:O2546"/>
    <mergeCell ref="Q2545:Q2546"/>
    <mergeCell ref="R2545:R2546"/>
    <mergeCell ref="D2541:I2542"/>
    <mergeCell ref="J2541:K2542"/>
    <mergeCell ref="L2541:L2542"/>
    <mergeCell ref="M2541:Q2541"/>
    <mergeCell ref="M2542:Q2542"/>
    <mergeCell ref="B2545:B2546"/>
    <mergeCell ref="C2545:C2546"/>
    <mergeCell ref="D2545:I2545"/>
    <mergeCell ref="J2545:J2546"/>
    <mergeCell ref="K2545:K2546"/>
    <mergeCell ref="S2534:S2535"/>
    <mergeCell ref="T2534:T2535"/>
    <mergeCell ref="U2534:U2535"/>
    <mergeCell ref="D2535:F2535"/>
    <mergeCell ref="G2535:I2535"/>
    <mergeCell ref="D2540:I2540"/>
    <mergeCell ref="J2540:K2540"/>
    <mergeCell ref="M2540:Q2540"/>
    <mergeCell ref="L2534:L2535"/>
    <mergeCell ref="M2534:M2535"/>
    <mergeCell ref="N2534:N2535"/>
    <mergeCell ref="O2534:O2535"/>
    <mergeCell ref="Q2534:Q2535"/>
    <mergeCell ref="R2534:R2535"/>
    <mergeCell ref="G2544:L2544"/>
    <mergeCell ref="O2544:R2544"/>
    <mergeCell ref="B2534:B2535"/>
    <mergeCell ref="C2534:C2535"/>
    <mergeCell ref="D2534:I2534"/>
    <mergeCell ref="J2534:J2535"/>
    <mergeCell ref="K2534:K2535"/>
    <mergeCell ref="T2524:T2525"/>
    <mergeCell ref="U2524:U2525"/>
    <mergeCell ref="D2525:F2525"/>
    <mergeCell ref="G2525:I2525"/>
    <mergeCell ref="D2530:I2530"/>
    <mergeCell ref="J2530:K2530"/>
    <mergeCell ref="M2530:Q2530"/>
    <mergeCell ref="M2524:M2525"/>
    <mergeCell ref="N2524:N2525"/>
    <mergeCell ref="O2524:O2525"/>
    <mergeCell ref="Q2524:Q2525"/>
    <mergeCell ref="R2524:R2525"/>
    <mergeCell ref="S2524:S2525"/>
    <mergeCell ref="B2524:B2525"/>
    <mergeCell ref="C2524:C2525"/>
    <mergeCell ref="D2524:I2524"/>
    <mergeCell ref="J2524:J2525"/>
    <mergeCell ref="K2524:K2525"/>
    <mergeCell ref="L2524:L2525"/>
    <mergeCell ref="D2521:I2522"/>
    <mergeCell ref="J2521:K2522"/>
    <mergeCell ref="L2521:L2522"/>
    <mergeCell ref="M2521:Q2521"/>
    <mergeCell ref="M2522:Q2522"/>
    <mergeCell ref="S2514:S2515"/>
    <mergeCell ref="T2514:T2515"/>
    <mergeCell ref="U2514:U2515"/>
    <mergeCell ref="D2515:F2515"/>
    <mergeCell ref="G2515:I2515"/>
    <mergeCell ref="D2520:I2520"/>
    <mergeCell ref="J2520:K2520"/>
    <mergeCell ref="M2520:Q2520"/>
    <mergeCell ref="L2514:L2515"/>
    <mergeCell ref="M2514:M2515"/>
    <mergeCell ref="N2514:N2515"/>
    <mergeCell ref="O2514:O2515"/>
    <mergeCell ref="Q2514:Q2515"/>
    <mergeCell ref="R2514:R2515"/>
    <mergeCell ref="B2514:B2515"/>
    <mergeCell ref="C2514:C2515"/>
    <mergeCell ref="D2514:I2514"/>
    <mergeCell ref="J2514:J2515"/>
    <mergeCell ref="K2514:K2515"/>
    <mergeCell ref="S2503:S2504"/>
    <mergeCell ref="T2503:T2504"/>
    <mergeCell ref="U2503:U2504"/>
    <mergeCell ref="D2504:F2504"/>
    <mergeCell ref="G2504:I2504"/>
    <mergeCell ref="D2509:I2509"/>
    <mergeCell ref="J2509:K2509"/>
    <mergeCell ref="M2509:Q2509"/>
    <mergeCell ref="L2503:L2504"/>
    <mergeCell ref="M2503:M2504"/>
    <mergeCell ref="N2503:N2504"/>
    <mergeCell ref="O2503:O2504"/>
    <mergeCell ref="Q2503:Q2504"/>
    <mergeCell ref="R2503:R2504"/>
    <mergeCell ref="B2503:B2504"/>
    <mergeCell ref="C2503:C2504"/>
    <mergeCell ref="D2503:I2503"/>
    <mergeCell ref="J2503:J2504"/>
    <mergeCell ref="K2503:K2504"/>
    <mergeCell ref="G2513:L2513"/>
    <mergeCell ref="O2513:R2513"/>
    <mergeCell ref="D2510:I2511"/>
    <mergeCell ref="J2510:K2511"/>
    <mergeCell ref="L2510:L2511"/>
    <mergeCell ref="M2510:Q2510"/>
    <mergeCell ref="M2511:Q2511"/>
    <mergeCell ref="L2500:L2501"/>
    <mergeCell ref="M2500:Q2500"/>
    <mergeCell ref="U2483:U2484"/>
    <mergeCell ref="D2484:F2484"/>
    <mergeCell ref="T2493:T2494"/>
    <mergeCell ref="M2491:Q2491"/>
    <mergeCell ref="S2483:S2484"/>
    <mergeCell ref="T2483:T2484"/>
    <mergeCell ref="U2493:U2494"/>
    <mergeCell ref="D2494:F2494"/>
    <mergeCell ref="G2494:I2494"/>
    <mergeCell ref="D2499:I2499"/>
    <mergeCell ref="J2499:K2499"/>
    <mergeCell ref="M2499:Q2499"/>
    <mergeCell ref="M2493:M2494"/>
    <mergeCell ref="N2493:N2494"/>
    <mergeCell ref="O2493:O2494"/>
    <mergeCell ref="Q2493:Q2494"/>
    <mergeCell ref="R2493:R2494"/>
    <mergeCell ref="S2493:S2494"/>
    <mergeCell ref="B2493:B2494"/>
    <mergeCell ref="C2493:C2494"/>
    <mergeCell ref="D2493:I2493"/>
    <mergeCell ref="J2493:J2494"/>
    <mergeCell ref="K2493:K2494"/>
    <mergeCell ref="L2493:L2494"/>
    <mergeCell ref="B2483:B2484"/>
    <mergeCell ref="T2461:T2462"/>
    <mergeCell ref="U2461:U2462"/>
    <mergeCell ref="S2450:S2451"/>
    <mergeCell ref="C2450:C2451"/>
    <mergeCell ref="D2450:I2450"/>
    <mergeCell ref="J2450:J2451"/>
    <mergeCell ref="K2450:K2451"/>
    <mergeCell ref="L2450:L2451"/>
    <mergeCell ref="M2450:M2451"/>
    <mergeCell ref="N2450:N2451"/>
    <mergeCell ref="O2450:O2451"/>
    <mergeCell ref="Q2450:Q2451"/>
    <mergeCell ref="R2450:R2451"/>
    <mergeCell ref="J2468:K2469"/>
    <mergeCell ref="G2484:I2484"/>
    <mergeCell ref="D2489:I2489"/>
    <mergeCell ref="J2489:K2489"/>
    <mergeCell ref="M2489:Q2489"/>
    <mergeCell ref="L2483:L2484"/>
    <mergeCell ref="M2483:M2484"/>
    <mergeCell ref="N2483:N2484"/>
    <mergeCell ref="O2483:O2484"/>
    <mergeCell ref="Q2483:Q2484"/>
    <mergeCell ref="R2483:R2484"/>
    <mergeCell ref="D2478:I2479"/>
    <mergeCell ref="J2478:K2479"/>
    <mergeCell ref="L2478:L2479"/>
    <mergeCell ref="M2478:Q2478"/>
    <mergeCell ref="M2479:Q2479"/>
    <mergeCell ref="L2468:L2469"/>
    <mergeCell ref="M2468:Q2468"/>
    <mergeCell ref="M2469:Q2469"/>
    <mergeCell ref="G2482:L2482"/>
    <mergeCell ref="O2482:R2482"/>
    <mergeCell ref="M2457:Q2457"/>
    <mergeCell ref="M2458:Q2458"/>
    <mergeCell ref="U2471:U2472"/>
    <mergeCell ref="U2450:U2451"/>
    <mergeCell ref="D2456:I2456"/>
    <mergeCell ref="G2481:L2481"/>
    <mergeCell ref="O2481:R2481"/>
    <mergeCell ref="J2457:K2458"/>
    <mergeCell ref="G2460:L2460"/>
    <mergeCell ref="O2460:R2460"/>
    <mergeCell ref="T2471:T2472"/>
    <mergeCell ref="C2483:C2484"/>
    <mergeCell ref="D2483:I2483"/>
    <mergeCell ref="J2483:J2484"/>
    <mergeCell ref="K2483:K2484"/>
    <mergeCell ref="G2462:I2462"/>
    <mergeCell ref="D2472:F2472"/>
    <mergeCell ref="G2472:I2472"/>
    <mergeCell ref="D2477:I2477"/>
    <mergeCell ref="J2477:K2477"/>
    <mergeCell ref="M2477:Q2477"/>
    <mergeCell ref="M2471:M2472"/>
    <mergeCell ref="N2471:N2472"/>
    <mergeCell ref="O2471:O2472"/>
    <mergeCell ref="Q2471:Q2472"/>
    <mergeCell ref="R2471:R2472"/>
    <mergeCell ref="S2471:S2472"/>
    <mergeCell ref="O2461:O2462"/>
    <mergeCell ref="Q2461:Q2462"/>
    <mergeCell ref="D2461:I2461"/>
    <mergeCell ref="S2461:S2462"/>
    <mergeCell ref="B2461:B2462"/>
    <mergeCell ref="C2461:C2462"/>
    <mergeCell ref="J2456:K2456"/>
    <mergeCell ref="D2462:F2462"/>
    <mergeCell ref="B2471:B2472"/>
    <mergeCell ref="C2471:C2472"/>
    <mergeCell ref="D2471:I2471"/>
    <mergeCell ref="J2471:J2472"/>
    <mergeCell ref="K2471:K2472"/>
    <mergeCell ref="L2471:L2472"/>
    <mergeCell ref="B2450:B2451"/>
    <mergeCell ref="U2420:U2421"/>
    <mergeCell ref="D2421:F2421"/>
    <mergeCell ref="G2421:I2421"/>
    <mergeCell ref="U2430:U2431"/>
    <mergeCell ref="D2431:F2431"/>
    <mergeCell ref="G2431:I2431"/>
    <mergeCell ref="M2430:M2431"/>
    <mergeCell ref="N2430:N2431"/>
    <mergeCell ref="O2430:O2431"/>
    <mergeCell ref="Q2430:Q2431"/>
    <mergeCell ref="R2430:R2431"/>
    <mergeCell ref="D2427:I2428"/>
    <mergeCell ref="J2427:K2428"/>
    <mergeCell ref="L2427:L2428"/>
    <mergeCell ref="M2427:Q2427"/>
    <mergeCell ref="M2428:Q2428"/>
    <mergeCell ref="D2447:I2448"/>
    <mergeCell ref="J2447:K2448"/>
    <mergeCell ref="L2447:L2448"/>
    <mergeCell ref="M2447:Q2447"/>
    <mergeCell ref="M2448:Q2448"/>
    <mergeCell ref="U2440:U2441"/>
    <mergeCell ref="L2430:L2431"/>
    <mergeCell ref="R2440:R2441"/>
    <mergeCell ref="Q2420:Q2421"/>
    <mergeCell ref="R2420:R2421"/>
    <mergeCell ref="D2446:I2446"/>
    <mergeCell ref="J2446:K2446"/>
    <mergeCell ref="M2446:Q2446"/>
    <mergeCell ref="T2430:T2431"/>
    <mergeCell ref="M2440:M2441"/>
    <mergeCell ref="N2440:N2441"/>
    <mergeCell ref="O2440:O2441"/>
    <mergeCell ref="Q2440:Q2441"/>
    <mergeCell ref="D2441:F2441"/>
    <mergeCell ref="L2457:L2458"/>
    <mergeCell ref="M2436:Q2436"/>
    <mergeCell ref="L2440:L2441"/>
    <mergeCell ref="D2437:I2438"/>
    <mergeCell ref="C2440:C2441"/>
    <mergeCell ref="J2437:K2438"/>
    <mergeCell ref="L2437:L2438"/>
    <mergeCell ref="M2437:Q2437"/>
    <mergeCell ref="M2438:Q2438"/>
    <mergeCell ref="T2450:T2451"/>
    <mergeCell ref="D2451:F2451"/>
    <mergeCell ref="G2451:I2451"/>
    <mergeCell ref="K2440:K2441"/>
    <mergeCell ref="D2436:I2436"/>
    <mergeCell ref="J2436:K2436"/>
    <mergeCell ref="G2441:I2441"/>
    <mergeCell ref="B2430:B2431"/>
    <mergeCell ref="C2430:C2431"/>
    <mergeCell ref="S2430:S2431"/>
    <mergeCell ref="J2430:J2431"/>
    <mergeCell ref="U2390:U2391"/>
    <mergeCell ref="D2391:F2391"/>
    <mergeCell ref="G2391:I2391"/>
    <mergeCell ref="U2410:U2411"/>
    <mergeCell ref="D2411:F2411"/>
    <mergeCell ref="G2411:I2411"/>
    <mergeCell ref="D2397:I2398"/>
    <mergeCell ref="J2397:K2398"/>
    <mergeCell ref="L2397:L2398"/>
    <mergeCell ref="M2397:Q2397"/>
    <mergeCell ref="M2398:Q2398"/>
    <mergeCell ref="D2400:I2400"/>
    <mergeCell ref="J2400:J2401"/>
    <mergeCell ref="K2400:K2401"/>
    <mergeCell ref="D2396:I2396"/>
    <mergeCell ref="J2396:K2396"/>
    <mergeCell ref="M2396:Q2396"/>
    <mergeCell ref="L2390:L2391"/>
    <mergeCell ref="M2390:M2391"/>
    <mergeCell ref="N2390:N2391"/>
    <mergeCell ref="O2390:O2391"/>
    <mergeCell ref="Q2390:Q2391"/>
    <mergeCell ref="R2390:R2391"/>
    <mergeCell ref="U2400:U2401"/>
    <mergeCell ref="D2401:F2401"/>
    <mergeCell ref="G2401:I2401"/>
    <mergeCell ref="S2400:S2401"/>
    <mergeCell ref="T2390:T2391"/>
    <mergeCell ref="J2426:K2426"/>
    <mergeCell ref="D2410:I2410"/>
    <mergeCell ref="J2410:J2411"/>
    <mergeCell ref="K2410:K2411"/>
    <mergeCell ref="L2410:L2411"/>
    <mergeCell ref="M2416:Q2416"/>
    <mergeCell ref="J2407:K2408"/>
    <mergeCell ref="O2400:O2401"/>
    <mergeCell ref="Q2400:Q2401"/>
    <mergeCell ref="R2400:R2401"/>
    <mergeCell ref="D2407:I2408"/>
    <mergeCell ref="S2390:S2391"/>
    <mergeCell ref="T2410:T2411"/>
    <mergeCell ref="M2426:Q2426"/>
    <mergeCell ref="M2417:Q2417"/>
    <mergeCell ref="D2420:I2420"/>
    <mergeCell ref="S2410:S2411"/>
    <mergeCell ref="M2410:M2411"/>
    <mergeCell ref="T2420:T2421"/>
    <mergeCell ref="D2406:I2406"/>
    <mergeCell ref="J2406:K2406"/>
    <mergeCell ref="U2380:U2381"/>
    <mergeCell ref="D2381:F2381"/>
    <mergeCell ref="G2381:I2381"/>
    <mergeCell ref="R2380:R2381"/>
    <mergeCell ref="S2370:S2371"/>
    <mergeCell ref="T2380:T2381"/>
    <mergeCell ref="S2359:S2360"/>
    <mergeCell ref="D2356:I2357"/>
    <mergeCell ref="J2355:K2355"/>
    <mergeCell ref="L2356:L2357"/>
    <mergeCell ref="D2355:I2355"/>
    <mergeCell ref="J2356:K2357"/>
    <mergeCell ref="U2370:U2371"/>
    <mergeCell ref="D2371:F2371"/>
    <mergeCell ref="G2371:I2371"/>
    <mergeCell ref="D2376:I2376"/>
    <mergeCell ref="J2376:K2376"/>
    <mergeCell ref="M2376:Q2376"/>
    <mergeCell ref="L2370:L2371"/>
    <mergeCell ref="M2370:M2371"/>
    <mergeCell ref="N2370:N2371"/>
    <mergeCell ref="O2370:O2371"/>
    <mergeCell ref="Q2370:Q2371"/>
    <mergeCell ref="T2370:T2371"/>
    <mergeCell ref="T2359:T2360"/>
    <mergeCell ref="K2349:K2350"/>
    <mergeCell ref="L2349:L2350"/>
    <mergeCell ref="R2349:R2350"/>
    <mergeCell ref="K2380:K2381"/>
    <mergeCell ref="S2380:S2381"/>
    <mergeCell ref="D2336:I2337"/>
    <mergeCell ref="J2336:K2337"/>
    <mergeCell ref="L2336:L2337"/>
    <mergeCell ref="M2336:Q2336"/>
    <mergeCell ref="M2337:Q2337"/>
    <mergeCell ref="D2345:I2345"/>
    <mergeCell ref="O2359:O2360"/>
    <mergeCell ref="D2339:I2339"/>
    <mergeCell ref="J2339:J2340"/>
    <mergeCell ref="K2339:K2340"/>
    <mergeCell ref="L2339:L2340"/>
    <mergeCell ref="M2339:M2340"/>
    <mergeCell ref="N2339:N2340"/>
    <mergeCell ref="U2359:U2360"/>
    <mergeCell ref="D2360:F2360"/>
    <mergeCell ref="G2360:I2360"/>
    <mergeCell ref="T2349:T2350"/>
    <mergeCell ref="Q2359:Q2360"/>
    <mergeCell ref="R2339:R2340"/>
    <mergeCell ref="S2339:S2340"/>
    <mergeCell ref="D2359:I2359"/>
    <mergeCell ref="J2359:J2360"/>
    <mergeCell ref="K2359:K2360"/>
    <mergeCell ref="J2346:K2347"/>
    <mergeCell ref="L2346:L2347"/>
    <mergeCell ref="M2346:Q2346"/>
    <mergeCell ref="M2357:Q2357"/>
    <mergeCell ref="D2365:I2365"/>
    <mergeCell ref="J2365:K2365"/>
    <mergeCell ref="M2365:Q2365"/>
    <mergeCell ref="M2359:M2360"/>
    <mergeCell ref="N2359:N2360"/>
    <mergeCell ref="U2349:U2350"/>
    <mergeCell ref="D2350:F2350"/>
    <mergeCell ref="S2349:S2350"/>
    <mergeCell ref="U2329:U2330"/>
    <mergeCell ref="D2330:F2330"/>
    <mergeCell ref="G2330:I2330"/>
    <mergeCell ref="M2329:M2330"/>
    <mergeCell ref="N2329:N2330"/>
    <mergeCell ref="T2339:T2340"/>
    <mergeCell ref="U2339:U2340"/>
    <mergeCell ref="O2329:O2330"/>
    <mergeCell ref="Q2329:Q2330"/>
    <mergeCell ref="R2317:R2318"/>
    <mergeCell ref="R2329:R2330"/>
    <mergeCell ref="B2317:B2318"/>
    <mergeCell ref="C2317:C2318"/>
    <mergeCell ref="D2317:I2317"/>
    <mergeCell ref="J2317:J2318"/>
    <mergeCell ref="K2317:K2318"/>
    <mergeCell ref="B2329:B2330"/>
    <mergeCell ref="C2329:C2330"/>
    <mergeCell ref="D2329:I2329"/>
    <mergeCell ref="J2329:J2330"/>
    <mergeCell ref="K2329:K2330"/>
    <mergeCell ref="L2329:L2330"/>
    <mergeCell ref="M2324:Q2324"/>
    <mergeCell ref="M2325:Q2325"/>
    <mergeCell ref="D2323:I2323"/>
    <mergeCell ref="J2323:K2323"/>
    <mergeCell ref="M2323:Q2323"/>
    <mergeCell ref="D2324:I2325"/>
    <mergeCell ref="J2324:K2325"/>
    <mergeCell ref="L2324:L2325"/>
    <mergeCell ref="G2328:L2328"/>
    <mergeCell ref="O2317:O2318"/>
    <mergeCell ref="Q2317:Q2318"/>
    <mergeCell ref="B2349:B2350"/>
    <mergeCell ref="C2349:C2350"/>
    <mergeCell ref="D2349:I2349"/>
    <mergeCell ref="J2349:J2350"/>
    <mergeCell ref="J2345:K2345"/>
    <mergeCell ref="S2317:S2318"/>
    <mergeCell ref="T2296:T2297"/>
    <mergeCell ref="U2296:U2297"/>
    <mergeCell ref="D2297:F2297"/>
    <mergeCell ref="G2297:I2297"/>
    <mergeCell ref="D2302:I2302"/>
    <mergeCell ref="J2302:K2302"/>
    <mergeCell ref="M2302:Q2302"/>
    <mergeCell ref="L2296:L2297"/>
    <mergeCell ref="M2296:M2297"/>
    <mergeCell ref="N2296:N2297"/>
    <mergeCell ref="O2296:O2297"/>
    <mergeCell ref="D2306:I2306"/>
    <mergeCell ref="J2306:J2307"/>
    <mergeCell ref="K2306:K2307"/>
    <mergeCell ref="T2306:T2307"/>
    <mergeCell ref="U2306:U2307"/>
    <mergeCell ref="R2296:R2297"/>
    <mergeCell ref="S2306:S2307"/>
    <mergeCell ref="J2303:K2304"/>
    <mergeCell ref="L2303:L2304"/>
    <mergeCell ref="G2307:I2307"/>
    <mergeCell ref="M2303:Q2303"/>
    <mergeCell ref="M2304:Q2304"/>
    <mergeCell ref="J2296:J2297"/>
    <mergeCell ref="K2296:K2297"/>
    <mergeCell ref="Q2296:Q2297"/>
    <mergeCell ref="S2329:S2330"/>
    <mergeCell ref="D2307:F2307"/>
    <mergeCell ref="B2306:B2307"/>
    <mergeCell ref="B2296:B2297"/>
    <mergeCell ref="C2296:C2297"/>
    <mergeCell ref="T2329:T2330"/>
    <mergeCell ref="C2306:C2307"/>
    <mergeCell ref="T2317:T2318"/>
    <mergeCell ref="U2317:U2318"/>
    <mergeCell ref="D2318:F2318"/>
    <mergeCell ref="G2318:I2318"/>
    <mergeCell ref="L2317:L2318"/>
    <mergeCell ref="M2317:M2318"/>
    <mergeCell ref="N2317:N2318"/>
    <mergeCell ref="D2296:I2296"/>
    <mergeCell ref="D2303:I2304"/>
    <mergeCell ref="S2296:S2297"/>
    <mergeCell ref="O2306:O2307"/>
    <mergeCell ref="T2286:T2287"/>
    <mergeCell ref="U2286:U2287"/>
    <mergeCell ref="D2287:F2287"/>
    <mergeCell ref="D2262:I2262"/>
    <mergeCell ref="J2262:K2262"/>
    <mergeCell ref="M2262:Q2262"/>
    <mergeCell ref="L2256:L2257"/>
    <mergeCell ref="M2256:M2257"/>
    <mergeCell ref="N2256:N2257"/>
    <mergeCell ref="O2256:O2257"/>
    <mergeCell ref="Q2256:Q2257"/>
    <mergeCell ref="R2256:R2257"/>
    <mergeCell ref="S2266:S2267"/>
    <mergeCell ref="T2266:T2267"/>
    <mergeCell ref="U2266:U2267"/>
    <mergeCell ref="D2267:F2267"/>
    <mergeCell ref="G2267:I2267"/>
    <mergeCell ref="D2272:I2272"/>
    <mergeCell ref="J2272:K2272"/>
    <mergeCell ref="M2272:Q2272"/>
    <mergeCell ref="L2266:L2267"/>
    <mergeCell ref="M2266:M2267"/>
    <mergeCell ref="N2266:N2267"/>
    <mergeCell ref="T2276:T2277"/>
    <mergeCell ref="T2246:T2247"/>
    <mergeCell ref="U2246:U2247"/>
    <mergeCell ref="D2247:F2247"/>
    <mergeCell ref="G2247:I2247"/>
    <mergeCell ref="D2252:I2252"/>
    <mergeCell ref="J2252:K2252"/>
    <mergeCell ref="M2252:Q2252"/>
    <mergeCell ref="L2246:L2247"/>
    <mergeCell ref="M2246:M2247"/>
    <mergeCell ref="U2276:U2277"/>
    <mergeCell ref="N2276:N2277"/>
    <mergeCell ref="O2276:O2277"/>
    <mergeCell ref="J2253:K2254"/>
    <mergeCell ref="S2276:S2277"/>
    <mergeCell ref="N2286:N2287"/>
    <mergeCell ref="D2266:I2266"/>
    <mergeCell ref="D2263:I2264"/>
    <mergeCell ref="K2276:K2277"/>
    <mergeCell ref="S2246:S2247"/>
    <mergeCell ref="Q2276:Q2277"/>
    <mergeCell ref="N2246:N2247"/>
    <mergeCell ref="O2246:O2247"/>
    <mergeCell ref="Q2246:Q2247"/>
    <mergeCell ref="L2273:L2274"/>
    <mergeCell ref="M2273:Q2273"/>
    <mergeCell ref="M2274:Q2274"/>
    <mergeCell ref="D2253:I2254"/>
    <mergeCell ref="J2263:K2264"/>
    <mergeCell ref="D2286:I2286"/>
    <mergeCell ref="J2282:K2282"/>
    <mergeCell ref="M2282:Q2282"/>
    <mergeCell ref="M2276:M2277"/>
    <mergeCell ref="M2286:M2287"/>
    <mergeCell ref="D2277:F2277"/>
    <mergeCell ref="G2277:I2277"/>
    <mergeCell ref="D2282:I2282"/>
    <mergeCell ref="B2256:B2257"/>
    <mergeCell ref="C2256:C2257"/>
    <mergeCell ref="D2256:I2256"/>
    <mergeCell ref="J2256:J2257"/>
    <mergeCell ref="K2256:K2257"/>
    <mergeCell ref="B2246:B2247"/>
    <mergeCell ref="C2246:C2247"/>
    <mergeCell ref="B2235:B2236"/>
    <mergeCell ref="C2235:C2236"/>
    <mergeCell ref="D2235:I2235"/>
    <mergeCell ref="J2235:J2236"/>
    <mergeCell ref="K2235:K2236"/>
    <mergeCell ref="D2231:I2231"/>
    <mergeCell ref="J2231:K2231"/>
    <mergeCell ref="D2232:I2233"/>
    <mergeCell ref="B2225:B2226"/>
    <mergeCell ref="C2225:C2226"/>
    <mergeCell ref="D2222:I2223"/>
    <mergeCell ref="D2225:I2225"/>
    <mergeCell ref="J2232:K2233"/>
    <mergeCell ref="T2215:T2216"/>
    <mergeCell ref="U2215:U2216"/>
    <mergeCell ref="R2215:R2216"/>
    <mergeCell ref="D2216:F2216"/>
    <mergeCell ref="G2216:I2216"/>
    <mergeCell ref="S2225:S2226"/>
    <mergeCell ref="T2225:T2226"/>
    <mergeCell ref="U2225:U2226"/>
    <mergeCell ref="D2226:F2226"/>
    <mergeCell ref="G2226:I2226"/>
    <mergeCell ref="J2225:J2226"/>
    <mergeCell ref="K2225:K2226"/>
    <mergeCell ref="D2221:I2221"/>
    <mergeCell ref="J2221:K2221"/>
    <mergeCell ref="M2221:Q2221"/>
    <mergeCell ref="L2215:L2216"/>
    <mergeCell ref="M2215:M2216"/>
    <mergeCell ref="N2215:N2216"/>
    <mergeCell ref="O2215:O2216"/>
    <mergeCell ref="Q2215:Q2216"/>
    <mergeCell ref="S2235:S2236"/>
    <mergeCell ref="Q2225:Q2226"/>
    <mergeCell ref="L2225:L2226"/>
    <mergeCell ref="M2225:M2226"/>
    <mergeCell ref="N2225:N2226"/>
    <mergeCell ref="M2233:Q2233"/>
    <mergeCell ref="J2222:K2223"/>
    <mergeCell ref="L2222:L2223"/>
    <mergeCell ref="M2222:Q2222"/>
    <mergeCell ref="M2223:Q2223"/>
    <mergeCell ref="T2256:T2257"/>
    <mergeCell ref="U2256:U2257"/>
    <mergeCell ref="D2257:F2257"/>
    <mergeCell ref="G2257:I2257"/>
    <mergeCell ref="D2246:I2246"/>
    <mergeCell ref="J2246:J2247"/>
    <mergeCell ref="K2246:K2247"/>
    <mergeCell ref="M2254:Q2254"/>
    <mergeCell ref="R2246:R2247"/>
    <mergeCell ref="T2235:T2236"/>
    <mergeCell ref="U2235:U2236"/>
    <mergeCell ref="D2236:F2236"/>
    <mergeCell ref="G2236:I2236"/>
    <mergeCell ref="J2241:K2241"/>
    <mergeCell ref="B2215:B2216"/>
    <mergeCell ref="C2215:C2216"/>
    <mergeCell ref="D2215:I2215"/>
    <mergeCell ref="J2215:J2216"/>
    <mergeCell ref="K2215:K2216"/>
    <mergeCell ref="R2225:R2226"/>
    <mergeCell ref="M2205:M2206"/>
    <mergeCell ref="L2205:L2206"/>
    <mergeCell ref="S2215:S2216"/>
    <mergeCell ref="B2205:B2206"/>
    <mergeCell ref="C2205:C2206"/>
    <mergeCell ref="D2205:I2205"/>
    <mergeCell ref="J2205:J2206"/>
    <mergeCell ref="K2205:K2206"/>
    <mergeCell ref="R2195:R2196"/>
    <mergeCell ref="S2205:S2206"/>
    <mergeCell ref="T2205:T2206"/>
    <mergeCell ref="U2205:U2206"/>
    <mergeCell ref="D2206:F2206"/>
    <mergeCell ref="G2206:I2206"/>
    <mergeCell ref="D2202:I2203"/>
    <mergeCell ref="J2202:K2203"/>
    <mergeCell ref="L2202:L2203"/>
    <mergeCell ref="M2202:Q2202"/>
    <mergeCell ref="M2203:Q2203"/>
    <mergeCell ref="N2205:N2206"/>
    <mergeCell ref="O2205:O2206"/>
    <mergeCell ref="Q2205:Q2206"/>
    <mergeCell ref="B2195:B2196"/>
    <mergeCell ref="C2195:C2196"/>
    <mergeCell ref="D2195:I2195"/>
    <mergeCell ref="J2195:J2196"/>
    <mergeCell ref="K2195:K2196"/>
    <mergeCell ref="S2195:S2196"/>
    <mergeCell ref="T2195:T2196"/>
    <mergeCell ref="U2195:U2196"/>
    <mergeCell ref="D2196:F2196"/>
    <mergeCell ref="G2196:I2196"/>
    <mergeCell ref="D2201:I2201"/>
    <mergeCell ref="J2201:K2201"/>
    <mergeCell ref="M2201:Q2201"/>
    <mergeCell ref="L2195:L2196"/>
    <mergeCell ref="M2195:M2196"/>
    <mergeCell ref="N2195:N2196"/>
    <mergeCell ref="O2195:O2196"/>
    <mergeCell ref="M2212:Q2212"/>
    <mergeCell ref="J2212:K2213"/>
    <mergeCell ref="L2212:L2213"/>
    <mergeCell ref="M2213:Q2213"/>
    <mergeCell ref="J2211:K2211"/>
    <mergeCell ref="D2211:I2211"/>
    <mergeCell ref="D2212:I2213"/>
    <mergeCell ref="M2211:Q2211"/>
    <mergeCell ref="Q2195:Q2196"/>
    <mergeCell ref="S2185:S2186"/>
    <mergeCell ref="T2185:T2186"/>
    <mergeCell ref="D2191:I2191"/>
    <mergeCell ref="J2191:K2191"/>
    <mergeCell ref="M2191:Q2191"/>
    <mergeCell ref="R2185:R2186"/>
    <mergeCell ref="R2205:R2206"/>
    <mergeCell ref="M2182:Q2182"/>
    <mergeCell ref="M2183:Q2183"/>
    <mergeCell ref="B2185:B2186"/>
    <mergeCell ref="C2185:C2186"/>
    <mergeCell ref="D2185:I2185"/>
    <mergeCell ref="J2185:J2186"/>
    <mergeCell ref="K2185:K2186"/>
    <mergeCell ref="S2175:S2176"/>
    <mergeCell ref="T2175:T2176"/>
    <mergeCell ref="U2175:U2176"/>
    <mergeCell ref="D2176:F2176"/>
    <mergeCell ref="G2176:I2176"/>
    <mergeCell ref="D2181:I2181"/>
    <mergeCell ref="J2181:K2181"/>
    <mergeCell ref="M2181:Q2181"/>
    <mergeCell ref="L2175:L2176"/>
    <mergeCell ref="M2175:M2176"/>
    <mergeCell ref="N2175:N2176"/>
    <mergeCell ref="O2175:O2176"/>
    <mergeCell ref="Q2175:Q2176"/>
    <mergeCell ref="R2175:R2176"/>
    <mergeCell ref="B2175:B2176"/>
    <mergeCell ref="C2175:C2176"/>
    <mergeCell ref="D2175:I2175"/>
    <mergeCell ref="J2175:J2176"/>
    <mergeCell ref="K2175:K2176"/>
    <mergeCell ref="U2185:U2186"/>
    <mergeCell ref="D2186:F2186"/>
    <mergeCell ref="G2186:I2186"/>
    <mergeCell ref="L2185:L2186"/>
    <mergeCell ref="M2185:M2186"/>
    <mergeCell ref="N2185:N2186"/>
    <mergeCell ref="O2185:O2186"/>
    <mergeCell ref="Q2185:Q2186"/>
    <mergeCell ref="T2145:T2146"/>
    <mergeCell ref="U2145:U2146"/>
    <mergeCell ref="D2146:F2146"/>
    <mergeCell ref="G2146:I2146"/>
    <mergeCell ref="D2151:I2151"/>
    <mergeCell ref="J2151:K2151"/>
    <mergeCell ref="M2151:Q2151"/>
    <mergeCell ref="M2145:M2146"/>
    <mergeCell ref="N2145:N2146"/>
    <mergeCell ref="O2145:O2146"/>
    <mergeCell ref="Q2145:Q2146"/>
    <mergeCell ref="R2145:R2146"/>
    <mergeCell ref="S2145:S2146"/>
    <mergeCell ref="B2145:B2146"/>
    <mergeCell ref="C2145:C2146"/>
    <mergeCell ref="D2145:I2145"/>
    <mergeCell ref="J2145:J2146"/>
    <mergeCell ref="K2145:K2146"/>
    <mergeCell ref="L2145:L2146"/>
    <mergeCell ref="D2142:I2143"/>
    <mergeCell ref="J2142:K2143"/>
    <mergeCell ref="L2142:L2143"/>
    <mergeCell ref="M2142:Q2142"/>
    <mergeCell ref="M2143:Q2143"/>
    <mergeCell ref="S2165:S2166"/>
    <mergeCell ref="T2165:T2166"/>
    <mergeCell ref="U2165:U2166"/>
    <mergeCell ref="D2166:F2166"/>
    <mergeCell ref="G2166:I2166"/>
    <mergeCell ref="D2171:I2171"/>
    <mergeCell ref="J2171:K2171"/>
    <mergeCell ref="M2171:Q2171"/>
    <mergeCell ref="L2165:L2166"/>
    <mergeCell ref="M2165:M2166"/>
    <mergeCell ref="N2165:N2166"/>
    <mergeCell ref="O2165:O2166"/>
    <mergeCell ref="Q2165:Q2166"/>
    <mergeCell ref="R2165:R2166"/>
    <mergeCell ref="D2162:I2163"/>
    <mergeCell ref="J2162:K2163"/>
    <mergeCell ref="L2162:L2163"/>
    <mergeCell ref="M2162:Q2162"/>
    <mergeCell ref="M2163:Q2163"/>
    <mergeCell ref="B2165:B2166"/>
    <mergeCell ref="C2165:C2166"/>
    <mergeCell ref="D2165:I2165"/>
    <mergeCell ref="J2165:J2166"/>
    <mergeCell ref="K2165:K2166"/>
    <mergeCell ref="S2155:S2156"/>
    <mergeCell ref="T2155:T2156"/>
    <mergeCell ref="U2155:U2156"/>
    <mergeCell ref="D2156:F2156"/>
    <mergeCell ref="G2156:I2156"/>
    <mergeCell ref="D2161:I2161"/>
    <mergeCell ref="J2161:K2161"/>
    <mergeCell ref="M2161:Q2161"/>
    <mergeCell ref="L2155:L2156"/>
    <mergeCell ref="M2155:M2156"/>
    <mergeCell ref="N2155:N2156"/>
    <mergeCell ref="O2155:O2156"/>
    <mergeCell ref="Q2155:Q2156"/>
    <mergeCell ref="R2155:R2156"/>
    <mergeCell ref="B2155:B2156"/>
    <mergeCell ref="C2155:C2156"/>
    <mergeCell ref="S2135:S2136"/>
    <mergeCell ref="T2135:T2136"/>
    <mergeCell ref="U2135:U2136"/>
    <mergeCell ref="D2136:F2136"/>
    <mergeCell ref="G2136:I2136"/>
    <mergeCell ref="D2141:I2141"/>
    <mergeCell ref="J2141:K2141"/>
    <mergeCell ref="M2141:Q2141"/>
    <mergeCell ref="L2135:L2136"/>
    <mergeCell ref="M2135:M2136"/>
    <mergeCell ref="N2135:N2136"/>
    <mergeCell ref="O2135:O2136"/>
    <mergeCell ref="Q2135:Q2136"/>
    <mergeCell ref="R2135:R2136"/>
    <mergeCell ref="B2135:B2136"/>
    <mergeCell ref="C2135:C2136"/>
    <mergeCell ref="D2135:I2135"/>
    <mergeCell ref="J2135:J2136"/>
    <mergeCell ref="K2135:K2136"/>
    <mergeCell ref="S2125:S2126"/>
    <mergeCell ref="T2125:T2126"/>
    <mergeCell ref="U2125:U2126"/>
    <mergeCell ref="D2126:F2126"/>
    <mergeCell ref="G2126:I2126"/>
    <mergeCell ref="D2131:I2131"/>
    <mergeCell ref="J2131:K2131"/>
    <mergeCell ref="M2131:Q2131"/>
    <mergeCell ref="L2125:L2126"/>
    <mergeCell ref="M2125:M2126"/>
    <mergeCell ref="N2125:N2126"/>
    <mergeCell ref="O2125:O2126"/>
    <mergeCell ref="Q2125:Q2126"/>
    <mergeCell ref="R2125:R2126"/>
    <mergeCell ref="B2125:B2126"/>
    <mergeCell ref="C2125:C2126"/>
    <mergeCell ref="D2125:I2125"/>
    <mergeCell ref="J2125:J2126"/>
    <mergeCell ref="K2125:K2126"/>
    <mergeCell ref="S2115:S2116"/>
    <mergeCell ref="T2115:T2116"/>
    <mergeCell ref="U2115:U2116"/>
    <mergeCell ref="D2116:F2116"/>
    <mergeCell ref="G2116:I2116"/>
    <mergeCell ref="D2121:I2121"/>
    <mergeCell ref="J2121:K2121"/>
    <mergeCell ref="M2121:Q2121"/>
    <mergeCell ref="L2115:L2116"/>
    <mergeCell ref="M2115:M2116"/>
    <mergeCell ref="N2115:N2116"/>
    <mergeCell ref="O2115:O2116"/>
    <mergeCell ref="Q2115:Q2116"/>
    <mergeCell ref="R2115:R2116"/>
    <mergeCell ref="B2115:B2116"/>
    <mergeCell ref="C2115:C2116"/>
    <mergeCell ref="D2115:I2115"/>
    <mergeCell ref="J2115:J2116"/>
    <mergeCell ref="K2115:K2116"/>
    <mergeCell ref="S2105:S2106"/>
    <mergeCell ref="T2105:T2106"/>
    <mergeCell ref="U2105:U2106"/>
    <mergeCell ref="D2106:F2106"/>
    <mergeCell ref="G2106:I2106"/>
    <mergeCell ref="D2111:I2111"/>
    <mergeCell ref="J2111:K2111"/>
    <mergeCell ref="M2111:Q2111"/>
    <mergeCell ref="L2105:L2106"/>
    <mergeCell ref="M2105:M2106"/>
    <mergeCell ref="N2105:N2106"/>
    <mergeCell ref="O2105:O2106"/>
    <mergeCell ref="Q2105:Q2106"/>
    <mergeCell ref="R2105:R2106"/>
    <mergeCell ref="J2112:K2113"/>
    <mergeCell ref="L2112:L2113"/>
    <mergeCell ref="B2105:B2106"/>
    <mergeCell ref="C2105:C2106"/>
    <mergeCell ref="D2105:I2105"/>
    <mergeCell ref="J2105:J2106"/>
    <mergeCell ref="K2105:K2106"/>
    <mergeCell ref="S2095:S2096"/>
    <mergeCell ref="T2095:T2096"/>
    <mergeCell ref="U2095:U2096"/>
    <mergeCell ref="D2096:F2096"/>
    <mergeCell ref="G2096:I2096"/>
    <mergeCell ref="D2101:I2101"/>
    <mergeCell ref="J2101:K2101"/>
    <mergeCell ref="M2101:Q2101"/>
    <mergeCell ref="L2095:L2096"/>
    <mergeCell ref="M2095:M2096"/>
    <mergeCell ref="N2095:N2096"/>
    <mergeCell ref="O2095:O2096"/>
    <mergeCell ref="Q2095:Q2096"/>
    <mergeCell ref="R2095:R2096"/>
    <mergeCell ref="D2091:I2092"/>
    <mergeCell ref="J2091:K2092"/>
    <mergeCell ref="L2091:L2092"/>
    <mergeCell ref="M2091:Q2091"/>
    <mergeCell ref="M2092:Q2092"/>
    <mergeCell ref="B2095:B2096"/>
    <mergeCell ref="C2095:C2096"/>
    <mergeCell ref="D2095:I2095"/>
    <mergeCell ref="J2095:J2096"/>
    <mergeCell ref="K2095:K2096"/>
    <mergeCell ref="S2084:S2085"/>
    <mergeCell ref="T2084:T2085"/>
    <mergeCell ref="U2084:U2085"/>
    <mergeCell ref="D2085:F2085"/>
    <mergeCell ref="G2085:I2085"/>
    <mergeCell ref="D2090:I2090"/>
    <mergeCell ref="J2090:K2090"/>
    <mergeCell ref="M2090:Q2090"/>
    <mergeCell ref="L2084:L2085"/>
    <mergeCell ref="M2084:M2085"/>
    <mergeCell ref="N2084:N2085"/>
    <mergeCell ref="O2084:O2085"/>
    <mergeCell ref="Q2084:Q2085"/>
    <mergeCell ref="R2084:R2085"/>
    <mergeCell ref="G2094:L2094"/>
    <mergeCell ref="B2084:B2085"/>
    <mergeCell ref="C2084:C2085"/>
    <mergeCell ref="D2084:I2084"/>
    <mergeCell ref="J2084:J2085"/>
    <mergeCell ref="K2084:K2085"/>
    <mergeCell ref="S2074:S2075"/>
    <mergeCell ref="T2074:T2075"/>
    <mergeCell ref="U2074:U2075"/>
    <mergeCell ref="D2075:F2075"/>
    <mergeCell ref="G2075:I2075"/>
    <mergeCell ref="D2080:I2080"/>
    <mergeCell ref="J2080:K2080"/>
    <mergeCell ref="M2080:Q2080"/>
    <mergeCell ref="L2074:L2075"/>
    <mergeCell ref="M2074:M2075"/>
    <mergeCell ref="N2074:N2075"/>
    <mergeCell ref="O2074:O2075"/>
    <mergeCell ref="Q2074:Q2075"/>
    <mergeCell ref="R2074:R2075"/>
    <mergeCell ref="D2071:I2072"/>
    <mergeCell ref="J2071:K2072"/>
    <mergeCell ref="L2071:L2072"/>
    <mergeCell ref="M2071:Q2071"/>
    <mergeCell ref="M2072:Q2072"/>
    <mergeCell ref="B2074:B2075"/>
    <mergeCell ref="C2074:C2075"/>
    <mergeCell ref="D2074:I2074"/>
    <mergeCell ref="J2074:J2075"/>
    <mergeCell ref="K2074:K2075"/>
    <mergeCell ref="S2064:S2065"/>
    <mergeCell ref="T2064:T2065"/>
    <mergeCell ref="U2064:U2065"/>
    <mergeCell ref="D2065:F2065"/>
    <mergeCell ref="G2065:I2065"/>
    <mergeCell ref="D2070:I2070"/>
    <mergeCell ref="J2070:K2070"/>
    <mergeCell ref="M2070:Q2070"/>
    <mergeCell ref="L2064:L2065"/>
    <mergeCell ref="M2064:M2065"/>
    <mergeCell ref="N2064:N2065"/>
    <mergeCell ref="O2064:O2065"/>
    <mergeCell ref="Q2064:Q2065"/>
    <mergeCell ref="R2064:R2065"/>
    <mergeCell ref="B2064:B2065"/>
    <mergeCell ref="C2064:C2065"/>
    <mergeCell ref="D2064:I2064"/>
    <mergeCell ref="J2064:J2065"/>
    <mergeCell ref="K2064:K2065"/>
    <mergeCell ref="S2054:S2055"/>
    <mergeCell ref="T2054:T2055"/>
    <mergeCell ref="U2054:U2055"/>
    <mergeCell ref="D2055:F2055"/>
    <mergeCell ref="G2055:I2055"/>
    <mergeCell ref="D2060:I2060"/>
    <mergeCell ref="J2060:K2060"/>
    <mergeCell ref="M2060:Q2060"/>
    <mergeCell ref="L2054:L2055"/>
    <mergeCell ref="M2054:M2055"/>
    <mergeCell ref="N2054:N2055"/>
    <mergeCell ref="O2054:O2055"/>
    <mergeCell ref="Q2054:Q2055"/>
    <mergeCell ref="R2054:R2055"/>
    <mergeCell ref="D2051:I2052"/>
    <mergeCell ref="J2051:K2052"/>
    <mergeCell ref="L2051:L2052"/>
    <mergeCell ref="M2051:Q2051"/>
    <mergeCell ref="M2052:Q2052"/>
    <mergeCell ref="B2054:B2055"/>
    <mergeCell ref="C2054:C2055"/>
    <mergeCell ref="D2054:I2054"/>
    <mergeCell ref="J2054:J2055"/>
    <mergeCell ref="K2054:K2055"/>
    <mergeCell ref="S2044:S2045"/>
    <mergeCell ref="T2044:T2045"/>
    <mergeCell ref="U2044:U2045"/>
    <mergeCell ref="D2045:F2045"/>
    <mergeCell ref="G2045:I2045"/>
    <mergeCell ref="D2050:I2050"/>
    <mergeCell ref="J2050:K2050"/>
    <mergeCell ref="M2050:Q2050"/>
    <mergeCell ref="L2044:L2045"/>
    <mergeCell ref="M2044:M2045"/>
    <mergeCell ref="N2044:N2045"/>
    <mergeCell ref="O2044:O2045"/>
    <mergeCell ref="Q2044:Q2045"/>
    <mergeCell ref="R2044:R2045"/>
    <mergeCell ref="B2044:B2045"/>
    <mergeCell ref="C2044:C2045"/>
    <mergeCell ref="D2044:I2044"/>
    <mergeCell ref="J2044:J2045"/>
    <mergeCell ref="K2044:K2045"/>
    <mergeCell ref="S2034:S2035"/>
    <mergeCell ref="T2034:T2035"/>
    <mergeCell ref="U2034:U2035"/>
    <mergeCell ref="D2035:F2035"/>
    <mergeCell ref="G2035:I2035"/>
    <mergeCell ref="D2040:I2040"/>
    <mergeCell ref="J2040:K2040"/>
    <mergeCell ref="M2040:Q2040"/>
    <mergeCell ref="L2034:L2035"/>
    <mergeCell ref="M2034:M2035"/>
    <mergeCell ref="N2034:N2035"/>
    <mergeCell ref="O2034:O2035"/>
    <mergeCell ref="Q2034:Q2035"/>
    <mergeCell ref="R2034:R2035"/>
    <mergeCell ref="D2031:I2032"/>
    <mergeCell ref="J2031:K2032"/>
    <mergeCell ref="L2031:L2032"/>
    <mergeCell ref="M2031:Q2031"/>
    <mergeCell ref="M2032:Q2032"/>
    <mergeCell ref="B2034:B2035"/>
    <mergeCell ref="C2034:C2035"/>
    <mergeCell ref="D2034:I2034"/>
    <mergeCell ref="J2034:J2035"/>
    <mergeCell ref="K2034:K2035"/>
    <mergeCell ref="S2024:S2025"/>
    <mergeCell ref="T2024:T2025"/>
    <mergeCell ref="U2024:U2025"/>
    <mergeCell ref="D2025:F2025"/>
    <mergeCell ref="G2025:I2025"/>
    <mergeCell ref="D2030:I2030"/>
    <mergeCell ref="J2030:K2030"/>
    <mergeCell ref="M2030:Q2030"/>
    <mergeCell ref="L2024:L2025"/>
    <mergeCell ref="M2024:M2025"/>
    <mergeCell ref="N2024:N2025"/>
    <mergeCell ref="O2024:O2025"/>
    <mergeCell ref="Q2024:Q2025"/>
    <mergeCell ref="R2024:R2025"/>
    <mergeCell ref="B2024:B2025"/>
    <mergeCell ref="C2024:C2025"/>
    <mergeCell ref="D2024:I2024"/>
    <mergeCell ref="J2024:J2025"/>
    <mergeCell ref="K2024:K2025"/>
    <mergeCell ref="S2014:S2015"/>
    <mergeCell ref="T2014:T2015"/>
    <mergeCell ref="U2014:U2015"/>
    <mergeCell ref="D2015:F2015"/>
    <mergeCell ref="G2015:I2015"/>
    <mergeCell ref="D2020:I2020"/>
    <mergeCell ref="J2020:K2020"/>
    <mergeCell ref="M2020:Q2020"/>
    <mergeCell ref="L2014:L2015"/>
    <mergeCell ref="M2014:M2015"/>
    <mergeCell ref="N2014:N2015"/>
    <mergeCell ref="O2014:O2015"/>
    <mergeCell ref="Q2014:Q2015"/>
    <mergeCell ref="R2014:R2015"/>
    <mergeCell ref="D2011:I2012"/>
    <mergeCell ref="J2011:K2012"/>
    <mergeCell ref="L2011:L2012"/>
    <mergeCell ref="M2011:Q2011"/>
    <mergeCell ref="M2012:Q2012"/>
    <mergeCell ref="B2014:B2015"/>
    <mergeCell ref="C2014:C2015"/>
    <mergeCell ref="D2014:I2014"/>
    <mergeCell ref="J2014:J2015"/>
    <mergeCell ref="K2014:K2015"/>
    <mergeCell ref="S2004:S2005"/>
    <mergeCell ref="T2004:T2005"/>
    <mergeCell ref="U2004:U2005"/>
    <mergeCell ref="D2005:F2005"/>
    <mergeCell ref="G2005:I2005"/>
    <mergeCell ref="D2010:I2010"/>
    <mergeCell ref="J2010:K2010"/>
    <mergeCell ref="M2010:Q2010"/>
    <mergeCell ref="L2004:L2005"/>
    <mergeCell ref="M2004:M2005"/>
    <mergeCell ref="N2004:N2005"/>
    <mergeCell ref="O2004:O2005"/>
    <mergeCell ref="Q2004:Q2005"/>
    <mergeCell ref="R2004:R2005"/>
    <mergeCell ref="B2004:B2005"/>
    <mergeCell ref="C2004:C2005"/>
    <mergeCell ref="D2004:I2004"/>
    <mergeCell ref="J2004:J2005"/>
    <mergeCell ref="K2004:K2005"/>
    <mergeCell ref="S1994:S1995"/>
    <mergeCell ref="T1994:T1995"/>
    <mergeCell ref="U1994:U1995"/>
    <mergeCell ref="D1995:F1995"/>
    <mergeCell ref="G1995:I1995"/>
    <mergeCell ref="D2000:I2000"/>
    <mergeCell ref="J2000:K2000"/>
    <mergeCell ref="M2000:Q2000"/>
    <mergeCell ref="L1994:L1995"/>
    <mergeCell ref="M1994:M1995"/>
    <mergeCell ref="N1994:N1995"/>
    <mergeCell ref="O1994:O1995"/>
    <mergeCell ref="Q1994:Q1995"/>
    <mergeCell ref="R1994:R1995"/>
    <mergeCell ref="D1991:I1992"/>
    <mergeCell ref="J1991:K1992"/>
    <mergeCell ref="L1991:L1992"/>
    <mergeCell ref="M1991:Q1991"/>
    <mergeCell ref="M1992:Q1992"/>
    <mergeCell ref="B1994:B1995"/>
    <mergeCell ref="C1994:C1995"/>
    <mergeCell ref="D1994:I1994"/>
    <mergeCell ref="J1994:J1995"/>
    <mergeCell ref="K1994:K1995"/>
    <mergeCell ref="S1984:S1985"/>
    <mergeCell ref="T1984:T1985"/>
    <mergeCell ref="U1984:U1985"/>
    <mergeCell ref="D1985:F1985"/>
    <mergeCell ref="G1985:I1985"/>
    <mergeCell ref="D1990:I1990"/>
    <mergeCell ref="J1990:K1990"/>
    <mergeCell ref="M1990:Q1990"/>
    <mergeCell ref="L1984:L1985"/>
    <mergeCell ref="M1984:M1985"/>
    <mergeCell ref="N1984:N1985"/>
    <mergeCell ref="O1984:O1985"/>
    <mergeCell ref="Q1984:Q1985"/>
    <mergeCell ref="R1984:R1985"/>
    <mergeCell ref="B1984:B1985"/>
    <mergeCell ref="C1984:C1985"/>
    <mergeCell ref="D1984:I1984"/>
    <mergeCell ref="J1984:J1985"/>
    <mergeCell ref="K1984:K1985"/>
    <mergeCell ref="S1974:S1975"/>
    <mergeCell ref="T1974:T1975"/>
    <mergeCell ref="U1974:U1975"/>
    <mergeCell ref="D1975:F1975"/>
    <mergeCell ref="G1975:I1975"/>
    <mergeCell ref="D1980:I1980"/>
    <mergeCell ref="J1980:K1980"/>
    <mergeCell ref="M1980:Q1980"/>
    <mergeCell ref="L1974:L1975"/>
    <mergeCell ref="M1974:M1975"/>
    <mergeCell ref="N1974:N1975"/>
    <mergeCell ref="O1974:O1975"/>
    <mergeCell ref="Q1974:Q1975"/>
    <mergeCell ref="R1974:R1975"/>
    <mergeCell ref="D1971:I1972"/>
    <mergeCell ref="J1971:K1972"/>
    <mergeCell ref="L1971:L1972"/>
    <mergeCell ref="M1971:Q1971"/>
    <mergeCell ref="M1972:Q1972"/>
    <mergeCell ref="B1974:B1975"/>
    <mergeCell ref="C1974:C1975"/>
    <mergeCell ref="D1974:I1974"/>
    <mergeCell ref="J1974:J1975"/>
    <mergeCell ref="K1974:K1975"/>
    <mergeCell ref="S1964:S1965"/>
    <mergeCell ref="T1964:T1965"/>
    <mergeCell ref="U1964:U1965"/>
    <mergeCell ref="D1965:F1965"/>
    <mergeCell ref="G1965:I1965"/>
    <mergeCell ref="D1970:I1970"/>
    <mergeCell ref="J1970:K1970"/>
    <mergeCell ref="M1970:Q1970"/>
    <mergeCell ref="L1964:L1965"/>
    <mergeCell ref="M1964:M1965"/>
    <mergeCell ref="N1964:N1965"/>
    <mergeCell ref="O1964:O1965"/>
    <mergeCell ref="Q1964:Q1965"/>
    <mergeCell ref="R1964:R1965"/>
    <mergeCell ref="B1964:B1965"/>
    <mergeCell ref="C1964:C1965"/>
    <mergeCell ref="D1964:I1964"/>
    <mergeCell ref="J1964:J1965"/>
    <mergeCell ref="K1964:K1965"/>
    <mergeCell ref="S1954:S1955"/>
    <mergeCell ref="T1954:T1955"/>
    <mergeCell ref="U1954:U1955"/>
    <mergeCell ref="D1955:F1955"/>
    <mergeCell ref="G1955:I1955"/>
    <mergeCell ref="D1960:I1960"/>
    <mergeCell ref="J1960:K1960"/>
    <mergeCell ref="M1960:Q1960"/>
    <mergeCell ref="L1954:L1955"/>
    <mergeCell ref="M1954:M1955"/>
    <mergeCell ref="N1954:N1955"/>
    <mergeCell ref="O1954:O1955"/>
    <mergeCell ref="Q1954:Q1955"/>
    <mergeCell ref="R1954:R1955"/>
    <mergeCell ref="D1951:I1952"/>
    <mergeCell ref="J1951:K1952"/>
    <mergeCell ref="L1951:L1952"/>
    <mergeCell ref="M1951:Q1951"/>
    <mergeCell ref="M1952:Q1952"/>
    <mergeCell ref="B1954:B1955"/>
    <mergeCell ref="C1954:C1955"/>
    <mergeCell ref="D1954:I1954"/>
    <mergeCell ref="J1954:J1955"/>
    <mergeCell ref="K1954:K1955"/>
    <mergeCell ref="S1944:S1945"/>
    <mergeCell ref="T1944:T1945"/>
    <mergeCell ref="U1944:U1945"/>
    <mergeCell ref="D1945:F1945"/>
    <mergeCell ref="G1945:I1945"/>
    <mergeCell ref="D1950:I1950"/>
    <mergeCell ref="J1950:K1950"/>
    <mergeCell ref="M1950:Q1950"/>
    <mergeCell ref="L1944:L1945"/>
    <mergeCell ref="M1944:M1945"/>
    <mergeCell ref="N1944:N1945"/>
    <mergeCell ref="O1944:O1945"/>
    <mergeCell ref="Q1944:Q1945"/>
    <mergeCell ref="R1944:R1945"/>
    <mergeCell ref="B1944:B1945"/>
    <mergeCell ref="C1944:C1945"/>
    <mergeCell ref="D1944:I1944"/>
    <mergeCell ref="J1944:J1945"/>
    <mergeCell ref="K1944:K1945"/>
    <mergeCell ref="S1934:S1935"/>
    <mergeCell ref="T1934:T1935"/>
    <mergeCell ref="U1934:U1935"/>
    <mergeCell ref="D1935:F1935"/>
    <mergeCell ref="G1935:I1935"/>
    <mergeCell ref="D1940:I1940"/>
    <mergeCell ref="J1940:K1940"/>
    <mergeCell ref="M1940:Q1940"/>
    <mergeCell ref="L1934:L1935"/>
    <mergeCell ref="M1934:M1935"/>
    <mergeCell ref="N1934:N1935"/>
    <mergeCell ref="O1934:O1935"/>
    <mergeCell ref="Q1934:Q1935"/>
    <mergeCell ref="R1934:R1935"/>
    <mergeCell ref="D1931:I1932"/>
    <mergeCell ref="J1931:K1932"/>
    <mergeCell ref="L1931:L1932"/>
    <mergeCell ref="M1931:Q1931"/>
    <mergeCell ref="M1932:Q1932"/>
    <mergeCell ref="B1934:B1935"/>
    <mergeCell ref="C1934:C1935"/>
    <mergeCell ref="D1934:I1934"/>
    <mergeCell ref="J1934:J1935"/>
    <mergeCell ref="K1934:K1935"/>
    <mergeCell ref="S1924:S1925"/>
    <mergeCell ref="T1924:T1925"/>
    <mergeCell ref="U1924:U1925"/>
    <mergeCell ref="D1925:F1925"/>
    <mergeCell ref="G1925:I1925"/>
    <mergeCell ref="D1930:I1930"/>
    <mergeCell ref="J1930:K1930"/>
    <mergeCell ref="M1930:Q1930"/>
    <mergeCell ref="L1924:L1925"/>
    <mergeCell ref="M1924:M1925"/>
    <mergeCell ref="N1924:N1925"/>
    <mergeCell ref="O1924:O1925"/>
    <mergeCell ref="Q1924:Q1925"/>
    <mergeCell ref="R1924:R1925"/>
    <mergeCell ref="B1924:B1925"/>
    <mergeCell ref="C1924:C1925"/>
    <mergeCell ref="D1924:I1924"/>
    <mergeCell ref="J1924:J1925"/>
    <mergeCell ref="K1924:K1925"/>
    <mergeCell ref="S1914:S1915"/>
    <mergeCell ref="T1914:T1915"/>
    <mergeCell ref="U1914:U1915"/>
    <mergeCell ref="D1915:F1915"/>
    <mergeCell ref="G1915:I1915"/>
    <mergeCell ref="D1920:I1920"/>
    <mergeCell ref="J1920:K1920"/>
    <mergeCell ref="M1920:Q1920"/>
    <mergeCell ref="L1914:L1915"/>
    <mergeCell ref="M1914:M1915"/>
    <mergeCell ref="N1914:N1915"/>
    <mergeCell ref="O1914:O1915"/>
    <mergeCell ref="Q1914:Q1915"/>
    <mergeCell ref="R1914:R1915"/>
    <mergeCell ref="D1911:I1912"/>
    <mergeCell ref="J1911:K1912"/>
    <mergeCell ref="L1911:L1912"/>
    <mergeCell ref="M1911:Q1911"/>
    <mergeCell ref="M1912:Q1912"/>
    <mergeCell ref="B1914:B1915"/>
    <mergeCell ref="C1914:C1915"/>
    <mergeCell ref="D1914:I1914"/>
    <mergeCell ref="J1914:J1915"/>
    <mergeCell ref="K1914:K1915"/>
    <mergeCell ref="S1904:S1905"/>
    <mergeCell ref="T1904:T1905"/>
    <mergeCell ref="U1904:U1905"/>
    <mergeCell ref="D1905:F1905"/>
    <mergeCell ref="G1905:I1905"/>
    <mergeCell ref="D1910:I1910"/>
    <mergeCell ref="J1910:K1910"/>
    <mergeCell ref="M1910:Q1910"/>
    <mergeCell ref="L1904:L1905"/>
    <mergeCell ref="M1904:M1905"/>
    <mergeCell ref="N1904:N1905"/>
    <mergeCell ref="O1904:O1905"/>
    <mergeCell ref="Q1904:Q1905"/>
    <mergeCell ref="R1904:R1905"/>
    <mergeCell ref="B1904:B1905"/>
    <mergeCell ref="C1904:C1905"/>
    <mergeCell ref="D1904:I1904"/>
    <mergeCell ref="J1904:J1905"/>
    <mergeCell ref="K1904:K1905"/>
    <mergeCell ref="S1894:S1895"/>
    <mergeCell ref="T1894:T1895"/>
    <mergeCell ref="U1894:U1895"/>
    <mergeCell ref="D1895:F1895"/>
    <mergeCell ref="G1895:I1895"/>
    <mergeCell ref="D1900:I1900"/>
    <mergeCell ref="J1900:K1900"/>
    <mergeCell ref="M1900:Q1900"/>
    <mergeCell ref="L1894:L1895"/>
    <mergeCell ref="M1894:M1895"/>
    <mergeCell ref="N1894:N1895"/>
    <mergeCell ref="O1894:O1895"/>
    <mergeCell ref="Q1894:Q1895"/>
    <mergeCell ref="R1894:R1895"/>
    <mergeCell ref="D1891:I1892"/>
    <mergeCell ref="J1891:K1892"/>
    <mergeCell ref="L1891:L1892"/>
    <mergeCell ref="M1891:Q1891"/>
    <mergeCell ref="M1892:Q1892"/>
    <mergeCell ref="B1894:B1895"/>
    <mergeCell ref="C1894:C1895"/>
    <mergeCell ref="D1894:I1894"/>
    <mergeCell ref="J1894:J1895"/>
    <mergeCell ref="K1894:K1895"/>
    <mergeCell ref="S1884:S1885"/>
    <mergeCell ref="T1884:T1885"/>
    <mergeCell ref="U1884:U1885"/>
    <mergeCell ref="D1885:F1885"/>
    <mergeCell ref="G1885:I1885"/>
    <mergeCell ref="D1890:I1890"/>
    <mergeCell ref="J1890:K1890"/>
    <mergeCell ref="M1890:Q1890"/>
    <mergeCell ref="L1884:L1885"/>
    <mergeCell ref="M1884:M1885"/>
    <mergeCell ref="N1884:N1885"/>
    <mergeCell ref="O1884:O1885"/>
    <mergeCell ref="Q1884:Q1885"/>
    <mergeCell ref="R1884:R1885"/>
    <mergeCell ref="B1884:B1885"/>
    <mergeCell ref="C1884:C1885"/>
    <mergeCell ref="D1884:I1884"/>
    <mergeCell ref="J1884:J1885"/>
    <mergeCell ref="K1884:K1885"/>
    <mergeCell ref="S1874:S1875"/>
    <mergeCell ref="T1874:T1875"/>
    <mergeCell ref="U1874:U1875"/>
    <mergeCell ref="D1875:F1875"/>
    <mergeCell ref="G1875:I1875"/>
    <mergeCell ref="D1880:I1880"/>
    <mergeCell ref="J1880:K1880"/>
    <mergeCell ref="M1880:Q1880"/>
    <mergeCell ref="L1874:L1875"/>
    <mergeCell ref="M1874:M1875"/>
    <mergeCell ref="N1874:N1875"/>
    <mergeCell ref="O1874:O1875"/>
    <mergeCell ref="Q1874:Q1875"/>
    <mergeCell ref="R1874:R1875"/>
    <mergeCell ref="D1871:I1872"/>
    <mergeCell ref="J1871:K1872"/>
    <mergeCell ref="L1871:L1872"/>
    <mergeCell ref="M1871:Q1871"/>
    <mergeCell ref="M1872:Q1872"/>
    <mergeCell ref="B1874:B1875"/>
    <mergeCell ref="C1874:C1875"/>
    <mergeCell ref="D1874:I1874"/>
    <mergeCell ref="J1874:J1875"/>
    <mergeCell ref="K1874:K1875"/>
    <mergeCell ref="T1864:T1865"/>
    <mergeCell ref="U1864:U1865"/>
    <mergeCell ref="D1865:F1865"/>
    <mergeCell ref="G1865:I1865"/>
    <mergeCell ref="D1870:I1870"/>
    <mergeCell ref="J1870:K1870"/>
    <mergeCell ref="M1870:Q1870"/>
    <mergeCell ref="M1864:M1865"/>
    <mergeCell ref="N1864:N1865"/>
    <mergeCell ref="O1864:O1865"/>
    <mergeCell ref="Q1864:Q1865"/>
    <mergeCell ref="R1864:R1865"/>
    <mergeCell ref="S1864:S1865"/>
    <mergeCell ref="B1864:B1865"/>
    <mergeCell ref="C1864:C1865"/>
    <mergeCell ref="D1864:I1864"/>
    <mergeCell ref="J1864:J1865"/>
    <mergeCell ref="K1864:K1865"/>
    <mergeCell ref="L1864:L1865"/>
    <mergeCell ref="M1861:Q1861"/>
    <mergeCell ref="M1862:Q1862"/>
    <mergeCell ref="S1854:S1855"/>
    <mergeCell ref="T1854:T1855"/>
    <mergeCell ref="U1854:U1855"/>
    <mergeCell ref="D1855:F1855"/>
    <mergeCell ref="G1855:I1855"/>
    <mergeCell ref="D1860:I1860"/>
    <mergeCell ref="J1860:K1860"/>
    <mergeCell ref="M1860:Q1860"/>
    <mergeCell ref="L1854:L1855"/>
    <mergeCell ref="M1854:M1855"/>
    <mergeCell ref="N1854:N1855"/>
    <mergeCell ref="O1854:O1855"/>
    <mergeCell ref="Q1854:Q1855"/>
    <mergeCell ref="R1854:R1855"/>
    <mergeCell ref="D1851:I1852"/>
    <mergeCell ref="J1851:K1852"/>
    <mergeCell ref="L1851:L1852"/>
    <mergeCell ref="M1851:Q1851"/>
    <mergeCell ref="M1852:Q1852"/>
    <mergeCell ref="B1854:B1855"/>
    <mergeCell ref="C1854:C1855"/>
    <mergeCell ref="D1854:I1854"/>
    <mergeCell ref="J1854:J1855"/>
    <mergeCell ref="K1854:K1855"/>
    <mergeCell ref="S1844:S1845"/>
    <mergeCell ref="T1844:T1845"/>
    <mergeCell ref="U1844:U1845"/>
    <mergeCell ref="D1845:F1845"/>
    <mergeCell ref="G1845:I1845"/>
    <mergeCell ref="D1850:I1850"/>
    <mergeCell ref="J1850:K1850"/>
    <mergeCell ref="M1850:Q1850"/>
    <mergeCell ref="L1844:L1845"/>
    <mergeCell ref="M1844:M1845"/>
    <mergeCell ref="N1844:N1845"/>
    <mergeCell ref="O1844:O1845"/>
    <mergeCell ref="Q1844:Q1845"/>
    <mergeCell ref="R1844:R1845"/>
    <mergeCell ref="D1841:I1842"/>
    <mergeCell ref="J1841:K1842"/>
    <mergeCell ref="L1841:L1842"/>
    <mergeCell ref="M1841:Q1841"/>
    <mergeCell ref="M1842:Q1842"/>
    <mergeCell ref="B1844:B1845"/>
    <mergeCell ref="C1844:C1845"/>
    <mergeCell ref="D1844:I1844"/>
    <mergeCell ref="J1844:J1845"/>
    <mergeCell ref="K1844:K1845"/>
    <mergeCell ref="S1834:S1835"/>
    <mergeCell ref="T1834:T1835"/>
    <mergeCell ref="U1834:U1835"/>
    <mergeCell ref="D1835:F1835"/>
    <mergeCell ref="G1835:I1835"/>
    <mergeCell ref="D1840:I1840"/>
    <mergeCell ref="J1840:K1840"/>
    <mergeCell ref="M1840:Q1840"/>
    <mergeCell ref="L1834:L1835"/>
    <mergeCell ref="M1834:M1835"/>
    <mergeCell ref="N1834:N1835"/>
    <mergeCell ref="O1834:O1835"/>
    <mergeCell ref="Q1834:Q1835"/>
    <mergeCell ref="R1834:R1835"/>
    <mergeCell ref="D1831:I1832"/>
    <mergeCell ref="J1831:K1832"/>
    <mergeCell ref="L1831:L1832"/>
    <mergeCell ref="M1831:Q1831"/>
    <mergeCell ref="M1832:Q1832"/>
    <mergeCell ref="B1834:B1835"/>
    <mergeCell ref="C1834:C1835"/>
    <mergeCell ref="D1834:I1834"/>
    <mergeCell ref="J1834:J1835"/>
    <mergeCell ref="K1834:K1835"/>
    <mergeCell ref="S1824:S1825"/>
    <mergeCell ref="T1824:T1825"/>
    <mergeCell ref="U1824:U1825"/>
    <mergeCell ref="D1825:F1825"/>
    <mergeCell ref="G1825:I1825"/>
    <mergeCell ref="D1830:I1830"/>
    <mergeCell ref="J1830:K1830"/>
    <mergeCell ref="M1830:Q1830"/>
    <mergeCell ref="L1824:L1825"/>
    <mergeCell ref="M1824:M1825"/>
    <mergeCell ref="N1824:N1825"/>
    <mergeCell ref="O1824:O1825"/>
    <mergeCell ref="Q1824:Q1825"/>
    <mergeCell ref="R1824:R1825"/>
    <mergeCell ref="D1821:I1822"/>
    <mergeCell ref="J1821:K1822"/>
    <mergeCell ref="L1821:L1822"/>
    <mergeCell ref="M1821:Q1821"/>
    <mergeCell ref="M1822:Q1822"/>
    <mergeCell ref="B1824:B1825"/>
    <mergeCell ref="C1824:C1825"/>
    <mergeCell ref="D1824:I1824"/>
    <mergeCell ref="J1824:J1825"/>
    <mergeCell ref="K1824:K1825"/>
    <mergeCell ref="S1814:S1815"/>
    <mergeCell ref="T1814:T1815"/>
    <mergeCell ref="U1814:U1815"/>
    <mergeCell ref="D1815:F1815"/>
    <mergeCell ref="G1815:I1815"/>
    <mergeCell ref="D1820:I1820"/>
    <mergeCell ref="J1820:K1820"/>
    <mergeCell ref="M1820:Q1820"/>
    <mergeCell ref="L1814:L1815"/>
    <mergeCell ref="M1814:M1815"/>
    <mergeCell ref="N1814:N1815"/>
    <mergeCell ref="O1814:O1815"/>
    <mergeCell ref="Q1814:Q1815"/>
    <mergeCell ref="R1814:R1815"/>
    <mergeCell ref="D1811:I1812"/>
    <mergeCell ref="J1811:K1812"/>
    <mergeCell ref="L1811:L1812"/>
    <mergeCell ref="M1811:Q1811"/>
    <mergeCell ref="M1812:Q1812"/>
    <mergeCell ref="B1814:B1815"/>
    <mergeCell ref="C1814:C1815"/>
    <mergeCell ref="D1814:I1814"/>
    <mergeCell ref="J1814:J1815"/>
    <mergeCell ref="K1814:K1815"/>
    <mergeCell ref="S1804:S1805"/>
    <mergeCell ref="T1804:T1805"/>
    <mergeCell ref="U1804:U1805"/>
    <mergeCell ref="D1805:F1805"/>
    <mergeCell ref="G1805:I1805"/>
    <mergeCell ref="D1810:I1810"/>
    <mergeCell ref="J1810:K1810"/>
    <mergeCell ref="M1810:Q1810"/>
    <mergeCell ref="L1804:L1805"/>
    <mergeCell ref="M1804:M1805"/>
    <mergeCell ref="N1804:N1805"/>
    <mergeCell ref="O1804:O1805"/>
    <mergeCell ref="Q1804:Q1805"/>
    <mergeCell ref="R1804:R1805"/>
    <mergeCell ref="D1800:I1801"/>
    <mergeCell ref="J1800:K1801"/>
    <mergeCell ref="L1800:L1801"/>
    <mergeCell ref="M1800:Q1800"/>
    <mergeCell ref="M1801:Q1801"/>
    <mergeCell ref="B1804:B1805"/>
    <mergeCell ref="C1804:C1805"/>
    <mergeCell ref="D1804:I1804"/>
    <mergeCell ref="J1804:J1805"/>
    <mergeCell ref="K1804:K1805"/>
    <mergeCell ref="S1793:S1794"/>
    <mergeCell ref="T1793:T1794"/>
    <mergeCell ref="U1793:U1794"/>
    <mergeCell ref="D1794:F1794"/>
    <mergeCell ref="G1794:I1794"/>
    <mergeCell ref="D1799:I1799"/>
    <mergeCell ref="J1799:K1799"/>
    <mergeCell ref="M1799:Q1799"/>
    <mergeCell ref="L1793:L1794"/>
    <mergeCell ref="M1793:M1794"/>
    <mergeCell ref="N1793:N1794"/>
    <mergeCell ref="O1793:O1794"/>
    <mergeCell ref="Q1793:Q1794"/>
    <mergeCell ref="R1793:R1794"/>
    <mergeCell ref="G1803:L1803"/>
    <mergeCell ref="D1790:I1791"/>
    <mergeCell ref="J1790:K1791"/>
    <mergeCell ref="L1790:L1791"/>
    <mergeCell ref="M1790:Q1790"/>
    <mergeCell ref="M1791:Q1791"/>
    <mergeCell ref="B1793:B1794"/>
    <mergeCell ref="C1793:C1794"/>
    <mergeCell ref="D1793:I1793"/>
    <mergeCell ref="J1793:J1794"/>
    <mergeCell ref="K1793:K1794"/>
    <mergeCell ref="S1783:S1784"/>
    <mergeCell ref="T1783:T1784"/>
    <mergeCell ref="U1783:U1784"/>
    <mergeCell ref="D1784:F1784"/>
    <mergeCell ref="G1784:I1784"/>
    <mergeCell ref="D1789:I1789"/>
    <mergeCell ref="J1789:K1789"/>
    <mergeCell ref="M1789:Q1789"/>
    <mergeCell ref="L1783:L1784"/>
    <mergeCell ref="M1783:M1784"/>
    <mergeCell ref="N1783:N1784"/>
    <mergeCell ref="O1783:O1784"/>
    <mergeCell ref="Q1783:Q1784"/>
    <mergeCell ref="R1783:R1784"/>
    <mergeCell ref="D1780:I1781"/>
    <mergeCell ref="J1780:K1781"/>
    <mergeCell ref="L1780:L1781"/>
    <mergeCell ref="M1780:Q1780"/>
    <mergeCell ref="M1781:Q1781"/>
    <mergeCell ref="B1783:B1784"/>
    <mergeCell ref="C1783:C1784"/>
    <mergeCell ref="D1783:I1783"/>
    <mergeCell ref="J1783:J1784"/>
    <mergeCell ref="K1783:K1784"/>
    <mergeCell ref="S1773:S1774"/>
    <mergeCell ref="T1773:T1774"/>
    <mergeCell ref="U1773:U1774"/>
    <mergeCell ref="D1774:F1774"/>
    <mergeCell ref="G1774:I1774"/>
    <mergeCell ref="D1779:I1779"/>
    <mergeCell ref="J1779:K1779"/>
    <mergeCell ref="M1779:Q1779"/>
    <mergeCell ref="L1773:L1774"/>
    <mergeCell ref="M1773:M1774"/>
    <mergeCell ref="N1773:N1774"/>
    <mergeCell ref="O1773:O1774"/>
    <mergeCell ref="Q1773:Q1774"/>
    <mergeCell ref="R1773:R1774"/>
    <mergeCell ref="D1770:I1771"/>
    <mergeCell ref="J1770:K1771"/>
    <mergeCell ref="L1770:L1771"/>
    <mergeCell ref="M1770:Q1770"/>
    <mergeCell ref="M1771:Q1771"/>
    <mergeCell ref="B1773:B1774"/>
    <mergeCell ref="C1773:C1774"/>
    <mergeCell ref="D1773:I1773"/>
    <mergeCell ref="J1773:J1774"/>
    <mergeCell ref="K1773:K1774"/>
    <mergeCell ref="S1763:S1764"/>
    <mergeCell ref="T1763:T1764"/>
    <mergeCell ref="U1763:U1764"/>
    <mergeCell ref="D1764:F1764"/>
    <mergeCell ref="G1764:I1764"/>
    <mergeCell ref="D1769:I1769"/>
    <mergeCell ref="J1769:K1769"/>
    <mergeCell ref="M1769:Q1769"/>
    <mergeCell ref="L1763:L1764"/>
    <mergeCell ref="M1763:M1764"/>
    <mergeCell ref="N1763:N1764"/>
    <mergeCell ref="O1763:O1764"/>
    <mergeCell ref="Q1763:Q1764"/>
    <mergeCell ref="R1763:R1764"/>
    <mergeCell ref="D1760:I1761"/>
    <mergeCell ref="J1760:K1761"/>
    <mergeCell ref="L1760:L1761"/>
    <mergeCell ref="M1760:Q1760"/>
    <mergeCell ref="M1761:Q1761"/>
    <mergeCell ref="B1763:B1764"/>
    <mergeCell ref="C1763:C1764"/>
    <mergeCell ref="D1763:I1763"/>
    <mergeCell ref="J1763:J1764"/>
    <mergeCell ref="K1763:K1764"/>
    <mergeCell ref="T1753:T1754"/>
    <mergeCell ref="U1753:U1754"/>
    <mergeCell ref="D1754:F1754"/>
    <mergeCell ref="G1754:I1754"/>
    <mergeCell ref="D1759:I1759"/>
    <mergeCell ref="J1759:K1759"/>
    <mergeCell ref="M1759:Q1759"/>
    <mergeCell ref="M1753:M1754"/>
    <mergeCell ref="N1753:N1754"/>
    <mergeCell ref="O1753:O1754"/>
    <mergeCell ref="Q1753:Q1754"/>
    <mergeCell ref="R1753:R1754"/>
    <mergeCell ref="S1753:S1754"/>
    <mergeCell ref="B1753:B1754"/>
    <mergeCell ref="C1753:C1754"/>
    <mergeCell ref="D1753:I1753"/>
    <mergeCell ref="J1753:J1754"/>
    <mergeCell ref="K1753:K1754"/>
    <mergeCell ref="L1753:L1754"/>
    <mergeCell ref="D1750:I1751"/>
    <mergeCell ref="J1750:K1751"/>
    <mergeCell ref="L1750:L1751"/>
    <mergeCell ref="M1750:Q1750"/>
    <mergeCell ref="M1751:Q1751"/>
    <mergeCell ref="S1743:S1744"/>
    <mergeCell ref="T1743:T1744"/>
    <mergeCell ref="U1743:U1744"/>
    <mergeCell ref="D1744:F1744"/>
    <mergeCell ref="G1744:I1744"/>
    <mergeCell ref="D1749:I1749"/>
    <mergeCell ref="J1749:K1749"/>
    <mergeCell ref="M1749:Q1749"/>
    <mergeCell ref="L1743:L1744"/>
    <mergeCell ref="M1743:M1744"/>
    <mergeCell ref="N1743:N1744"/>
    <mergeCell ref="O1743:O1744"/>
    <mergeCell ref="Q1743:Q1744"/>
    <mergeCell ref="R1743:R1744"/>
    <mergeCell ref="D1740:I1741"/>
    <mergeCell ref="J1740:K1741"/>
    <mergeCell ref="L1740:L1741"/>
    <mergeCell ref="M1740:Q1740"/>
    <mergeCell ref="M1741:Q1741"/>
    <mergeCell ref="B1743:B1744"/>
    <mergeCell ref="C1743:C1744"/>
    <mergeCell ref="D1743:I1743"/>
    <mergeCell ref="J1743:J1744"/>
    <mergeCell ref="K1743:K1744"/>
    <mergeCell ref="S1733:S1734"/>
    <mergeCell ref="T1733:T1734"/>
    <mergeCell ref="U1733:U1734"/>
    <mergeCell ref="D1734:F1734"/>
    <mergeCell ref="G1734:I1734"/>
    <mergeCell ref="D1739:I1739"/>
    <mergeCell ref="J1739:K1739"/>
    <mergeCell ref="M1739:Q1739"/>
    <mergeCell ref="L1733:L1734"/>
    <mergeCell ref="M1733:M1734"/>
    <mergeCell ref="N1733:N1734"/>
    <mergeCell ref="O1733:O1734"/>
    <mergeCell ref="Q1733:Q1734"/>
    <mergeCell ref="R1733:R1734"/>
    <mergeCell ref="D1730:I1731"/>
    <mergeCell ref="J1730:K1731"/>
    <mergeCell ref="L1730:L1731"/>
    <mergeCell ref="M1730:Q1730"/>
    <mergeCell ref="M1731:Q1731"/>
    <mergeCell ref="B1733:B1734"/>
    <mergeCell ref="C1733:C1734"/>
    <mergeCell ref="D1733:I1733"/>
    <mergeCell ref="J1733:J1734"/>
    <mergeCell ref="K1733:K1734"/>
    <mergeCell ref="S1723:S1724"/>
    <mergeCell ref="T1723:T1724"/>
    <mergeCell ref="U1723:U1724"/>
    <mergeCell ref="D1724:F1724"/>
    <mergeCell ref="G1724:I1724"/>
    <mergeCell ref="D1729:I1729"/>
    <mergeCell ref="J1729:K1729"/>
    <mergeCell ref="M1729:Q1729"/>
    <mergeCell ref="L1723:L1724"/>
    <mergeCell ref="M1723:M1724"/>
    <mergeCell ref="N1723:N1724"/>
    <mergeCell ref="O1723:O1724"/>
    <mergeCell ref="Q1723:Q1724"/>
    <mergeCell ref="R1723:R1724"/>
    <mergeCell ref="D1720:I1721"/>
    <mergeCell ref="J1720:K1721"/>
    <mergeCell ref="L1720:L1721"/>
    <mergeCell ref="M1720:Q1720"/>
    <mergeCell ref="M1721:Q1721"/>
    <mergeCell ref="B1723:B1724"/>
    <mergeCell ref="C1723:C1724"/>
    <mergeCell ref="D1723:I1723"/>
    <mergeCell ref="J1723:J1724"/>
    <mergeCell ref="K1723:K1724"/>
    <mergeCell ref="S1713:S1714"/>
    <mergeCell ref="T1713:T1714"/>
    <mergeCell ref="U1713:U1714"/>
    <mergeCell ref="D1714:F1714"/>
    <mergeCell ref="G1714:I1714"/>
    <mergeCell ref="D1719:I1719"/>
    <mergeCell ref="J1719:K1719"/>
    <mergeCell ref="M1719:Q1719"/>
    <mergeCell ref="L1713:L1714"/>
    <mergeCell ref="M1713:M1714"/>
    <mergeCell ref="N1713:N1714"/>
    <mergeCell ref="O1713:O1714"/>
    <mergeCell ref="Q1713:Q1714"/>
    <mergeCell ref="R1713:R1714"/>
    <mergeCell ref="D1710:I1711"/>
    <mergeCell ref="J1710:K1711"/>
    <mergeCell ref="L1710:L1711"/>
    <mergeCell ref="M1710:Q1710"/>
    <mergeCell ref="M1711:Q1711"/>
    <mergeCell ref="B1713:B1714"/>
    <mergeCell ref="C1713:C1714"/>
    <mergeCell ref="D1713:I1713"/>
    <mergeCell ref="J1713:J1714"/>
    <mergeCell ref="K1713:K1714"/>
    <mergeCell ref="S1703:S1704"/>
    <mergeCell ref="T1703:T1704"/>
    <mergeCell ref="U1703:U1704"/>
    <mergeCell ref="D1704:F1704"/>
    <mergeCell ref="G1704:I1704"/>
    <mergeCell ref="D1709:I1709"/>
    <mergeCell ref="J1709:K1709"/>
    <mergeCell ref="M1709:Q1709"/>
    <mergeCell ref="L1703:L1704"/>
    <mergeCell ref="M1703:M1704"/>
    <mergeCell ref="N1703:N1704"/>
    <mergeCell ref="O1703:O1704"/>
    <mergeCell ref="Q1703:Q1704"/>
    <mergeCell ref="R1703:R1704"/>
    <mergeCell ref="D1700:I1701"/>
    <mergeCell ref="J1700:K1701"/>
    <mergeCell ref="L1700:L1701"/>
    <mergeCell ref="M1700:Q1700"/>
    <mergeCell ref="M1701:Q1701"/>
    <mergeCell ref="B1703:B1704"/>
    <mergeCell ref="C1703:C1704"/>
    <mergeCell ref="D1703:I1703"/>
    <mergeCell ref="J1703:J1704"/>
    <mergeCell ref="K1703:K1704"/>
    <mergeCell ref="S1693:S1694"/>
    <mergeCell ref="T1693:T1694"/>
    <mergeCell ref="U1693:U1694"/>
    <mergeCell ref="D1694:F1694"/>
    <mergeCell ref="G1694:I1694"/>
    <mergeCell ref="D1699:I1699"/>
    <mergeCell ref="J1699:K1699"/>
    <mergeCell ref="M1699:Q1699"/>
    <mergeCell ref="L1693:L1694"/>
    <mergeCell ref="M1693:M1694"/>
    <mergeCell ref="N1693:N1694"/>
    <mergeCell ref="O1693:O1694"/>
    <mergeCell ref="Q1693:Q1694"/>
    <mergeCell ref="R1693:R1694"/>
    <mergeCell ref="D1689:I1690"/>
    <mergeCell ref="J1689:K1690"/>
    <mergeCell ref="L1689:L1690"/>
    <mergeCell ref="M1689:Q1689"/>
    <mergeCell ref="M1690:Q1690"/>
    <mergeCell ref="B1693:B1694"/>
    <mergeCell ref="C1693:C1694"/>
    <mergeCell ref="D1693:I1693"/>
    <mergeCell ref="J1693:J1694"/>
    <mergeCell ref="K1693:K1694"/>
    <mergeCell ref="S1682:S1683"/>
    <mergeCell ref="T1682:T1683"/>
    <mergeCell ref="U1682:U1683"/>
    <mergeCell ref="D1683:F1683"/>
    <mergeCell ref="G1683:I1683"/>
    <mergeCell ref="D1688:I1688"/>
    <mergeCell ref="J1688:K1688"/>
    <mergeCell ref="M1688:Q1688"/>
    <mergeCell ref="L1682:L1683"/>
    <mergeCell ref="M1682:M1683"/>
    <mergeCell ref="N1682:N1683"/>
    <mergeCell ref="O1682:O1683"/>
    <mergeCell ref="Q1682:Q1683"/>
    <mergeCell ref="R1682:R1683"/>
    <mergeCell ref="G1692:L1692"/>
    <mergeCell ref="D1679:I1680"/>
    <mergeCell ref="J1679:K1680"/>
    <mergeCell ref="L1679:L1680"/>
    <mergeCell ref="M1679:Q1679"/>
    <mergeCell ref="M1680:Q1680"/>
    <mergeCell ref="B1682:B1683"/>
    <mergeCell ref="C1682:C1683"/>
    <mergeCell ref="D1682:I1682"/>
    <mergeCell ref="J1682:J1683"/>
    <mergeCell ref="K1682:K1683"/>
    <mergeCell ref="S1672:S1673"/>
    <mergeCell ref="T1672:T1673"/>
    <mergeCell ref="U1672:U1673"/>
    <mergeCell ref="D1673:F1673"/>
    <mergeCell ref="G1673:I1673"/>
    <mergeCell ref="D1678:I1678"/>
    <mergeCell ref="J1678:K1678"/>
    <mergeCell ref="M1678:Q1678"/>
    <mergeCell ref="L1672:L1673"/>
    <mergeCell ref="M1672:M1673"/>
    <mergeCell ref="N1672:N1673"/>
    <mergeCell ref="O1672:O1673"/>
    <mergeCell ref="Q1672:Q1673"/>
    <mergeCell ref="R1672:R1673"/>
    <mergeCell ref="D1669:I1670"/>
    <mergeCell ref="J1669:K1670"/>
    <mergeCell ref="L1669:L1670"/>
    <mergeCell ref="M1669:Q1669"/>
    <mergeCell ref="M1670:Q1670"/>
    <mergeCell ref="B1672:B1673"/>
    <mergeCell ref="C1672:C1673"/>
    <mergeCell ref="D1672:I1672"/>
    <mergeCell ref="J1672:J1673"/>
    <mergeCell ref="K1672:K1673"/>
    <mergeCell ref="S1662:S1663"/>
    <mergeCell ref="T1662:T1663"/>
    <mergeCell ref="U1662:U1663"/>
    <mergeCell ref="D1663:F1663"/>
    <mergeCell ref="G1663:I1663"/>
    <mergeCell ref="D1668:I1668"/>
    <mergeCell ref="J1668:K1668"/>
    <mergeCell ref="M1668:Q1668"/>
    <mergeCell ref="L1662:L1663"/>
    <mergeCell ref="M1662:M1663"/>
    <mergeCell ref="N1662:N1663"/>
    <mergeCell ref="O1662:O1663"/>
    <mergeCell ref="Q1662:Q1663"/>
    <mergeCell ref="R1662:R1663"/>
    <mergeCell ref="D1659:I1660"/>
    <mergeCell ref="J1659:K1660"/>
    <mergeCell ref="L1659:L1660"/>
    <mergeCell ref="M1659:Q1659"/>
    <mergeCell ref="M1660:Q1660"/>
    <mergeCell ref="B1662:B1663"/>
    <mergeCell ref="C1662:C1663"/>
    <mergeCell ref="D1662:I1662"/>
    <mergeCell ref="J1662:J1663"/>
    <mergeCell ref="K1662:K1663"/>
    <mergeCell ref="S1652:S1653"/>
    <mergeCell ref="T1652:T1653"/>
    <mergeCell ref="U1652:U1653"/>
    <mergeCell ref="D1653:F1653"/>
    <mergeCell ref="G1653:I1653"/>
    <mergeCell ref="D1658:I1658"/>
    <mergeCell ref="J1658:K1658"/>
    <mergeCell ref="M1658:Q1658"/>
    <mergeCell ref="L1652:L1653"/>
    <mergeCell ref="M1652:M1653"/>
    <mergeCell ref="N1652:N1653"/>
    <mergeCell ref="O1652:O1653"/>
    <mergeCell ref="Q1652:Q1653"/>
    <mergeCell ref="R1652:R1653"/>
    <mergeCell ref="D1649:I1650"/>
    <mergeCell ref="J1649:K1650"/>
    <mergeCell ref="L1649:L1650"/>
    <mergeCell ref="M1649:Q1649"/>
    <mergeCell ref="M1650:Q1650"/>
    <mergeCell ref="B1652:B1653"/>
    <mergeCell ref="C1652:C1653"/>
    <mergeCell ref="D1652:I1652"/>
    <mergeCell ref="J1652:J1653"/>
    <mergeCell ref="K1652:K1653"/>
    <mergeCell ref="S1642:S1643"/>
    <mergeCell ref="T1642:T1643"/>
    <mergeCell ref="U1642:U1643"/>
    <mergeCell ref="D1643:F1643"/>
    <mergeCell ref="G1643:I1643"/>
    <mergeCell ref="D1648:I1648"/>
    <mergeCell ref="J1648:K1648"/>
    <mergeCell ref="M1648:Q1648"/>
    <mergeCell ref="L1642:L1643"/>
    <mergeCell ref="M1642:M1643"/>
    <mergeCell ref="N1642:N1643"/>
    <mergeCell ref="O1642:O1643"/>
    <mergeCell ref="Q1642:Q1643"/>
    <mergeCell ref="R1642:R1643"/>
    <mergeCell ref="D1639:I1640"/>
    <mergeCell ref="J1639:K1640"/>
    <mergeCell ref="L1639:L1640"/>
    <mergeCell ref="M1639:Q1639"/>
    <mergeCell ref="M1640:Q1640"/>
    <mergeCell ref="B1642:B1643"/>
    <mergeCell ref="C1642:C1643"/>
    <mergeCell ref="D1642:I1642"/>
    <mergeCell ref="J1642:J1643"/>
    <mergeCell ref="K1642:K1643"/>
    <mergeCell ref="S1632:S1633"/>
    <mergeCell ref="T1632:T1633"/>
    <mergeCell ref="U1632:U1633"/>
    <mergeCell ref="D1633:F1633"/>
    <mergeCell ref="G1633:I1633"/>
    <mergeCell ref="D1638:I1638"/>
    <mergeCell ref="J1638:K1638"/>
    <mergeCell ref="M1638:Q1638"/>
    <mergeCell ref="L1632:L1633"/>
    <mergeCell ref="M1632:M1633"/>
    <mergeCell ref="N1632:N1633"/>
    <mergeCell ref="O1632:O1633"/>
    <mergeCell ref="Q1632:Q1633"/>
    <mergeCell ref="R1632:R1633"/>
    <mergeCell ref="D1629:I1630"/>
    <mergeCell ref="J1629:K1630"/>
    <mergeCell ref="L1629:L1630"/>
    <mergeCell ref="M1629:Q1629"/>
    <mergeCell ref="M1630:Q1630"/>
    <mergeCell ref="B1632:B1633"/>
    <mergeCell ref="C1632:C1633"/>
    <mergeCell ref="D1632:I1632"/>
    <mergeCell ref="J1632:J1633"/>
    <mergeCell ref="K1632:K1633"/>
    <mergeCell ref="T1622:T1623"/>
    <mergeCell ref="U1622:U1623"/>
    <mergeCell ref="D1623:F1623"/>
    <mergeCell ref="G1623:I1623"/>
    <mergeCell ref="D1628:I1628"/>
    <mergeCell ref="J1628:K1628"/>
    <mergeCell ref="M1628:Q1628"/>
    <mergeCell ref="M1622:M1623"/>
    <mergeCell ref="N1622:N1623"/>
    <mergeCell ref="O1622:O1623"/>
    <mergeCell ref="Q1622:Q1623"/>
    <mergeCell ref="R1622:R1623"/>
    <mergeCell ref="S1622:S1623"/>
    <mergeCell ref="B1622:B1623"/>
    <mergeCell ref="C1622:C1623"/>
    <mergeCell ref="D1622:I1622"/>
    <mergeCell ref="J1622:J1623"/>
    <mergeCell ref="K1622:K1623"/>
    <mergeCell ref="L1622:L1623"/>
    <mergeCell ref="D1619:I1620"/>
    <mergeCell ref="J1619:K1620"/>
    <mergeCell ref="L1619:L1620"/>
    <mergeCell ref="M1619:Q1619"/>
    <mergeCell ref="M1620:Q1620"/>
    <mergeCell ref="S1612:S1613"/>
    <mergeCell ref="T1612:T1613"/>
    <mergeCell ref="U1612:U1613"/>
    <mergeCell ref="D1613:F1613"/>
    <mergeCell ref="G1613:I1613"/>
    <mergeCell ref="D1618:I1618"/>
    <mergeCell ref="J1618:K1618"/>
    <mergeCell ref="M1618:Q1618"/>
    <mergeCell ref="L1612:L1613"/>
    <mergeCell ref="M1612:M1613"/>
    <mergeCell ref="N1612:N1613"/>
    <mergeCell ref="O1612:O1613"/>
    <mergeCell ref="Q1612:Q1613"/>
    <mergeCell ref="R1612:R1613"/>
    <mergeCell ref="D1609:I1610"/>
    <mergeCell ref="J1609:K1610"/>
    <mergeCell ref="L1609:L1610"/>
    <mergeCell ref="M1609:Q1609"/>
    <mergeCell ref="M1610:Q1610"/>
    <mergeCell ref="B1612:B1613"/>
    <mergeCell ref="C1612:C1613"/>
    <mergeCell ref="D1612:I1612"/>
    <mergeCell ref="J1612:J1613"/>
    <mergeCell ref="K1612:K1613"/>
    <mergeCell ref="S1602:S1603"/>
    <mergeCell ref="T1602:T1603"/>
    <mergeCell ref="U1602:U1603"/>
    <mergeCell ref="D1603:F1603"/>
    <mergeCell ref="G1603:I1603"/>
    <mergeCell ref="D1608:I1608"/>
    <mergeCell ref="J1608:K1608"/>
    <mergeCell ref="M1608:Q1608"/>
    <mergeCell ref="L1602:L1603"/>
    <mergeCell ref="M1602:M1603"/>
    <mergeCell ref="N1602:N1603"/>
    <mergeCell ref="O1602:O1603"/>
    <mergeCell ref="Q1602:Q1603"/>
    <mergeCell ref="R1602:R1603"/>
    <mergeCell ref="D1599:I1600"/>
    <mergeCell ref="J1599:K1600"/>
    <mergeCell ref="L1599:L1600"/>
    <mergeCell ref="M1599:Q1599"/>
    <mergeCell ref="M1600:Q1600"/>
    <mergeCell ref="B1602:B1603"/>
    <mergeCell ref="C1602:C1603"/>
    <mergeCell ref="D1602:I1602"/>
    <mergeCell ref="J1602:J1603"/>
    <mergeCell ref="K1602:K1603"/>
    <mergeCell ref="S1592:S1593"/>
    <mergeCell ref="T1592:T1593"/>
    <mergeCell ref="U1592:U1593"/>
    <mergeCell ref="D1593:F1593"/>
    <mergeCell ref="G1593:I1593"/>
    <mergeCell ref="D1598:I1598"/>
    <mergeCell ref="J1598:K1598"/>
    <mergeCell ref="M1598:Q1598"/>
    <mergeCell ref="L1592:L1593"/>
    <mergeCell ref="M1592:M1593"/>
    <mergeCell ref="N1592:N1593"/>
    <mergeCell ref="O1592:O1593"/>
    <mergeCell ref="Q1592:Q1593"/>
    <mergeCell ref="R1592:R1593"/>
    <mergeCell ref="D1589:I1590"/>
    <mergeCell ref="J1589:K1590"/>
    <mergeCell ref="L1589:L1590"/>
    <mergeCell ref="M1589:Q1589"/>
    <mergeCell ref="M1590:Q1590"/>
    <mergeCell ref="B1592:B1593"/>
    <mergeCell ref="C1592:C1593"/>
    <mergeCell ref="D1592:I1592"/>
    <mergeCell ref="J1592:J1593"/>
    <mergeCell ref="K1592:K1593"/>
    <mergeCell ref="S1582:S1583"/>
    <mergeCell ref="T1582:T1583"/>
    <mergeCell ref="U1582:U1583"/>
    <mergeCell ref="D1583:F1583"/>
    <mergeCell ref="G1583:I1583"/>
    <mergeCell ref="D1588:I1588"/>
    <mergeCell ref="J1588:K1588"/>
    <mergeCell ref="M1588:Q1588"/>
    <mergeCell ref="L1582:L1583"/>
    <mergeCell ref="M1582:M1583"/>
    <mergeCell ref="N1582:N1583"/>
    <mergeCell ref="O1582:O1583"/>
    <mergeCell ref="Q1582:Q1583"/>
    <mergeCell ref="R1582:R1583"/>
    <mergeCell ref="D1578:I1579"/>
    <mergeCell ref="J1578:K1579"/>
    <mergeCell ref="L1578:L1579"/>
    <mergeCell ref="M1578:Q1578"/>
    <mergeCell ref="M1579:Q1579"/>
    <mergeCell ref="B1582:B1583"/>
    <mergeCell ref="C1582:C1583"/>
    <mergeCell ref="D1582:I1582"/>
    <mergeCell ref="J1582:J1583"/>
    <mergeCell ref="K1582:K1583"/>
    <mergeCell ref="S1571:S1572"/>
    <mergeCell ref="T1571:T1572"/>
    <mergeCell ref="U1571:U1572"/>
    <mergeCell ref="D1572:F1572"/>
    <mergeCell ref="G1572:I1572"/>
    <mergeCell ref="D1577:I1577"/>
    <mergeCell ref="J1577:K1577"/>
    <mergeCell ref="M1577:Q1577"/>
    <mergeCell ref="L1571:L1572"/>
    <mergeCell ref="M1571:M1572"/>
    <mergeCell ref="N1571:N1572"/>
    <mergeCell ref="O1571:O1572"/>
    <mergeCell ref="Q1571:Q1572"/>
    <mergeCell ref="R1571:R1572"/>
    <mergeCell ref="G1581:L1581"/>
    <mergeCell ref="D1568:I1569"/>
    <mergeCell ref="J1568:K1569"/>
    <mergeCell ref="L1568:L1569"/>
    <mergeCell ref="M1568:Q1568"/>
    <mergeCell ref="M1569:Q1569"/>
    <mergeCell ref="B1571:B1572"/>
    <mergeCell ref="C1571:C1572"/>
    <mergeCell ref="D1571:I1571"/>
    <mergeCell ref="J1571:J1572"/>
    <mergeCell ref="K1571:K1572"/>
    <mergeCell ref="S1561:S1562"/>
    <mergeCell ref="T1561:T1562"/>
    <mergeCell ref="U1561:U1562"/>
    <mergeCell ref="D1562:F1562"/>
    <mergeCell ref="G1562:I1562"/>
    <mergeCell ref="D1567:I1567"/>
    <mergeCell ref="J1567:K1567"/>
    <mergeCell ref="M1567:Q1567"/>
    <mergeCell ref="L1561:L1562"/>
    <mergeCell ref="M1561:M1562"/>
    <mergeCell ref="N1561:N1562"/>
    <mergeCell ref="O1561:O1562"/>
    <mergeCell ref="Q1561:Q1562"/>
    <mergeCell ref="R1561:R1562"/>
    <mergeCell ref="D1558:I1559"/>
    <mergeCell ref="J1558:K1559"/>
    <mergeCell ref="L1558:L1559"/>
    <mergeCell ref="M1558:Q1558"/>
    <mergeCell ref="M1559:Q1559"/>
    <mergeCell ref="B1561:B1562"/>
    <mergeCell ref="C1561:C1562"/>
    <mergeCell ref="D1561:I1561"/>
    <mergeCell ref="J1561:J1562"/>
    <mergeCell ref="K1561:K1562"/>
    <mergeCell ref="S1551:S1552"/>
    <mergeCell ref="T1551:T1552"/>
    <mergeCell ref="U1551:U1552"/>
    <mergeCell ref="D1552:F1552"/>
    <mergeCell ref="G1552:I1552"/>
    <mergeCell ref="D1557:I1557"/>
    <mergeCell ref="J1557:K1557"/>
    <mergeCell ref="M1557:Q1557"/>
    <mergeCell ref="L1551:L1552"/>
    <mergeCell ref="M1551:M1552"/>
    <mergeCell ref="N1551:N1552"/>
    <mergeCell ref="O1551:O1552"/>
    <mergeCell ref="Q1551:Q1552"/>
    <mergeCell ref="R1551:R1552"/>
    <mergeCell ref="D1548:I1549"/>
    <mergeCell ref="J1548:K1549"/>
    <mergeCell ref="L1548:L1549"/>
    <mergeCell ref="M1548:Q1548"/>
    <mergeCell ref="M1549:Q1549"/>
    <mergeCell ref="B1551:B1552"/>
    <mergeCell ref="C1551:C1552"/>
    <mergeCell ref="D1551:I1551"/>
    <mergeCell ref="J1551:J1552"/>
    <mergeCell ref="K1551:K1552"/>
    <mergeCell ref="S1541:S1542"/>
    <mergeCell ref="T1541:T1542"/>
    <mergeCell ref="U1541:U1542"/>
    <mergeCell ref="D1542:F1542"/>
    <mergeCell ref="G1542:I1542"/>
    <mergeCell ref="D1547:I1547"/>
    <mergeCell ref="J1547:K1547"/>
    <mergeCell ref="M1547:Q1547"/>
    <mergeCell ref="L1541:L1542"/>
    <mergeCell ref="M1541:M1542"/>
    <mergeCell ref="N1541:N1542"/>
    <mergeCell ref="O1541:O1542"/>
    <mergeCell ref="Q1541:Q1542"/>
    <mergeCell ref="R1541:R1542"/>
    <mergeCell ref="D1538:I1539"/>
    <mergeCell ref="J1538:K1539"/>
    <mergeCell ref="L1538:L1539"/>
    <mergeCell ref="M1538:Q1538"/>
    <mergeCell ref="M1539:Q1539"/>
    <mergeCell ref="B1541:B1542"/>
    <mergeCell ref="C1541:C1542"/>
    <mergeCell ref="D1541:I1541"/>
    <mergeCell ref="J1541:J1542"/>
    <mergeCell ref="K1541:K1542"/>
    <mergeCell ref="T1531:T1532"/>
    <mergeCell ref="U1531:U1532"/>
    <mergeCell ref="D1532:F1532"/>
    <mergeCell ref="G1532:I1532"/>
    <mergeCell ref="D1537:I1537"/>
    <mergeCell ref="J1537:K1537"/>
    <mergeCell ref="M1537:Q1537"/>
    <mergeCell ref="M1531:M1532"/>
    <mergeCell ref="N1531:N1532"/>
    <mergeCell ref="O1531:O1532"/>
    <mergeCell ref="Q1531:Q1532"/>
    <mergeCell ref="R1531:R1532"/>
    <mergeCell ref="S1531:S1532"/>
    <mergeCell ref="B1531:B1532"/>
    <mergeCell ref="C1531:C1532"/>
    <mergeCell ref="D1531:I1531"/>
    <mergeCell ref="J1531:J1532"/>
    <mergeCell ref="K1531:K1532"/>
    <mergeCell ref="L1531:L1532"/>
    <mergeCell ref="D1528:I1529"/>
    <mergeCell ref="J1528:K1529"/>
    <mergeCell ref="L1528:L1529"/>
    <mergeCell ref="M1528:Q1528"/>
    <mergeCell ref="M1529:Q1529"/>
    <mergeCell ref="S1521:S1522"/>
    <mergeCell ref="T1521:T1522"/>
    <mergeCell ref="U1521:U1522"/>
    <mergeCell ref="D1522:F1522"/>
    <mergeCell ref="G1522:I1522"/>
    <mergeCell ref="D1527:I1527"/>
    <mergeCell ref="J1527:K1527"/>
    <mergeCell ref="M1527:Q1527"/>
    <mergeCell ref="L1521:L1522"/>
    <mergeCell ref="M1521:M1522"/>
    <mergeCell ref="N1521:N1522"/>
    <mergeCell ref="O1521:O1522"/>
    <mergeCell ref="Q1521:Q1522"/>
    <mergeCell ref="R1521:R1522"/>
    <mergeCell ref="D1518:I1519"/>
    <mergeCell ref="J1518:K1519"/>
    <mergeCell ref="L1518:L1519"/>
    <mergeCell ref="M1518:Q1518"/>
    <mergeCell ref="M1519:Q1519"/>
    <mergeCell ref="B1521:B1522"/>
    <mergeCell ref="C1521:C1522"/>
    <mergeCell ref="D1521:I1521"/>
    <mergeCell ref="J1521:J1522"/>
    <mergeCell ref="K1521:K1522"/>
    <mergeCell ref="T1511:T1512"/>
    <mergeCell ref="U1511:U1512"/>
    <mergeCell ref="D1512:F1512"/>
    <mergeCell ref="G1512:I1512"/>
    <mergeCell ref="D1517:I1517"/>
    <mergeCell ref="J1517:K1517"/>
    <mergeCell ref="M1517:Q1517"/>
    <mergeCell ref="M1511:M1512"/>
    <mergeCell ref="N1511:N1512"/>
    <mergeCell ref="O1511:O1512"/>
    <mergeCell ref="Q1511:Q1512"/>
    <mergeCell ref="R1511:R1512"/>
    <mergeCell ref="S1511:S1512"/>
    <mergeCell ref="B1511:B1512"/>
    <mergeCell ref="C1511:C1512"/>
    <mergeCell ref="D1511:I1511"/>
    <mergeCell ref="J1511:J1512"/>
    <mergeCell ref="K1511:K1512"/>
    <mergeCell ref="L1511:L1512"/>
    <mergeCell ref="D1508:I1509"/>
    <mergeCell ref="J1508:K1509"/>
    <mergeCell ref="L1508:L1509"/>
    <mergeCell ref="M1508:Q1508"/>
    <mergeCell ref="M1509:Q1509"/>
    <mergeCell ref="S1501:S1502"/>
    <mergeCell ref="T1501:T1502"/>
    <mergeCell ref="U1501:U1502"/>
    <mergeCell ref="D1502:F1502"/>
    <mergeCell ref="G1502:I1502"/>
    <mergeCell ref="D1507:I1507"/>
    <mergeCell ref="J1507:K1507"/>
    <mergeCell ref="M1507:Q1507"/>
    <mergeCell ref="L1501:L1502"/>
    <mergeCell ref="M1501:M1502"/>
    <mergeCell ref="N1501:N1502"/>
    <mergeCell ref="O1501:O1502"/>
    <mergeCell ref="Q1501:Q1502"/>
    <mergeCell ref="R1501:R1502"/>
    <mergeCell ref="D1498:I1499"/>
    <mergeCell ref="J1498:K1499"/>
    <mergeCell ref="L1498:L1499"/>
    <mergeCell ref="M1498:Q1498"/>
    <mergeCell ref="M1499:Q1499"/>
    <mergeCell ref="B1501:B1502"/>
    <mergeCell ref="C1501:C1502"/>
    <mergeCell ref="D1501:I1501"/>
    <mergeCell ref="J1501:J1502"/>
    <mergeCell ref="K1501:K1502"/>
    <mergeCell ref="S1491:S1492"/>
    <mergeCell ref="T1491:T1492"/>
    <mergeCell ref="U1491:U1492"/>
    <mergeCell ref="D1492:F1492"/>
    <mergeCell ref="G1492:I1492"/>
    <mergeCell ref="D1497:I1497"/>
    <mergeCell ref="J1497:K1497"/>
    <mergeCell ref="M1497:Q1497"/>
    <mergeCell ref="L1491:L1492"/>
    <mergeCell ref="M1491:M1492"/>
    <mergeCell ref="N1491:N1492"/>
    <mergeCell ref="O1491:O1492"/>
    <mergeCell ref="Q1491:Q1492"/>
    <mergeCell ref="R1491:R1492"/>
    <mergeCell ref="B1470:B1471"/>
    <mergeCell ref="C1470:C1471"/>
    <mergeCell ref="D1470:I1470"/>
    <mergeCell ref="J1470:J1471"/>
    <mergeCell ref="K1470:K1471"/>
    <mergeCell ref="S1459:S1460"/>
    <mergeCell ref="T1459:T1460"/>
    <mergeCell ref="U1459:U1460"/>
    <mergeCell ref="D1460:F1460"/>
    <mergeCell ref="G1460:I1460"/>
    <mergeCell ref="D1465:I1465"/>
    <mergeCell ref="J1465:K1465"/>
    <mergeCell ref="M1465:Q1465"/>
    <mergeCell ref="L1459:L1460"/>
    <mergeCell ref="M1459:M1460"/>
    <mergeCell ref="N1459:N1460"/>
    <mergeCell ref="O1459:O1460"/>
    <mergeCell ref="Q1459:Q1460"/>
    <mergeCell ref="R1459:R1460"/>
    <mergeCell ref="G1469:L1469"/>
    <mergeCell ref="D1487:I1488"/>
    <mergeCell ref="J1487:K1488"/>
    <mergeCell ref="L1487:L1488"/>
    <mergeCell ref="M1487:Q1487"/>
    <mergeCell ref="M1488:Q1488"/>
    <mergeCell ref="B1491:B1492"/>
    <mergeCell ref="C1491:C1492"/>
    <mergeCell ref="D1491:I1491"/>
    <mergeCell ref="J1491:J1492"/>
    <mergeCell ref="K1491:K1492"/>
    <mergeCell ref="S1480:S1481"/>
    <mergeCell ref="T1480:T1481"/>
    <mergeCell ref="U1480:U1481"/>
    <mergeCell ref="D1481:F1481"/>
    <mergeCell ref="G1481:I1481"/>
    <mergeCell ref="D1486:I1486"/>
    <mergeCell ref="J1486:K1486"/>
    <mergeCell ref="M1486:Q1486"/>
    <mergeCell ref="L1480:L1481"/>
    <mergeCell ref="M1480:M1481"/>
    <mergeCell ref="N1480:N1481"/>
    <mergeCell ref="O1480:O1481"/>
    <mergeCell ref="Q1480:Q1481"/>
    <mergeCell ref="R1480:R1481"/>
    <mergeCell ref="G1490:L1490"/>
    <mergeCell ref="D1477:I1478"/>
    <mergeCell ref="J1477:K1478"/>
    <mergeCell ref="L1477:L1478"/>
    <mergeCell ref="M1477:Q1477"/>
    <mergeCell ref="M1478:Q1478"/>
    <mergeCell ref="B1480:B1481"/>
    <mergeCell ref="C1480:C1481"/>
    <mergeCell ref="D1480:I1480"/>
    <mergeCell ref="J1480:J1481"/>
    <mergeCell ref="K1480:K1481"/>
    <mergeCell ref="B1459:B1460"/>
    <mergeCell ref="C1459:C1460"/>
    <mergeCell ref="D1455:I1455"/>
    <mergeCell ref="J1455:K1455"/>
    <mergeCell ref="M1455:Q1455"/>
    <mergeCell ref="L1449:L1450"/>
    <mergeCell ref="M1449:M1450"/>
    <mergeCell ref="N1449:N1450"/>
    <mergeCell ref="O1449:O1450"/>
    <mergeCell ref="Q1449:Q1450"/>
    <mergeCell ref="R1449:R1450"/>
    <mergeCell ref="D1449:I1449"/>
    <mergeCell ref="J1449:J1450"/>
    <mergeCell ref="K1449:K1450"/>
    <mergeCell ref="S1439:S1440"/>
    <mergeCell ref="T1439:T1440"/>
    <mergeCell ref="U1439:U1440"/>
    <mergeCell ref="D1440:F1440"/>
    <mergeCell ref="D1436:I1437"/>
    <mergeCell ref="J1436:K1437"/>
    <mergeCell ref="L1436:L1437"/>
    <mergeCell ref="M1436:Q1436"/>
    <mergeCell ref="G1440:I1440"/>
    <mergeCell ref="S1470:S1471"/>
    <mergeCell ref="T1470:T1471"/>
    <mergeCell ref="U1470:U1471"/>
    <mergeCell ref="D1471:F1471"/>
    <mergeCell ref="G1471:I1471"/>
    <mergeCell ref="D1476:I1476"/>
    <mergeCell ref="J1476:K1476"/>
    <mergeCell ref="M1476:Q1476"/>
    <mergeCell ref="L1470:L1471"/>
    <mergeCell ref="M1470:M1471"/>
    <mergeCell ref="N1470:N1471"/>
    <mergeCell ref="O1470:O1471"/>
    <mergeCell ref="Q1470:Q1471"/>
    <mergeCell ref="R1470:R1471"/>
    <mergeCell ref="D1466:I1467"/>
    <mergeCell ref="J1466:K1467"/>
    <mergeCell ref="L1466:L1467"/>
    <mergeCell ref="M1466:Q1466"/>
    <mergeCell ref="M1467:Q1467"/>
    <mergeCell ref="D1456:I1457"/>
    <mergeCell ref="J1456:K1457"/>
    <mergeCell ref="L1456:L1457"/>
    <mergeCell ref="M1456:Q1456"/>
    <mergeCell ref="M1457:Q1457"/>
    <mergeCell ref="D1459:I1459"/>
    <mergeCell ref="J1459:J1460"/>
    <mergeCell ref="K1459:K1460"/>
    <mergeCell ref="M1445:Q1445"/>
    <mergeCell ref="D1446:I1447"/>
    <mergeCell ref="J1446:K1447"/>
    <mergeCell ref="L1446:L1447"/>
    <mergeCell ref="M1446:Q1446"/>
    <mergeCell ref="M1447:Q1447"/>
    <mergeCell ref="D1445:I1445"/>
    <mergeCell ref="J1445:K1445"/>
    <mergeCell ref="M1437:Q1437"/>
    <mergeCell ref="B1449:B1450"/>
    <mergeCell ref="C1449:C1450"/>
    <mergeCell ref="Q1439:Q1440"/>
    <mergeCell ref="M1439:M1440"/>
    <mergeCell ref="N1439:N1440"/>
    <mergeCell ref="O1439:O1440"/>
    <mergeCell ref="B1439:B1440"/>
    <mergeCell ref="C1439:C1440"/>
    <mergeCell ref="K1439:K1440"/>
    <mergeCell ref="L1439:L1440"/>
    <mergeCell ref="D1439:I1439"/>
    <mergeCell ref="J1439:J1440"/>
    <mergeCell ref="U1419:U1420"/>
    <mergeCell ref="D1420:F1420"/>
    <mergeCell ref="G1420:I1420"/>
    <mergeCell ref="D1425:I1425"/>
    <mergeCell ref="J1425:K1425"/>
    <mergeCell ref="M1425:Q1425"/>
    <mergeCell ref="L1419:L1420"/>
    <mergeCell ref="M1419:M1420"/>
    <mergeCell ref="N1419:N1420"/>
    <mergeCell ref="O1419:O1420"/>
    <mergeCell ref="Q1419:Q1420"/>
    <mergeCell ref="R1419:R1420"/>
    <mergeCell ref="C1429:C1430"/>
    <mergeCell ref="D1429:I1429"/>
    <mergeCell ref="J1429:J1430"/>
    <mergeCell ref="K1429:K1430"/>
    <mergeCell ref="L1429:L1430"/>
    <mergeCell ref="G1430:I1430"/>
    <mergeCell ref="R1429:R1430"/>
    <mergeCell ref="S1429:S1430"/>
    <mergeCell ref="T1429:T1430"/>
    <mergeCell ref="U1429:U1430"/>
    <mergeCell ref="D1430:F1430"/>
    <mergeCell ref="R1439:R1440"/>
    <mergeCell ref="D1435:I1435"/>
    <mergeCell ref="J1435:K1435"/>
    <mergeCell ref="M1435:Q1435"/>
    <mergeCell ref="M1429:M1430"/>
    <mergeCell ref="N1429:N1430"/>
    <mergeCell ref="O1429:O1430"/>
    <mergeCell ref="Q1429:Q1430"/>
    <mergeCell ref="S1449:S1450"/>
    <mergeCell ref="T1449:T1450"/>
    <mergeCell ref="U1449:U1450"/>
    <mergeCell ref="D1450:F1450"/>
    <mergeCell ref="G1450:I1450"/>
    <mergeCell ref="B1429:B1430"/>
    <mergeCell ref="D1416:I1417"/>
    <mergeCell ref="J1416:K1417"/>
    <mergeCell ref="L1416:L1417"/>
    <mergeCell ref="M1416:Q1416"/>
    <mergeCell ref="M1417:Q1417"/>
    <mergeCell ref="B1419:B1420"/>
    <mergeCell ref="C1419:C1420"/>
    <mergeCell ref="D1419:I1419"/>
    <mergeCell ref="J1419:J1420"/>
    <mergeCell ref="K1419:K1420"/>
    <mergeCell ref="S1409:S1410"/>
    <mergeCell ref="T1409:T1410"/>
    <mergeCell ref="U1409:U1410"/>
    <mergeCell ref="D1410:F1410"/>
    <mergeCell ref="G1410:I1410"/>
    <mergeCell ref="D1415:I1415"/>
    <mergeCell ref="J1415:K1415"/>
    <mergeCell ref="M1415:Q1415"/>
    <mergeCell ref="L1409:L1410"/>
    <mergeCell ref="M1409:M1410"/>
    <mergeCell ref="N1409:N1410"/>
    <mergeCell ref="O1409:O1410"/>
    <mergeCell ref="Q1409:Q1410"/>
    <mergeCell ref="R1409:R1410"/>
    <mergeCell ref="D1426:I1427"/>
    <mergeCell ref="J1426:K1427"/>
    <mergeCell ref="L1426:L1427"/>
    <mergeCell ref="M1426:Q1426"/>
    <mergeCell ref="M1427:Q1427"/>
    <mergeCell ref="S1419:S1420"/>
    <mergeCell ref="T1419:T1420"/>
    <mergeCell ref="D1406:I1407"/>
    <mergeCell ref="J1406:K1407"/>
    <mergeCell ref="L1406:L1407"/>
    <mergeCell ref="M1406:Q1406"/>
    <mergeCell ref="M1407:Q1407"/>
    <mergeCell ref="B1409:B1410"/>
    <mergeCell ref="C1409:C1410"/>
    <mergeCell ref="D1409:I1409"/>
    <mergeCell ref="J1409:J1410"/>
    <mergeCell ref="K1409:K1410"/>
    <mergeCell ref="S1399:S1400"/>
    <mergeCell ref="T1399:T1400"/>
    <mergeCell ref="U1399:U1400"/>
    <mergeCell ref="D1400:F1400"/>
    <mergeCell ref="G1400:I1400"/>
    <mergeCell ref="D1405:I1405"/>
    <mergeCell ref="J1405:K1405"/>
    <mergeCell ref="M1405:Q1405"/>
    <mergeCell ref="L1399:L1400"/>
    <mergeCell ref="M1399:M1400"/>
    <mergeCell ref="N1399:N1400"/>
    <mergeCell ref="O1399:O1400"/>
    <mergeCell ref="Q1399:Q1400"/>
    <mergeCell ref="R1399:R1400"/>
    <mergeCell ref="D1395:I1396"/>
    <mergeCell ref="J1395:K1396"/>
    <mergeCell ref="L1395:L1396"/>
    <mergeCell ref="M1395:Q1395"/>
    <mergeCell ref="M1396:Q1396"/>
    <mergeCell ref="B1399:B1400"/>
    <mergeCell ref="C1399:C1400"/>
    <mergeCell ref="D1399:I1399"/>
    <mergeCell ref="J1399:J1400"/>
    <mergeCell ref="K1399:K1400"/>
    <mergeCell ref="S1388:S1389"/>
    <mergeCell ref="T1388:T1389"/>
    <mergeCell ref="U1388:U1389"/>
    <mergeCell ref="D1389:F1389"/>
    <mergeCell ref="G1389:I1389"/>
    <mergeCell ref="D1394:I1394"/>
    <mergeCell ref="J1394:K1394"/>
    <mergeCell ref="M1394:Q1394"/>
    <mergeCell ref="L1388:L1389"/>
    <mergeCell ref="M1388:M1389"/>
    <mergeCell ref="N1388:N1389"/>
    <mergeCell ref="O1388:O1389"/>
    <mergeCell ref="Q1388:Q1389"/>
    <mergeCell ref="R1388:R1389"/>
    <mergeCell ref="G1398:L1398"/>
    <mergeCell ref="D1385:I1386"/>
    <mergeCell ref="J1385:K1386"/>
    <mergeCell ref="L1385:L1386"/>
    <mergeCell ref="M1385:Q1385"/>
    <mergeCell ref="M1386:Q1386"/>
    <mergeCell ref="B1388:B1389"/>
    <mergeCell ref="C1388:C1389"/>
    <mergeCell ref="D1388:I1388"/>
    <mergeCell ref="J1388:J1389"/>
    <mergeCell ref="K1388:K1389"/>
    <mergeCell ref="S1378:S1379"/>
    <mergeCell ref="T1378:T1379"/>
    <mergeCell ref="U1378:U1379"/>
    <mergeCell ref="D1379:F1379"/>
    <mergeCell ref="G1379:I1379"/>
    <mergeCell ref="D1384:I1384"/>
    <mergeCell ref="J1384:K1384"/>
    <mergeCell ref="M1384:Q1384"/>
    <mergeCell ref="L1378:L1379"/>
    <mergeCell ref="M1378:M1379"/>
    <mergeCell ref="N1378:N1379"/>
    <mergeCell ref="O1378:O1379"/>
    <mergeCell ref="Q1378:Q1379"/>
    <mergeCell ref="R1378:R1379"/>
    <mergeCell ref="D1375:I1376"/>
    <mergeCell ref="J1375:K1376"/>
    <mergeCell ref="L1375:L1376"/>
    <mergeCell ref="M1375:Q1375"/>
    <mergeCell ref="M1376:Q1376"/>
    <mergeCell ref="B1378:B1379"/>
    <mergeCell ref="C1378:C1379"/>
    <mergeCell ref="D1378:I1378"/>
    <mergeCell ref="J1378:J1379"/>
    <mergeCell ref="K1378:K1379"/>
    <mergeCell ref="S1368:S1369"/>
    <mergeCell ref="T1368:T1369"/>
    <mergeCell ref="U1368:U1369"/>
    <mergeCell ref="D1369:F1369"/>
    <mergeCell ref="G1369:I1369"/>
    <mergeCell ref="D1374:I1374"/>
    <mergeCell ref="J1374:K1374"/>
    <mergeCell ref="M1374:Q1374"/>
    <mergeCell ref="L1368:L1369"/>
    <mergeCell ref="M1368:M1369"/>
    <mergeCell ref="N1368:N1369"/>
    <mergeCell ref="O1368:O1369"/>
    <mergeCell ref="Q1368:Q1369"/>
    <mergeCell ref="R1368:R1369"/>
    <mergeCell ref="D1365:I1366"/>
    <mergeCell ref="J1365:K1366"/>
    <mergeCell ref="L1365:L1366"/>
    <mergeCell ref="M1365:Q1365"/>
    <mergeCell ref="M1366:Q1366"/>
    <mergeCell ref="B1368:B1369"/>
    <mergeCell ref="C1368:C1369"/>
    <mergeCell ref="D1368:I1368"/>
    <mergeCell ref="J1368:J1369"/>
    <mergeCell ref="K1368:K1369"/>
    <mergeCell ref="S1358:S1359"/>
    <mergeCell ref="T1358:T1359"/>
    <mergeCell ref="U1358:U1359"/>
    <mergeCell ref="D1359:F1359"/>
    <mergeCell ref="G1359:I1359"/>
    <mergeCell ref="D1364:I1364"/>
    <mergeCell ref="J1364:K1364"/>
    <mergeCell ref="M1364:Q1364"/>
    <mergeCell ref="L1358:L1359"/>
    <mergeCell ref="M1358:M1359"/>
    <mergeCell ref="N1358:N1359"/>
    <mergeCell ref="O1358:O1359"/>
    <mergeCell ref="Q1358:Q1359"/>
    <mergeCell ref="R1358:R1359"/>
    <mergeCell ref="T1348:T1349"/>
    <mergeCell ref="U1348:U1349"/>
    <mergeCell ref="D1349:F1349"/>
    <mergeCell ref="G1349:I1349"/>
    <mergeCell ref="D1354:I1354"/>
    <mergeCell ref="J1354:K1354"/>
    <mergeCell ref="M1354:Q1354"/>
    <mergeCell ref="L1348:L1349"/>
    <mergeCell ref="M1348:M1349"/>
    <mergeCell ref="N1348:N1349"/>
    <mergeCell ref="O1348:O1349"/>
    <mergeCell ref="Q1348:Q1349"/>
    <mergeCell ref="R1348:R1349"/>
    <mergeCell ref="B1348:B1349"/>
    <mergeCell ref="C1348:C1349"/>
    <mergeCell ref="D1348:I1348"/>
    <mergeCell ref="J1348:J1349"/>
    <mergeCell ref="K1348:K1349"/>
    <mergeCell ref="B1338:B1339"/>
    <mergeCell ref="C1338:C1339"/>
    <mergeCell ref="D1338:I1338"/>
    <mergeCell ref="J1338:J1339"/>
    <mergeCell ref="K1338:K1339"/>
    <mergeCell ref="L1338:L1339"/>
    <mergeCell ref="D1355:I1356"/>
    <mergeCell ref="J1355:K1356"/>
    <mergeCell ref="L1355:L1356"/>
    <mergeCell ref="M1355:Q1355"/>
    <mergeCell ref="M1356:Q1356"/>
    <mergeCell ref="B1358:B1359"/>
    <mergeCell ref="C1358:C1359"/>
    <mergeCell ref="D1358:I1358"/>
    <mergeCell ref="J1358:J1359"/>
    <mergeCell ref="K1358:K1359"/>
    <mergeCell ref="S1348:S1349"/>
    <mergeCell ref="D1334:I1334"/>
    <mergeCell ref="J1334:K1334"/>
    <mergeCell ref="M1334:Q1334"/>
    <mergeCell ref="D1335:I1336"/>
    <mergeCell ref="J1335:K1336"/>
    <mergeCell ref="L1335:L1336"/>
    <mergeCell ref="M1335:Q1335"/>
    <mergeCell ref="M1336:Q1336"/>
    <mergeCell ref="O1328:O1329"/>
    <mergeCell ref="Q1328:Q1329"/>
    <mergeCell ref="R1328:R1329"/>
    <mergeCell ref="S1328:S1329"/>
    <mergeCell ref="T1328:T1329"/>
    <mergeCell ref="U1328:U1329"/>
    <mergeCell ref="D1345:I1346"/>
    <mergeCell ref="J1345:K1346"/>
    <mergeCell ref="L1345:L1346"/>
    <mergeCell ref="M1345:Q1345"/>
    <mergeCell ref="M1346:Q1346"/>
    <mergeCell ref="T1338:T1339"/>
    <mergeCell ref="U1338:U1339"/>
    <mergeCell ref="D1339:F1339"/>
    <mergeCell ref="G1339:I1339"/>
    <mergeCell ref="D1344:I1344"/>
    <mergeCell ref="J1344:K1344"/>
    <mergeCell ref="M1344:Q1344"/>
    <mergeCell ref="M1338:M1339"/>
    <mergeCell ref="N1338:N1339"/>
    <mergeCell ref="O1338:O1339"/>
    <mergeCell ref="Q1338:Q1339"/>
    <mergeCell ref="R1338:R1339"/>
    <mergeCell ref="S1338:S1339"/>
    <mergeCell ref="B1328:B1329"/>
    <mergeCell ref="C1328:C1329"/>
    <mergeCell ref="D1328:I1328"/>
    <mergeCell ref="J1328:J1329"/>
    <mergeCell ref="K1328:K1329"/>
    <mergeCell ref="L1328:L1329"/>
    <mergeCell ref="M1328:M1329"/>
    <mergeCell ref="N1328:N1329"/>
    <mergeCell ref="D1325:I1326"/>
    <mergeCell ref="J1325:K1326"/>
    <mergeCell ref="L1325:L1326"/>
    <mergeCell ref="M1325:Q1325"/>
    <mergeCell ref="M1326:Q1326"/>
    <mergeCell ref="S1318:S1319"/>
    <mergeCell ref="T1318:T1319"/>
    <mergeCell ref="B1318:B1319"/>
    <mergeCell ref="C1318:C1319"/>
    <mergeCell ref="D1329:F1329"/>
    <mergeCell ref="G1329:I1329"/>
    <mergeCell ref="D1324:I1324"/>
    <mergeCell ref="J1324:K1324"/>
    <mergeCell ref="M1324:Q1324"/>
    <mergeCell ref="L1318:L1319"/>
    <mergeCell ref="M1318:M1319"/>
    <mergeCell ref="N1318:N1319"/>
    <mergeCell ref="O1318:O1319"/>
    <mergeCell ref="Q1318:Q1319"/>
    <mergeCell ref="R1318:R1319"/>
    <mergeCell ref="D1315:I1316"/>
    <mergeCell ref="J1315:K1316"/>
    <mergeCell ref="L1315:L1316"/>
    <mergeCell ref="M1315:Q1315"/>
    <mergeCell ref="M1316:Q1316"/>
    <mergeCell ref="D1318:I1318"/>
    <mergeCell ref="J1318:J1319"/>
    <mergeCell ref="K1318:K1319"/>
    <mergeCell ref="D1314:I1314"/>
    <mergeCell ref="J1314:K1314"/>
    <mergeCell ref="M1314:Q1314"/>
    <mergeCell ref="L1308:L1309"/>
    <mergeCell ref="M1308:M1309"/>
    <mergeCell ref="N1308:N1309"/>
    <mergeCell ref="O1308:O1309"/>
    <mergeCell ref="Q1308:Q1309"/>
    <mergeCell ref="R1308:R1309"/>
    <mergeCell ref="D1305:I1306"/>
    <mergeCell ref="J1305:K1306"/>
    <mergeCell ref="L1305:L1306"/>
    <mergeCell ref="M1305:Q1305"/>
    <mergeCell ref="M1306:Q1306"/>
    <mergeCell ref="U1318:U1319"/>
    <mergeCell ref="D1319:F1319"/>
    <mergeCell ref="G1319:I1319"/>
    <mergeCell ref="B1308:B1309"/>
    <mergeCell ref="C1308:C1309"/>
    <mergeCell ref="D1308:I1308"/>
    <mergeCell ref="J1308:J1309"/>
    <mergeCell ref="K1308:K1309"/>
    <mergeCell ref="S1298:S1299"/>
    <mergeCell ref="T1298:T1299"/>
    <mergeCell ref="U1298:U1299"/>
    <mergeCell ref="D1299:F1299"/>
    <mergeCell ref="G1299:I1299"/>
    <mergeCell ref="D1304:I1304"/>
    <mergeCell ref="J1304:K1304"/>
    <mergeCell ref="M1304:Q1304"/>
    <mergeCell ref="L1298:L1299"/>
    <mergeCell ref="M1298:M1299"/>
    <mergeCell ref="N1298:N1299"/>
    <mergeCell ref="O1298:O1299"/>
    <mergeCell ref="Q1298:Q1299"/>
    <mergeCell ref="R1298:R1299"/>
    <mergeCell ref="S1308:S1309"/>
    <mergeCell ref="T1308:T1309"/>
    <mergeCell ref="U1308:U1309"/>
    <mergeCell ref="D1309:F1309"/>
    <mergeCell ref="G1309:I1309"/>
    <mergeCell ref="D1294:I1295"/>
    <mergeCell ref="J1294:K1295"/>
    <mergeCell ref="L1294:L1295"/>
    <mergeCell ref="M1294:Q1294"/>
    <mergeCell ref="M1295:Q1295"/>
    <mergeCell ref="B1298:B1299"/>
    <mergeCell ref="C1298:C1299"/>
    <mergeCell ref="D1298:I1298"/>
    <mergeCell ref="J1298:J1299"/>
    <mergeCell ref="K1298:K1299"/>
    <mergeCell ref="S1287:S1288"/>
    <mergeCell ref="T1287:T1288"/>
    <mergeCell ref="U1287:U1288"/>
    <mergeCell ref="D1288:F1288"/>
    <mergeCell ref="G1288:I1288"/>
    <mergeCell ref="D1293:I1293"/>
    <mergeCell ref="J1293:K1293"/>
    <mergeCell ref="M1293:Q1293"/>
    <mergeCell ref="L1287:L1288"/>
    <mergeCell ref="M1287:M1288"/>
    <mergeCell ref="N1287:N1288"/>
    <mergeCell ref="O1287:O1288"/>
    <mergeCell ref="Q1287:Q1288"/>
    <mergeCell ref="R1287:R1288"/>
    <mergeCell ref="G1297:L1297"/>
    <mergeCell ref="D1284:I1285"/>
    <mergeCell ref="J1284:K1285"/>
    <mergeCell ref="L1284:L1285"/>
    <mergeCell ref="M1284:Q1284"/>
    <mergeCell ref="M1285:Q1285"/>
    <mergeCell ref="B1287:B1288"/>
    <mergeCell ref="C1287:C1288"/>
    <mergeCell ref="D1287:I1287"/>
    <mergeCell ref="J1287:J1288"/>
    <mergeCell ref="K1287:K1288"/>
    <mergeCell ref="S1277:S1278"/>
    <mergeCell ref="T1277:T1278"/>
    <mergeCell ref="U1277:U1278"/>
    <mergeCell ref="D1278:F1278"/>
    <mergeCell ref="G1278:I1278"/>
    <mergeCell ref="D1283:I1283"/>
    <mergeCell ref="J1283:K1283"/>
    <mergeCell ref="M1283:Q1283"/>
    <mergeCell ref="L1277:L1278"/>
    <mergeCell ref="M1277:M1278"/>
    <mergeCell ref="N1277:N1278"/>
    <mergeCell ref="O1277:O1278"/>
    <mergeCell ref="Q1277:Q1278"/>
    <mergeCell ref="R1277:R1278"/>
    <mergeCell ref="D1274:I1275"/>
    <mergeCell ref="J1274:K1275"/>
    <mergeCell ref="L1274:L1275"/>
    <mergeCell ref="M1274:Q1274"/>
    <mergeCell ref="M1275:Q1275"/>
    <mergeCell ref="B1277:B1278"/>
    <mergeCell ref="C1277:C1278"/>
    <mergeCell ref="D1277:I1277"/>
    <mergeCell ref="J1277:J1278"/>
    <mergeCell ref="K1277:K1278"/>
    <mergeCell ref="S1267:S1268"/>
    <mergeCell ref="T1267:T1268"/>
    <mergeCell ref="U1267:U1268"/>
    <mergeCell ref="D1268:F1268"/>
    <mergeCell ref="G1268:I1268"/>
    <mergeCell ref="D1273:I1273"/>
    <mergeCell ref="J1273:K1273"/>
    <mergeCell ref="M1273:Q1273"/>
    <mergeCell ref="L1267:L1268"/>
    <mergeCell ref="M1267:M1268"/>
    <mergeCell ref="N1267:N1268"/>
    <mergeCell ref="O1267:O1268"/>
    <mergeCell ref="Q1267:Q1268"/>
    <mergeCell ref="R1267:R1268"/>
    <mergeCell ref="D1264:I1265"/>
    <mergeCell ref="J1264:K1265"/>
    <mergeCell ref="L1264:L1265"/>
    <mergeCell ref="M1264:Q1264"/>
    <mergeCell ref="M1265:Q1265"/>
    <mergeCell ref="B1267:B1268"/>
    <mergeCell ref="C1267:C1268"/>
    <mergeCell ref="D1267:I1267"/>
    <mergeCell ref="J1267:J1268"/>
    <mergeCell ref="K1267:K1268"/>
    <mergeCell ref="S1257:S1258"/>
    <mergeCell ref="T1257:T1258"/>
    <mergeCell ref="U1257:U1258"/>
    <mergeCell ref="D1258:F1258"/>
    <mergeCell ref="G1258:I1258"/>
    <mergeCell ref="D1263:I1263"/>
    <mergeCell ref="J1263:K1263"/>
    <mergeCell ref="M1263:Q1263"/>
    <mergeCell ref="L1257:L1258"/>
    <mergeCell ref="M1257:M1258"/>
    <mergeCell ref="N1257:N1258"/>
    <mergeCell ref="O1257:O1258"/>
    <mergeCell ref="Q1257:Q1258"/>
    <mergeCell ref="R1257:R1258"/>
    <mergeCell ref="D1254:I1255"/>
    <mergeCell ref="J1254:K1255"/>
    <mergeCell ref="L1254:L1255"/>
    <mergeCell ref="M1254:Q1254"/>
    <mergeCell ref="M1255:Q1255"/>
    <mergeCell ref="B1257:B1258"/>
    <mergeCell ref="C1257:C1258"/>
    <mergeCell ref="D1257:I1257"/>
    <mergeCell ref="J1257:J1258"/>
    <mergeCell ref="K1257:K1258"/>
    <mergeCell ref="S1247:S1248"/>
    <mergeCell ref="T1247:T1248"/>
    <mergeCell ref="U1247:U1248"/>
    <mergeCell ref="D1248:F1248"/>
    <mergeCell ref="G1248:I1248"/>
    <mergeCell ref="D1253:I1253"/>
    <mergeCell ref="J1253:K1253"/>
    <mergeCell ref="M1253:Q1253"/>
    <mergeCell ref="L1247:L1248"/>
    <mergeCell ref="M1247:M1248"/>
    <mergeCell ref="N1247:N1248"/>
    <mergeCell ref="O1247:O1248"/>
    <mergeCell ref="Q1247:Q1248"/>
    <mergeCell ref="R1247:R1248"/>
    <mergeCell ref="D1244:I1245"/>
    <mergeCell ref="J1244:K1245"/>
    <mergeCell ref="L1244:L1245"/>
    <mergeCell ref="M1244:Q1244"/>
    <mergeCell ref="M1245:Q1245"/>
    <mergeCell ref="B1247:B1248"/>
    <mergeCell ref="C1247:C1248"/>
    <mergeCell ref="D1247:I1247"/>
    <mergeCell ref="J1247:J1248"/>
    <mergeCell ref="K1247:K1248"/>
    <mergeCell ref="S1237:S1238"/>
    <mergeCell ref="T1237:T1238"/>
    <mergeCell ref="U1237:U1238"/>
    <mergeCell ref="D1238:F1238"/>
    <mergeCell ref="G1238:I1238"/>
    <mergeCell ref="D1243:I1243"/>
    <mergeCell ref="J1243:K1243"/>
    <mergeCell ref="M1243:Q1243"/>
    <mergeCell ref="L1237:L1238"/>
    <mergeCell ref="M1237:M1238"/>
    <mergeCell ref="N1237:N1238"/>
    <mergeCell ref="O1237:O1238"/>
    <mergeCell ref="Q1237:Q1238"/>
    <mergeCell ref="R1237:R1238"/>
    <mergeCell ref="D1234:I1235"/>
    <mergeCell ref="J1234:K1235"/>
    <mergeCell ref="L1234:L1235"/>
    <mergeCell ref="M1234:Q1234"/>
    <mergeCell ref="M1235:Q1235"/>
    <mergeCell ref="B1237:B1238"/>
    <mergeCell ref="C1237:C1238"/>
    <mergeCell ref="D1237:I1237"/>
    <mergeCell ref="J1237:J1238"/>
    <mergeCell ref="K1237:K1238"/>
    <mergeCell ref="D1233:I1233"/>
    <mergeCell ref="J1233:K1233"/>
    <mergeCell ref="M1233:Q1233"/>
    <mergeCell ref="L1227:L1228"/>
    <mergeCell ref="M1227:M1228"/>
    <mergeCell ref="N1227:N1228"/>
    <mergeCell ref="O1227:O1228"/>
    <mergeCell ref="Q1227:Q1228"/>
    <mergeCell ref="R1227:R1228"/>
    <mergeCell ref="D1224:I1225"/>
    <mergeCell ref="J1224:K1225"/>
    <mergeCell ref="L1224:L1225"/>
    <mergeCell ref="M1224:Q1224"/>
    <mergeCell ref="M1225:Q1225"/>
    <mergeCell ref="B1227:B1228"/>
    <mergeCell ref="C1227:C1228"/>
    <mergeCell ref="D1227:I1227"/>
    <mergeCell ref="J1227:J1228"/>
    <mergeCell ref="K1227:K1228"/>
    <mergeCell ref="S1217:S1218"/>
    <mergeCell ref="T1217:T1218"/>
    <mergeCell ref="U1217:U1218"/>
    <mergeCell ref="D1218:F1218"/>
    <mergeCell ref="G1218:I1218"/>
    <mergeCell ref="D1223:I1223"/>
    <mergeCell ref="J1223:K1223"/>
    <mergeCell ref="M1223:Q1223"/>
    <mergeCell ref="L1217:L1218"/>
    <mergeCell ref="M1217:M1218"/>
    <mergeCell ref="N1217:N1218"/>
    <mergeCell ref="O1217:O1218"/>
    <mergeCell ref="Q1217:Q1218"/>
    <mergeCell ref="R1217:R1218"/>
    <mergeCell ref="S1197:S1198"/>
    <mergeCell ref="T1197:T1198"/>
    <mergeCell ref="U1197:U1198"/>
    <mergeCell ref="D1198:F1198"/>
    <mergeCell ref="G1198:I1198"/>
    <mergeCell ref="D1203:I1203"/>
    <mergeCell ref="J1203:K1203"/>
    <mergeCell ref="M1203:Q1203"/>
    <mergeCell ref="L1197:L1198"/>
    <mergeCell ref="M1197:M1198"/>
    <mergeCell ref="N1197:N1198"/>
    <mergeCell ref="O1197:O1198"/>
    <mergeCell ref="Q1197:Q1198"/>
    <mergeCell ref="R1197:R1198"/>
    <mergeCell ref="D1194:I1195"/>
    <mergeCell ref="J1194:K1195"/>
    <mergeCell ref="L1194:L1195"/>
    <mergeCell ref="M1194:Q1194"/>
    <mergeCell ref="M1195:Q1195"/>
    <mergeCell ref="B1197:B1198"/>
    <mergeCell ref="C1197:C1198"/>
    <mergeCell ref="D1197:I1197"/>
    <mergeCell ref="J1197:J1198"/>
    <mergeCell ref="K1197:K1198"/>
    <mergeCell ref="S1187:S1188"/>
    <mergeCell ref="T1187:T1188"/>
    <mergeCell ref="U1187:U1188"/>
    <mergeCell ref="D1188:F1188"/>
    <mergeCell ref="G1188:I1188"/>
    <mergeCell ref="S1227:S1228"/>
    <mergeCell ref="T1227:T1228"/>
    <mergeCell ref="U1227:U1228"/>
    <mergeCell ref="D1228:F1228"/>
    <mergeCell ref="G1228:I1228"/>
    <mergeCell ref="D1214:I1215"/>
    <mergeCell ref="J1214:K1215"/>
    <mergeCell ref="L1214:L1215"/>
    <mergeCell ref="M1214:Q1214"/>
    <mergeCell ref="M1215:Q1215"/>
    <mergeCell ref="B1217:B1218"/>
    <mergeCell ref="C1217:C1218"/>
    <mergeCell ref="D1217:I1217"/>
    <mergeCell ref="J1217:J1218"/>
    <mergeCell ref="K1217:K1218"/>
    <mergeCell ref="S1207:S1208"/>
    <mergeCell ref="T1207:T1208"/>
    <mergeCell ref="U1207:U1208"/>
    <mergeCell ref="D1208:F1208"/>
    <mergeCell ref="G1208:I1208"/>
    <mergeCell ref="D1213:I1213"/>
    <mergeCell ref="J1213:K1213"/>
    <mergeCell ref="M1213:Q1213"/>
    <mergeCell ref="L1207:L1208"/>
    <mergeCell ref="M1207:M1208"/>
    <mergeCell ref="N1207:N1208"/>
    <mergeCell ref="O1207:O1208"/>
    <mergeCell ref="Q1207:Q1208"/>
    <mergeCell ref="R1207:R1208"/>
    <mergeCell ref="D1204:I1205"/>
    <mergeCell ref="J1204:K1205"/>
    <mergeCell ref="L1204:L1205"/>
    <mergeCell ref="M1204:Q1204"/>
    <mergeCell ref="M1205:Q1205"/>
    <mergeCell ref="B1207:B1208"/>
    <mergeCell ref="C1207:C1208"/>
    <mergeCell ref="D1207:I1207"/>
    <mergeCell ref="J1207:J1208"/>
    <mergeCell ref="K1207:K1208"/>
    <mergeCell ref="D1193:I1193"/>
    <mergeCell ref="J1193:K1193"/>
    <mergeCell ref="M1193:Q1193"/>
    <mergeCell ref="L1187:L1188"/>
    <mergeCell ref="M1187:M1188"/>
    <mergeCell ref="N1187:N1188"/>
    <mergeCell ref="O1187:O1188"/>
    <mergeCell ref="Q1187:Q1188"/>
    <mergeCell ref="R1187:R1188"/>
    <mergeCell ref="R1177:R1178"/>
    <mergeCell ref="D1174:I1175"/>
    <mergeCell ref="J1174:K1175"/>
    <mergeCell ref="L1174:L1175"/>
    <mergeCell ref="M1174:Q1174"/>
    <mergeCell ref="M1175:Q1175"/>
    <mergeCell ref="B1177:B1178"/>
    <mergeCell ref="C1177:C1178"/>
    <mergeCell ref="D1177:I1177"/>
    <mergeCell ref="J1177:J1178"/>
    <mergeCell ref="K1177:K1178"/>
    <mergeCell ref="D1184:I1185"/>
    <mergeCell ref="J1184:K1185"/>
    <mergeCell ref="L1184:L1185"/>
    <mergeCell ref="M1184:Q1184"/>
    <mergeCell ref="M1185:Q1185"/>
    <mergeCell ref="B1187:B1188"/>
    <mergeCell ref="C1187:C1188"/>
    <mergeCell ref="D1187:I1187"/>
    <mergeCell ref="J1187:J1188"/>
    <mergeCell ref="K1187:K1188"/>
    <mergeCell ref="S1177:S1178"/>
    <mergeCell ref="T1177:T1178"/>
    <mergeCell ref="U1177:U1178"/>
    <mergeCell ref="D1178:F1178"/>
    <mergeCell ref="G1178:I1178"/>
    <mergeCell ref="D1183:I1183"/>
    <mergeCell ref="J1183:K1183"/>
    <mergeCell ref="M1183:Q1183"/>
    <mergeCell ref="L1177:L1178"/>
    <mergeCell ref="M1177:M1178"/>
    <mergeCell ref="N1177:N1178"/>
    <mergeCell ref="O1177:O1178"/>
    <mergeCell ref="Q1177:Q1178"/>
    <mergeCell ref="M1173:Q1173"/>
    <mergeCell ref="L1167:L1168"/>
    <mergeCell ref="M1167:M1168"/>
    <mergeCell ref="N1167:N1168"/>
    <mergeCell ref="O1167:O1168"/>
    <mergeCell ref="Q1167:Q1168"/>
    <mergeCell ref="R1167:R1168"/>
    <mergeCell ref="D1164:I1165"/>
    <mergeCell ref="J1164:K1165"/>
    <mergeCell ref="L1164:L1165"/>
    <mergeCell ref="M1164:Q1164"/>
    <mergeCell ref="M1165:Q1165"/>
    <mergeCell ref="B1167:B1168"/>
    <mergeCell ref="C1167:C1168"/>
    <mergeCell ref="D1167:I1167"/>
    <mergeCell ref="J1167:J1168"/>
    <mergeCell ref="K1167:K1168"/>
    <mergeCell ref="S1157:S1158"/>
    <mergeCell ref="T1157:T1158"/>
    <mergeCell ref="U1157:U1158"/>
    <mergeCell ref="D1158:F1158"/>
    <mergeCell ref="G1158:I1158"/>
    <mergeCell ref="D1163:I1163"/>
    <mergeCell ref="J1163:K1163"/>
    <mergeCell ref="M1163:Q1163"/>
    <mergeCell ref="L1157:L1158"/>
    <mergeCell ref="M1157:M1158"/>
    <mergeCell ref="N1157:N1158"/>
    <mergeCell ref="O1157:O1158"/>
    <mergeCell ref="Q1157:Q1158"/>
    <mergeCell ref="R1157:R1158"/>
    <mergeCell ref="G1168:I1168"/>
    <mergeCell ref="D1173:I1173"/>
    <mergeCell ref="J1173:K1173"/>
    <mergeCell ref="B1147:B1148"/>
    <mergeCell ref="C1147:C1148"/>
    <mergeCell ref="D1147:I1147"/>
    <mergeCell ref="J1147:J1148"/>
    <mergeCell ref="K1147:K1148"/>
    <mergeCell ref="L1147:L1148"/>
    <mergeCell ref="D1154:I1155"/>
    <mergeCell ref="J1154:K1155"/>
    <mergeCell ref="L1154:L1155"/>
    <mergeCell ref="M1154:Q1154"/>
    <mergeCell ref="M1155:Q1155"/>
    <mergeCell ref="B1157:B1158"/>
    <mergeCell ref="C1157:C1158"/>
    <mergeCell ref="D1157:I1157"/>
    <mergeCell ref="J1157:J1158"/>
    <mergeCell ref="K1157:K1158"/>
    <mergeCell ref="T1147:T1148"/>
    <mergeCell ref="U1147:U1148"/>
    <mergeCell ref="D1148:F1148"/>
    <mergeCell ref="G1148:I1148"/>
    <mergeCell ref="D1153:I1153"/>
    <mergeCell ref="J1153:K1153"/>
    <mergeCell ref="M1153:Q1153"/>
    <mergeCell ref="M1147:M1148"/>
    <mergeCell ref="N1147:N1148"/>
    <mergeCell ref="O1147:O1148"/>
    <mergeCell ref="Q1147:Q1148"/>
    <mergeCell ref="R1147:R1148"/>
    <mergeCell ref="S1147:S1148"/>
    <mergeCell ref="S1167:S1168"/>
    <mergeCell ref="T1167:T1168"/>
    <mergeCell ref="U1167:U1168"/>
    <mergeCell ref="D1168:F1168"/>
    <mergeCell ref="D1144:I1145"/>
    <mergeCell ref="J1144:K1145"/>
    <mergeCell ref="L1144:L1145"/>
    <mergeCell ref="M1144:Q1144"/>
    <mergeCell ref="M1145:Q1145"/>
    <mergeCell ref="L1137:L1138"/>
    <mergeCell ref="M1137:M1138"/>
    <mergeCell ref="N1137:N1138"/>
    <mergeCell ref="O1137:O1138"/>
    <mergeCell ref="Q1137:Q1138"/>
    <mergeCell ref="R1137:R1138"/>
    <mergeCell ref="D1133:I1134"/>
    <mergeCell ref="J1133:K1134"/>
    <mergeCell ref="L1133:L1134"/>
    <mergeCell ref="M1133:Q1133"/>
    <mergeCell ref="M1134:Q1134"/>
    <mergeCell ref="B1137:B1138"/>
    <mergeCell ref="C1137:C1138"/>
    <mergeCell ref="D1137:I1137"/>
    <mergeCell ref="J1137:J1138"/>
    <mergeCell ref="K1137:K1138"/>
    <mergeCell ref="S1126:S1127"/>
    <mergeCell ref="T1126:T1127"/>
    <mergeCell ref="U1126:U1127"/>
    <mergeCell ref="D1127:F1127"/>
    <mergeCell ref="G1127:I1127"/>
    <mergeCell ref="D1132:I1132"/>
    <mergeCell ref="J1132:K1132"/>
    <mergeCell ref="M1132:Q1132"/>
    <mergeCell ref="L1126:L1127"/>
    <mergeCell ref="M1126:M1127"/>
    <mergeCell ref="N1126:N1127"/>
    <mergeCell ref="O1126:O1127"/>
    <mergeCell ref="Q1126:Q1127"/>
    <mergeCell ref="R1126:R1127"/>
    <mergeCell ref="G1136:L1136"/>
    <mergeCell ref="D1143:I1143"/>
    <mergeCell ref="J1143:K1143"/>
    <mergeCell ref="M1143:Q1143"/>
    <mergeCell ref="Q1116:Q1117"/>
    <mergeCell ref="R1116:R1117"/>
    <mergeCell ref="D1123:I1124"/>
    <mergeCell ref="J1123:K1124"/>
    <mergeCell ref="L1123:L1124"/>
    <mergeCell ref="M1123:Q1123"/>
    <mergeCell ref="M1124:Q1124"/>
    <mergeCell ref="B1126:B1127"/>
    <mergeCell ref="C1126:C1127"/>
    <mergeCell ref="D1126:I1126"/>
    <mergeCell ref="J1126:J1127"/>
    <mergeCell ref="K1126:K1127"/>
    <mergeCell ref="S1116:S1117"/>
    <mergeCell ref="T1116:T1117"/>
    <mergeCell ref="U1116:U1117"/>
    <mergeCell ref="D1117:F1117"/>
    <mergeCell ref="G1117:I1117"/>
    <mergeCell ref="D1122:I1122"/>
    <mergeCell ref="J1122:K1122"/>
    <mergeCell ref="M1122:Q1122"/>
    <mergeCell ref="L1116:L1117"/>
    <mergeCell ref="M1116:M1117"/>
    <mergeCell ref="N1116:N1117"/>
    <mergeCell ref="O1116:O1117"/>
    <mergeCell ref="S1137:S1138"/>
    <mergeCell ref="T1137:T1138"/>
    <mergeCell ref="U1137:U1138"/>
    <mergeCell ref="D1138:F1138"/>
    <mergeCell ref="G1138:I1138"/>
    <mergeCell ref="D1113:I1114"/>
    <mergeCell ref="J1113:K1114"/>
    <mergeCell ref="L1113:L1114"/>
    <mergeCell ref="M1113:Q1113"/>
    <mergeCell ref="M1114:Q1114"/>
    <mergeCell ref="B1116:B1117"/>
    <mergeCell ref="C1116:C1117"/>
    <mergeCell ref="D1116:I1116"/>
    <mergeCell ref="J1116:J1117"/>
    <mergeCell ref="K1116:K1117"/>
    <mergeCell ref="M1112:Q1112"/>
    <mergeCell ref="L1106:L1107"/>
    <mergeCell ref="M1106:M1107"/>
    <mergeCell ref="N1106:N1107"/>
    <mergeCell ref="O1106:O1107"/>
    <mergeCell ref="Q1106:Q1107"/>
    <mergeCell ref="R1106:R1107"/>
    <mergeCell ref="D1103:I1104"/>
    <mergeCell ref="J1103:K1104"/>
    <mergeCell ref="L1103:L1104"/>
    <mergeCell ref="M1103:Q1103"/>
    <mergeCell ref="M1104:Q1104"/>
    <mergeCell ref="B1106:B1107"/>
    <mergeCell ref="C1106:C1107"/>
    <mergeCell ref="D1106:I1106"/>
    <mergeCell ref="J1106:J1107"/>
    <mergeCell ref="K1106:K1107"/>
    <mergeCell ref="S1096:S1097"/>
    <mergeCell ref="T1096:T1097"/>
    <mergeCell ref="U1096:U1097"/>
    <mergeCell ref="D1097:F1097"/>
    <mergeCell ref="G1097:I1097"/>
    <mergeCell ref="D1102:I1102"/>
    <mergeCell ref="J1102:K1102"/>
    <mergeCell ref="M1102:Q1102"/>
    <mergeCell ref="L1096:L1097"/>
    <mergeCell ref="M1096:M1097"/>
    <mergeCell ref="N1096:N1097"/>
    <mergeCell ref="O1096:O1097"/>
    <mergeCell ref="Q1096:Q1097"/>
    <mergeCell ref="R1096:R1097"/>
    <mergeCell ref="G1107:I1107"/>
    <mergeCell ref="D1112:I1112"/>
    <mergeCell ref="J1112:K1112"/>
    <mergeCell ref="R1086:R1087"/>
    <mergeCell ref="B1086:B1087"/>
    <mergeCell ref="C1086:C1087"/>
    <mergeCell ref="D1086:I1086"/>
    <mergeCell ref="J1086:J1087"/>
    <mergeCell ref="K1086:K1087"/>
    <mergeCell ref="D1093:I1094"/>
    <mergeCell ref="J1093:K1094"/>
    <mergeCell ref="L1093:L1094"/>
    <mergeCell ref="M1093:Q1093"/>
    <mergeCell ref="M1094:Q1094"/>
    <mergeCell ref="B1096:B1097"/>
    <mergeCell ref="C1096:C1097"/>
    <mergeCell ref="D1096:I1096"/>
    <mergeCell ref="J1096:J1097"/>
    <mergeCell ref="K1096:K1097"/>
    <mergeCell ref="S1086:S1087"/>
    <mergeCell ref="T1086:T1087"/>
    <mergeCell ref="U1086:U1087"/>
    <mergeCell ref="D1087:F1087"/>
    <mergeCell ref="G1087:I1087"/>
    <mergeCell ref="D1092:I1092"/>
    <mergeCell ref="J1092:K1092"/>
    <mergeCell ref="M1092:Q1092"/>
    <mergeCell ref="L1086:L1087"/>
    <mergeCell ref="M1086:M1087"/>
    <mergeCell ref="N1086:N1087"/>
    <mergeCell ref="O1086:O1087"/>
    <mergeCell ref="Q1086:Q1087"/>
    <mergeCell ref="S1106:S1107"/>
    <mergeCell ref="T1106:T1107"/>
    <mergeCell ref="U1106:U1107"/>
    <mergeCell ref="D1107:F1107"/>
    <mergeCell ref="K1066:K1067"/>
    <mergeCell ref="D1083:I1084"/>
    <mergeCell ref="J1083:K1084"/>
    <mergeCell ref="L1083:L1084"/>
    <mergeCell ref="M1083:Q1083"/>
    <mergeCell ref="M1084:Q1084"/>
    <mergeCell ref="D1073:I1074"/>
    <mergeCell ref="J1073:K1074"/>
    <mergeCell ref="L1073:L1074"/>
    <mergeCell ref="M1073:Q1073"/>
    <mergeCell ref="M1074:Q1074"/>
    <mergeCell ref="B1076:B1077"/>
    <mergeCell ref="C1076:C1077"/>
    <mergeCell ref="D1076:I1076"/>
    <mergeCell ref="J1076:J1077"/>
    <mergeCell ref="K1076:K1077"/>
    <mergeCell ref="S1066:S1067"/>
    <mergeCell ref="T1066:T1067"/>
    <mergeCell ref="U1066:U1067"/>
    <mergeCell ref="D1067:F1067"/>
    <mergeCell ref="G1067:I1067"/>
    <mergeCell ref="L1066:L1067"/>
    <mergeCell ref="M1066:M1067"/>
    <mergeCell ref="N1066:N1067"/>
    <mergeCell ref="O1066:O1067"/>
    <mergeCell ref="Q1066:Q1067"/>
    <mergeCell ref="R1066:R1067"/>
    <mergeCell ref="B1066:B1067"/>
    <mergeCell ref="C1066:C1067"/>
    <mergeCell ref="D1066:I1066"/>
    <mergeCell ref="J1066:J1067"/>
    <mergeCell ref="T1076:T1077"/>
    <mergeCell ref="U1076:U1077"/>
    <mergeCell ref="D1077:F1077"/>
    <mergeCell ref="G1077:I1077"/>
    <mergeCell ref="D1082:I1082"/>
    <mergeCell ref="J1082:K1082"/>
    <mergeCell ref="M1082:Q1082"/>
    <mergeCell ref="L1076:L1077"/>
    <mergeCell ref="M1076:M1077"/>
    <mergeCell ref="N1076:N1077"/>
    <mergeCell ref="O1076:O1077"/>
    <mergeCell ref="Q1076:Q1077"/>
    <mergeCell ref="R1076:R1077"/>
    <mergeCell ref="D1072:I1072"/>
    <mergeCell ref="J1072:K1072"/>
    <mergeCell ref="M1072:Q1072"/>
    <mergeCell ref="S1076:S1077"/>
    <mergeCell ref="S1016:S1017"/>
    <mergeCell ref="B1016:B1017"/>
    <mergeCell ref="C1016:C1017"/>
    <mergeCell ref="D1016:I1016"/>
    <mergeCell ref="T1056:T1057"/>
    <mergeCell ref="U1056:U1057"/>
    <mergeCell ref="D1057:F1057"/>
    <mergeCell ref="G1057:I1057"/>
    <mergeCell ref="D1062:I1062"/>
    <mergeCell ref="J1062:K1062"/>
    <mergeCell ref="M1062:Q1062"/>
    <mergeCell ref="L1056:L1057"/>
    <mergeCell ref="R1056:R1057"/>
    <mergeCell ref="B1036:B1037"/>
    <mergeCell ref="C1036:C1037"/>
    <mergeCell ref="D1036:I1036"/>
    <mergeCell ref="J1036:J1037"/>
    <mergeCell ref="K1036:K1037"/>
    <mergeCell ref="D1053:I1054"/>
    <mergeCell ref="J1053:K1054"/>
    <mergeCell ref="L1053:L1054"/>
    <mergeCell ref="M1053:Q1053"/>
    <mergeCell ref="M1054:Q1054"/>
    <mergeCell ref="B1056:B1057"/>
    <mergeCell ref="C1056:C1057"/>
    <mergeCell ref="D1056:I1056"/>
    <mergeCell ref="J1056:J1057"/>
    <mergeCell ref="K1056:K1057"/>
    <mergeCell ref="B1046:B1047"/>
    <mergeCell ref="O1056:O1057"/>
    <mergeCell ref="Q1056:Q1057"/>
    <mergeCell ref="S1046:S1047"/>
    <mergeCell ref="T1046:T1047"/>
    <mergeCell ref="D1047:F1047"/>
    <mergeCell ref="R1046:R1047"/>
    <mergeCell ref="C1046:C1047"/>
    <mergeCell ref="S1036:S1037"/>
    <mergeCell ref="T1036:T1037"/>
    <mergeCell ref="U1036:U1037"/>
    <mergeCell ref="D1037:F1037"/>
    <mergeCell ref="G1037:I1037"/>
    <mergeCell ref="D1042:I1042"/>
    <mergeCell ref="J1042:K1042"/>
    <mergeCell ref="M1042:Q1042"/>
    <mergeCell ref="L1036:L1037"/>
    <mergeCell ref="M1036:M1037"/>
    <mergeCell ref="N1036:N1037"/>
    <mergeCell ref="O1036:O1037"/>
    <mergeCell ref="Q1036:Q1037"/>
    <mergeCell ref="Q1046:Q1047"/>
    <mergeCell ref="S1056:S1057"/>
    <mergeCell ref="L1046:L1047"/>
    <mergeCell ref="M1046:M1047"/>
    <mergeCell ref="N1046:N1047"/>
    <mergeCell ref="J1016:J1017"/>
    <mergeCell ref="K1016:K1017"/>
    <mergeCell ref="R1036:R1037"/>
    <mergeCell ref="L1023:L1024"/>
    <mergeCell ref="M1023:Q1023"/>
    <mergeCell ref="M1024:Q1024"/>
    <mergeCell ref="M1052:Q1052"/>
    <mergeCell ref="J1052:K1052"/>
    <mergeCell ref="K1046:K1047"/>
    <mergeCell ref="M1056:M1057"/>
    <mergeCell ref="U996:U997"/>
    <mergeCell ref="S996:S997"/>
    <mergeCell ref="D1001:F1001"/>
    <mergeCell ref="S1006:S1007"/>
    <mergeCell ref="D1033:I1034"/>
    <mergeCell ref="J1033:K1034"/>
    <mergeCell ref="L1033:L1034"/>
    <mergeCell ref="M1033:Q1033"/>
    <mergeCell ref="M1034:Q1034"/>
    <mergeCell ref="M1064:Q1064"/>
    <mergeCell ref="D1046:I1046"/>
    <mergeCell ref="J1046:J1047"/>
    <mergeCell ref="D999:F999"/>
    <mergeCell ref="G999:I999"/>
    <mergeCell ref="D1000:F1000"/>
    <mergeCell ref="G1000:I1000"/>
    <mergeCell ref="G995:L995"/>
    <mergeCell ref="O983:O984"/>
    <mergeCell ref="Q983:Q984"/>
    <mergeCell ref="D990:F990"/>
    <mergeCell ref="G990:I990"/>
    <mergeCell ref="D998:F998"/>
    <mergeCell ref="G998:I998"/>
    <mergeCell ref="B983:B984"/>
    <mergeCell ref="C983:C984"/>
    <mergeCell ref="D983:I983"/>
    <mergeCell ref="J983:J984"/>
    <mergeCell ref="K983:K984"/>
    <mergeCell ref="C996:C997"/>
    <mergeCell ref="L992:L993"/>
    <mergeCell ref="M992:Q992"/>
    <mergeCell ref="M993:Q993"/>
    <mergeCell ref="D985:F985"/>
    <mergeCell ref="G985:I985"/>
    <mergeCell ref="U1046:U1047"/>
    <mergeCell ref="D1043:I1044"/>
    <mergeCell ref="J1043:K1044"/>
    <mergeCell ref="L1043:L1044"/>
    <mergeCell ref="T1026:T1027"/>
    <mergeCell ref="U1026:U1027"/>
    <mergeCell ref="D1027:F1027"/>
    <mergeCell ref="G1027:I1027"/>
    <mergeCell ref="D1032:I1032"/>
    <mergeCell ref="J1032:K1032"/>
    <mergeCell ref="M1032:Q1032"/>
    <mergeCell ref="L1026:L1027"/>
    <mergeCell ref="M1026:M1027"/>
    <mergeCell ref="N1026:N1027"/>
    <mergeCell ref="O1026:O1027"/>
    <mergeCell ref="Q1026:Q1027"/>
    <mergeCell ref="R1026:R1027"/>
    <mergeCell ref="B1026:B1027"/>
    <mergeCell ref="C1026:C1027"/>
    <mergeCell ref="D1026:I1026"/>
    <mergeCell ref="J1026:J1027"/>
    <mergeCell ref="K1026:K1027"/>
    <mergeCell ref="S1026:S1027"/>
    <mergeCell ref="T1016:T1017"/>
    <mergeCell ref="U1016:U1017"/>
    <mergeCell ref="D1017:F1017"/>
    <mergeCell ref="G1017:I1017"/>
    <mergeCell ref="D1022:I1022"/>
    <mergeCell ref="J1022:K1022"/>
    <mergeCell ref="M1022:Q1022"/>
    <mergeCell ref="S962:S963"/>
    <mergeCell ref="T962:T963"/>
    <mergeCell ref="U962:U963"/>
    <mergeCell ref="D963:F963"/>
    <mergeCell ref="G963:I963"/>
    <mergeCell ref="D979:I979"/>
    <mergeCell ref="J979:K979"/>
    <mergeCell ref="M979:Q979"/>
    <mergeCell ref="L962:L963"/>
    <mergeCell ref="M962:M963"/>
    <mergeCell ref="N962:N963"/>
    <mergeCell ref="O962:O963"/>
    <mergeCell ref="Q962:Q963"/>
    <mergeCell ref="R962:R963"/>
    <mergeCell ref="S983:S984"/>
    <mergeCell ref="T983:T984"/>
    <mergeCell ref="U983:U984"/>
    <mergeCell ref="D984:F984"/>
    <mergeCell ref="G984:I984"/>
    <mergeCell ref="B962:B963"/>
    <mergeCell ref="C962:C963"/>
    <mergeCell ref="D962:I962"/>
    <mergeCell ref="D980:I981"/>
    <mergeCell ref="J980:K981"/>
    <mergeCell ref="L980:L981"/>
    <mergeCell ref="M980:Q980"/>
    <mergeCell ref="L983:L984"/>
    <mergeCell ref="S953:S954"/>
    <mergeCell ref="T953:T954"/>
    <mergeCell ref="U953:U954"/>
    <mergeCell ref="D954:F954"/>
    <mergeCell ref="G954:I954"/>
    <mergeCell ref="D958:I958"/>
    <mergeCell ref="J958:K958"/>
    <mergeCell ref="M958:Q958"/>
    <mergeCell ref="L953:L954"/>
    <mergeCell ref="M953:M954"/>
    <mergeCell ref="N953:N954"/>
    <mergeCell ref="O953:O954"/>
    <mergeCell ref="Q953:Q954"/>
    <mergeCell ref="R953:R954"/>
    <mergeCell ref="B953:B954"/>
    <mergeCell ref="C953:C954"/>
    <mergeCell ref="D953:I953"/>
    <mergeCell ref="J953:J954"/>
    <mergeCell ref="K953:K954"/>
    <mergeCell ref="R983:R984"/>
    <mergeCell ref="M981:Q981"/>
    <mergeCell ref="M983:M984"/>
    <mergeCell ref="N983:N984"/>
    <mergeCell ref="D959:I960"/>
    <mergeCell ref="J959:K960"/>
    <mergeCell ref="K962:K963"/>
    <mergeCell ref="J962:J963"/>
    <mergeCell ref="L959:L960"/>
    <mergeCell ref="U918:U919"/>
    <mergeCell ref="D919:F919"/>
    <mergeCell ref="G919:I919"/>
    <mergeCell ref="S898:S899"/>
    <mergeCell ref="M884:Q884"/>
    <mergeCell ref="B908:B909"/>
    <mergeCell ref="C908:C909"/>
    <mergeCell ref="D908:I908"/>
    <mergeCell ref="J908:J909"/>
    <mergeCell ref="K908:K909"/>
    <mergeCell ref="B898:B899"/>
    <mergeCell ref="C898:C899"/>
    <mergeCell ref="D898:I898"/>
    <mergeCell ref="J898:J899"/>
    <mergeCell ref="K898:K899"/>
    <mergeCell ref="T898:T899"/>
    <mergeCell ref="J904:K904"/>
    <mergeCell ref="M904:Q904"/>
    <mergeCell ref="L898:L899"/>
    <mergeCell ref="M898:M899"/>
    <mergeCell ref="D905:I906"/>
    <mergeCell ref="J905:K906"/>
    <mergeCell ref="L905:L906"/>
    <mergeCell ref="J915:K916"/>
    <mergeCell ref="L915:L916"/>
    <mergeCell ref="M915:Q915"/>
    <mergeCell ref="M916:Q916"/>
    <mergeCell ref="S943:S944"/>
    <mergeCell ref="T943:T944"/>
    <mergeCell ref="U943:U944"/>
    <mergeCell ref="D944:F944"/>
    <mergeCell ref="G944:I944"/>
    <mergeCell ref="S888:S889"/>
    <mergeCell ref="T888:T889"/>
    <mergeCell ref="G928:L928"/>
    <mergeCell ref="G929:L929"/>
    <mergeCell ref="L943:L944"/>
    <mergeCell ref="M943:M944"/>
    <mergeCell ref="N943:N944"/>
    <mergeCell ref="O943:O944"/>
    <mergeCell ref="Q943:Q944"/>
    <mergeCell ref="R943:R944"/>
    <mergeCell ref="B943:B944"/>
    <mergeCell ref="C943:C944"/>
    <mergeCell ref="D943:I943"/>
    <mergeCell ref="J943:J944"/>
    <mergeCell ref="K943:K944"/>
    <mergeCell ref="T930:T931"/>
    <mergeCell ref="U930:U931"/>
    <mergeCell ref="D931:F931"/>
    <mergeCell ref="G931:I931"/>
    <mergeCell ref="D939:I939"/>
    <mergeCell ref="J939:K939"/>
    <mergeCell ref="M939:Q939"/>
    <mergeCell ref="L930:L931"/>
    <mergeCell ref="M930:M931"/>
    <mergeCell ref="N930:N931"/>
    <mergeCell ref="O930:O931"/>
    <mergeCell ref="Q930:Q931"/>
    <mergeCell ref="R930:R931"/>
    <mergeCell ref="B930:B931"/>
    <mergeCell ref="C930:C931"/>
    <mergeCell ref="J930:J931"/>
    <mergeCell ref="K930:K931"/>
    <mergeCell ref="U888:U889"/>
    <mergeCell ref="D888:I888"/>
    <mergeCell ref="J888:J889"/>
    <mergeCell ref="K888:K889"/>
    <mergeCell ref="D873:I873"/>
    <mergeCell ref="R869:R870"/>
    <mergeCell ref="D899:F899"/>
    <mergeCell ref="G899:I899"/>
    <mergeCell ref="S877:S878"/>
    <mergeCell ref="M885:Q885"/>
    <mergeCell ref="D889:F889"/>
    <mergeCell ref="G889:I889"/>
    <mergeCell ref="D894:I894"/>
    <mergeCell ref="J894:K894"/>
    <mergeCell ref="M894:Q894"/>
    <mergeCell ref="L888:L889"/>
    <mergeCell ref="M888:M889"/>
    <mergeCell ref="R888:R889"/>
    <mergeCell ref="C888:C889"/>
    <mergeCell ref="U877:U878"/>
    <mergeCell ref="D878:F878"/>
    <mergeCell ref="N869:N870"/>
    <mergeCell ref="O869:O870"/>
    <mergeCell ref="U908:U909"/>
    <mergeCell ref="D909:F909"/>
    <mergeCell ref="G909:I909"/>
    <mergeCell ref="L908:L909"/>
    <mergeCell ref="M908:M909"/>
    <mergeCell ref="N908:N909"/>
    <mergeCell ref="O908:O909"/>
    <mergeCell ref="Q908:Q909"/>
    <mergeCell ref="R908:R909"/>
    <mergeCell ref="S908:S909"/>
    <mergeCell ref="T908:T909"/>
    <mergeCell ref="M906:Q906"/>
    <mergeCell ref="M905:Q905"/>
    <mergeCell ref="O898:O899"/>
    <mergeCell ref="L884:L885"/>
    <mergeCell ref="J873:K873"/>
    <mergeCell ref="J877:J878"/>
    <mergeCell ref="K877:K878"/>
    <mergeCell ref="G878:I878"/>
    <mergeCell ref="D883:I883"/>
    <mergeCell ref="J883:K883"/>
    <mergeCell ref="Q898:Q899"/>
    <mergeCell ref="R898:R899"/>
    <mergeCell ref="D877:I877"/>
    <mergeCell ref="Q877:Q878"/>
    <mergeCell ref="D884:I885"/>
    <mergeCell ref="G887:L887"/>
    <mergeCell ref="U862:U863"/>
    <mergeCell ref="D863:F863"/>
    <mergeCell ref="G863:I863"/>
    <mergeCell ref="D865:I865"/>
    <mergeCell ref="J865:K865"/>
    <mergeCell ref="M865:Q865"/>
    <mergeCell ref="L862:L863"/>
    <mergeCell ref="M862:M863"/>
    <mergeCell ref="N862:N863"/>
    <mergeCell ref="O862:O863"/>
    <mergeCell ref="Q862:Q863"/>
    <mergeCell ref="R862:R863"/>
    <mergeCell ref="D866:I867"/>
    <mergeCell ref="D874:I875"/>
    <mergeCell ref="J874:K875"/>
    <mergeCell ref="L874:L875"/>
    <mergeCell ref="M874:Q874"/>
    <mergeCell ref="M875:Q875"/>
    <mergeCell ref="S869:S870"/>
    <mergeCell ref="T869:T870"/>
    <mergeCell ref="U869:U870"/>
    <mergeCell ref="D870:F870"/>
    <mergeCell ref="S763:S764"/>
    <mergeCell ref="G870:I870"/>
    <mergeCell ref="U855:U856"/>
    <mergeCell ref="D856:F856"/>
    <mergeCell ref="G856:I856"/>
    <mergeCell ref="R774:R777"/>
    <mergeCell ref="Q869:Q870"/>
    <mergeCell ref="L869:L870"/>
    <mergeCell ref="M869:M870"/>
    <mergeCell ref="R746:R747"/>
    <mergeCell ref="D851:I851"/>
    <mergeCell ref="J851:K851"/>
    <mergeCell ref="M851:Q851"/>
    <mergeCell ref="R785:R794"/>
    <mergeCell ref="R795:R796"/>
    <mergeCell ref="U785:U807"/>
    <mergeCell ref="S795:S796"/>
    <mergeCell ref="U809:U810"/>
    <mergeCell ref="R855:R856"/>
    <mergeCell ref="R778:R779"/>
    <mergeCell ref="S778:S779"/>
    <mergeCell ref="T759:T779"/>
    <mergeCell ref="S746:S747"/>
    <mergeCell ref="S785:S794"/>
    <mergeCell ref="K869:K870"/>
    <mergeCell ref="J852:K853"/>
    <mergeCell ref="R797:R798"/>
    <mergeCell ref="D785:F808"/>
    <mergeCell ref="U781:U782"/>
    <mergeCell ref="U783:U784"/>
    <mergeCell ref="T781:T782"/>
    <mergeCell ref="T783:T784"/>
    <mergeCell ref="U817:U828"/>
    <mergeCell ref="T744:T758"/>
    <mergeCell ref="S862:S863"/>
    <mergeCell ref="S855:S856"/>
    <mergeCell ref="J866:K867"/>
    <mergeCell ref="L866:L867"/>
    <mergeCell ref="M866:Q866"/>
    <mergeCell ref="M867:Q867"/>
    <mergeCell ref="S760:S761"/>
    <mergeCell ref="T862:T863"/>
    <mergeCell ref="U720:U721"/>
    <mergeCell ref="O720:O721"/>
    <mergeCell ref="P720:P721"/>
    <mergeCell ref="K718:K719"/>
    <mergeCell ref="U722:U743"/>
    <mergeCell ref="S744:S745"/>
    <mergeCell ref="C746:C747"/>
    <mergeCell ref="S749:S751"/>
    <mergeCell ref="R749:R751"/>
    <mergeCell ref="B722:B743"/>
    <mergeCell ref="R735:R736"/>
    <mergeCell ref="D718:I718"/>
    <mergeCell ref="S722:S729"/>
    <mergeCell ref="B718:B719"/>
    <mergeCell ref="U759:U779"/>
    <mergeCell ref="C768:C773"/>
    <mergeCell ref="S817:S818"/>
    <mergeCell ref="C819:C828"/>
    <mergeCell ref="S819:S828"/>
    <mergeCell ref="T817:T828"/>
    <mergeCell ref="S765:S767"/>
    <mergeCell ref="S768:S773"/>
    <mergeCell ref="B811:B816"/>
    <mergeCell ref="B809:B810"/>
    <mergeCell ref="C765:C767"/>
    <mergeCell ref="C760:C761"/>
    <mergeCell ref="S803:S804"/>
    <mergeCell ref="C781:C782"/>
    <mergeCell ref="S781:S782"/>
    <mergeCell ref="C783:C784"/>
    <mergeCell ref="C785:C794"/>
    <mergeCell ref="C795:C796"/>
    <mergeCell ref="C797:C798"/>
    <mergeCell ref="C817:C818"/>
    <mergeCell ref="C803:C804"/>
    <mergeCell ref="S799:S800"/>
    <mergeCell ref="S801:S802"/>
    <mergeCell ref="D719:F719"/>
    <mergeCell ref="G719:I719"/>
    <mergeCell ref="M718:M719"/>
    <mergeCell ref="N718:N719"/>
    <mergeCell ref="J718:J719"/>
    <mergeCell ref="T722:T743"/>
    <mergeCell ref="R722:R729"/>
    <mergeCell ref="B720:B721"/>
    <mergeCell ref="R720:R721"/>
    <mergeCell ref="T720:T721"/>
    <mergeCell ref="S720:S721"/>
    <mergeCell ref="D720:F721"/>
    <mergeCell ref="G720:I721"/>
    <mergeCell ref="B759:B779"/>
    <mergeCell ref="C763:C764"/>
    <mergeCell ref="S774:S777"/>
    <mergeCell ref="C778:C779"/>
    <mergeCell ref="R760:R761"/>
    <mergeCell ref="R807:R808"/>
    <mergeCell ref="S755:S758"/>
    <mergeCell ref="B744:B758"/>
    <mergeCell ref="C749:C751"/>
    <mergeCell ref="C809:C810"/>
    <mergeCell ref="S737:S740"/>
    <mergeCell ref="N720:N721"/>
    <mergeCell ref="S797:S798"/>
    <mergeCell ref="R755:R758"/>
    <mergeCell ref="M535:Q535"/>
    <mergeCell ref="C702:C705"/>
    <mergeCell ref="S702:S705"/>
    <mergeCell ref="C708:C709"/>
    <mergeCell ref="D715:I716"/>
    <mergeCell ref="M716:Q716"/>
    <mergeCell ref="L715:L716"/>
    <mergeCell ref="M715:Q715"/>
    <mergeCell ref="L718:L719"/>
    <mergeCell ref="T598:T599"/>
    <mergeCell ref="J697:K698"/>
    <mergeCell ref="C649:C650"/>
    <mergeCell ref="D649:I649"/>
    <mergeCell ref="J649:J650"/>
    <mergeCell ref="K649:K650"/>
    <mergeCell ref="G650:I650"/>
    <mergeCell ref="D646:I647"/>
    <mergeCell ref="M646:Q646"/>
    <mergeCell ref="M647:Q647"/>
    <mergeCell ref="Q649:Q650"/>
    <mergeCell ref="R649:R650"/>
    <mergeCell ref="S649:S650"/>
    <mergeCell ref="C700:C701"/>
    <mergeCell ref="S710:S711"/>
    <mergeCell ref="S718:S719"/>
    <mergeCell ref="T718:T719"/>
    <mergeCell ref="S700:S701"/>
    <mergeCell ref="C718:C719"/>
    <mergeCell ref="T700:T701"/>
    <mergeCell ref="R537:R538"/>
    <mergeCell ref="L646:L647"/>
    <mergeCell ref="D645:I645"/>
    <mergeCell ref="J645:K645"/>
    <mergeCell ref="J714:K714"/>
    <mergeCell ref="M714:Q714"/>
    <mergeCell ref="L700:L701"/>
    <mergeCell ref="M700:M701"/>
    <mergeCell ref="N700:N701"/>
    <mergeCell ref="J696:K696"/>
    <mergeCell ref="M696:Q696"/>
    <mergeCell ref="D696:I696"/>
    <mergeCell ref="D595:I596"/>
    <mergeCell ref="M649:M650"/>
    <mergeCell ref="D594:I594"/>
    <mergeCell ref="D598:I598"/>
    <mergeCell ref="D650:F650"/>
    <mergeCell ref="G222:I222"/>
    <mergeCell ref="U700:U701"/>
    <mergeCell ref="O718:O719"/>
    <mergeCell ref="Q718:Q719"/>
    <mergeCell ref="R718:R719"/>
    <mergeCell ref="T702:T711"/>
    <mergeCell ref="U718:U719"/>
    <mergeCell ref="J646:K647"/>
    <mergeCell ref="S708:S709"/>
    <mergeCell ref="R710:R711"/>
    <mergeCell ref="T537:T538"/>
    <mergeCell ref="J524:J525"/>
    <mergeCell ref="K524:K525"/>
    <mergeCell ref="U537:U538"/>
    <mergeCell ref="D538:F538"/>
    <mergeCell ref="G538:I538"/>
    <mergeCell ref="D537:I537"/>
    <mergeCell ref="J537:J538"/>
    <mergeCell ref="K537:K538"/>
    <mergeCell ref="M533:Q533"/>
    <mergeCell ref="U524:U525"/>
    <mergeCell ref="D525:F525"/>
    <mergeCell ref="G525:I525"/>
    <mergeCell ref="O524:O525"/>
    <mergeCell ref="L524:L525"/>
    <mergeCell ref="M645:Q645"/>
    <mergeCell ref="M524:M525"/>
    <mergeCell ref="Q537:Q538"/>
    <mergeCell ref="U649:U650"/>
    <mergeCell ref="T524:T525"/>
    <mergeCell ref="D533:I533"/>
    <mergeCell ref="J598:J599"/>
    <mergeCell ref="U377:U383"/>
    <mergeCell ref="D479:F479"/>
    <mergeCell ref="G479:I479"/>
    <mergeCell ref="D480:F480"/>
    <mergeCell ref="G480:I480"/>
    <mergeCell ref="U598:U599"/>
    <mergeCell ref="U384:U395"/>
    <mergeCell ref="U500:U501"/>
    <mergeCell ref="D501:F501"/>
    <mergeCell ref="T513:T514"/>
    <mergeCell ref="Q500:Q501"/>
    <mergeCell ref="D461:F461"/>
    <mergeCell ref="L489:L490"/>
    <mergeCell ref="Q407:Q408"/>
    <mergeCell ref="D449:F449"/>
    <mergeCell ref="J594:K594"/>
    <mergeCell ref="M594:Q594"/>
    <mergeCell ref="J488:K488"/>
    <mergeCell ref="M488:Q488"/>
    <mergeCell ref="D513:I513"/>
    <mergeCell ref="G504:I504"/>
    <mergeCell ref="J521:K522"/>
    <mergeCell ref="D500:I500"/>
    <mergeCell ref="D521:I522"/>
    <mergeCell ref="K500:K501"/>
    <mergeCell ref="O598:O599"/>
    <mergeCell ref="D463:F463"/>
    <mergeCell ref="M511:Q511"/>
    <mergeCell ref="J700:J701"/>
    <mergeCell ref="D714:I714"/>
    <mergeCell ref="L534:L535"/>
    <mergeCell ref="M534:Q534"/>
    <mergeCell ref="L294:L295"/>
    <mergeCell ref="U430:U431"/>
    <mergeCell ref="D431:F431"/>
    <mergeCell ref="G431:I431"/>
    <mergeCell ref="S513:S514"/>
    <mergeCell ref="J298:K299"/>
    <mergeCell ref="R301:R302"/>
    <mergeCell ref="J407:J408"/>
    <mergeCell ref="K407:K408"/>
    <mergeCell ref="S309:S310"/>
    <mergeCell ref="U363:U365"/>
    <mergeCell ref="U367:U370"/>
    <mergeCell ref="U372:U376"/>
    <mergeCell ref="M427:Q427"/>
    <mergeCell ref="T407:T408"/>
    <mergeCell ref="S492:S493"/>
    <mergeCell ref="G476:I476"/>
    <mergeCell ref="M498:Q498"/>
    <mergeCell ref="J497:K498"/>
    <mergeCell ref="U89:U90"/>
    <mergeCell ref="D107:F107"/>
    <mergeCell ref="G107:I107"/>
    <mergeCell ref="D146:F146"/>
    <mergeCell ref="G146:I146"/>
    <mergeCell ref="D185:F185"/>
    <mergeCell ref="U128:U129"/>
    <mergeCell ref="D129:F129"/>
    <mergeCell ref="G129:I129"/>
    <mergeCell ref="D241:I241"/>
    <mergeCell ref="J241:K241"/>
    <mergeCell ref="G95:I95"/>
    <mergeCell ref="D99:F99"/>
    <mergeCell ref="G99:I99"/>
    <mergeCell ref="T128:T129"/>
    <mergeCell ref="U206:U207"/>
    <mergeCell ref="M255:Q255"/>
    <mergeCell ref="M241:Q241"/>
    <mergeCell ref="M294:M295"/>
    <mergeCell ref="M289:Q289"/>
    <mergeCell ref="G293:L293"/>
    <mergeCell ref="D242:I243"/>
    <mergeCell ref="D294:I294"/>
    <mergeCell ref="J294:J295"/>
    <mergeCell ref="D268:F268"/>
    <mergeCell ref="G268:I268"/>
    <mergeCell ref="G272:I272"/>
    <mergeCell ref="M242:Q242"/>
    <mergeCell ref="M243:Q243"/>
    <mergeCell ref="D250:F250"/>
    <mergeCell ref="D94:F94"/>
    <mergeCell ref="M254:Q254"/>
    <mergeCell ref="D281:F281"/>
    <mergeCell ref="G281:I281"/>
    <mergeCell ref="T430:T431"/>
    <mergeCell ref="L430:L431"/>
    <mergeCell ref="M430:M431"/>
    <mergeCell ref="D260:F260"/>
    <mergeCell ref="D224:F224"/>
    <mergeCell ref="G224:I224"/>
    <mergeCell ref="D277:F277"/>
    <mergeCell ref="G277:I277"/>
    <mergeCell ref="D477:F477"/>
    <mergeCell ref="G477:I477"/>
    <mergeCell ref="D222:F222"/>
    <mergeCell ref="D221:F221"/>
    <mergeCell ref="B257:B258"/>
    <mergeCell ref="C257:C258"/>
    <mergeCell ref="D297:I297"/>
    <mergeCell ref="J297:K297"/>
    <mergeCell ref="M297:Q297"/>
    <mergeCell ref="G258:I258"/>
    <mergeCell ref="G302:I302"/>
    <mergeCell ref="D289:I289"/>
    <mergeCell ref="J289:K289"/>
    <mergeCell ref="R294:R295"/>
    <mergeCell ref="J290:K291"/>
    <mergeCell ref="U257:U258"/>
    <mergeCell ref="S294:S295"/>
    <mergeCell ref="T294:T295"/>
    <mergeCell ref="U294:U295"/>
    <mergeCell ref="S301:S302"/>
    <mergeCell ref="T301:T302"/>
    <mergeCell ref="U301:U302"/>
    <mergeCell ref="D270:F270"/>
    <mergeCell ref="G270:I270"/>
    <mergeCell ref="U322:U334"/>
    <mergeCell ref="M298:Q298"/>
    <mergeCell ref="L305:L306"/>
    <mergeCell ref="Q301:Q302"/>
    <mergeCell ref="B294:B295"/>
    <mergeCell ref="C294:C295"/>
    <mergeCell ref="C407:C408"/>
    <mergeCell ref="B309:B310"/>
    <mergeCell ref="B301:B302"/>
    <mergeCell ref="M299:Q299"/>
    <mergeCell ref="G267:I267"/>
    <mergeCell ref="G275:I275"/>
    <mergeCell ref="D305:I306"/>
    <mergeCell ref="S407:S408"/>
    <mergeCell ref="R407:R408"/>
    <mergeCell ref="U309:U310"/>
    <mergeCell ref="D310:F310"/>
    <mergeCell ref="G310:I310"/>
    <mergeCell ref="U312:U321"/>
    <mergeCell ref="U347:U361"/>
    <mergeCell ref="N309:N310"/>
    <mergeCell ref="O309:O310"/>
    <mergeCell ref="B407:B408"/>
    <mergeCell ref="M305:Q305"/>
    <mergeCell ref="D258:F258"/>
    <mergeCell ref="T309:T310"/>
    <mergeCell ref="O257:O258"/>
    <mergeCell ref="T257:T258"/>
    <mergeCell ref="M291:Q291"/>
    <mergeCell ref="M257:M258"/>
    <mergeCell ref="D403:I403"/>
    <mergeCell ref="J403:K403"/>
    <mergeCell ref="M403:Q403"/>
    <mergeCell ref="L309:L310"/>
    <mergeCell ref="M309:M310"/>
    <mergeCell ref="R257:R258"/>
    <mergeCell ref="S257:S258"/>
    <mergeCell ref="R309:R310"/>
    <mergeCell ref="J301:J302"/>
    <mergeCell ref="K301:K302"/>
    <mergeCell ref="J304:K304"/>
    <mergeCell ref="D295:F295"/>
    <mergeCell ref="G295:I295"/>
    <mergeCell ref="D216:F216"/>
    <mergeCell ref="C128:C129"/>
    <mergeCell ref="D207:F207"/>
    <mergeCell ref="G207:I207"/>
    <mergeCell ref="Q206:Q207"/>
    <mergeCell ref="M128:M129"/>
    <mergeCell ref="D105:F105"/>
    <mergeCell ref="R206:R207"/>
    <mergeCell ref="B167:B168"/>
    <mergeCell ref="C167:C168"/>
    <mergeCell ref="G218:I218"/>
    <mergeCell ref="G240:I240"/>
    <mergeCell ref="D180:F180"/>
    <mergeCell ref="D217:F217"/>
    <mergeCell ref="G217:I217"/>
    <mergeCell ref="D182:F182"/>
    <mergeCell ref="G182:I182"/>
    <mergeCell ref="D181:F181"/>
    <mergeCell ref="G219:I219"/>
    <mergeCell ref="D209:F209"/>
    <mergeCell ref="G209:I209"/>
    <mergeCell ref="M124:Q124"/>
    <mergeCell ref="G212:I212"/>
    <mergeCell ref="D210:F210"/>
    <mergeCell ref="G208:I208"/>
    <mergeCell ref="D211:F211"/>
    <mergeCell ref="D240:F240"/>
    <mergeCell ref="D125:I126"/>
    <mergeCell ref="D130:F130"/>
    <mergeCell ref="G130:I130"/>
    <mergeCell ref="O206:O207"/>
    <mergeCell ref="D203:I204"/>
    <mergeCell ref="J203:K204"/>
    <mergeCell ref="L203:L204"/>
    <mergeCell ref="M203:Q203"/>
    <mergeCell ref="G177:I177"/>
    <mergeCell ref="N128:N129"/>
    <mergeCell ref="D172:F172"/>
    <mergeCell ref="G187:I187"/>
    <mergeCell ref="D226:F226"/>
    <mergeCell ref="G226:I226"/>
    <mergeCell ref="G138:I138"/>
    <mergeCell ref="D173:F173"/>
    <mergeCell ref="G173:I173"/>
    <mergeCell ref="D201:F201"/>
    <mergeCell ref="G201:I201"/>
    <mergeCell ref="M204:Q204"/>
    <mergeCell ref="D170:F170"/>
    <mergeCell ref="G185:I185"/>
    <mergeCell ref="G181:I181"/>
    <mergeCell ref="D220:F220"/>
    <mergeCell ref="G220:I220"/>
    <mergeCell ref="D109:F109"/>
    <mergeCell ref="B128:B129"/>
    <mergeCell ref="G180:I180"/>
    <mergeCell ref="G216:I216"/>
    <mergeCell ref="J124:K124"/>
    <mergeCell ref="D227:F227"/>
    <mergeCell ref="G227:I227"/>
    <mergeCell ref="D228:F228"/>
    <mergeCell ref="G228:I228"/>
    <mergeCell ref="J202:K202"/>
    <mergeCell ref="D229:F229"/>
    <mergeCell ref="G229:I229"/>
    <mergeCell ref="J68:J69"/>
    <mergeCell ref="B68:B69"/>
    <mergeCell ref="C68:C69"/>
    <mergeCell ref="D68:I68"/>
    <mergeCell ref="M74:Q74"/>
    <mergeCell ref="B79:B80"/>
    <mergeCell ref="C79:C80"/>
    <mergeCell ref="J89:J90"/>
    <mergeCell ref="D168:F168"/>
    <mergeCell ref="G168:I168"/>
    <mergeCell ref="D141:F141"/>
    <mergeCell ref="G141:I141"/>
    <mergeCell ref="J128:J129"/>
    <mergeCell ref="K128:K129"/>
    <mergeCell ref="L128:L129"/>
    <mergeCell ref="D140:F140"/>
    <mergeCell ref="D169:F169"/>
    <mergeCell ref="G169:I169"/>
    <mergeCell ref="G170:I170"/>
    <mergeCell ref="D179:F179"/>
    <mergeCell ref="D128:I128"/>
    <mergeCell ref="D103:F103"/>
    <mergeCell ref="G103:I103"/>
    <mergeCell ref="D163:I163"/>
    <mergeCell ref="B206:B207"/>
    <mergeCell ref="B89:B90"/>
    <mergeCell ref="R89:R90"/>
    <mergeCell ref="G251:I251"/>
    <mergeCell ref="B245:U245"/>
    <mergeCell ref="D213:F213"/>
    <mergeCell ref="G213:I213"/>
    <mergeCell ref="T248:T249"/>
    <mergeCell ref="U248:U249"/>
    <mergeCell ref="D249:F249"/>
    <mergeCell ref="G249:I249"/>
    <mergeCell ref="M248:M249"/>
    <mergeCell ref="N248:N249"/>
    <mergeCell ref="O248:O249"/>
    <mergeCell ref="Q248:Q249"/>
    <mergeCell ref="R248:R249"/>
    <mergeCell ref="S248:S249"/>
    <mergeCell ref="B248:B249"/>
    <mergeCell ref="C206:C207"/>
    <mergeCell ref="S167:S168"/>
    <mergeCell ref="D100:F100"/>
    <mergeCell ref="G100:I100"/>
    <mergeCell ref="G93:I93"/>
    <mergeCell ref="T167:T168"/>
    <mergeCell ref="U167:U168"/>
    <mergeCell ref="G135:I135"/>
    <mergeCell ref="D174:F174"/>
    <mergeCell ref="G174:I174"/>
    <mergeCell ref="K167:K168"/>
    <mergeCell ref="L167:L168"/>
    <mergeCell ref="M163:Q163"/>
    <mergeCell ref="D164:I165"/>
    <mergeCell ref="D147:F147"/>
    <mergeCell ref="G147:I147"/>
    <mergeCell ref="G94:I94"/>
    <mergeCell ref="G104:I104"/>
    <mergeCell ref="D143:F143"/>
    <mergeCell ref="L164:L165"/>
    <mergeCell ref="C248:C249"/>
    <mergeCell ref="D248:I248"/>
    <mergeCell ref="J14:K14"/>
    <mergeCell ref="U79:U80"/>
    <mergeCell ref="S68:S69"/>
    <mergeCell ref="T68:T69"/>
    <mergeCell ref="M76:Q76"/>
    <mergeCell ref="J85:K85"/>
    <mergeCell ref="M85:Q85"/>
    <mergeCell ref="M79:M80"/>
    <mergeCell ref="N79:N80"/>
    <mergeCell ref="O79:O80"/>
    <mergeCell ref="Q79:Q80"/>
    <mergeCell ref="D85:I85"/>
    <mergeCell ref="D80:F80"/>
    <mergeCell ref="G80:I80"/>
    <mergeCell ref="R79:R80"/>
    <mergeCell ref="S79:S80"/>
    <mergeCell ref="G78:L78"/>
    <mergeCell ref="O78:R78"/>
    <mergeCell ref="M75:Q75"/>
    <mergeCell ref="U68:U69"/>
    <mergeCell ref="D69:F69"/>
    <mergeCell ref="G69:I69"/>
    <mergeCell ref="L68:L69"/>
    <mergeCell ref="M68:M69"/>
    <mergeCell ref="T48:T49"/>
    <mergeCell ref="U48:U49"/>
    <mergeCell ref="D49:F49"/>
    <mergeCell ref="G49:I49"/>
    <mergeCell ref="R48:R49"/>
    <mergeCell ref="L48:L49"/>
    <mergeCell ref="D54:I54"/>
    <mergeCell ref="J54:K54"/>
    <mergeCell ref="M54:Q54"/>
    <mergeCell ref="N48:N49"/>
    <mergeCell ref="M48:M49"/>
    <mergeCell ref="M55:Q55"/>
    <mergeCell ref="D55:I56"/>
    <mergeCell ref="T79:T80"/>
    <mergeCell ref="D64:I64"/>
    <mergeCell ref="J64:K64"/>
    <mergeCell ref="M56:Q56"/>
    <mergeCell ref="D58:I58"/>
    <mergeCell ref="J58:J59"/>
    <mergeCell ref="K58:K59"/>
    <mergeCell ref="U58:U59"/>
    <mergeCell ref="D59:F59"/>
    <mergeCell ref="G59:I59"/>
    <mergeCell ref="L58:L59"/>
    <mergeCell ref="M58:M59"/>
    <mergeCell ref="S58:S59"/>
    <mergeCell ref="T58:T59"/>
    <mergeCell ref="N58:N59"/>
    <mergeCell ref="O58:O59"/>
    <mergeCell ref="Q58:Q59"/>
    <mergeCell ref="O68:O69"/>
    <mergeCell ref="D79:I79"/>
    <mergeCell ref="J79:J80"/>
    <mergeCell ref="J55:K56"/>
    <mergeCell ref="L79:L80"/>
    <mergeCell ref="R58:R59"/>
    <mergeCell ref="K79:K80"/>
    <mergeCell ref="K68:K69"/>
    <mergeCell ref="Q68:Q69"/>
    <mergeCell ref="R68:R69"/>
    <mergeCell ref="G142:I142"/>
    <mergeCell ref="B4:U4"/>
    <mergeCell ref="B6:U6"/>
    <mergeCell ref="B8:B9"/>
    <mergeCell ref="C8:C9"/>
    <mergeCell ref="R8:R9"/>
    <mergeCell ref="D24:I24"/>
    <mergeCell ref="S8:S9"/>
    <mergeCell ref="N38:N39"/>
    <mergeCell ref="O38:O39"/>
    <mergeCell ref="Q38:Q39"/>
    <mergeCell ref="R38:R39"/>
    <mergeCell ref="S38:S39"/>
    <mergeCell ref="T28:T29"/>
    <mergeCell ref="T18:T19"/>
    <mergeCell ref="U28:U29"/>
    <mergeCell ref="D29:F29"/>
    <mergeCell ref="G29:I29"/>
    <mergeCell ref="D34:I34"/>
    <mergeCell ref="J34:K34"/>
    <mergeCell ref="M34:Q34"/>
    <mergeCell ref="L28:L29"/>
    <mergeCell ref="M28:M29"/>
    <mergeCell ref="N28:N29"/>
    <mergeCell ref="O28:O29"/>
    <mergeCell ref="Q28:Q29"/>
    <mergeCell ref="R28:R29"/>
    <mergeCell ref="J18:J19"/>
    <mergeCell ref="K18:K19"/>
    <mergeCell ref="D25:I26"/>
    <mergeCell ref="T38:T39"/>
    <mergeCell ref="U38:U39"/>
    <mergeCell ref="D39:F39"/>
    <mergeCell ref="U18:U19"/>
    <mergeCell ref="B18:B19"/>
    <mergeCell ref="C18:C19"/>
    <mergeCell ref="Q18:Q19"/>
    <mergeCell ref="M25:Q25"/>
    <mergeCell ref="M26:Q26"/>
    <mergeCell ref="G19:I19"/>
    <mergeCell ref="D15:I16"/>
    <mergeCell ref="J15:K16"/>
    <mergeCell ref="L15:L16"/>
    <mergeCell ref="M15:Q15"/>
    <mergeCell ref="Q8:Q9"/>
    <mergeCell ref="D38:I38"/>
    <mergeCell ref="J38:J39"/>
    <mergeCell ref="K38:K39"/>
    <mergeCell ref="K28:K29"/>
    <mergeCell ref="D8:I8"/>
    <mergeCell ref="J8:J9"/>
    <mergeCell ref="D18:I18"/>
    <mergeCell ref="N8:N9"/>
    <mergeCell ref="J25:K26"/>
    <mergeCell ref="L25:L26"/>
    <mergeCell ref="N18:N19"/>
    <mergeCell ref="K8:K9"/>
    <mergeCell ref="O8:O9"/>
    <mergeCell ref="M16:Q16"/>
    <mergeCell ref="T8:T9"/>
    <mergeCell ref="U8:U9"/>
    <mergeCell ref="D9:F9"/>
    <mergeCell ref="G9:I9"/>
    <mergeCell ref="D14:I14"/>
    <mergeCell ref="G264:I264"/>
    <mergeCell ref="B48:B49"/>
    <mergeCell ref="C48:C49"/>
    <mergeCell ref="J24:K24"/>
    <mergeCell ref="G265:I265"/>
    <mergeCell ref="D257:I257"/>
    <mergeCell ref="J257:J258"/>
    <mergeCell ref="K257:K258"/>
    <mergeCell ref="D253:I253"/>
    <mergeCell ref="J253:K253"/>
    <mergeCell ref="G250:I250"/>
    <mergeCell ref="D251:F251"/>
    <mergeCell ref="G131:I131"/>
    <mergeCell ref="D132:F132"/>
    <mergeCell ref="G132:I132"/>
    <mergeCell ref="J75:K76"/>
    <mergeCell ref="M35:Q35"/>
    <mergeCell ref="M36:Q36"/>
    <mergeCell ref="D35:I36"/>
    <mergeCell ref="D65:I66"/>
    <mergeCell ref="J65:K66"/>
    <mergeCell ref="L65:L66"/>
    <mergeCell ref="M65:Q65"/>
    <mergeCell ref="G39:I39"/>
    <mergeCell ref="D44:I44"/>
    <mergeCell ref="M44:Q44"/>
    <mergeCell ref="L38:L39"/>
    <mergeCell ref="M38:M39"/>
    <mergeCell ref="B58:B59"/>
    <mergeCell ref="C58:C59"/>
    <mergeCell ref="D45:I46"/>
    <mergeCell ref="J45:K46"/>
    <mergeCell ref="L45:L46"/>
    <mergeCell ref="L75:L76"/>
    <mergeCell ref="N68:N69"/>
    <mergeCell ref="D218:F218"/>
    <mergeCell ref="C28:C29"/>
    <mergeCell ref="B38:B39"/>
    <mergeCell ref="C38:C39"/>
    <mergeCell ref="B28:B29"/>
    <mergeCell ref="J44:K44"/>
    <mergeCell ref="G105:I105"/>
    <mergeCell ref="D144:F144"/>
    <mergeCell ref="G144:I144"/>
    <mergeCell ref="O48:O49"/>
    <mergeCell ref="C89:C90"/>
    <mergeCell ref="G172:I172"/>
    <mergeCell ref="K206:K207"/>
    <mergeCell ref="L206:L207"/>
    <mergeCell ref="G140:I140"/>
    <mergeCell ref="D97:F97"/>
    <mergeCell ref="G97:I97"/>
    <mergeCell ref="D136:F136"/>
    <mergeCell ref="G136:I136"/>
    <mergeCell ref="D175:F175"/>
    <mergeCell ref="G175:I175"/>
    <mergeCell ref="D123:F123"/>
    <mergeCell ref="G123:I123"/>
    <mergeCell ref="D162:F162"/>
    <mergeCell ref="G162:I162"/>
    <mergeCell ref="G133:I133"/>
    <mergeCell ref="D133:F133"/>
    <mergeCell ref="M202:Q202"/>
    <mergeCell ref="D177:F177"/>
    <mergeCell ref="G158:I158"/>
    <mergeCell ref="S930:S931"/>
    <mergeCell ref="J940:K941"/>
    <mergeCell ref="L940:L941"/>
    <mergeCell ref="M940:Q940"/>
    <mergeCell ref="M14:Q14"/>
    <mergeCell ref="M8:M9"/>
    <mergeCell ref="D19:F19"/>
    <mergeCell ref="S18:S19"/>
    <mergeCell ref="R18:R19"/>
    <mergeCell ref="S28:S29"/>
    <mergeCell ref="L18:L19"/>
    <mergeCell ref="M18:M19"/>
    <mergeCell ref="O18:O19"/>
    <mergeCell ref="M24:Q24"/>
    <mergeCell ref="L35:L36"/>
    <mergeCell ref="L8:L9"/>
    <mergeCell ref="D28:I28"/>
    <mergeCell ref="J28:J29"/>
    <mergeCell ref="S48:S49"/>
    <mergeCell ref="D206:I206"/>
    <mergeCell ref="G179:I179"/>
    <mergeCell ref="D139:F139"/>
    <mergeCell ref="G139:I139"/>
    <mergeCell ref="J125:K126"/>
    <mergeCell ref="G176:I176"/>
    <mergeCell ref="D171:F171"/>
    <mergeCell ref="G171:I171"/>
    <mergeCell ref="D202:I202"/>
    <mergeCell ref="D183:F183"/>
    <mergeCell ref="G183:I183"/>
    <mergeCell ref="G109:I109"/>
    <mergeCell ref="D148:F148"/>
    <mergeCell ref="G148:I148"/>
    <mergeCell ref="D187:F187"/>
    <mergeCell ref="D135:F135"/>
    <mergeCell ref="S89:S90"/>
    <mergeCell ref="S128:S129"/>
    <mergeCell ref="L125:L126"/>
    <mergeCell ref="D104:F104"/>
    <mergeCell ref="J35:K36"/>
    <mergeCell ref="R167:R168"/>
    <mergeCell ref="J86:K87"/>
    <mergeCell ref="L86:L87"/>
    <mergeCell ref="M165:Q165"/>
    <mergeCell ref="O167:O168"/>
    <mergeCell ref="D90:F90"/>
    <mergeCell ref="G143:I143"/>
    <mergeCell ref="G96:I96"/>
    <mergeCell ref="J163:K163"/>
    <mergeCell ref="Q128:Q129"/>
    <mergeCell ref="R128:R129"/>
    <mergeCell ref="O89:O90"/>
    <mergeCell ref="Q89:Q90"/>
    <mergeCell ref="K89:K90"/>
    <mergeCell ref="O128:O129"/>
    <mergeCell ref="M125:Q125"/>
    <mergeCell ref="M167:M168"/>
    <mergeCell ref="M126:Q126"/>
    <mergeCell ref="G108:I108"/>
    <mergeCell ref="D487:F487"/>
    <mergeCell ref="M46:Q46"/>
    <mergeCell ref="M64:Q64"/>
    <mergeCell ref="M941:Q941"/>
    <mergeCell ref="G232:I232"/>
    <mergeCell ref="M45:Q45"/>
    <mergeCell ref="D48:I48"/>
    <mergeCell ref="J48:J49"/>
    <mergeCell ref="K48:K49"/>
    <mergeCell ref="D74:I74"/>
    <mergeCell ref="J74:K74"/>
    <mergeCell ref="D75:I76"/>
    <mergeCell ref="D124:I124"/>
    <mergeCell ref="D134:F134"/>
    <mergeCell ref="G134:I134"/>
    <mergeCell ref="D138:F138"/>
    <mergeCell ref="D110:F110"/>
    <mergeCell ref="G110:I110"/>
    <mergeCell ref="D149:F149"/>
    <mergeCell ref="G149:I149"/>
    <mergeCell ref="D188:F188"/>
    <mergeCell ref="G188:I188"/>
    <mergeCell ref="D111:F111"/>
    <mergeCell ref="G111:I111"/>
    <mergeCell ref="D150:F150"/>
    <mergeCell ref="G150:I150"/>
    <mergeCell ref="D189:F189"/>
    <mergeCell ref="G189:I189"/>
    <mergeCell ref="M87:Q87"/>
    <mergeCell ref="D102:F102"/>
    <mergeCell ref="G102:I102"/>
    <mergeCell ref="D178:F178"/>
    <mergeCell ref="G178:I178"/>
    <mergeCell ref="L55:L56"/>
    <mergeCell ref="D92:F92"/>
    <mergeCell ref="G92:I92"/>
    <mergeCell ref="D93:F93"/>
    <mergeCell ref="D112:F112"/>
    <mergeCell ref="G112:I112"/>
    <mergeCell ref="D151:F151"/>
    <mergeCell ref="G151:I151"/>
    <mergeCell ref="D113:F113"/>
    <mergeCell ref="G184:I184"/>
    <mergeCell ref="G113:I113"/>
    <mergeCell ref="D152:F152"/>
    <mergeCell ref="G152:I152"/>
    <mergeCell ref="D117:F117"/>
    <mergeCell ref="G117:I117"/>
    <mergeCell ref="D156:F156"/>
    <mergeCell ref="G156:I156"/>
    <mergeCell ref="D86:I87"/>
    <mergeCell ref="G90:I90"/>
    <mergeCell ref="G101:I101"/>
    <mergeCell ref="D98:F98"/>
    <mergeCell ref="D108:F108"/>
    <mergeCell ref="D89:I89"/>
    <mergeCell ref="G98:I98"/>
    <mergeCell ref="D101:F101"/>
    <mergeCell ref="D116:F116"/>
    <mergeCell ref="G116:I116"/>
    <mergeCell ref="D155:F155"/>
    <mergeCell ref="G155:I155"/>
    <mergeCell ref="D115:F115"/>
    <mergeCell ref="G115:I115"/>
    <mergeCell ref="D154:F154"/>
    <mergeCell ref="G154:I154"/>
    <mergeCell ref="G119:I119"/>
    <mergeCell ref="D158:F158"/>
    <mergeCell ref="D264:F264"/>
    <mergeCell ref="S524:S525"/>
    <mergeCell ref="S537:S538"/>
    <mergeCell ref="S598:S599"/>
    <mergeCell ref="S730:S734"/>
    <mergeCell ref="S735:S736"/>
    <mergeCell ref="R730:R734"/>
    <mergeCell ref="R752:R754"/>
    <mergeCell ref="R741:R743"/>
    <mergeCell ref="S918:S919"/>
    <mergeCell ref="T855:T856"/>
    <mergeCell ref="R877:R878"/>
    <mergeCell ref="G463:I463"/>
    <mergeCell ref="L290:L291"/>
    <mergeCell ref="R524:R525"/>
    <mergeCell ref="N294:N295"/>
    <mergeCell ref="O294:O295"/>
    <mergeCell ref="Q294:Q295"/>
    <mergeCell ref="D262:F262"/>
    <mergeCell ref="G262:I262"/>
    <mergeCell ref="M290:Q290"/>
    <mergeCell ref="N257:N258"/>
    <mergeCell ref="G514:I514"/>
    <mergeCell ref="Q48:Q49"/>
    <mergeCell ref="M206:M207"/>
    <mergeCell ref="N206:N207"/>
    <mergeCell ref="D96:F96"/>
    <mergeCell ref="J206:J207"/>
    <mergeCell ref="D142:F142"/>
    <mergeCell ref="T206:T207"/>
    <mergeCell ref="S206:S207"/>
    <mergeCell ref="L89:L90"/>
    <mergeCell ref="M89:M90"/>
    <mergeCell ref="N89:N90"/>
    <mergeCell ref="N167:N168"/>
    <mergeCell ref="T89:T90"/>
    <mergeCell ref="Q167:Q168"/>
    <mergeCell ref="D167:I167"/>
    <mergeCell ref="D91:F91"/>
    <mergeCell ref="D95:F95"/>
    <mergeCell ref="M164:Q164"/>
    <mergeCell ref="D176:F176"/>
    <mergeCell ref="J167:J168"/>
    <mergeCell ref="J164:K165"/>
    <mergeCell ref="M66:Q66"/>
    <mergeCell ref="D137:F137"/>
    <mergeCell ref="G137:I137"/>
    <mergeCell ref="G91:I91"/>
    <mergeCell ref="D190:F190"/>
    <mergeCell ref="G190:I190"/>
    <mergeCell ref="T918:T919"/>
    <mergeCell ref="D481:F481"/>
    <mergeCell ref="G456:I456"/>
    <mergeCell ref="M404:Q404"/>
    <mergeCell ref="M489:Q489"/>
    <mergeCell ref="D427:I428"/>
    <mergeCell ref="G460:I460"/>
    <mergeCell ref="D194:F194"/>
    <mergeCell ref="G194:I194"/>
    <mergeCell ref="D233:F233"/>
    <mergeCell ref="G233:I233"/>
    <mergeCell ref="D193:F193"/>
    <mergeCell ref="G193:I193"/>
    <mergeCell ref="D232:F232"/>
    <mergeCell ref="G485:I485"/>
    <mergeCell ref="T996:T997"/>
    <mergeCell ref="M86:Q86"/>
    <mergeCell ref="D131:F131"/>
    <mergeCell ref="G247:L247"/>
    <mergeCell ref="D215:F215"/>
    <mergeCell ref="L500:L501"/>
    <mergeCell ref="G481:I481"/>
    <mergeCell ref="D482:F482"/>
    <mergeCell ref="G482:I482"/>
    <mergeCell ref="D478:F478"/>
    <mergeCell ref="G478:I478"/>
    <mergeCell ref="G443:I443"/>
    <mergeCell ref="D447:F447"/>
    <mergeCell ref="D445:F445"/>
    <mergeCell ref="G445:I445"/>
    <mergeCell ref="G501:I501"/>
    <mergeCell ref="D475:F475"/>
    <mergeCell ref="N430:N431"/>
    <mergeCell ref="S500:S501"/>
    <mergeCell ref="T877:T878"/>
    <mergeCell ref="T785:T808"/>
    <mergeCell ref="T500:T501"/>
    <mergeCell ref="R430:R431"/>
    <mergeCell ref="J427:K428"/>
    <mergeCell ref="T649:T650"/>
    <mergeCell ref="R763:R764"/>
    <mergeCell ref="R809:R810"/>
    <mergeCell ref="S809:S810"/>
    <mergeCell ref="T809:T810"/>
    <mergeCell ref="R598:R599"/>
    <mergeCell ref="G448:I448"/>
    <mergeCell ref="M497:Q497"/>
    <mergeCell ref="L301:L302"/>
    <mergeCell ref="M301:M302"/>
    <mergeCell ref="N301:N302"/>
    <mergeCell ref="M253:Q253"/>
    <mergeCell ref="J248:J249"/>
    <mergeCell ref="K248:K249"/>
    <mergeCell ref="Q257:Q258"/>
    <mergeCell ref="D869:I869"/>
    <mergeCell ref="M859:Q859"/>
    <mergeCell ref="M860:Q860"/>
    <mergeCell ref="D996:I996"/>
    <mergeCell ref="J996:J997"/>
    <mergeCell ref="K996:K997"/>
    <mergeCell ref="L996:L997"/>
    <mergeCell ref="D259:F259"/>
    <mergeCell ref="G259:I259"/>
    <mergeCell ref="G308:L308"/>
    <mergeCell ref="D520:I520"/>
    <mergeCell ref="O301:O302"/>
    <mergeCell ref="K294:K295"/>
    <mergeCell ref="G437:I437"/>
    <mergeCell ref="O430:O431"/>
    <mergeCell ref="D700:I700"/>
    <mergeCell ref="D436:F436"/>
    <mergeCell ref="G436:I436"/>
    <mergeCell ref="D435:F435"/>
    <mergeCell ref="D441:F441"/>
    <mergeCell ref="D459:F459"/>
    <mergeCell ref="D460:F460"/>
    <mergeCell ref="D271:F271"/>
    <mergeCell ref="G271:I271"/>
    <mergeCell ref="L407:L408"/>
    <mergeCell ref="C811:C816"/>
    <mergeCell ref="D502:F502"/>
    <mergeCell ref="D503:F503"/>
    <mergeCell ref="L404:L405"/>
    <mergeCell ref="G438:I438"/>
    <mergeCell ref="J404:K405"/>
    <mergeCell ref="G452:I452"/>
    <mergeCell ref="D514:F514"/>
    <mergeCell ref="G475:I475"/>
    <mergeCell ref="D534:I535"/>
    <mergeCell ref="J534:K535"/>
    <mergeCell ref="S741:S743"/>
    <mergeCell ref="D282:F282"/>
    <mergeCell ref="G282:I282"/>
    <mergeCell ref="S430:S431"/>
    <mergeCell ref="G288:I288"/>
    <mergeCell ref="L497:L498"/>
    <mergeCell ref="G435:I435"/>
    <mergeCell ref="D432:F432"/>
    <mergeCell ref="G432:I432"/>
    <mergeCell ref="D433:F433"/>
    <mergeCell ref="G433:I433"/>
    <mergeCell ref="Q430:Q431"/>
    <mergeCell ref="D453:F453"/>
    <mergeCell ref="D497:I498"/>
    <mergeCell ref="G474:I474"/>
    <mergeCell ref="G442:I442"/>
    <mergeCell ref="J492:J493"/>
    <mergeCell ref="K492:K493"/>
    <mergeCell ref="N513:N514"/>
    <mergeCell ref="O513:O514"/>
    <mergeCell ref="Q513:Q514"/>
    <mergeCell ref="D493:F493"/>
    <mergeCell ref="G493:I493"/>
    <mergeCell ref="D496:I496"/>
    <mergeCell ref="D467:F467"/>
    <mergeCell ref="G440:I440"/>
    <mergeCell ref="L513:L514"/>
    <mergeCell ref="O500:O501"/>
    <mergeCell ref="G441:I441"/>
    <mergeCell ref="K309:K310"/>
    <mergeCell ref="R500:R501"/>
    <mergeCell ref="Q700:Q701"/>
    <mergeCell ref="R700:R701"/>
    <mergeCell ref="M697:Q697"/>
    <mergeCell ref="M698:Q698"/>
    <mergeCell ref="R513:R514"/>
    <mergeCell ref="R737:R740"/>
    <mergeCell ref="D504:F504"/>
    <mergeCell ref="G502:I502"/>
    <mergeCell ref="D466:F466"/>
    <mergeCell ref="G465:I465"/>
    <mergeCell ref="G466:I466"/>
    <mergeCell ref="D456:F456"/>
    <mergeCell ref="D434:F434"/>
    <mergeCell ref="D298:I299"/>
    <mergeCell ref="D301:I301"/>
    <mergeCell ref="D288:F288"/>
    <mergeCell ref="D302:F302"/>
    <mergeCell ref="G447:I447"/>
    <mergeCell ref="D448:F448"/>
    <mergeCell ref="G434:I434"/>
    <mergeCell ref="D485:F485"/>
    <mergeCell ref="D197:F197"/>
    <mergeCell ref="J242:K243"/>
    <mergeCell ref="G458:I458"/>
    <mergeCell ref="D476:F476"/>
    <mergeCell ref="D462:F462"/>
    <mergeCell ref="J489:K490"/>
    <mergeCell ref="D265:F265"/>
    <mergeCell ref="M510:Q510"/>
    <mergeCell ref="D266:F266"/>
    <mergeCell ref="L697:L698"/>
    <mergeCell ref="M852:Q852"/>
    <mergeCell ref="G260:I260"/>
    <mergeCell ref="D261:F261"/>
    <mergeCell ref="G261:I261"/>
    <mergeCell ref="D269:F269"/>
    <mergeCell ref="G701:I701"/>
    <mergeCell ref="G462:I462"/>
    <mergeCell ref="D464:F464"/>
    <mergeCell ref="G470:I470"/>
    <mergeCell ref="D469:F469"/>
    <mergeCell ref="D831:F835"/>
    <mergeCell ref="N492:N493"/>
    <mergeCell ref="M853:Q853"/>
    <mergeCell ref="D430:I430"/>
    <mergeCell ref="G459:I459"/>
    <mergeCell ref="D472:F472"/>
    <mergeCell ref="O700:O701"/>
    <mergeCell ref="D285:F285"/>
    <mergeCell ref="G285:I285"/>
    <mergeCell ref="G472:I472"/>
    <mergeCell ref="G473:I473"/>
    <mergeCell ref="D474:F474"/>
    <mergeCell ref="D442:F442"/>
    <mergeCell ref="G444:I444"/>
    <mergeCell ref="D450:F450"/>
    <mergeCell ref="D599:F599"/>
    <mergeCell ref="D438:F438"/>
    <mergeCell ref="M405:Q405"/>
    <mergeCell ref="G468:I468"/>
    <mergeCell ref="D470:F470"/>
    <mergeCell ref="D486:F486"/>
    <mergeCell ref="G486:I486"/>
    <mergeCell ref="D443:F443"/>
    <mergeCell ref="D484:F484"/>
    <mergeCell ref="G484:I484"/>
    <mergeCell ref="D697:I698"/>
    <mergeCell ref="D701:F701"/>
    <mergeCell ref="D272:F272"/>
    <mergeCell ref="D284:F284"/>
    <mergeCell ref="G284:I284"/>
    <mergeCell ref="G273:I273"/>
    <mergeCell ref="G487:I487"/>
    <mergeCell ref="M490:Q490"/>
    <mergeCell ref="D488:I488"/>
    <mergeCell ref="M304:Q304"/>
    <mergeCell ref="Q309:Q310"/>
    <mergeCell ref="M407:M408"/>
    <mergeCell ref="N407:N408"/>
    <mergeCell ref="O407:O408"/>
    <mergeCell ref="D465:F465"/>
    <mergeCell ref="G450:I450"/>
    <mergeCell ref="G838:I838"/>
    <mergeCell ref="G839:I839"/>
    <mergeCell ref="L427:L428"/>
    <mergeCell ref="J510:K511"/>
    <mergeCell ref="C309:C310"/>
    <mergeCell ref="D304:I304"/>
    <mergeCell ref="D186:F186"/>
    <mergeCell ref="G186:I186"/>
    <mergeCell ref="D225:F225"/>
    <mergeCell ref="G225:I225"/>
    <mergeCell ref="D280:F280"/>
    <mergeCell ref="G280:I280"/>
    <mergeCell ref="D483:F483"/>
    <mergeCell ref="G483:I483"/>
    <mergeCell ref="D473:F473"/>
    <mergeCell ref="G446:I446"/>
    <mergeCell ref="D214:F214"/>
    <mergeCell ref="G214:I214"/>
    <mergeCell ref="D208:F208"/>
    <mergeCell ref="D454:F454"/>
    <mergeCell ref="G454:I454"/>
    <mergeCell ref="D455:F455"/>
    <mergeCell ref="G455:I455"/>
    <mergeCell ref="D458:F458"/>
    <mergeCell ref="D457:F457"/>
    <mergeCell ref="D451:F451"/>
    <mergeCell ref="G451:I451"/>
    <mergeCell ref="G457:I457"/>
    <mergeCell ref="D489:I490"/>
    <mergeCell ref="D468:F468"/>
    <mergeCell ref="G467:I467"/>
    <mergeCell ref="L298:L299"/>
    <mergeCell ref="D439:F439"/>
    <mergeCell ref="G439:I439"/>
    <mergeCell ref="D404:I405"/>
    <mergeCell ref="D426:I426"/>
    <mergeCell ref="G469:I469"/>
    <mergeCell ref="G449:I449"/>
    <mergeCell ref="G279:I279"/>
    <mergeCell ref="L248:L249"/>
    <mergeCell ref="G210:I210"/>
    <mergeCell ref="D252:F252"/>
    <mergeCell ref="G215:I215"/>
    <mergeCell ref="G453:I453"/>
    <mergeCell ref="G464:I464"/>
    <mergeCell ref="J254:K255"/>
    <mergeCell ref="L254:L255"/>
    <mergeCell ref="G211:I211"/>
    <mergeCell ref="D212:F212"/>
    <mergeCell ref="L257:L258"/>
    <mergeCell ref="C301:C302"/>
    <mergeCell ref="G246:L246"/>
    <mergeCell ref="D283:F283"/>
    <mergeCell ref="G283:I283"/>
    <mergeCell ref="J305:K306"/>
    <mergeCell ref="D223:F223"/>
    <mergeCell ref="G221:I221"/>
    <mergeCell ref="D274:F274"/>
    <mergeCell ref="G274:I274"/>
    <mergeCell ref="D471:F471"/>
    <mergeCell ref="G471:I471"/>
    <mergeCell ref="G269:I269"/>
    <mergeCell ref="G266:I266"/>
    <mergeCell ref="D263:F263"/>
    <mergeCell ref="G263:I263"/>
    <mergeCell ref="D492:I492"/>
    <mergeCell ref="D273:F273"/>
    <mergeCell ref="J992:K993"/>
    <mergeCell ref="B500:B501"/>
    <mergeCell ref="J500:J501"/>
    <mergeCell ref="J513:J514"/>
    <mergeCell ref="Q855:Q856"/>
    <mergeCell ref="M873:Q873"/>
    <mergeCell ref="J859:K860"/>
    <mergeCell ref="L859:L860"/>
    <mergeCell ref="D858:I858"/>
    <mergeCell ref="J858:K858"/>
    <mergeCell ref="M858:Q858"/>
    <mergeCell ref="L855:L856"/>
    <mergeCell ref="B862:B863"/>
    <mergeCell ref="C862:C863"/>
    <mergeCell ref="B1006:B1007"/>
    <mergeCell ref="C1006:C1007"/>
    <mergeCell ref="B996:B997"/>
    <mergeCell ref="C877:C878"/>
    <mergeCell ref="L877:L878"/>
    <mergeCell ref="D895:I896"/>
    <mergeCell ref="J895:K896"/>
    <mergeCell ref="L895:L896"/>
    <mergeCell ref="M895:Q895"/>
    <mergeCell ref="M896:Q896"/>
    <mergeCell ref="D914:I914"/>
    <mergeCell ref="J914:K914"/>
    <mergeCell ref="M914:Q914"/>
    <mergeCell ref="D925:I926"/>
    <mergeCell ref="J925:K926"/>
    <mergeCell ref="L925:L926"/>
    <mergeCell ref="M925:Q925"/>
    <mergeCell ref="M926:Q926"/>
    <mergeCell ref="B598:B599"/>
    <mergeCell ref="C598:C599"/>
    <mergeCell ref="C524:C525"/>
    <mergeCell ref="B700:B701"/>
    <mergeCell ref="M596:Q596"/>
    <mergeCell ref="M537:M538"/>
    <mergeCell ref="N598:N599"/>
    <mergeCell ref="L537:L538"/>
    <mergeCell ref="L649:L650"/>
    <mergeCell ref="B649:B650"/>
    <mergeCell ref="M883:Q883"/>
    <mergeCell ref="L918:L919"/>
    <mergeCell ref="M918:M919"/>
    <mergeCell ref="N918:N919"/>
    <mergeCell ref="K598:K599"/>
    <mergeCell ref="M509:Q509"/>
    <mergeCell ref="J533:K533"/>
    <mergeCell ref="Q524:Q525"/>
    <mergeCell ref="G599:I599"/>
    <mergeCell ref="J949:K949"/>
    <mergeCell ref="M949:Q949"/>
    <mergeCell ref="J950:K951"/>
    <mergeCell ref="D915:I916"/>
    <mergeCell ref="C807:C808"/>
    <mergeCell ref="B785:B808"/>
    <mergeCell ref="C744:C745"/>
    <mergeCell ref="B702:B711"/>
    <mergeCell ref="D859:I860"/>
    <mergeCell ref="D852:I853"/>
    <mergeCell ref="C720:C721"/>
    <mergeCell ref="C855:C856"/>
    <mergeCell ref="D510:I511"/>
    <mergeCell ref="G230:I230"/>
    <mergeCell ref="B524:B525"/>
    <mergeCell ref="B513:B514"/>
    <mergeCell ref="N500:N501"/>
    <mergeCell ref="U513:U514"/>
    <mergeCell ref="M959:Q959"/>
    <mergeCell ref="L1006:L1007"/>
    <mergeCell ref="K1006:K1007"/>
    <mergeCell ref="M1006:M1007"/>
    <mergeCell ref="N1006:N1007"/>
    <mergeCell ref="D1023:I1024"/>
    <mergeCell ref="J1023:K1024"/>
    <mergeCell ref="C500:C501"/>
    <mergeCell ref="C513:C514"/>
    <mergeCell ref="C537:C538"/>
    <mergeCell ref="O649:O650"/>
    <mergeCell ref="C710:C711"/>
    <mergeCell ref="J715:K716"/>
    <mergeCell ref="D446:F446"/>
    <mergeCell ref="D440:F440"/>
    <mergeCell ref="L950:L951"/>
    <mergeCell ref="M951:Q951"/>
    <mergeCell ref="D950:I951"/>
    <mergeCell ref="M1016:M1017"/>
    <mergeCell ref="N1016:N1017"/>
    <mergeCell ref="O1016:O1017"/>
    <mergeCell ref="Q1016:Q1017"/>
    <mergeCell ref="J884:K885"/>
    <mergeCell ref="M855:M856"/>
    <mergeCell ref="N855:N856"/>
    <mergeCell ref="O855:O856"/>
    <mergeCell ref="R918:R919"/>
    <mergeCell ref="N888:N889"/>
    <mergeCell ref="O888:O889"/>
    <mergeCell ref="Q888:Q889"/>
    <mergeCell ref="D1012:I1012"/>
    <mergeCell ref="D862:I862"/>
    <mergeCell ref="D1006:I1006"/>
    <mergeCell ref="J1006:J1007"/>
    <mergeCell ref="J855:J856"/>
    <mergeCell ref="K855:K856"/>
    <mergeCell ref="J1012:K1012"/>
    <mergeCell ref="M1012:Q1012"/>
    <mergeCell ref="D1013:I1014"/>
    <mergeCell ref="J1013:K1014"/>
    <mergeCell ref="L1013:L1014"/>
    <mergeCell ref="M1013:Q1013"/>
    <mergeCell ref="R1006:R1007"/>
    <mergeCell ref="D904:I904"/>
    <mergeCell ref="O918:O919"/>
    <mergeCell ref="Q918:Q919"/>
    <mergeCell ref="M960:Q960"/>
    <mergeCell ref="G986:I986"/>
    <mergeCell ref="J496:K496"/>
    <mergeCell ref="M496:Q496"/>
    <mergeCell ref="L492:L493"/>
    <mergeCell ref="M492:M493"/>
    <mergeCell ref="C831:C835"/>
    <mergeCell ref="R1016:R1017"/>
    <mergeCell ref="D991:I991"/>
    <mergeCell ref="J991:K991"/>
    <mergeCell ref="M991:Q991"/>
    <mergeCell ref="D992:I993"/>
    <mergeCell ref="T1006:T1007"/>
    <mergeCell ref="N1056:N1057"/>
    <mergeCell ref="B537:B538"/>
    <mergeCell ref="C2:S2"/>
    <mergeCell ref="B1:C1"/>
    <mergeCell ref="D1:U1"/>
    <mergeCell ref="U4486:U4498"/>
    <mergeCell ref="U898:U899"/>
    <mergeCell ref="D275:F275"/>
    <mergeCell ref="U4393:U4407"/>
    <mergeCell ref="C805:C806"/>
    <mergeCell ref="R805:R806"/>
    <mergeCell ref="S805:S806"/>
    <mergeCell ref="T811:T816"/>
    <mergeCell ref="S811:S816"/>
    <mergeCell ref="R811:R816"/>
    <mergeCell ref="D106:F106"/>
    <mergeCell ref="G106:I106"/>
    <mergeCell ref="D145:F145"/>
    <mergeCell ref="G145:I145"/>
    <mergeCell ref="D184:F184"/>
    <mergeCell ref="G252:I252"/>
    <mergeCell ref="D219:F219"/>
    <mergeCell ref="D278:F278"/>
    <mergeCell ref="G278:I278"/>
    <mergeCell ref="D279:F279"/>
    <mergeCell ref="G223:I223"/>
    <mergeCell ref="D276:F276"/>
    <mergeCell ref="G276:I276"/>
    <mergeCell ref="M428:Q428"/>
    <mergeCell ref="D309:I309"/>
    <mergeCell ref="J309:J310"/>
    <mergeCell ref="M306:Q306"/>
    <mergeCell ref="J426:K426"/>
    <mergeCell ref="M426:Q426"/>
    <mergeCell ref="D407:I407"/>
    <mergeCell ref="D267:F267"/>
    <mergeCell ref="D254:I255"/>
    <mergeCell ref="D290:I291"/>
    <mergeCell ref="M1003:Q1003"/>
    <mergeCell ref="M1004:Q1004"/>
    <mergeCell ref="D997:F997"/>
    <mergeCell ref="G997:I997"/>
    <mergeCell ref="D1002:I1002"/>
    <mergeCell ref="J1002:K1002"/>
    <mergeCell ref="M1002:Q1002"/>
    <mergeCell ref="M996:M997"/>
    <mergeCell ref="N996:N997"/>
    <mergeCell ref="O996:O997"/>
    <mergeCell ref="Q996:Q997"/>
    <mergeCell ref="L1016:L1017"/>
    <mergeCell ref="O1046:O1047"/>
    <mergeCell ref="M1014:Q1014"/>
    <mergeCell ref="O1006:O1007"/>
    <mergeCell ref="Q1006:Q1007"/>
    <mergeCell ref="M877:M878"/>
    <mergeCell ref="N877:N878"/>
    <mergeCell ref="O877:O878"/>
    <mergeCell ref="D940:I941"/>
    <mergeCell ref="B888:B889"/>
    <mergeCell ref="D924:I924"/>
    <mergeCell ref="D191:F191"/>
    <mergeCell ref="G191:I191"/>
    <mergeCell ref="C722:C729"/>
    <mergeCell ref="D230:F230"/>
    <mergeCell ref="C737:C740"/>
    <mergeCell ref="C799:C800"/>
    <mergeCell ref="C801:C802"/>
    <mergeCell ref="C730:C734"/>
    <mergeCell ref="N898:N899"/>
    <mergeCell ref="L852:L853"/>
    <mergeCell ref="L4675:L4676"/>
    <mergeCell ref="M4675:Q4675"/>
    <mergeCell ref="M4676:Q4676"/>
    <mergeCell ref="D4670:F4670"/>
    <mergeCell ref="G4670:I4670"/>
    <mergeCell ref="D4674:I4674"/>
    <mergeCell ref="J4674:K4674"/>
    <mergeCell ref="M4674:Q4674"/>
    <mergeCell ref="D1063:I1064"/>
    <mergeCell ref="J1063:K1064"/>
    <mergeCell ref="L1063:L1064"/>
    <mergeCell ref="M1063:Q1063"/>
    <mergeCell ref="B4389:B4390"/>
    <mergeCell ref="U336:U345"/>
    <mergeCell ref="O492:O493"/>
    <mergeCell ref="Q492:Q493"/>
    <mergeCell ref="C4389:C4390"/>
    <mergeCell ref="Q4389:Q4390"/>
    <mergeCell ref="D4389:I4389"/>
    <mergeCell ref="R492:R493"/>
    <mergeCell ref="T492:T493"/>
    <mergeCell ref="B4668:B4669"/>
    <mergeCell ref="C4668:C4669"/>
    <mergeCell ref="D4668:I4668"/>
    <mergeCell ref="J4668:J4669"/>
    <mergeCell ref="K4668:K4669"/>
    <mergeCell ref="L4668:L4669"/>
    <mergeCell ref="M4668:M4669"/>
    <mergeCell ref="N4668:N4669"/>
    <mergeCell ref="O4668:O4669"/>
    <mergeCell ref="Q4668:Q4669"/>
    <mergeCell ref="R4668:R4669"/>
    <mergeCell ref="S4668:S4669"/>
    <mergeCell ref="T4668:T4669"/>
    <mergeCell ref="U4668:U4669"/>
    <mergeCell ref="D4669:F4669"/>
    <mergeCell ref="G4669:I4669"/>
    <mergeCell ref="B492:B493"/>
    <mergeCell ref="U407:U408"/>
    <mergeCell ref="D408:F408"/>
    <mergeCell ref="G408:I408"/>
    <mergeCell ref="B430:B431"/>
    <mergeCell ref="C430:C431"/>
    <mergeCell ref="J430:J431"/>
    <mergeCell ref="K430:K431"/>
    <mergeCell ref="C492:C493"/>
    <mergeCell ref="D444:F444"/>
    <mergeCell ref="D437:F437"/>
    <mergeCell ref="U492:U493"/>
    <mergeCell ref="U1006:U1007"/>
    <mergeCell ref="J509:K509"/>
    <mergeCell ref="K513:K514"/>
    <mergeCell ref="L521:L522"/>
    <mergeCell ref="C735:C736"/>
    <mergeCell ref="C741:C743"/>
    <mergeCell ref="B855:B856"/>
    <mergeCell ref="U849:U850"/>
    <mergeCell ref="C774:C777"/>
    <mergeCell ref="B4816:B4817"/>
    <mergeCell ref="C4816:C4817"/>
    <mergeCell ref="D4816:I4816"/>
    <mergeCell ref="J4816:J4817"/>
    <mergeCell ref="K4816:K4817"/>
    <mergeCell ref="AJ841:AJ848"/>
    <mergeCell ref="AK841:AM848"/>
    <mergeCell ref="AY841:AY848"/>
    <mergeCell ref="AZ841:AZ848"/>
    <mergeCell ref="BA841:BA848"/>
    <mergeCell ref="BB841:BB848"/>
    <mergeCell ref="AN846:AP846"/>
    <mergeCell ref="AN848:AP848"/>
    <mergeCell ref="D836:F840"/>
    <mergeCell ref="G833:I833"/>
    <mergeCell ref="G834:I834"/>
    <mergeCell ref="B831:B835"/>
    <mergeCell ref="B836:B840"/>
    <mergeCell ref="D195:F195"/>
    <mergeCell ref="G195:I195"/>
    <mergeCell ref="D234:F234"/>
    <mergeCell ref="G234:I234"/>
    <mergeCell ref="D4549:F4549"/>
    <mergeCell ref="G4549:I4549"/>
    <mergeCell ref="J862:J863"/>
    <mergeCell ref="K862:K863"/>
    <mergeCell ref="J869:J870"/>
    <mergeCell ref="D855:I855"/>
    <mergeCell ref="M522:Q522"/>
    <mergeCell ref="L598:L599"/>
    <mergeCell ref="M598:M599"/>
    <mergeCell ref="D524:I524"/>
    <mergeCell ref="M500:M501"/>
    <mergeCell ref="D809:F810"/>
    <mergeCell ref="G809:I810"/>
    <mergeCell ref="M1043:Q1043"/>
    <mergeCell ref="M1044:Q1044"/>
    <mergeCell ref="G1047:I1047"/>
    <mergeCell ref="D1052:I1052"/>
    <mergeCell ref="B918:B919"/>
    <mergeCell ref="C918:C919"/>
    <mergeCell ref="D918:I918"/>
    <mergeCell ref="J918:J919"/>
    <mergeCell ref="K918:K919"/>
    <mergeCell ref="B877:B878"/>
    <mergeCell ref="D949:I949"/>
    <mergeCell ref="D930:I930"/>
    <mergeCell ref="C869:C870"/>
    <mergeCell ref="C755:C758"/>
    <mergeCell ref="C752:C754"/>
    <mergeCell ref="D1003:I1004"/>
    <mergeCell ref="J1003:K1004"/>
    <mergeCell ref="L1003:L1004"/>
    <mergeCell ref="B869:B870"/>
    <mergeCell ref="G785:I808"/>
    <mergeCell ref="G503:I503"/>
    <mergeCell ref="N649:N650"/>
    <mergeCell ref="K700:K701"/>
    <mergeCell ref="C849:C850"/>
    <mergeCell ref="D849:F850"/>
    <mergeCell ref="T849:T850"/>
    <mergeCell ref="D987:F987"/>
    <mergeCell ref="G987:I987"/>
    <mergeCell ref="O537:O538"/>
    <mergeCell ref="S849:S850"/>
    <mergeCell ref="R849:R850"/>
    <mergeCell ref="L4816:L4817"/>
    <mergeCell ref="M4816:M4817"/>
    <mergeCell ref="N4816:N4817"/>
    <mergeCell ref="O4816:O4817"/>
    <mergeCell ref="Q4816:Q4817"/>
    <mergeCell ref="R4816:R4817"/>
    <mergeCell ref="S4816:S4817"/>
    <mergeCell ref="T4816:T4817"/>
    <mergeCell ref="U4816:U4817"/>
    <mergeCell ref="D4817:F4817"/>
    <mergeCell ref="G4817:I4817"/>
    <mergeCell ref="D4818:F4818"/>
    <mergeCell ref="G4818:I4818"/>
    <mergeCell ref="D4823:I4823"/>
    <mergeCell ref="J4823:K4823"/>
    <mergeCell ref="M4823:Q4823"/>
    <mergeCell ref="D4824:I4825"/>
    <mergeCell ref="J4824:K4825"/>
    <mergeCell ref="L4824:L4825"/>
    <mergeCell ref="M4824:Q4824"/>
    <mergeCell ref="M4825:Q4825"/>
    <mergeCell ref="D120:F120"/>
    <mergeCell ref="G120:I120"/>
    <mergeCell ref="D121:F121"/>
    <mergeCell ref="G121:I121"/>
    <mergeCell ref="D122:F122"/>
    <mergeCell ref="G122:I122"/>
    <mergeCell ref="D159:F159"/>
    <mergeCell ref="G159:I159"/>
    <mergeCell ref="D160:F160"/>
    <mergeCell ref="G160:I160"/>
    <mergeCell ref="D161:F161"/>
    <mergeCell ref="G161:I161"/>
    <mergeCell ref="D198:F198"/>
    <mergeCell ref="G198:I198"/>
    <mergeCell ref="D199:F199"/>
    <mergeCell ref="G199:I199"/>
    <mergeCell ref="D200:F200"/>
    <mergeCell ref="G200:I200"/>
    <mergeCell ref="D237:F237"/>
    <mergeCell ref="G237:I237"/>
    <mergeCell ref="D238:F238"/>
    <mergeCell ref="G238:I238"/>
    <mergeCell ref="D239:F239"/>
    <mergeCell ref="G239:I239"/>
    <mergeCell ref="Q598:Q599"/>
    <mergeCell ref="J520:K520"/>
    <mergeCell ref="M520:Q520"/>
    <mergeCell ref="M521:Q521"/>
    <mergeCell ref="J924:K924"/>
    <mergeCell ref="D986:F986"/>
    <mergeCell ref="M950:Q950"/>
    <mergeCell ref="G1001:I1001"/>
    <mergeCell ref="D1007:F1007"/>
    <mergeCell ref="G1007:I1007"/>
    <mergeCell ref="R996:R997"/>
    <mergeCell ref="L510:L511"/>
    <mergeCell ref="D509:I509"/>
    <mergeCell ref="M513:M514"/>
    <mergeCell ref="L242:L243"/>
    <mergeCell ref="D452:F452"/>
    <mergeCell ref="M924:Q924"/>
  </mergeCells>
  <phoneticPr fontId="98" type="noConversion"/>
  <conditionalFormatting sqref="J15:K17 J25:K27 J35:K37 J45:K47 J55:K57 J65:K67 J75:K77 J86:K88 J125:K127 J164:K166 J203:K205 J242:K244 J254:K256 J298:K300 J305:K307 J427:K429 J489:K491 J497:K499 J510:K512">
    <cfRule type="cellIs" dxfId="747" priority="857" operator="greaterThanOrEqual">
      <formula>1</formula>
    </cfRule>
    <cfRule type="cellIs" dxfId="746" priority="858" operator="greaterThan">
      <formula>100%</formula>
    </cfRule>
  </conditionalFormatting>
  <conditionalFormatting sqref="J290:K292">
    <cfRule type="cellIs" dxfId="745" priority="27" operator="greaterThanOrEqual">
      <formula>1</formula>
    </cfRule>
    <cfRule type="cellIs" dxfId="744" priority="28" operator="greaterThan">
      <formula>100%</formula>
    </cfRule>
  </conditionalFormatting>
  <conditionalFormatting sqref="J404:K406">
    <cfRule type="cellIs" dxfId="743" priority="25" operator="greaterThanOrEqual">
      <formula>1</formula>
    </cfRule>
    <cfRule type="cellIs" dxfId="742" priority="26" operator="greaterThan">
      <formula>100%</formula>
    </cfRule>
  </conditionalFormatting>
  <conditionalFormatting sqref="J521:K523">
    <cfRule type="cellIs" dxfId="741" priority="810" operator="greaterThan">
      <formula>100%</formula>
    </cfRule>
    <cfRule type="cellIs" dxfId="740" priority="809" operator="greaterThanOrEqual">
      <formula>1</formula>
    </cfRule>
  </conditionalFormatting>
  <conditionalFormatting sqref="J534:K536">
    <cfRule type="cellIs" dxfId="739" priority="807" operator="greaterThanOrEqual">
      <formula>1</formula>
    </cfRule>
    <cfRule type="cellIs" dxfId="738" priority="808" operator="greaterThan">
      <formula>100%</formula>
    </cfRule>
  </conditionalFormatting>
  <conditionalFormatting sqref="J595:K597">
    <cfRule type="cellIs" dxfId="737" priority="805" operator="greaterThanOrEqual">
      <formula>1</formula>
    </cfRule>
    <cfRule type="cellIs" dxfId="736" priority="806" operator="greaterThan">
      <formula>100%</formula>
    </cfRule>
  </conditionalFormatting>
  <conditionalFormatting sqref="J646:K648">
    <cfRule type="cellIs" dxfId="735" priority="803" operator="greaterThanOrEqual">
      <formula>1</formula>
    </cfRule>
    <cfRule type="cellIs" dxfId="734" priority="804" operator="greaterThan">
      <formula>100%</formula>
    </cfRule>
  </conditionalFormatting>
  <conditionalFormatting sqref="J697:K699">
    <cfRule type="cellIs" dxfId="733" priority="801" operator="greaterThanOrEqual">
      <formula>1</formula>
    </cfRule>
    <cfRule type="cellIs" dxfId="732" priority="802" operator="greaterThan">
      <formula>100%</formula>
    </cfRule>
  </conditionalFormatting>
  <conditionalFormatting sqref="J715:K717">
    <cfRule type="cellIs" dxfId="731" priority="800" operator="greaterThan">
      <formula>100%</formula>
    </cfRule>
    <cfRule type="cellIs" dxfId="730" priority="799" operator="greaterThanOrEqual">
      <formula>1</formula>
    </cfRule>
  </conditionalFormatting>
  <conditionalFormatting sqref="J852:K854">
    <cfRule type="cellIs" dxfId="729" priority="798" operator="greaterThan">
      <formula>100%</formula>
    </cfRule>
    <cfRule type="cellIs" dxfId="728" priority="797" operator="greaterThanOrEqual">
      <formula>1</formula>
    </cfRule>
  </conditionalFormatting>
  <conditionalFormatting sqref="J859:K861">
    <cfRule type="cellIs" dxfId="727" priority="795" operator="greaterThanOrEqual">
      <formula>1</formula>
    </cfRule>
    <cfRule type="cellIs" dxfId="726" priority="796" operator="greaterThan">
      <formula>100%</formula>
    </cfRule>
  </conditionalFormatting>
  <conditionalFormatting sqref="J866:K868">
    <cfRule type="cellIs" dxfId="725" priority="794" operator="greaterThan">
      <formula>100%</formula>
    </cfRule>
    <cfRule type="cellIs" dxfId="724" priority="793" operator="greaterThanOrEqual">
      <formula>1</formula>
    </cfRule>
  </conditionalFormatting>
  <conditionalFormatting sqref="J874:K876">
    <cfRule type="cellIs" dxfId="723" priority="792" operator="greaterThan">
      <formula>100%</formula>
    </cfRule>
    <cfRule type="cellIs" dxfId="722" priority="791" operator="greaterThanOrEqual">
      <formula>1</formula>
    </cfRule>
  </conditionalFormatting>
  <conditionalFormatting sqref="J884:K886">
    <cfRule type="cellIs" dxfId="721" priority="789" operator="greaterThanOrEqual">
      <formula>1</formula>
    </cfRule>
    <cfRule type="cellIs" dxfId="720" priority="790" operator="greaterThan">
      <formula>100%</formula>
    </cfRule>
  </conditionalFormatting>
  <conditionalFormatting sqref="J895:K897">
    <cfRule type="cellIs" dxfId="719" priority="787" operator="greaterThanOrEqual">
      <formula>1</formula>
    </cfRule>
    <cfRule type="cellIs" dxfId="718" priority="788" operator="greaterThan">
      <formula>100%</formula>
    </cfRule>
  </conditionalFormatting>
  <conditionalFormatting sqref="J905:K907">
    <cfRule type="cellIs" dxfId="717" priority="785" operator="greaterThanOrEqual">
      <formula>1</formula>
    </cfRule>
    <cfRule type="cellIs" dxfId="716" priority="786" operator="greaterThan">
      <formula>100%</formula>
    </cfRule>
  </conditionalFormatting>
  <conditionalFormatting sqref="J915:K917">
    <cfRule type="cellIs" dxfId="715" priority="783" operator="greaterThanOrEqual">
      <formula>1</formula>
    </cfRule>
    <cfRule type="cellIs" dxfId="714" priority="784" operator="greaterThan">
      <formula>100%</formula>
    </cfRule>
  </conditionalFormatting>
  <conditionalFormatting sqref="J925:K927">
    <cfRule type="cellIs" dxfId="713" priority="781" operator="greaterThanOrEqual">
      <formula>1</formula>
    </cfRule>
    <cfRule type="cellIs" dxfId="712" priority="782" operator="greaterThan">
      <formula>100%</formula>
    </cfRule>
  </conditionalFormatting>
  <conditionalFormatting sqref="J940:K942">
    <cfRule type="cellIs" dxfId="711" priority="779" operator="greaterThanOrEqual">
      <formula>1</formula>
    </cfRule>
    <cfRule type="cellIs" dxfId="710" priority="780" operator="greaterThan">
      <formula>100%</formula>
    </cfRule>
  </conditionalFormatting>
  <conditionalFormatting sqref="J950:K952">
    <cfRule type="cellIs" dxfId="709" priority="778" operator="greaterThan">
      <formula>100%</formula>
    </cfRule>
    <cfRule type="cellIs" dxfId="708" priority="777" operator="greaterThanOrEqual">
      <formula>1</formula>
    </cfRule>
  </conditionalFormatting>
  <conditionalFormatting sqref="J959:K961">
    <cfRule type="cellIs" dxfId="707" priority="776" operator="greaterThan">
      <formula>100%</formula>
    </cfRule>
    <cfRule type="cellIs" dxfId="706" priority="775" operator="greaterThanOrEqual">
      <formula>1</formula>
    </cfRule>
  </conditionalFormatting>
  <conditionalFormatting sqref="J980:K982">
    <cfRule type="cellIs" dxfId="705" priority="774" operator="greaterThan">
      <formula>100%</formula>
    </cfRule>
    <cfRule type="cellIs" dxfId="704" priority="773" operator="greaterThanOrEqual">
      <formula>1</formula>
    </cfRule>
  </conditionalFormatting>
  <conditionalFormatting sqref="J992:K994">
    <cfRule type="cellIs" dxfId="703" priority="772" operator="greaterThan">
      <formula>100%</formula>
    </cfRule>
    <cfRule type="cellIs" dxfId="702" priority="771" operator="greaterThanOrEqual">
      <formula>1</formula>
    </cfRule>
  </conditionalFormatting>
  <conditionalFormatting sqref="J1003:K1005">
    <cfRule type="cellIs" dxfId="701" priority="770" operator="greaterThan">
      <formula>100%</formula>
    </cfRule>
    <cfRule type="cellIs" dxfId="700" priority="769" operator="greaterThanOrEqual">
      <formula>1</formula>
    </cfRule>
  </conditionalFormatting>
  <conditionalFormatting sqref="J1013:K1015">
    <cfRule type="cellIs" dxfId="699" priority="768" operator="greaterThan">
      <formula>100%</formula>
    </cfRule>
    <cfRule type="cellIs" dxfId="698" priority="767" operator="greaterThanOrEqual">
      <formula>1</formula>
    </cfRule>
  </conditionalFormatting>
  <conditionalFormatting sqref="J1023:K1025">
    <cfRule type="cellIs" dxfId="697" priority="766" operator="greaterThan">
      <formula>100%</formula>
    </cfRule>
    <cfRule type="cellIs" dxfId="696" priority="765" operator="greaterThanOrEqual">
      <formula>1</formula>
    </cfRule>
  </conditionalFormatting>
  <conditionalFormatting sqref="J1033:K1035">
    <cfRule type="cellIs" dxfId="695" priority="764" operator="greaterThan">
      <formula>100%</formula>
    </cfRule>
    <cfRule type="cellIs" dxfId="694" priority="763" operator="greaterThanOrEqual">
      <formula>1</formula>
    </cfRule>
  </conditionalFormatting>
  <conditionalFormatting sqref="J1043:K1045">
    <cfRule type="cellIs" dxfId="693" priority="762" operator="greaterThan">
      <formula>100%</formula>
    </cfRule>
    <cfRule type="cellIs" dxfId="692" priority="761" operator="greaterThanOrEqual">
      <formula>1</formula>
    </cfRule>
  </conditionalFormatting>
  <conditionalFormatting sqref="J1053:K1055">
    <cfRule type="cellIs" dxfId="691" priority="760" operator="greaterThan">
      <formula>100%</formula>
    </cfRule>
    <cfRule type="cellIs" dxfId="690" priority="759" operator="greaterThanOrEqual">
      <formula>1</formula>
    </cfRule>
  </conditionalFormatting>
  <conditionalFormatting sqref="J1063:K1065">
    <cfRule type="cellIs" dxfId="689" priority="758" operator="greaterThan">
      <formula>100%</formula>
    </cfRule>
    <cfRule type="cellIs" dxfId="688" priority="757" operator="greaterThanOrEqual">
      <formula>1</formula>
    </cfRule>
  </conditionalFormatting>
  <conditionalFormatting sqref="J1073:K1075">
    <cfRule type="cellIs" dxfId="687" priority="756" operator="greaterThan">
      <formula>100%</formula>
    </cfRule>
    <cfRule type="cellIs" dxfId="686" priority="755" operator="greaterThanOrEqual">
      <formula>1</formula>
    </cfRule>
  </conditionalFormatting>
  <conditionalFormatting sqref="J1083:K1085">
    <cfRule type="cellIs" dxfId="685" priority="754" operator="greaterThan">
      <formula>100%</formula>
    </cfRule>
    <cfRule type="cellIs" dxfId="684" priority="753" operator="greaterThanOrEqual">
      <formula>1</formula>
    </cfRule>
  </conditionalFormatting>
  <conditionalFormatting sqref="J1093:K1095">
    <cfRule type="cellIs" dxfId="683" priority="752" operator="greaterThan">
      <formula>100%</formula>
    </cfRule>
    <cfRule type="cellIs" dxfId="682" priority="751" operator="greaterThanOrEqual">
      <formula>1</formula>
    </cfRule>
  </conditionalFormatting>
  <conditionalFormatting sqref="J1103:K1105">
    <cfRule type="cellIs" dxfId="681" priority="750" operator="greaterThan">
      <formula>100%</formula>
    </cfRule>
    <cfRule type="cellIs" dxfId="680" priority="749" operator="greaterThanOrEqual">
      <formula>1</formula>
    </cfRule>
  </conditionalFormatting>
  <conditionalFormatting sqref="J1113:K1115">
    <cfRule type="cellIs" dxfId="679" priority="748" operator="greaterThan">
      <formula>100%</formula>
    </cfRule>
    <cfRule type="cellIs" dxfId="678" priority="747" operator="greaterThanOrEqual">
      <formula>1</formula>
    </cfRule>
  </conditionalFormatting>
  <conditionalFormatting sqref="J1123:K1125">
    <cfRule type="cellIs" dxfId="677" priority="746" operator="greaterThan">
      <formula>100%</formula>
    </cfRule>
    <cfRule type="cellIs" dxfId="676" priority="745" operator="greaterThanOrEqual">
      <formula>1</formula>
    </cfRule>
  </conditionalFormatting>
  <conditionalFormatting sqref="J1133:K1135">
    <cfRule type="cellIs" dxfId="675" priority="744" operator="greaterThan">
      <formula>100%</formula>
    </cfRule>
    <cfRule type="cellIs" dxfId="674" priority="743" operator="greaterThanOrEqual">
      <formula>1</formula>
    </cfRule>
  </conditionalFormatting>
  <conditionalFormatting sqref="J1144:K1146">
    <cfRule type="cellIs" dxfId="673" priority="742" operator="greaterThan">
      <formula>100%</formula>
    </cfRule>
    <cfRule type="cellIs" dxfId="672" priority="741" operator="greaterThanOrEqual">
      <formula>1</formula>
    </cfRule>
  </conditionalFormatting>
  <conditionalFormatting sqref="J1154:K1156">
    <cfRule type="cellIs" dxfId="671" priority="740" operator="greaterThan">
      <formula>100%</formula>
    </cfRule>
    <cfRule type="cellIs" dxfId="670" priority="739" operator="greaterThanOrEqual">
      <formula>1</formula>
    </cfRule>
  </conditionalFormatting>
  <conditionalFormatting sqref="J1164:K1166">
    <cfRule type="cellIs" dxfId="669" priority="738" operator="greaterThan">
      <formula>100%</formula>
    </cfRule>
    <cfRule type="cellIs" dxfId="668" priority="737" operator="greaterThanOrEqual">
      <formula>1</formula>
    </cfRule>
  </conditionalFormatting>
  <conditionalFormatting sqref="J1174:K1176">
    <cfRule type="cellIs" dxfId="667" priority="736" operator="greaterThan">
      <formula>100%</formula>
    </cfRule>
    <cfRule type="cellIs" dxfId="666" priority="735" operator="greaterThanOrEqual">
      <formula>1</formula>
    </cfRule>
  </conditionalFormatting>
  <conditionalFormatting sqref="J1184:K1186">
    <cfRule type="cellIs" dxfId="665" priority="734" operator="greaterThan">
      <formula>100%</formula>
    </cfRule>
    <cfRule type="cellIs" dxfId="664" priority="733" operator="greaterThanOrEqual">
      <formula>1</formula>
    </cfRule>
  </conditionalFormatting>
  <conditionalFormatting sqref="J1194:K1196">
    <cfRule type="cellIs" dxfId="663" priority="732" operator="greaterThan">
      <formula>100%</formula>
    </cfRule>
    <cfRule type="cellIs" dxfId="662" priority="731" operator="greaterThanOrEqual">
      <formula>1</formula>
    </cfRule>
  </conditionalFormatting>
  <conditionalFormatting sqref="J1204:K1206">
    <cfRule type="cellIs" dxfId="661" priority="730" operator="greaterThan">
      <formula>100%</formula>
    </cfRule>
    <cfRule type="cellIs" dxfId="660" priority="729" operator="greaterThanOrEqual">
      <formula>1</formula>
    </cfRule>
  </conditionalFormatting>
  <conditionalFormatting sqref="J1214:K1216">
    <cfRule type="cellIs" dxfId="659" priority="728" operator="greaterThan">
      <formula>100%</formula>
    </cfRule>
    <cfRule type="cellIs" dxfId="658" priority="727" operator="greaterThanOrEqual">
      <formula>1</formula>
    </cfRule>
  </conditionalFormatting>
  <conditionalFormatting sqref="J1224:K1226">
    <cfRule type="cellIs" dxfId="657" priority="726" operator="greaterThan">
      <formula>100%</formula>
    </cfRule>
    <cfRule type="cellIs" dxfId="656" priority="725" operator="greaterThanOrEqual">
      <formula>1</formula>
    </cfRule>
  </conditionalFormatting>
  <conditionalFormatting sqref="J1234:K1236">
    <cfRule type="cellIs" dxfId="655" priority="724" operator="greaterThan">
      <formula>100%</formula>
    </cfRule>
    <cfRule type="cellIs" dxfId="654" priority="723" operator="greaterThanOrEqual">
      <formula>1</formula>
    </cfRule>
  </conditionalFormatting>
  <conditionalFormatting sqref="J1244:K1246">
    <cfRule type="cellIs" dxfId="653" priority="722" operator="greaterThan">
      <formula>100%</formula>
    </cfRule>
    <cfRule type="cellIs" dxfId="652" priority="721" operator="greaterThanOrEqual">
      <formula>1</formula>
    </cfRule>
  </conditionalFormatting>
  <conditionalFormatting sqref="J1254:K1256">
    <cfRule type="cellIs" dxfId="651" priority="719" operator="greaterThanOrEqual">
      <formula>1</formula>
    </cfRule>
    <cfRule type="cellIs" dxfId="650" priority="720" operator="greaterThan">
      <formula>100%</formula>
    </cfRule>
  </conditionalFormatting>
  <conditionalFormatting sqref="J1264:K1266">
    <cfRule type="cellIs" dxfId="649" priority="718" operator="greaterThan">
      <formula>100%</formula>
    </cfRule>
    <cfRule type="cellIs" dxfId="648" priority="717" operator="greaterThanOrEqual">
      <formula>1</formula>
    </cfRule>
  </conditionalFormatting>
  <conditionalFormatting sqref="J1274:K1276">
    <cfRule type="cellIs" dxfId="647" priority="716" operator="greaterThan">
      <formula>100%</formula>
    </cfRule>
    <cfRule type="cellIs" dxfId="646" priority="715" operator="greaterThanOrEqual">
      <formula>1</formula>
    </cfRule>
  </conditionalFormatting>
  <conditionalFormatting sqref="J1284:K1286">
    <cfRule type="cellIs" dxfId="645" priority="713" operator="greaterThanOrEqual">
      <formula>1</formula>
    </cfRule>
    <cfRule type="cellIs" dxfId="644" priority="714" operator="greaterThan">
      <formula>100%</formula>
    </cfRule>
  </conditionalFormatting>
  <conditionalFormatting sqref="J1294:K1296">
    <cfRule type="cellIs" dxfId="643" priority="712" operator="greaterThan">
      <formula>100%</formula>
    </cfRule>
    <cfRule type="cellIs" dxfId="642" priority="711" operator="greaterThanOrEqual">
      <formula>1</formula>
    </cfRule>
  </conditionalFormatting>
  <conditionalFormatting sqref="J1305:K1307">
    <cfRule type="cellIs" dxfId="641" priority="710" operator="greaterThan">
      <formula>100%</formula>
    </cfRule>
    <cfRule type="cellIs" dxfId="640" priority="709" operator="greaterThanOrEqual">
      <formula>1</formula>
    </cfRule>
  </conditionalFormatting>
  <conditionalFormatting sqref="J1315:K1317">
    <cfRule type="cellIs" dxfId="639" priority="708" operator="greaterThan">
      <formula>100%</formula>
    </cfRule>
    <cfRule type="cellIs" dxfId="638" priority="707" operator="greaterThanOrEqual">
      <formula>1</formula>
    </cfRule>
  </conditionalFormatting>
  <conditionalFormatting sqref="J1325:K1327">
    <cfRule type="cellIs" dxfId="637" priority="706" operator="greaterThan">
      <formula>100%</formula>
    </cfRule>
    <cfRule type="cellIs" dxfId="636" priority="705" operator="greaterThanOrEqual">
      <formula>1</formula>
    </cfRule>
  </conditionalFormatting>
  <conditionalFormatting sqref="J1335:K1337">
    <cfRule type="cellIs" dxfId="635" priority="704" operator="greaterThan">
      <formula>100%</formula>
    </cfRule>
    <cfRule type="cellIs" dxfId="634" priority="703" operator="greaterThanOrEqual">
      <formula>1</formula>
    </cfRule>
  </conditionalFormatting>
  <conditionalFormatting sqref="J1345:K1347">
    <cfRule type="cellIs" dxfId="633" priority="702" operator="greaterThan">
      <formula>100%</formula>
    </cfRule>
    <cfRule type="cellIs" dxfId="632" priority="701" operator="greaterThanOrEqual">
      <formula>1</formula>
    </cfRule>
  </conditionalFormatting>
  <conditionalFormatting sqref="J1355:K1357">
    <cfRule type="cellIs" dxfId="631" priority="700" operator="greaterThan">
      <formula>100%</formula>
    </cfRule>
    <cfRule type="cellIs" dxfId="630" priority="699" operator="greaterThanOrEqual">
      <formula>1</formula>
    </cfRule>
  </conditionalFormatting>
  <conditionalFormatting sqref="J1365:K1367">
    <cfRule type="cellIs" dxfId="629" priority="698" operator="greaterThan">
      <formula>100%</formula>
    </cfRule>
    <cfRule type="cellIs" dxfId="628" priority="697" operator="greaterThanOrEqual">
      <formula>1</formula>
    </cfRule>
  </conditionalFormatting>
  <conditionalFormatting sqref="J1375:K1377">
    <cfRule type="cellIs" dxfId="627" priority="696" operator="greaterThan">
      <formula>100%</formula>
    </cfRule>
    <cfRule type="cellIs" dxfId="626" priority="695" operator="greaterThanOrEqual">
      <formula>1</formula>
    </cfRule>
  </conditionalFormatting>
  <conditionalFormatting sqref="J1385:K1387">
    <cfRule type="cellIs" dxfId="625" priority="694" operator="greaterThan">
      <formula>100%</formula>
    </cfRule>
    <cfRule type="cellIs" dxfId="624" priority="693" operator="greaterThanOrEqual">
      <formula>1</formula>
    </cfRule>
  </conditionalFormatting>
  <conditionalFormatting sqref="J1395:K1397">
    <cfRule type="cellIs" dxfId="623" priority="692" operator="greaterThan">
      <formula>100%</formula>
    </cfRule>
    <cfRule type="cellIs" dxfId="622" priority="691" operator="greaterThanOrEqual">
      <formula>1</formula>
    </cfRule>
  </conditionalFormatting>
  <conditionalFormatting sqref="J1406:K1408">
    <cfRule type="cellIs" dxfId="621" priority="690" operator="greaterThan">
      <formula>100%</formula>
    </cfRule>
    <cfRule type="cellIs" dxfId="620" priority="689" operator="greaterThanOrEqual">
      <formula>1</formula>
    </cfRule>
  </conditionalFormatting>
  <conditionalFormatting sqref="J1416:K1418">
    <cfRule type="cellIs" dxfId="619" priority="688" operator="greaterThan">
      <formula>100%</formula>
    </cfRule>
    <cfRule type="cellIs" dxfId="618" priority="687" operator="greaterThanOrEqual">
      <formula>1</formula>
    </cfRule>
  </conditionalFormatting>
  <conditionalFormatting sqref="J1426:K1428">
    <cfRule type="cellIs" dxfId="617" priority="686" operator="greaterThan">
      <formula>100%</formula>
    </cfRule>
    <cfRule type="cellIs" dxfId="616" priority="685" operator="greaterThanOrEqual">
      <formula>1</formula>
    </cfRule>
  </conditionalFormatting>
  <conditionalFormatting sqref="J1436:K1438">
    <cfRule type="cellIs" dxfId="615" priority="684" operator="greaterThan">
      <formula>100%</formula>
    </cfRule>
    <cfRule type="cellIs" dxfId="614" priority="683" operator="greaterThanOrEqual">
      <formula>1</formula>
    </cfRule>
  </conditionalFormatting>
  <conditionalFormatting sqref="J1446:K1448">
    <cfRule type="cellIs" dxfId="613" priority="38" operator="greaterThan">
      <formula>100%</formula>
    </cfRule>
    <cfRule type="cellIs" dxfId="612" priority="37" operator="greaterThanOrEqual">
      <formula>1</formula>
    </cfRule>
  </conditionalFormatting>
  <conditionalFormatting sqref="J1456:K1458">
    <cfRule type="cellIs" dxfId="611" priority="682" operator="greaterThan">
      <formula>100%</formula>
    </cfRule>
    <cfRule type="cellIs" dxfId="610" priority="681" operator="greaterThanOrEqual">
      <formula>1</formula>
    </cfRule>
  </conditionalFormatting>
  <conditionalFormatting sqref="J1466:K1468">
    <cfRule type="cellIs" dxfId="609" priority="680" operator="greaterThan">
      <formula>100%</formula>
    </cfRule>
    <cfRule type="cellIs" dxfId="608" priority="679" operator="greaterThanOrEqual">
      <formula>1</formula>
    </cfRule>
  </conditionalFormatting>
  <conditionalFormatting sqref="J1477:K1479">
    <cfRule type="cellIs" dxfId="607" priority="678" operator="greaterThan">
      <formula>100%</formula>
    </cfRule>
    <cfRule type="cellIs" dxfId="606" priority="677" operator="greaterThanOrEqual">
      <formula>1</formula>
    </cfRule>
  </conditionalFormatting>
  <conditionalFormatting sqref="J1487:K1489">
    <cfRule type="cellIs" dxfId="605" priority="676" operator="greaterThan">
      <formula>100%</formula>
    </cfRule>
    <cfRule type="cellIs" dxfId="604" priority="675" operator="greaterThanOrEqual">
      <formula>1</formula>
    </cfRule>
  </conditionalFormatting>
  <conditionalFormatting sqref="J1498:K1500">
    <cfRule type="cellIs" dxfId="603" priority="674" operator="greaterThan">
      <formula>100%</formula>
    </cfRule>
    <cfRule type="cellIs" dxfId="602" priority="673" operator="greaterThanOrEqual">
      <formula>1</formula>
    </cfRule>
  </conditionalFormatting>
  <conditionalFormatting sqref="J1508:K1510">
    <cfRule type="cellIs" dxfId="601" priority="672" operator="greaterThan">
      <formula>100%</formula>
    </cfRule>
    <cfRule type="cellIs" dxfId="600" priority="671" operator="greaterThanOrEqual">
      <formula>1</formula>
    </cfRule>
  </conditionalFormatting>
  <conditionalFormatting sqref="J1518:K1520">
    <cfRule type="cellIs" dxfId="599" priority="670" operator="greaterThan">
      <formula>100%</formula>
    </cfRule>
    <cfRule type="cellIs" dxfId="598" priority="669" operator="greaterThanOrEqual">
      <formula>1</formula>
    </cfRule>
  </conditionalFormatting>
  <conditionalFormatting sqref="J1528:K1530">
    <cfRule type="cellIs" dxfId="597" priority="668" operator="greaterThan">
      <formula>100%</formula>
    </cfRule>
    <cfRule type="cellIs" dxfId="596" priority="667" operator="greaterThanOrEqual">
      <formula>1</formula>
    </cfRule>
  </conditionalFormatting>
  <conditionalFormatting sqref="J1538:K1540">
    <cfRule type="cellIs" dxfId="595" priority="666" operator="greaterThan">
      <formula>100%</formula>
    </cfRule>
    <cfRule type="cellIs" dxfId="594" priority="665" operator="greaterThanOrEqual">
      <formula>1</formula>
    </cfRule>
  </conditionalFormatting>
  <conditionalFormatting sqref="J1548:K1550">
    <cfRule type="cellIs" dxfId="593" priority="664" operator="greaterThan">
      <formula>100%</formula>
    </cfRule>
    <cfRule type="cellIs" dxfId="592" priority="663" operator="greaterThanOrEqual">
      <formula>1</formula>
    </cfRule>
  </conditionalFormatting>
  <conditionalFormatting sqref="J1558:K1560">
    <cfRule type="cellIs" dxfId="591" priority="662" operator="greaterThan">
      <formula>100%</formula>
    </cfRule>
    <cfRule type="cellIs" dxfId="590" priority="661" operator="greaterThanOrEqual">
      <formula>1</formula>
    </cfRule>
  </conditionalFormatting>
  <conditionalFormatting sqref="J1568:K1570">
    <cfRule type="cellIs" dxfId="589" priority="660" operator="greaterThan">
      <formula>100%</formula>
    </cfRule>
    <cfRule type="cellIs" dxfId="588" priority="659" operator="greaterThanOrEqual">
      <formula>1</formula>
    </cfRule>
  </conditionalFormatting>
  <conditionalFormatting sqref="J1578:K1580">
    <cfRule type="cellIs" dxfId="587" priority="658" operator="greaterThan">
      <formula>100%</formula>
    </cfRule>
    <cfRule type="cellIs" dxfId="586" priority="657" operator="greaterThanOrEqual">
      <formula>1</formula>
    </cfRule>
  </conditionalFormatting>
  <conditionalFormatting sqref="J1589:K1591">
    <cfRule type="cellIs" dxfId="585" priority="656" operator="greaterThan">
      <formula>100%</formula>
    </cfRule>
    <cfRule type="cellIs" dxfId="584" priority="655" operator="greaterThanOrEqual">
      <formula>1</formula>
    </cfRule>
  </conditionalFormatting>
  <conditionalFormatting sqref="J1599:K1601">
    <cfRule type="cellIs" dxfId="583" priority="654" operator="greaterThan">
      <formula>100%</formula>
    </cfRule>
    <cfRule type="cellIs" dxfId="582" priority="653" operator="greaterThanOrEqual">
      <formula>1</formula>
    </cfRule>
  </conditionalFormatting>
  <conditionalFormatting sqref="J1609:K1611">
    <cfRule type="cellIs" dxfId="581" priority="652" operator="greaterThan">
      <formula>100%</formula>
    </cfRule>
    <cfRule type="cellIs" dxfId="580" priority="651" operator="greaterThanOrEqual">
      <formula>1</formula>
    </cfRule>
  </conditionalFormatting>
  <conditionalFormatting sqref="J1619:K1621">
    <cfRule type="cellIs" dxfId="579" priority="650" operator="greaterThan">
      <formula>100%</formula>
    </cfRule>
    <cfRule type="cellIs" dxfId="578" priority="649" operator="greaterThanOrEqual">
      <formula>1</formula>
    </cfRule>
  </conditionalFormatting>
  <conditionalFormatting sqref="J1629:K1631">
    <cfRule type="cellIs" dxfId="577" priority="648" operator="greaterThan">
      <formula>100%</formula>
    </cfRule>
    <cfRule type="cellIs" dxfId="576" priority="647" operator="greaterThanOrEqual">
      <formula>1</formula>
    </cfRule>
  </conditionalFormatting>
  <conditionalFormatting sqref="J1639:K1641">
    <cfRule type="cellIs" dxfId="575" priority="646" operator="greaterThan">
      <formula>100%</formula>
    </cfRule>
    <cfRule type="cellIs" dxfId="574" priority="645" operator="greaterThanOrEqual">
      <formula>1</formula>
    </cfRule>
  </conditionalFormatting>
  <conditionalFormatting sqref="J1649:K1651">
    <cfRule type="cellIs" dxfId="573" priority="644" operator="greaterThan">
      <formula>100%</formula>
    </cfRule>
    <cfRule type="cellIs" dxfId="572" priority="643" operator="greaterThanOrEqual">
      <formula>1</formula>
    </cfRule>
  </conditionalFormatting>
  <conditionalFormatting sqref="J1659:K1661">
    <cfRule type="cellIs" dxfId="571" priority="641" operator="greaterThanOrEqual">
      <formula>1</formula>
    </cfRule>
    <cfRule type="cellIs" dxfId="570" priority="642" operator="greaterThan">
      <formula>100%</formula>
    </cfRule>
  </conditionalFormatting>
  <conditionalFormatting sqref="J1669:K1671">
    <cfRule type="cellIs" dxfId="569" priority="640" operator="greaterThan">
      <formula>100%</formula>
    </cfRule>
    <cfRule type="cellIs" dxfId="568" priority="639" operator="greaterThanOrEqual">
      <formula>1</formula>
    </cfRule>
  </conditionalFormatting>
  <conditionalFormatting sqref="J1679:K1681">
    <cfRule type="cellIs" dxfId="567" priority="638" operator="greaterThan">
      <formula>100%</formula>
    </cfRule>
    <cfRule type="cellIs" dxfId="566" priority="637" operator="greaterThanOrEqual">
      <formula>1</formula>
    </cfRule>
  </conditionalFormatting>
  <conditionalFormatting sqref="J1689:K1691">
    <cfRule type="cellIs" dxfId="565" priority="636" operator="greaterThan">
      <formula>100%</formula>
    </cfRule>
    <cfRule type="cellIs" dxfId="564" priority="635" operator="greaterThanOrEqual">
      <formula>1</formula>
    </cfRule>
  </conditionalFormatting>
  <conditionalFormatting sqref="J1700:K1702">
    <cfRule type="cellIs" dxfId="563" priority="634" operator="greaterThan">
      <formula>100%</formula>
    </cfRule>
    <cfRule type="cellIs" dxfId="562" priority="633" operator="greaterThanOrEqual">
      <formula>1</formula>
    </cfRule>
  </conditionalFormatting>
  <conditionalFormatting sqref="J1710:K1712">
    <cfRule type="cellIs" dxfId="561" priority="632" operator="greaterThan">
      <formula>100%</formula>
    </cfRule>
    <cfRule type="cellIs" dxfId="560" priority="631" operator="greaterThanOrEqual">
      <formula>1</formula>
    </cfRule>
  </conditionalFormatting>
  <conditionalFormatting sqref="J1720:K1722">
    <cfRule type="cellIs" dxfId="559" priority="629" operator="greaterThanOrEqual">
      <formula>1</formula>
    </cfRule>
    <cfRule type="cellIs" dxfId="558" priority="630" operator="greaterThan">
      <formula>100%</formula>
    </cfRule>
  </conditionalFormatting>
  <conditionalFormatting sqref="J1730:K1732">
    <cfRule type="cellIs" dxfId="557" priority="628" operator="greaterThan">
      <formula>100%</formula>
    </cfRule>
    <cfRule type="cellIs" dxfId="556" priority="627" operator="greaterThanOrEqual">
      <formula>1</formula>
    </cfRule>
  </conditionalFormatting>
  <conditionalFormatting sqref="J1740:K1742">
    <cfRule type="cellIs" dxfId="555" priority="626" operator="greaterThan">
      <formula>100%</formula>
    </cfRule>
    <cfRule type="cellIs" dxfId="554" priority="625" operator="greaterThanOrEqual">
      <formula>1</formula>
    </cfRule>
  </conditionalFormatting>
  <conditionalFormatting sqref="J1750:K1752">
    <cfRule type="cellIs" dxfId="553" priority="623" operator="greaterThanOrEqual">
      <formula>1</formula>
    </cfRule>
    <cfRule type="cellIs" dxfId="552" priority="624" operator="greaterThan">
      <formula>100%</formula>
    </cfRule>
  </conditionalFormatting>
  <conditionalFormatting sqref="J1760:K1762">
    <cfRule type="cellIs" dxfId="551" priority="622" operator="greaterThan">
      <formula>100%</formula>
    </cfRule>
    <cfRule type="cellIs" dxfId="550" priority="621" operator="greaterThanOrEqual">
      <formula>1</formula>
    </cfRule>
  </conditionalFormatting>
  <conditionalFormatting sqref="J1770:K1772">
    <cfRule type="cellIs" dxfId="549" priority="620" operator="greaterThan">
      <formula>100%</formula>
    </cfRule>
    <cfRule type="cellIs" dxfId="548" priority="619" operator="greaterThanOrEqual">
      <formula>1</formula>
    </cfRule>
  </conditionalFormatting>
  <conditionalFormatting sqref="J1780:K1782">
    <cfRule type="cellIs" dxfId="547" priority="618" operator="greaterThan">
      <formula>100%</formula>
    </cfRule>
    <cfRule type="cellIs" dxfId="546" priority="617" operator="greaterThanOrEqual">
      <formula>1</formula>
    </cfRule>
  </conditionalFormatting>
  <conditionalFormatting sqref="J1790:K1792">
    <cfRule type="cellIs" dxfId="545" priority="616" operator="greaterThan">
      <formula>100%</formula>
    </cfRule>
    <cfRule type="cellIs" dxfId="544" priority="615" operator="greaterThanOrEqual">
      <formula>1</formula>
    </cfRule>
  </conditionalFormatting>
  <conditionalFormatting sqref="J1800:K1802">
    <cfRule type="cellIs" dxfId="543" priority="614" operator="greaterThan">
      <formula>100%</formula>
    </cfRule>
    <cfRule type="cellIs" dxfId="542" priority="613" operator="greaterThanOrEqual">
      <formula>1</formula>
    </cfRule>
  </conditionalFormatting>
  <conditionalFormatting sqref="J1811:K1813">
    <cfRule type="cellIs" dxfId="541" priority="612" operator="greaterThan">
      <formula>100%</formula>
    </cfRule>
    <cfRule type="cellIs" dxfId="540" priority="611" operator="greaterThanOrEqual">
      <formula>1</formula>
    </cfRule>
  </conditionalFormatting>
  <conditionalFormatting sqref="J1821:K1823">
    <cfRule type="cellIs" dxfId="539" priority="610" operator="greaterThan">
      <formula>100%</formula>
    </cfRule>
    <cfRule type="cellIs" dxfId="538" priority="609" operator="greaterThanOrEqual">
      <formula>1</formula>
    </cfRule>
  </conditionalFormatting>
  <conditionalFormatting sqref="J1831:K1833">
    <cfRule type="cellIs" dxfId="537" priority="608" operator="greaterThan">
      <formula>100%</formula>
    </cfRule>
    <cfRule type="cellIs" dxfId="536" priority="607" operator="greaterThanOrEqual">
      <formula>1</formula>
    </cfRule>
  </conditionalFormatting>
  <conditionalFormatting sqref="J1841:K1843">
    <cfRule type="cellIs" dxfId="535" priority="606" operator="greaterThan">
      <formula>100%</formula>
    </cfRule>
    <cfRule type="cellIs" dxfId="534" priority="605" operator="greaterThanOrEqual">
      <formula>1</formula>
    </cfRule>
  </conditionalFormatting>
  <conditionalFormatting sqref="J1851:K1853">
    <cfRule type="cellIs" dxfId="533" priority="604" operator="greaterThan">
      <formula>100%</formula>
    </cfRule>
    <cfRule type="cellIs" dxfId="532" priority="603" operator="greaterThanOrEqual">
      <formula>1</formula>
    </cfRule>
  </conditionalFormatting>
  <conditionalFormatting sqref="J1861:K1863">
    <cfRule type="cellIs" dxfId="531" priority="602" operator="greaterThan">
      <formula>100%</formula>
    </cfRule>
    <cfRule type="cellIs" dxfId="530" priority="601" operator="greaterThanOrEqual">
      <formula>1</formula>
    </cfRule>
  </conditionalFormatting>
  <conditionalFormatting sqref="J1871:K1873">
    <cfRule type="cellIs" dxfId="529" priority="600" operator="greaterThan">
      <formula>100%</formula>
    </cfRule>
    <cfRule type="cellIs" dxfId="528" priority="599" operator="greaterThanOrEqual">
      <formula>1</formula>
    </cfRule>
  </conditionalFormatting>
  <conditionalFormatting sqref="J1881:K1883">
    <cfRule type="cellIs" dxfId="527" priority="598" operator="greaterThan">
      <formula>100%</formula>
    </cfRule>
    <cfRule type="cellIs" dxfId="526" priority="597" operator="greaterThanOrEqual">
      <formula>1</formula>
    </cfRule>
  </conditionalFormatting>
  <conditionalFormatting sqref="J1891:K1893">
    <cfRule type="cellIs" dxfId="525" priority="596" operator="greaterThan">
      <formula>100%</formula>
    </cfRule>
    <cfRule type="cellIs" dxfId="524" priority="595" operator="greaterThanOrEqual">
      <formula>1</formula>
    </cfRule>
  </conditionalFormatting>
  <conditionalFormatting sqref="J1901:K1903">
    <cfRule type="cellIs" dxfId="523" priority="594" operator="greaterThan">
      <formula>100%</formula>
    </cfRule>
    <cfRule type="cellIs" dxfId="522" priority="593" operator="greaterThanOrEqual">
      <formula>1</formula>
    </cfRule>
  </conditionalFormatting>
  <conditionalFormatting sqref="J1911:K1913">
    <cfRule type="cellIs" dxfId="521" priority="592" operator="greaterThan">
      <formula>100%</formula>
    </cfRule>
    <cfRule type="cellIs" dxfId="520" priority="591" operator="greaterThanOrEqual">
      <formula>1</formula>
    </cfRule>
  </conditionalFormatting>
  <conditionalFormatting sqref="J1921:K1923">
    <cfRule type="cellIs" dxfId="519" priority="590" operator="greaterThan">
      <formula>100%</formula>
    </cfRule>
    <cfRule type="cellIs" dxfId="518" priority="589" operator="greaterThanOrEqual">
      <formula>1</formula>
    </cfRule>
  </conditionalFormatting>
  <conditionalFormatting sqref="J1931:K1933">
    <cfRule type="cellIs" dxfId="517" priority="588" operator="greaterThan">
      <formula>100%</formula>
    </cfRule>
    <cfRule type="cellIs" dxfId="516" priority="587" operator="greaterThanOrEqual">
      <formula>1</formula>
    </cfRule>
  </conditionalFormatting>
  <conditionalFormatting sqref="J1941:K1943">
    <cfRule type="cellIs" dxfId="515" priority="586" operator="greaterThan">
      <formula>100%</formula>
    </cfRule>
    <cfRule type="cellIs" dxfId="514" priority="585" operator="greaterThanOrEqual">
      <formula>1</formula>
    </cfRule>
  </conditionalFormatting>
  <conditionalFormatting sqref="J1951:K1953">
    <cfRule type="cellIs" dxfId="513" priority="584" operator="greaterThan">
      <formula>100%</formula>
    </cfRule>
    <cfRule type="cellIs" dxfId="512" priority="583" operator="greaterThanOrEqual">
      <formula>1</formula>
    </cfRule>
  </conditionalFormatting>
  <conditionalFormatting sqref="J1961:K1963">
    <cfRule type="cellIs" dxfId="511" priority="582" operator="greaterThan">
      <formula>100%</formula>
    </cfRule>
    <cfRule type="cellIs" dxfId="510" priority="581" operator="greaterThanOrEqual">
      <formula>1</formula>
    </cfRule>
  </conditionalFormatting>
  <conditionalFormatting sqref="J1971:K1973">
    <cfRule type="cellIs" dxfId="509" priority="580" operator="greaterThan">
      <formula>100%</formula>
    </cfRule>
    <cfRule type="cellIs" dxfId="508" priority="579" operator="greaterThanOrEqual">
      <formula>1</formula>
    </cfRule>
  </conditionalFormatting>
  <conditionalFormatting sqref="J1981:K1983">
    <cfRule type="cellIs" dxfId="507" priority="578" operator="greaterThan">
      <formula>100%</formula>
    </cfRule>
    <cfRule type="cellIs" dxfId="506" priority="577" operator="greaterThanOrEqual">
      <formula>1</formula>
    </cfRule>
  </conditionalFormatting>
  <conditionalFormatting sqref="J1991:K1993">
    <cfRule type="cellIs" dxfId="505" priority="576" operator="greaterThan">
      <formula>100%</formula>
    </cfRule>
    <cfRule type="cellIs" dxfId="504" priority="575" operator="greaterThanOrEqual">
      <formula>1</formula>
    </cfRule>
  </conditionalFormatting>
  <conditionalFormatting sqref="J2001:K2003">
    <cfRule type="cellIs" dxfId="503" priority="574" operator="greaterThan">
      <formula>100%</formula>
    </cfRule>
    <cfRule type="cellIs" dxfId="502" priority="573" operator="greaterThanOrEqual">
      <formula>1</formula>
    </cfRule>
  </conditionalFormatting>
  <conditionalFormatting sqref="J2011:K2013">
    <cfRule type="cellIs" dxfId="501" priority="572" operator="greaterThan">
      <formula>100%</formula>
    </cfRule>
    <cfRule type="cellIs" dxfId="500" priority="571" operator="greaterThanOrEqual">
      <formula>1</formula>
    </cfRule>
  </conditionalFormatting>
  <conditionalFormatting sqref="J2021:K2023">
    <cfRule type="cellIs" dxfId="499" priority="570" operator="greaterThan">
      <formula>100%</formula>
    </cfRule>
    <cfRule type="cellIs" dxfId="498" priority="569" operator="greaterThanOrEqual">
      <formula>1</formula>
    </cfRule>
  </conditionalFormatting>
  <conditionalFormatting sqref="J2031:K2033">
    <cfRule type="cellIs" dxfId="497" priority="568" operator="greaterThan">
      <formula>100%</formula>
    </cfRule>
    <cfRule type="cellIs" dxfId="496" priority="567" operator="greaterThanOrEqual">
      <formula>1</formula>
    </cfRule>
  </conditionalFormatting>
  <conditionalFormatting sqref="J2041:K2043">
    <cfRule type="cellIs" dxfId="495" priority="566" operator="greaterThan">
      <formula>100%</formula>
    </cfRule>
    <cfRule type="cellIs" dxfId="494" priority="565" operator="greaterThanOrEqual">
      <formula>1</formula>
    </cfRule>
  </conditionalFormatting>
  <conditionalFormatting sqref="J2051:K2053">
    <cfRule type="cellIs" dxfId="493" priority="564" operator="greaterThan">
      <formula>100%</formula>
    </cfRule>
    <cfRule type="cellIs" dxfId="492" priority="563" operator="greaterThanOrEqual">
      <formula>1</formula>
    </cfRule>
  </conditionalFormatting>
  <conditionalFormatting sqref="J2061:K2063">
    <cfRule type="cellIs" dxfId="491" priority="562" operator="greaterThan">
      <formula>100%</formula>
    </cfRule>
    <cfRule type="cellIs" dxfId="490" priority="561" operator="greaterThanOrEqual">
      <formula>1</formula>
    </cfRule>
  </conditionalFormatting>
  <conditionalFormatting sqref="J2071:K2073">
    <cfRule type="cellIs" dxfId="489" priority="560" operator="greaterThan">
      <formula>100%</formula>
    </cfRule>
    <cfRule type="cellIs" dxfId="488" priority="559" operator="greaterThanOrEqual">
      <formula>1</formula>
    </cfRule>
  </conditionalFormatting>
  <conditionalFormatting sqref="J2081:K2083">
    <cfRule type="cellIs" dxfId="487" priority="558" operator="greaterThan">
      <formula>100%</formula>
    </cfRule>
    <cfRule type="cellIs" dxfId="486" priority="557" operator="greaterThanOrEqual">
      <formula>1</formula>
    </cfRule>
  </conditionalFormatting>
  <conditionalFormatting sqref="J2091:K2093">
    <cfRule type="cellIs" dxfId="485" priority="556" operator="greaterThan">
      <formula>100%</formula>
    </cfRule>
    <cfRule type="cellIs" dxfId="484" priority="555" operator="greaterThanOrEqual">
      <formula>1</formula>
    </cfRule>
  </conditionalFormatting>
  <conditionalFormatting sqref="J2102:K2104">
    <cfRule type="cellIs" dxfId="483" priority="554" operator="greaterThan">
      <formula>100%</formula>
    </cfRule>
    <cfRule type="cellIs" dxfId="482" priority="553" operator="greaterThanOrEqual">
      <formula>1</formula>
    </cfRule>
  </conditionalFormatting>
  <conditionalFormatting sqref="J2112:K2114">
    <cfRule type="cellIs" dxfId="481" priority="552" operator="greaterThan">
      <formula>100%</formula>
    </cfRule>
    <cfRule type="cellIs" dxfId="480" priority="551" operator="greaterThanOrEqual">
      <formula>1</formula>
    </cfRule>
  </conditionalFormatting>
  <conditionalFormatting sqref="J2122:K2124">
    <cfRule type="cellIs" dxfId="479" priority="550" operator="greaterThan">
      <formula>100%</formula>
    </cfRule>
    <cfRule type="cellIs" dxfId="478" priority="549" operator="greaterThanOrEqual">
      <formula>1</formula>
    </cfRule>
  </conditionalFormatting>
  <conditionalFormatting sqref="J2132:K2134">
    <cfRule type="cellIs" dxfId="477" priority="548" operator="greaterThan">
      <formula>100%</formula>
    </cfRule>
    <cfRule type="cellIs" dxfId="476" priority="547" operator="greaterThanOrEqual">
      <formula>1</formula>
    </cfRule>
  </conditionalFormatting>
  <conditionalFormatting sqref="J2142:K2144">
    <cfRule type="cellIs" dxfId="475" priority="546" operator="greaterThan">
      <formula>100%</formula>
    </cfRule>
    <cfRule type="cellIs" dxfId="474" priority="545" operator="greaterThanOrEqual">
      <formula>1</formula>
    </cfRule>
  </conditionalFormatting>
  <conditionalFormatting sqref="J2152:K2154">
    <cfRule type="cellIs" dxfId="473" priority="544" operator="greaterThan">
      <formula>100%</formula>
    </cfRule>
    <cfRule type="cellIs" dxfId="472" priority="543" operator="greaterThanOrEqual">
      <formula>1</formula>
    </cfRule>
  </conditionalFormatting>
  <conditionalFormatting sqref="J2162:K2164">
    <cfRule type="cellIs" dxfId="471" priority="542" operator="greaterThan">
      <formula>100%</formula>
    </cfRule>
    <cfRule type="cellIs" dxfId="470" priority="541" operator="greaterThanOrEqual">
      <formula>1</formula>
    </cfRule>
  </conditionalFormatting>
  <conditionalFormatting sqref="J2172:K2174">
    <cfRule type="cellIs" dxfId="469" priority="540" operator="greaterThan">
      <formula>100%</formula>
    </cfRule>
    <cfRule type="cellIs" dxfId="468" priority="539" operator="greaterThanOrEqual">
      <formula>1</formula>
    </cfRule>
  </conditionalFormatting>
  <conditionalFormatting sqref="J2182:K2184">
    <cfRule type="cellIs" dxfId="467" priority="538" operator="greaterThan">
      <formula>100%</formula>
    </cfRule>
    <cfRule type="cellIs" dxfId="466" priority="537" operator="greaterThanOrEqual">
      <formula>1</formula>
    </cfRule>
  </conditionalFormatting>
  <conditionalFormatting sqref="J2192:K2194">
    <cfRule type="cellIs" dxfId="465" priority="536" operator="greaterThan">
      <formula>100%</formula>
    </cfRule>
    <cfRule type="cellIs" dxfId="464" priority="535" operator="greaterThanOrEqual">
      <formula>1</formula>
    </cfRule>
  </conditionalFormatting>
  <conditionalFormatting sqref="J2202:K2204">
    <cfRule type="cellIs" dxfId="463" priority="534" operator="greaterThan">
      <formula>100%</formula>
    </cfRule>
    <cfRule type="cellIs" dxfId="462" priority="533" operator="greaterThanOrEqual">
      <formula>1</formula>
    </cfRule>
  </conditionalFormatting>
  <conditionalFormatting sqref="J2212:K2214">
    <cfRule type="cellIs" dxfId="461" priority="531" operator="greaterThanOrEqual">
      <formula>1</formula>
    </cfRule>
    <cfRule type="cellIs" dxfId="460" priority="532" operator="greaterThan">
      <formula>100%</formula>
    </cfRule>
  </conditionalFormatting>
  <conditionalFormatting sqref="J2222:K2224">
    <cfRule type="cellIs" dxfId="459" priority="530" operator="greaterThan">
      <formula>100%</formula>
    </cfRule>
    <cfRule type="cellIs" dxfId="458" priority="529" operator="greaterThanOrEqual">
      <formula>1</formula>
    </cfRule>
  </conditionalFormatting>
  <conditionalFormatting sqref="J2232:K2234">
    <cfRule type="cellIs" dxfId="457" priority="528" operator="greaterThan">
      <formula>100%</formula>
    </cfRule>
    <cfRule type="cellIs" dxfId="456" priority="527" operator="greaterThanOrEqual">
      <formula>1</formula>
    </cfRule>
  </conditionalFormatting>
  <conditionalFormatting sqref="J2242:K2244">
    <cfRule type="cellIs" dxfId="455" priority="525" operator="greaterThanOrEqual">
      <formula>1</formula>
    </cfRule>
    <cfRule type="cellIs" dxfId="454" priority="526" operator="greaterThan">
      <formula>100%</formula>
    </cfRule>
  </conditionalFormatting>
  <conditionalFormatting sqref="J2253:K2255">
    <cfRule type="cellIs" dxfId="453" priority="524" operator="greaterThan">
      <formula>100%</formula>
    </cfRule>
    <cfRule type="cellIs" dxfId="452" priority="523" operator="greaterThanOrEqual">
      <formula>1</formula>
    </cfRule>
  </conditionalFormatting>
  <conditionalFormatting sqref="J2263:K2265">
    <cfRule type="cellIs" dxfId="451" priority="521" operator="greaterThanOrEqual">
      <formula>1</formula>
    </cfRule>
    <cfRule type="cellIs" dxfId="450" priority="522" operator="greaterThan">
      <formula>100%</formula>
    </cfRule>
  </conditionalFormatting>
  <conditionalFormatting sqref="J2273:K2275">
    <cfRule type="cellIs" dxfId="449" priority="520" operator="greaterThan">
      <formula>100%</formula>
    </cfRule>
    <cfRule type="cellIs" dxfId="448" priority="519" operator="greaterThanOrEqual">
      <formula>1</formula>
    </cfRule>
  </conditionalFormatting>
  <conditionalFormatting sqref="J2283:K2285">
    <cfRule type="cellIs" dxfId="447" priority="518" operator="greaterThan">
      <formula>100%</formula>
    </cfRule>
    <cfRule type="cellIs" dxfId="446" priority="517" operator="greaterThanOrEqual">
      <formula>1</formula>
    </cfRule>
  </conditionalFormatting>
  <conditionalFormatting sqref="J2293:K2295">
    <cfRule type="cellIs" dxfId="445" priority="516" operator="greaterThan">
      <formula>100%</formula>
    </cfRule>
    <cfRule type="cellIs" dxfId="444" priority="515" operator="greaterThanOrEqual">
      <formula>1</formula>
    </cfRule>
  </conditionalFormatting>
  <conditionalFormatting sqref="J2303:K2305">
    <cfRule type="cellIs" dxfId="443" priority="514" operator="greaterThan">
      <formula>100%</formula>
    </cfRule>
    <cfRule type="cellIs" dxfId="442" priority="513" operator="greaterThanOrEqual">
      <formula>1</formula>
    </cfRule>
  </conditionalFormatting>
  <conditionalFormatting sqref="J2313:K2316">
    <cfRule type="cellIs" dxfId="441" priority="512" operator="greaterThan">
      <formula>100%</formula>
    </cfRule>
    <cfRule type="cellIs" dxfId="440" priority="511" operator="greaterThanOrEqual">
      <formula>1</formula>
    </cfRule>
  </conditionalFormatting>
  <conditionalFormatting sqref="J2324:K2328">
    <cfRule type="cellIs" dxfId="439" priority="50" operator="greaterThan">
      <formula>100%</formula>
    </cfRule>
    <cfRule type="cellIs" dxfId="438" priority="49" operator="greaterThanOrEqual">
      <formula>1</formula>
    </cfRule>
  </conditionalFormatting>
  <conditionalFormatting sqref="J2336:K2338">
    <cfRule type="cellIs" dxfId="437" priority="508" operator="greaterThan">
      <formula>100%</formula>
    </cfRule>
    <cfRule type="cellIs" dxfId="436" priority="507" operator="greaterThanOrEqual">
      <formula>1</formula>
    </cfRule>
  </conditionalFormatting>
  <conditionalFormatting sqref="J2346:K2348">
    <cfRule type="cellIs" dxfId="435" priority="506" operator="greaterThan">
      <formula>100%</formula>
    </cfRule>
    <cfRule type="cellIs" dxfId="434" priority="505" operator="greaterThanOrEqual">
      <formula>1</formula>
    </cfRule>
  </conditionalFormatting>
  <conditionalFormatting sqref="J2356:K2358">
    <cfRule type="cellIs" dxfId="433" priority="504" operator="greaterThan">
      <formula>100%</formula>
    </cfRule>
    <cfRule type="cellIs" dxfId="432" priority="503" operator="greaterThanOrEqual">
      <formula>1</formula>
    </cfRule>
  </conditionalFormatting>
  <conditionalFormatting sqref="J2366:K2369">
    <cfRule type="cellIs" dxfId="431" priority="48" operator="greaterThan">
      <formula>100%</formula>
    </cfRule>
    <cfRule type="cellIs" dxfId="430" priority="47" operator="greaterThanOrEqual">
      <formula>1</formula>
    </cfRule>
  </conditionalFormatting>
  <conditionalFormatting sqref="J2377:K2379">
    <cfRule type="cellIs" dxfId="429" priority="500" operator="greaterThan">
      <formula>100%</formula>
    </cfRule>
    <cfRule type="cellIs" dxfId="428" priority="499" operator="greaterThanOrEqual">
      <formula>1</formula>
    </cfRule>
  </conditionalFormatting>
  <conditionalFormatting sqref="J2387:K2389">
    <cfRule type="cellIs" dxfId="427" priority="498" operator="greaterThan">
      <formula>100%</formula>
    </cfRule>
    <cfRule type="cellIs" dxfId="426" priority="497" operator="greaterThanOrEqual">
      <formula>1</formula>
    </cfRule>
  </conditionalFormatting>
  <conditionalFormatting sqref="J2397:K2399">
    <cfRule type="cellIs" dxfId="425" priority="496" operator="greaterThan">
      <formula>100%</formula>
    </cfRule>
    <cfRule type="cellIs" dxfId="424" priority="495" operator="greaterThanOrEqual">
      <formula>1</formula>
    </cfRule>
  </conditionalFormatting>
  <conditionalFormatting sqref="J2407:K2409">
    <cfRule type="cellIs" dxfId="423" priority="494" operator="greaterThan">
      <formula>100%</formula>
    </cfRule>
    <cfRule type="cellIs" dxfId="422" priority="493" operator="greaterThanOrEqual">
      <formula>1</formula>
    </cfRule>
  </conditionalFormatting>
  <conditionalFormatting sqref="J2417:K2419">
    <cfRule type="cellIs" dxfId="421" priority="491" operator="greaterThanOrEqual">
      <formula>1</formula>
    </cfRule>
    <cfRule type="cellIs" dxfId="420" priority="492" operator="greaterThan">
      <formula>100%</formula>
    </cfRule>
  </conditionalFormatting>
  <conditionalFormatting sqref="J2427:K2429">
    <cfRule type="cellIs" dxfId="419" priority="489" operator="greaterThanOrEqual">
      <formula>1</formula>
    </cfRule>
    <cfRule type="cellIs" dxfId="418" priority="490" operator="greaterThan">
      <formula>100%</formula>
    </cfRule>
  </conditionalFormatting>
  <conditionalFormatting sqref="J2437:K2439">
    <cfRule type="cellIs" dxfId="417" priority="488" operator="greaterThan">
      <formula>100%</formula>
    </cfRule>
    <cfRule type="cellIs" dxfId="416" priority="487" operator="greaterThanOrEqual">
      <formula>1</formula>
    </cfRule>
  </conditionalFormatting>
  <conditionalFormatting sqref="J2447:K2449">
    <cfRule type="cellIs" dxfId="415" priority="485" operator="greaterThanOrEqual">
      <formula>1</formula>
    </cfRule>
    <cfRule type="cellIs" dxfId="414" priority="486" operator="greaterThan">
      <formula>100%</formula>
    </cfRule>
  </conditionalFormatting>
  <conditionalFormatting sqref="J2457:K2459">
    <cfRule type="cellIs" dxfId="413" priority="46" operator="greaterThan">
      <formula>100%</formula>
    </cfRule>
    <cfRule type="cellIs" dxfId="412" priority="45" operator="greaterThanOrEqual">
      <formula>1</formula>
    </cfRule>
  </conditionalFormatting>
  <conditionalFormatting sqref="J2468:K2470">
    <cfRule type="cellIs" dxfId="411" priority="484" operator="greaterThan">
      <formula>100%</formula>
    </cfRule>
    <cfRule type="cellIs" dxfId="410" priority="483" operator="greaterThanOrEqual">
      <formula>1</formula>
    </cfRule>
  </conditionalFormatting>
  <conditionalFormatting sqref="J2478:K2480">
    <cfRule type="cellIs" dxfId="409" priority="482" operator="greaterThan">
      <formula>100%</formula>
    </cfRule>
    <cfRule type="cellIs" dxfId="408" priority="481" operator="greaterThanOrEqual">
      <formula>1</formula>
    </cfRule>
  </conditionalFormatting>
  <conditionalFormatting sqref="J2490:K2492">
    <cfRule type="cellIs" dxfId="407" priority="480" operator="greaterThan">
      <formula>100%</formula>
    </cfRule>
    <cfRule type="cellIs" dxfId="406" priority="479" operator="greaterThanOrEqual">
      <formula>1</formula>
    </cfRule>
  </conditionalFormatting>
  <conditionalFormatting sqref="J2500:K2502">
    <cfRule type="cellIs" dxfId="405" priority="478" operator="greaterThan">
      <formula>100%</formula>
    </cfRule>
    <cfRule type="cellIs" dxfId="404" priority="477" operator="greaterThanOrEqual">
      <formula>1</formula>
    </cfRule>
  </conditionalFormatting>
  <conditionalFormatting sqref="J2510:K2512">
    <cfRule type="cellIs" dxfId="403" priority="476" operator="greaterThan">
      <formula>100%</formula>
    </cfRule>
    <cfRule type="cellIs" dxfId="402" priority="475" operator="greaterThanOrEqual">
      <formula>1</formula>
    </cfRule>
  </conditionalFormatting>
  <conditionalFormatting sqref="J2521:K2523">
    <cfRule type="cellIs" dxfId="401" priority="474" operator="greaterThan">
      <formula>100%</formula>
    </cfRule>
    <cfRule type="cellIs" dxfId="400" priority="473" operator="greaterThanOrEqual">
      <formula>1</formula>
    </cfRule>
  </conditionalFormatting>
  <conditionalFormatting sqref="J2531:K2533">
    <cfRule type="cellIs" dxfId="399" priority="472" operator="greaterThan">
      <formula>100%</formula>
    </cfRule>
    <cfRule type="cellIs" dxfId="398" priority="471" operator="greaterThanOrEqual">
      <formula>1</formula>
    </cfRule>
  </conditionalFormatting>
  <conditionalFormatting sqref="J2541:K2543">
    <cfRule type="cellIs" dxfId="397" priority="470" operator="greaterThan">
      <formula>100%</formula>
    </cfRule>
    <cfRule type="cellIs" dxfId="396" priority="469" operator="greaterThanOrEqual">
      <formula>1</formula>
    </cfRule>
  </conditionalFormatting>
  <conditionalFormatting sqref="J2552:K2554">
    <cfRule type="cellIs" dxfId="395" priority="468" operator="greaterThan">
      <formula>100%</formula>
    </cfRule>
    <cfRule type="cellIs" dxfId="394" priority="467" operator="greaterThanOrEqual">
      <formula>1</formula>
    </cfRule>
  </conditionalFormatting>
  <conditionalFormatting sqref="J2562:K2564">
    <cfRule type="cellIs" dxfId="393" priority="466" operator="greaterThan">
      <formula>100%</formula>
    </cfRule>
    <cfRule type="cellIs" dxfId="392" priority="465" operator="greaterThanOrEqual">
      <formula>1</formula>
    </cfRule>
  </conditionalFormatting>
  <conditionalFormatting sqref="J2572:K2574">
    <cfRule type="cellIs" dxfId="391" priority="464" operator="greaterThan">
      <formula>100%</formula>
    </cfRule>
    <cfRule type="cellIs" dxfId="390" priority="463" operator="greaterThanOrEqual">
      <formula>1</formula>
    </cfRule>
  </conditionalFormatting>
  <conditionalFormatting sqref="J2582:K2584">
    <cfRule type="cellIs" dxfId="389" priority="462" operator="greaterThan">
      <formula>100%</formula>
    </cfRule>
    <cfRule type="cellIs" dxfId="388" priority="461" operator="greaterThanOrEqual">
      <formula>1</formula>
    </cfRule>
  </conditionalFormatting>
  <conditionalFormatting sqref="J2592:K2594">
    <cfRule type="cellIs" dxfId="387" priority="460" operator="greaterThan">
      <formula>100%</formula>
    </cfRule>
    <cfRule type="cellIs" dxfId="386" priority="459" operator="greaterThanOrEqual">
      <formula>1</formula>
    </cfRule>
  </conditionalFormatting>
  <conditionalFormatting sqref="J2602:K2604">
    <cfRule type="cellIs" dxfId="385" priority="458" operator="greaterThan">
      <formula>100%</formula>
    </cfRule>
    <cfRule type="cellIs" dxfId="384" priority="457" operator="greaterThanOrEqual">
      <formula>1</formula>
    </cfRule>
  </conditionalFormatting>
  <conditionalFormatting sqref="J2612:K2614">
    <cfRule type="cellIs" dxfId="383" priority="456" operator="greaterThan">
      <formula>100%</formula>
    </cfRule>
    <cfRule type="cellIs" dxfId="382" priority="455" operator="greaterThanOrEqual">
      <formula>1</formula>
    </cfRule>
  </conditionalFormatting>
  <conditionalFormatting sqref="J2622:K2624">
    <cfRule type="cellIs" dxfId="381" priority="454" operator="greaterThan">
      <formula>100%</formula>
    </cfRule>
    <cfRule type="cellIs" dxfId="380" priority="453" operator="greaterThanOrEqual">
      <formula>1</formula>
    </cfRule>
  </conditionalFormatting>
  <conditionalFormatting sqref="J2632:K2634">
    <cfRule type="cellIs" dxfId="379" priority="452" operator="greaterThan">
      <formula>100%</formula>
    </cfRule>
    <cfRule type="cellIs" dxfId="378" priority="451" operator="greaterThanOrEqual">
      <formula>1</formula>
    </cfRule>
  </conditionalFormatting>
  <conditionalFormatting sqref="J2642:K2644">
    <cfRule type="cellIs" dxfId="377" priority="449" operator="greaterThanOrEqual">
      <formula>1</formula>
    </cfRule>
    <cfRule type="cellIs" dxfId="376" priority="450" operator="greaterThan">
      <formula>100%</formula>
    </cfRule>
  </conditionalFormatting>
  <conditionalFormatting sqref="J2652:K2654">
    <cfRule type="cellIs" dxfId="375" priority="448" operator="greaterThan">
      <formula>100%</formula>
    </cfRule>
    <cfRule type="cellIs" dxfId="374" priority="447" operator="greaterThanOrEqual">
      <formula>1</formula>
    </cfRule>
  </conditionalFormatting>
  <conditionalFormatting sqref="J2662:K2664">
    <cfRule type="cellIs" dxfId="373" priority="446" operator="greaterThan">
      <formula>100%</formula>
    </cfRule>
    <cfRule type="cellIs" dxfId="372" priority="445" operator="greaterThanOrEqual">
      <formula>1</formula>
    </cfRule>
  </conditionalFormatting>
  <conditionalFormatting sqref="J2672:K2674">
    <cfRule type="cellIs" dxfId="371" priority="444" operator="greaterThan">
      <formula>100%</formula>
    </cfRule>
    <cfRule type="cellIs" dxfId="370" priority="443" operator="greaterThanOrEqual">
      <formula>1</formula>
    </cfRule>
  </conditionalFormatting>
  <conditionalFormatting sqref="J2682:K2684">
    <cfRule type="cellIs" dxfId="369" priority="442" operator="greaterThan">
      <formula>100%</formula>
    </cfRule>
    <cfRule type="cellIs" dxfId="368" priority="441" operator="greaterThanOrEqual">
      <formula>1</formula>
    </cfRule>
  </conditionalFormatting>
  <conditionalFormatting sqref="J2692:K2694">
    <cfRule type="cellIs" dxfId="367" priority="440" operator="greaterThan">
      <formula>100%</formula>
    </cfRule>
    <cfRule type="cellIs" dxfId="366" priority="439" operator="greaterThanOrEqual">
      <formula>1</formula>
    </cfRule>
  </conditionalFormatting>
  <conditionalFormatting sqref="J2702:K2704">
    <cfRule type="cellIs" dxfId="365" priority="437" operator="greaterThanOrEqual">
      <formula>1</formula>
    </cfRule>
    <cfRule type="cellIs" dxfId="364" priority="438" operator="greaterThan">
      <formula>100%</formula>
    </cfRule>
  </conditionalFormatting>
  <conditionalFormatting sqref="J2712:K2714">
    <cfRule type="cellIs" dxfId="363" priority="435" operator="greaterThanOrEqual">
      <formula>1</formula>
    </cfRule>
    <cfRule type="cellIs" dxfId="362" priority="436" operator="greaterThan">
      <formula>100%</formula>
    </cfRule>
  </conditionalFormatting>
  <conditionalFormatting sqref="J2722:K2724">
    <cfRule type="cellIs" dxfId="361" priority="433" operator="greaterThanOrEqual">
      <formula>1</formula>
    </cfRule>
    <cfRule type="cellIs" dxfId="360" priority="434" operator="greaterThan">
      <formula>100%</formula>
    </cfRule>
  </conditionalFormatting>
  <conditionalFormatting sqref="J2732:K2734">
    <cfRule type="cellIs" dxfId="359" priority="432" operator="greaterThan">
      <formula>100%</formula>
    </cfRule>
    <cfRule type="cellIs" dxfId="358" priority="431" operator="greaterThanOrEqual">
      <formula>1</formula>
    </cfRule>
  </conditionalFormatting>
  <conditionalFormatting sqref="J2742:K2744">
    <cfRule type="cellIs" dxfId="357" priority="429" operator="greaterThanOrEqual">
      <formula>1</formula>
    </cfRule>
    <cfRule type="cellIs" dxfId="356" priority="430" operator="greaterThan">
      <formula>100%</formula>
    </cfRule>
  </conditionalFormatting>
  <conditionalFormatting sqref="J2752:K2754">
    <cfRule type="cellIs" dxfId="355" priority="427" operator="greaterThanOrEqual">
      <formula>1</formula>
    </cfRule>
    <cfRule type="cellIs" dxfId="354" priority="428" operator="greaterThan">
      <formula>100%</formula>
    </cfRule>
  </conditionalFormatting>
  <conditionalFormatting sqref="J2762:K2764">
    <cfRule type="cellIs" dxfId="353" priority="425" operator="greaterThanOrEqual">
      <formula>1</formula>
    </cfRule>
    <cfRule type="cellIs" dxfId="352" priority="426" operator="greaterThan">
      <formula>100%</formula>
    </cfRule>
  </conditionalFormatting>
  <conditionalFormatting sqref="J2772:K2774">
    <cfRule type="cellIs" dxfId="351" priority="424" operator="greaterThan">
      <formula>100%</formula>
    </cfRule>
    <cfRule type="cellIs" dxfId="350" priority="423" operator="greaterThanOrEqual">
      <formula>1</formula>
    </cfRule>
  </conditionalFormatting>
  <conditionalFormatting sqref="J2782:K2784">
    <cfRule type="cellIs" dxfId="349" priority="422" operator="greaterThan">
      <formula>100%</formula>
    </cfRule>
    <cfRule type="cellIs" dxfId="348" priority="421" operator="greaterThanOrEqual">
      <formula>1</formula>
    </cfRule>
  </conditionalFormatting>
  <conditionalFormatting sqref="J2792:K2794">
    <cfRule type="cellIs" dxfId="347" priority="420" operator="greaterThan">
      <formula>100%</formula>
    </cfRule>
    <cfRule type="cellIs" dxfId="346" priority="419" operator="greaterThanOrEqual">
      <formula>1</formula>
    </cfRule>
  </conditionalFormatting>
  <conditionalFormatting sqref="J2802:K2804">
    <cfRule type="cellIs" dxfId="345" priority="418" operator="greaterThan">
      <formula>100%</formula>
    </cfRule>
    <cfRule type="cellIs" dxfId="344" priority="417" operator="greaterThanOrEqual">
      <formula>1</formula>
    </cfRule>
  </conditionalFormatting>
  <conditionalFormatting sqref="J2812:K2814">
    <cfRule type="cellIs" dxfId="343" priority="416" operator="greaterThan">
      <formula>100%</formula>
    </cfRule>
    <cfRule type="cellIs" dxfId="342" priority="415" operator="greaterThanOrEqual">
      <formula>1</formula>
    </cfRule>
  </conditionalFormatting>
  <conditionalFormatting sqref="J2822:K2824">
    <cfRule type="cellIs" dxfId="341" priority="414" operator="greaterThan">
      <formula>100%</formula>
    </cfRule>
    <cfRule type="cellIs" dxfId="340" priority="413" operator="greaterThanOrEqual">
      <formula>1</formula>
    </cfRule>
  </conditionalFormatting>
  <conditionalFormatting sqref="J2832:K2834">
    <cfRule type="cellIs" dxfId="339" priority="412" operator="greaterThan">
      <formula>100%</formula>
    </cfRule>
    <cfRule type="cellIs" dxfId="338" priority="411" operator="greaterThanOrEqual">
      <formula>1</formula>
    </cfRule>
  </conditionalFormatting>
  <conditionalFormatting sqref="J2842:K2844">
    <cfRule type="cellIs" dxfId="337" priority="410" operator="greaterThan">
      <formula>100%</formula>
    </cfRule>
    <cfRule type="cellIs" dxfId="336" priority="409" operator="greaterThanOrEqual">
      <formula>1</formula>
    </cfRule>
  </conditionalFormatting>
  <conditionalFormatting sqref="J2852:K2854">
    <cfRule type="cellIs" dxfId="335" priority="408" operator="greaterThan">
      <formula>100%</formula>
    </cfRule>
    <cfRule type="cellIs" dxfId="334" priority="407" operator="greaterThanOrEqual">
      <formula>1</formula>
    </cfRule>
  </conditionalFormatting>
  <conditionalFormatting sqref="J2862:K2864">
    <cfRule type="cellIs" dxfId="333" priority="406" operator="greaterThan">
      <formula>100%</formula>
    </cfRule>
    <cfRule type="cellIs" dxfId="332" priority="405" operator="greaterThanOrEqual">
      <formula>1</formula>
    </cfRule>
  </conditionalFormatting>
  <conditionalFormatting sqref="J2872:K2874">
    <cfRule type="cellIs" dxfId="331" priority="404" operator="greaterThan">
      <formula>100%</formula>
    </cfRule>
    <cfRule type="cellIs" dxfId="330" priority="403" operator="greaterThanOrEqual">
      <formula>1</formula>
    </cfRule>
  </conditionalFormatting>
  <conditionalFormatting sqref="J2883:K2885">
    <cfRule type="cellIs" dxfId="329" priority="401" operator="greaterThanOrEqual">
      <formula>1</formula>
    </cfRule>
    <cfRule type="cellIs" dxfId="328" priority="402" operator="greaterThan">
      <formula>100%</formula>
    </cfRule>
  </conditionalFormatting>
  <conditionalFormatting sqref="J2893:K2895">
    <cfRule type="cellIs" dxfId="327" priority="399" operator="greaterThanOrEqual">
      <formula>1</formula>
    </cfRule>
    <cfRule type="cellIs" dxfId="326" priority="400" operator="greaterThan">
      <formula>100%</formula>
    </cfRule>
  </conditionalFormatting>
  <conditionalFormatting sqref="J2903:K2905">
    <cfRule type="cellIs" dxfId="325" priority="398" operator="greaterThan">
      <formula>100%</formula>
    </cfRule>
    <cfRule type="cellIs" dxfId="324" priority="397" operator="greaterThanOrEqual">
      <formula>1</formula>
    </cfRule>
  </conditionalFormatting>
  <conditionalFormatting sqref="J2913:K2915">
    <cfRule type="cellIs" dxfId="323" priority="395" operator="greaterThanOrEqual">
      <formula>1</formula>
    </cfRule>
    <cfRule type="cellIs" dxfId="322" priority="396" operator="greaterThan">
      <formula>100%</formula>
    </cfRule>
  </conditionalFormatting>
  <conditionalFormatting sqref="J2923:K2925">
    <cfRule type="cellIs" dxfId="321" priority="394" operator="greaterThan">
      <formula>100%</formula>
    </cfRule>
    <cfRule type="cellIs" dxfId="320" priority="393" operator="greaterThanOrEqual">
      <formula>1</formula>
    </cfRule>
  </conditionalFormatting>
  <conditionalFormatting sqref="J2933:K2935">
    <cfRule type="cellIs" dxfId="319" priority="392" operator="greaterThan">
      <formula>100%</formula>
    </cfRule>
    <cfRule type="cellIs" dxfId="318" priority="391" operator="greaterThanOrEqual">
      <formula>1</formula>
    </cfRule>
  </conditionalFormatting>
  <conditionalFormatting sqref="J2943:K2945">
    <cfRule type="cellIs" dxfId="317" priority="390" operator="greaterThan">
      <formula>100%</formula>
    </cfRule>
    <cfRule type="cellIs" dxfId="316" priority="389" operator="greaterThanOrEqual">
      <formula>1</formula>
    </cfRule>
  </conditionalFormatting>
  <conditionalFormatting sqref="J2953:K2955">
    <cfRule type="cellIs" dxfId="315" priority="388" operator="greaterThan">
      <formula>100%</formula>
    </cfRule>
    <cfRule type="cellIs" dxfId="314" priority="387" operator="greaterThanOrEqual">
      <formula>1</formula>
    </cfRule>
  </conditionalFormatting>
  <conditionalFormatting sqref="J2963:K2965">
    <cfRule type="cellIs" dxfId="313" priority="386" operator="greaterThan">
      <formula>100%</formula>
    </cfRule>
    <cfRule type="cellIs" dxfId="312" priority="385" operator="greaterThanOrEqual">
      <formula>1</formula>
    </cfRule>
  </conditionalFormatting>
  <conditionalFormatting sqref="J2973:K2975">
    <cfRule type="cellIs" dxfId="311" priority="384" operator="greaterThan">
      <formula>100%</formula>
    </cfRule>
    <cfRule type="cellIs" dxfId="310" priority="383" operator="greaterThanOrEqual">
      <formula>1</formula>
    </cfRule>
  </conditionalFormatting>
  <conditionalFormatting sqref="J2983:K2985">
    <cfRule type="cellIs" dxfId="309" priority="382" operator="greaterThan">
      <formula>100%</formula>
    </cfRule>
    <cfRule type="cellIs" dxfId="308" priority="381" operator="greaterThanOrEqual">
      <formula>1</formula>
    </cfRule>
  </conditionalFormatting>
  <conditionalFormatting sqref="J2993:K2995">
    <cfRule type="cellIs" dxfId="307" priority="380" operator="greaterThan">
      <formula>100%</formula>
    </cfRule>
    <cfRule type="cellIs" dxfId="306" priority="379" operator="greaterThanOrEqual">
      <formula>1</formula>
    </cfRule>
  </conditionalFormatting>
  <conditionalFormatting sqref="J3003:K3005">
    <cfRule type="cellIs" dxfId="305" priority="378" operator="greaterThan">
      <formula>100%</formula>
    </cfRule>
    <cfRule type="cellIs" dxfId="304" priority="377" operator="greaterThanOrEqual">
      <formula>1</formula>
    </cfRule>
  </conditionalFormatting>
  <conditionalFormatting sqref="J3013:K3015">
    <cfRule type="cellIs" dxfId="303" priority="376" operator="greaterThan">
      <formula>100%</formula>
    </cfRule>
    <cfRule type="cellIs" dxfId="302" priority="375" operator="greaterThanOrEqual">
      <formula>1</formula>
    </cfRule>
  </conditionalFormatting>
  <conditionalFormatting sqref="J3023:K3025">
    <cfRule type="cellIs" dxfId="301" priority="374" operator="greaterThan">
      <formula>100%</formula>
    </cfRule>
    <cfRule type="cellIs" dxfId="300" priority="373" operator="greaterThanOrEqual">
      <formula>1</formula>
    </cfRule>
  </conditionalFormatting>
  <conditionalFormatting sqref="J3033:K3035">
    <cfRule type="cellIs" dxfId="299" priority="372" operator="greaterThan">
      <formula>100%</formula>
    </cfRule>
    <cfRule type="cellIs" dxfId="298" priority="371" operator="greaterThanOrEqual">
      <formula>1</formula>
    </cfRule>
  </conditionalFormatting>
  <conditionalFormatting sqref="J3043:K3045">
    <cfRule type="cellIs" dxfId="297" priority="370" operator="greaterThan">
      <formula>100%</formula>
    </cfRule>
    <cfRule type="cellIs" dxfId="296" priority="369" operator="greaterThanOrEqual">
      <formula>1</formula>
    </cfRule>
  </conditionalFormatting>
  <conditionalFormatting sqref="J3054:K3056">
    <cfRule type="cellIs" dxfId="295" priority="368" operator="greaterThan">
      <formula>100%</formula>
    </cfRule>
    <cfRule type="cellIs" dxfId="294" priority="367" operator="greaterThanOrEqual">
      <formula>1</formula>
    </cfRule>
  </conditionalFormatting>
  <conditionalFormatting sqref="J3064:K3066">
    <cfRule type="cellIs" dxfId="293" priority="366" operator="greaterThan">
      <formula>100%</formula>
    </cfRule>
    <cfRule type="cellIs" dxfId="292" priority="365" operator="greaterThanOrEqual">
      <formula>1</formula>
    </cfRule>
  </conditionalFormatting>
  <conditionalFormatting sqref="J3074:K3076">
    <cfRule type="cellIs" dxfId="291" priority="364" operator="greaterThan">
      <formula>100%</formula>
    </cfRule>
    <cfRule type="cellIs" dxfId="290" priority="363" operator="greaterThanOrEqual">
      <formula>1</formula>
    </cfRule>
  </conditionalFormatting>
  <conditionalFormatting sqref="J3084:K3086">
    <cfRule type="cellIs" dxfId="289" priority="362" operator="greaterThan">
      <formula>100%</formula>
    </cfRule>
    <cfRule type="cellIs" dxfId="288" priority="361" operator="greaterThanOrEqual">
      <formula>1</formula>
    </cfRule>
  </conditionalFormatting>
  <conditionalFormatting sqref="J3094:K3096">
    <cfRule type="cellIs" dxfId="287" priority="360" operator="greaterThan">
      <formula>100%</formula>
    </cfRule>
    <cfRule type="cellIs" dxfId="286" priority="359" operator="greaterThanOrEqual">
      <formula>1</formula>
    </cfRule>
  </conditionalFormatting>
  <conditionalFormatting sqref="J3104:K3106">
    <cfRule type="cellIs" dxfId="285" priority="358" operator="greaterThan">
      <formula>100%</formula>
    </cfRule>
    <cfRule type="cellIs" dxfId="284" priority="357" operator="greaterThanOrEqual">
      <formula>1</formula>
    </cfRule>
  </conditionalFormatting>
  <conditionalFormatting sqref="J3114:K3116">
    <cfRule type="cellIs" dxfId="283" priority="356" operator="greaterThan">
      <formula>100%</formula>
    </cfRule>
    <cfRule type="cellIs" dxfId="282" priority="355" operator="greaterThanOrEqual">
      <formula>1</formula>
    </cfRule>
  </conditionalFormatting>
  <conditionalFormatting sqref="J3124:K3126">
    <cfRule type="cellIs" dxfId="281" priority="354" operator="greaterThan">
      <formula>100%</formula>
    </cfRule>
    <cfRule type="cellIs" dxfId="280" priority="353" operator="greaterThanOrEqual">
      <formula>1</formula>
    </cfRule>
  </conditionalFormatting>
  <conditionalFormatting sqref="J3134:K3136">
    <cfRule type="cellIs" dxfId="279" priority="352" operator="greaterThan">
      <formula>100%</formula>
    </cfRule>
    <cfRule type="cellIs" dxfId="278" priority="351" operator="greaterThanOrEqual">
      <formula>1</formula>
    </cfRule>
  </conditionalFormatting>
  <conditionalFormatting sqref="J3144:K3146">
    <cfRule type="cellIs" dxfId="277" priority="350" operator="greaterThan">
      <formula>100%</formula>
    </cfRule>
    <cfRule type="cellIs" dxfId="276" priority="349" operator="greaterThanOrEqual">
      <formula>1</formula>
    </cfRule>
  </conditionalFormatting>
  <conditionalFormatting sqref="J3154:K3156">
    <cfRule type="cellIs" dxfId="275" priority="348" operator="greaterThan">
      <formula>100%</formula>
    </cfRule>
    <cfRule type="cellIs" dxfId="274" priority="347" operator="greaterThanOrEqual">
      <formula>1</formula>
    </cfRule>
  </conditionalFormatting>
  <conditionalFormatting sqref="J3164:K3166">
    <cfRule type="cellIs" dxfId="273" priority="346" operator="greaterThan">
      <formula>100%</formula>
    </cfRule>
    <cfRule type="cellIs" dxfId="272" priority="345" operator="greaterThanOrEqual">
      <formula>1</formula>
    </cfRule>
  </conditionalFormatting>
  <conditionalFormatting sqref="J3175:K3177">
    <cfRule type="cellIs" dxfId="271" priority="344" operator="greaterThan">
      <formula>100%</formula>
    </cfRule>
    <cfRule type="cellIs" dxfId="270" priority="343" operator="greaterThanOrEqual">
      <formula>1</formula>
    </cfRule>
  </conditionalFormatting>
  <conditionalFormatting sqref="J3185:K3187">
    <cfRule type="cellIs" dxfId="269" priority="342" operator="greaterThan">
      <formula>100%</formula>
    </cfRule>
    <cfRule type="cellIs" dxfId="268" priority="341" operator="greaterThanOrEqual">
      <formula>1</formula>
    </cfRule>
  </conditionalFormatting>
  <conditionalFormatting sqref="J3195:K3197">
    <cfRule type="cellIs" dxfId="267" priority="340" operator="greaterThan">
      <formula>100%</formula>
    </cfRule>
    <cfRule type="cellIs" dxfId="266" priority="339" operator="greaterThanOrEqual">
      <formula>1</formula>
    </cfRule>
  </conditionalFormatting>
  <conditionalFormatting sqref="J3205:K3207">
    <cfRule type="cellIs" dxfId="265" priority="338" operator="greaterThan">
      <formula>100%</formula>
    </cfRule>
    <cfRule type="cellIs" dxfId="264" priority="337" operator="greaterThanOrEqual">
      <formula>1</formula>
    </cfRule>
  </conditionalFormatting>
  <conditionalFormatting sqref="J3215:K3217">
    <cfRule type="cellIs" dxfId="263" priority="335" operator="greaterThanOrEqual">
      <formula>1</formula>
    </cfRule>
    <cfRule type="cellIs" dxfId="262" priority="336" operator="greaterThan">
      <formula>100%</formula>
    </cfRule>
  </conditionalFormatting>
  <conditionalFormatting sqref="J3225:K3227">
    <cfRule type="cellIs" dxfId="261" priority="333" operator="greaterThanOrEqual">
      <formula>1</formula>
    </cfRule>
    <cfRule type="cellIs" dxfId="260" priority="334" operator="greaterThan">
      <formula>100%</formula>
    </cfRule>
  </conditionalFormatting>
  <conditionalFormatting sqref="J3235:K3237">
    <cfRule type="cellIs" dxfId="259" priority="332" operator="greaterThan">
      <formula>100%</formula>
    </cfRule>
    <cfRule type="cellIs" dxfId="258" priority="331" operator="greaterThanOrEqual">
      <formula>1</formula>
    </cfRule>
  </conditionalFormatting>
  <conditionalFormatting sqref="J3246:K3248">
    <cfRule type="cellIs" dxfId="257" priority="330" operator="greaterThan">
      <formula>100%</formula>
    </cfRule>
    <cfRule type="cellIs" dxfId="256" priority="329" operator="greaterThanOrEqual">
      <formula>1</formula>
    </cfRule>
  </conditionalFormatting>
  <conditionalFormatting sqref="J3256:K3258">
    <cfRule type="cellIs" dxfId="255" priority="328" operator="greaterThan">
      <formula>100%</formula>
    </cfRule>
    <cfRule type="cellIs" dxfId="254" priority="327" operator="greaterThanOrEqual">
      <formula>1</formula>
    </cfRule>
  </conditionalFormatting>
  <conditionalFormatting sqref="J3266:K3268">
    <cfRule type="cellIs" dxfId="253" priority="326" operator="greaterThan">
      <formula>100%</formula>
    </cfRule>
    <cfRule type="cellIs" dxfId="252" priority="325" operator="greaterThanOrEqual">
      <formula>1</formula>
    </cfRule>
  </conditionalFormatting>
  <conditionalFormatting sqref="J3276:K3278">
    <cfRule type="cellIs" dxfId="251" priority="323" operator="greaterThanOrEqual">
      <formula>1</formula>
    </cfRule>
    <cfRule type="cellIs" dxfId="250" priority="324" operator="greaterThan">
      <formula>100%</formula>
    </cfRule>
  </conditionalFormatting>
  <conditionalFormatting sqref="J3286:K3288">
    <cfRule type="cellIs" dxfId="249" priority="321" operator="greaterThanOrEqual">
      <formula>1</formula>
    </cfRule>
    <cfRule type="cellIs" dxfId="248" priority="322" operator="greaterThan">
      <formula>100%</formula>
    </cfRule>
  </conditionalFormatting>
  <conditionalFormatting sqref="J3296:K3298">
    <cfRule type="cellIs" dxfId="247" priority="319" operator="greaterThanOrEqual">
      <formula>1</formula>
    </cfRule>
    <cfRule type="cellIs" dxfId="246" priority="320" operator="greaterThan">
      <formula>100%</formula>
    </cfRule>
  </conditionalFormatting>
  <conditionalFormatting sqref="J3306:K3308">
    <cfRule type="cellIs" dxfId="245" priority="318" operator="greaterThan">
      <formula>100%</formula>
    </cfRule>
    <cfRule type="cellIs" dxfId="244" priority="317" operator="greaterThanOrEqual">
      <formula>1</formula>
    </cfRule>
  </conditionalFormatting>
  <conditionalFormatting sqref="J3316:K3318">
    <cfRule type="cellIs" dxfId="243" priority="316" operator="greaterThan">
      <formula>100%</formula>
    </cfRule>
    <cfRule type="cellIs" dxfId="242" priority="315" operator="greaterThanOrEqual">
      <formula>1</formula>
    </cfRule>
  </conditionalFormatting>
  <conditionalFormatting sqref="J3326:K3328">
    <cfRule type="cellIs" dxfId="241" priority="314" operator="greaterThan">
      <formula>100%</formula>
    </cfRule>
    <cfRule type="cellIs" dxfId="240" priority="313" operator="greaterThanOrEqual">
      <formula>1</formula>
    </cfRule>
  </conditionalFormatting>
  <conditionalFormatting sqref="J3336:K3338">
    <cfRule type="cellIs" dxfId="239" priority="311" operator="greaterThanOrEqual">
      <formula>1</formula>
    </cfRule>
    <cfRule type="cellIs" dxfId="238" priority="312" operator="greaterThan">
      <formula>100%</formula>
    </cfRule>
  </conditionalFormatting>
  <conditionalFormatting sqref="J3346:K3348">
    <cfRule type="cellIs" dxfId="237" priority="310" operator="greaterThan">
      <formula>100%</formula>
    </cfRule>
    <cfRule type="cellIs" dxfId="236" priority="309" operator="greaterThanOrEqual">
      <formula>1</formula>
    </cfRule>
  </conditionalFormatting>
  <conditionalFormatting sqref="J3357:K3359">
    <cfRule type="cellIs" dxfId="235" priority="308" operator="greaterThan">
      <formula>100%</formula>
    </cfRule>
    <cfRule type="cellIs" dxfId="234" priority="307" operator="greaterThanOrEqual">
      <formula>1</formula>
    </cfRule>
  </conditionalFormatting>
  <conditionalFormatting sqref="J3367:K3369">
    <cfRule type="cellIs" dxfId="233" priority="306" operator="greaterThan">
      <formula>100%</formula>
    </cfRule>
    <cfRule type="cellIs" dxfId="232" priority="305" operator="greaterThanOrEqual">
      <formula>1</formula>
    </cfRule>
  </conditionalFormatting>
  <conditionalFormatting sqref="J3377:K3379">
    <cfRule type="cellIs" dxfId="231" priority="304" operator="greaterThan">
      <formula>100%</formula>
    </cfRule>
    <cfRule type="cellIs" dxfId="230" priority="303" operator="greaterThanOrEqual">
      <formula>1</formula>
    </cfRule>
  </conditionalFormatting>
  <conditionalFormatting sqref="J3387:K3389">
    <cfRule type="cellIs" dxfId="229" priority="302" operator="greaterThan">
      <formula>100%</formula>
    </cfRule>
    <cfRule type="cellIs" dxfId="228" priority="301" operator="greaterThanOrEqual">
      <formula>1</formula>
    </cfRule>
  </conditionalFormatting>
  <conditionalFormatting sqref="J3397:K3399">
    <cfRule type="cellIs" dxfId="227" priority="299" operator="greaterThanOrEqual">
      <formula>1</formula>
    </cfRule>
    <cfRule type="cellIs" dxfId="226" priority="300" operator="greaterThan">
      <formula>100%</formula>
    </cfRule>
  </conditionalFormatting>
  <conditionalFormatting sqref="J3407:K3409">
    <cfRule type="cellIs" dxfId="225" priority="297" operator="greaterThanOrEqual">
      <formula>1</formula>
    </cfRule>
    <cfRule type="cellIs" dxfId="224" priority="298" operator="greaterThan">
      <formula>100%</formula>
    </cfRule>
  </conditionalFormatting>
  <conditionalFormatting sqref="J3417:K3419">
    <cfRule type="cellIs" dxfId="223" priority="295" operator="greaterThanOrEqual">
      <formula>1</formula>
    </cfRule>
    <cfRule type="cellIs" dxfId="222" priority="296" operator="greaterThan">
      <formula>100%</formula>
    </cfRule>
  </conditionalFormatting>
  <conditionalFormatting sqref="J3428:K3430">
    <cfRule type="cellIs" dxfId="221" priority="293" operator="greaterThanOrEqual">
      <formula>1</formula>
    </cfRule>
    <cfRule type="cellIs" dxfId="220" priority="294" operator="greaterThan">
      <formula>100%</formula>
    </cfRule>
  </conditionalFormatting>
  <conditionalFormatting sqref="J3438:K3440">
    <cfRule type="cellIs" dxfId="219" priority="291" operator="greaterThanOrEqual">
      <formula>1</formula>
    </cfRule>
    <cfRule type="cellIs" dxfId="218" priority="292" operator="greaterThan">
      <formula>100%</formula>
    </cfRule>
  </conditionalFormatting>
  <conditionalFormatting sqref="J3448:K3450">
    <cfRule type="cellIs" dxfId="217" priority="290" operator="greaterThan">
      <formula>100%</formula>
    </cfRule>
    <cfRule type="cellIs" dxfId="216" priority="289" operator="greaterThanOrEqual">
      <formula>1</formula>
    </cfRule>
  </conditionalFormatting>
  <conditionalFormatting sqref="J3458:K3460">
    <cfRule type="cellIs" dxfId="215" priority="288" operator="greaterThan">
      <formula>100%</formula>
    </cfRule>
    <cfRule type="cellIs" dxfId="214" priority="287" operator="greaterThanOrEqual">
      <formula>1</formula>
    </cfRule>
  </conditionalFormatting>
  <conditionalFormatting sqref="J3468:K3470">
    <cfRule type="cellIs" dxfId="213" priority="286" operator="greaterThan">
      <formula>100%</formula>
    </cfRule>
    <cfRule type="cellIs" dxfId="212" priority="285" operator="greaterThanOrEqual">
      <formula>1</formula>
    </cfRule>
  </conditionalFormatting>
  <conditionalFormatting sqref="J3478:K3480">
    <cfRule type="cellIs" dxfId="211" priority="284" operator="greaterThan">
      <formula>100%</formula>
    </cfRule>
    <cfRule type="cellIs" dxfId="210" priority="283" operator="greaterThanOrEqual">
      <formula>1</formula>
    </cfRule>
  </conditionalFormatting>
  <conditionalFormatting sqref="J3488:K3490">
    <cfRule type="cellIs" dxfId="209" priority="281" operator="greaterThanOrEqual">
      <formula>1</formula>
    </cfRule>
    <cfRule type="cellIs" dxfId="208" priority="282" operator="greaterThan">
      <formula>100%</formula>
    </cfRule>
  </conditionalFormatting>
  <conditionalFormatting sqref="J3498:K3500">
    <cfRule type="cellIs" dxfId="207" priority="280" operator="greaterThan">
      <formula>100%</formula>
    </cfRule>
    <cfRule type="cellIs" dxfId="206" priority="279" operator="greaterThanOrEqual">
      <formula>1</formula>
    </cfRule>
  </conditionalFormatting>
  <conditionalFormatting sqref="J3508:K3510">
    <cfRule type="cellIs" dxfId="205" priority="277" operator="greaterThanOrEqual">
      <formula>1</formula>
    </cfRule>
    <cfRule type="cellIs" dxfId="204" priority="278" operator="greaterThan">
      <formula>100%</formula>
    </cfRule>
  </conditionalFormatting>
  <conditionalFormatting sqref="J3518:K3520">
    <cfRule type="cellIs" dxfId="203" priority="276" operator="greaterThan">
      <formula>100%</formula>
    </cfRule>
    <cfRule type="cellIs" dxfId="202" priority="275" operator="greaterThanOrEqual">
      <formula>1</formula>
    </cfRule>
  </conditionalFormatting>
  <conditionalFormatting sqref="J3528:K3530">
    <cfRule type="cellIs" dxfId="201" priority="274" operator="greaterThan">
      <formula>100%</formula>
    </cfRule>
    <cfRule type="cellIs" dxfId="200" priority="273" operator="greaterThanOrEqual">
      <formula>1</formula>
    </cfRule>
  </conditionalFormatting>
  <conditionalFormatting sqref="J3538:K3540">
    <cfRule type="cellIs" dxfId="199" priority="272" operator="greaterThan">
      <formula>100%</formula>
    </cfRule>
    <cfRule type="cellIs" dxfId="198" priority="271" operator="greaterThanOrEqual">
      <formula>1</formula>
    </cfRule>
  </conditionalFormatting>
  <conditionalFormatting sqref="J3548:K3550">
    <cfRule type="cellIs" dxfId="197" priority="270" operator="greaterThan">
      <formula>100%</formula>
    </cfRule>
    <cfRule type="cellIs" dxfId="196" priority="269" operator="greaterThanOrEqual">
      <formula>1</formula>
    </cfRule>
  </conditionalFormatting>
  <conditionalFormatting sqref="J3558:K3560">
    <cfRule type="cellIs" dxfId="195" priority="268" operator="greaterThan">
      <formula>100%</formula>
    </cfRule>
    <cfRule type="cellIs" dxfId="194" priority="267" operator="greaterThanOrEqual">
      <formula>1</formula>
    </cfRule>
  </conditionalFormatting>
  <conditionalFormatting sqref="J3568:K3570">
    <cfRule type="cellIs" dxfId="193" priority="266" operator="greaterThan">
      <formula>100%</formula>
    </cfRule>
    <cfRule type="cellIs" dxfId="192" priority="265" operator="greaterThanOrEqual">
      <formula>1</formula>
    </cfRule>
  </conditionalFormatting>
  <conditionalFormatting sqref="J3578:K3580">
    <cfRule type="cellIs" dxfId="191" priority="264" operator="greaterThan">
      <formula>100%</formula>
    </cfRule>
    <cfRule type="cellIs" dxfId="190" priority="263" operator="greaterThanOrEqual">
      <formula>1</formula>
    </cfRule>
  </conditionalFormatting>
  <conditionalFormatting sqref="J3589:K3591">
    <cfRule type="cellIs" dxfId="189" priority="262" operator="greaterThan">
      <formula>100%</formula>
    </cfRule>
    <cfRule type="cellIs" dxfId="188" priority="261" operator="greaterThanOrEqual">
      <formula>1</formula>
    </cfRule>
  </conditionalFormatting>
  <conditionalFormatting sqref="J3599:K3601">
    <cfRule type="cellIs" dxfId="187" priority="260" operator="greaterThan">
      <formula>100%</formula>
    </cfRule>
    <cfRule type="cellIs" dxfId="186" priority="259" operator="greaterThanOrEqual">
      <formula>1</formula>
    </cfRule>
  </conditionalFormatting>
  <conditionalFormatting sqref="J3609:K3611">
    <cfRule type="cellIs" dxfId="185" priority="257" operator="greaterThanOrEqual">
      <formula>1</formula>
    </cfRule>
    <cfRule type="cellIs" dxfId="184" priority="258" operator="greaterThan">
      <formula>100%</formula>
    </cfRule>
  </conditionalFormatting>
  <conditionalFormatting sqref="J3619:K3621">
    <cfRule type="cellIs" dxfId="183" priority="256" operator="greaterThan">
      <formula>100%</formula>
    </cfRule>
    <cfRule type="cellIs" dxfId="182" priority="255" operator="greaterThanOrEqual">
      <formula>1</formula>
    </cfRule>
  </conditionalFormatting>
  <conditionalFormatting sqref="J3629:K3631">
    <cfRule type="cellIs" dxfId="181" priority="254" operator="greaterThan">
      <formula>100%</formula>
    </cfRule>
    <cfRule type="cellIs" dxfId="180" priority="253" operator="greaterThanOrEqual">
      <formula>1</formula>
    </cfRule>
  </conditionalFormatting>
  <conditionalFormatting sqref="J3639:K3641">
    <cfRule type="cellIs" dxfId="179" priority="252" operator="greaterThan">
      <formula>100%</formula>
    </cfRule>
    <cfRule type="cellIs" dxfId="178" priority="251" operator="greaterThanOrEqual">
      <formula>1</formula>
    </cfRule>
  </conditionalFormatting>
  <conditionalFormatting sqref="J3649:K3651">
    <cfRule type="cellIs" dxfId="177" priority="250" operator="greaterThan">
      <formula>100%</formula>
    </cfRule>
    <cfRule type="cellIs" dxfId="176" priority="249" operator="greaterThanOrEqual">
      <formula>1</formula>
    </cfRule>
  </conditionalFormatting>
  <conditionalFormatting sqref="J3659:K3661">
    <cfRule type="cellIs" dxfId="175" priority="248" operator="greaterThan">
      <formula>100%</formula>
    </cfRule>
    <cfRule type="cellIs" dxfId="174" priority="247" operator="greaterThanOrEqual">
      <formula>1</formula>
    </cfRule>
  </conditionalFormatting>
  <conditionalFormatting sqref="J3669:K3671">
    <cfRule type="cellIs" dxfId="173" priority="246" operator="greaterThan">
      <formula>100%</formula>
    </cfRule>
    <cfRule type="cellIs" dxfId="172" priority="245" operator="greaterThanOrEqual">
      <formula>1</formula>
    </cfRule>
  </conditionalFormatting>
  <conditionalFormatting sqref="J3679:K3681">
    <cfRule type="cellIs" dxfId="171" priority="244" operator="greaterThan">
      <formula>100%</formula>
    </cfRule>
    <cfRule type="cellIs" dxfId="170" priority="243" operator="greaterThanOrEqual">
      <formula>1</formula>
    </cfRule>
  </conditionalFormatting>
  <conditionalFormatting sqref="J3689:K3691">
    <cfRule type="cellIs" dxfId="169" priority="242" operator="greaterThan">
      <formula>100%</formula>
    </cfRule>
    <cfRule type="cellIs" dxfId="168" priority="241" operator="greaterThanOrEqual">
      <formula>1</formula>
    </cfRule>
  </conditionalFormatting>
  <conditionalFormatting sqref="J3699:K3701">
    <cfRule type="cellIs" dxfId="167" priority="239" operator="greaterThanOrEqual">
      <formula>1</formula>
    </cfRule>
    <cfRule type="cellIs" dxfId="166" priority="240" operator="greaterThan">
      <formula>100%</formula>
    </cfRule>
  </conditionalFormatting>
  <conditionalFormatting sqref="J3709:K3711">
    <cfRule type="cellIs" dxfId="165" priority="237" operator="greaterThanOrEqual">
      <formula>1</formula>
    </cfRule>
    <cfRule type="cellIs" dxfId="164" priority="238" operator="greaterThan">
      <formula>100%</formula>
    </cfRule>
  </conditionalFormatting>
  <conditionalFormatting sqref="J3719:K3721">
    <cfRule type="cellIs" dxfId="163" priority="235" operator="greaterThanOrEqual">
      <formula>1</formula>
    </cfRule>
    <cfRule type="cellIs" dxfId="162" priority="236" operator="greaterThan">
      <formula>100%</formula>
    </cfRule>
  </conditionalFormatting>
  <conditionalFormatting sqref="J3729:K3731">
    <cfRule type="cellIs" dxfId="161" priority="234" operator="greaterThan">
      <formula>100%</formula>
    </cfRule>
    <cfRule type="cellIs" dxfId="160" priority="233" operator="greaterThanOrEqual">
      <formula>1</formula>
    </cfRule>
  </conditionalFormatting>
  <conditionalFormatting sqref="J3739:K3741">
    <cfRule type="cellIs" dxfId="159" priority="232" operator="greaterThan">
      <formula>100%</formula>
    </cfRule>
    <cfRule type="cellIs" dxfId="158" priority="231" operator="greaterThanOrEqual">
      <formula>1</formula>
    </cfRule>
  </conditionalFormatting>
  <conditionalFormatting sqref="J3749:K3751">
    <cfRule type="cellIs" dxfId="157" priority="230" operator="greaterThan">
      <formula>100%</formula>
    </cfRule>
    <cfRule type="cellIs" dxfId="156" priority="229" operator="greaterThanOrEqual">
      <formula>1</formula>
    </cfRule>
  </conditionalFormatting>
  <conditionalFormatting sqref="J3759:K3761">
    <cfRule type="cellIs" dxfId="155" priority="228" operator="greaterThan">
      <formula>100%</formula>
    </cfRule>
    <cfRule type="cellIs" dxfId="154" priority="227" operator="greaterThanOrEqual">
      <formula>1</formula>
    </cfRule>
  </conditionalFormatting>
  <conditionalFormatting sqref="J3769:K3771">
    <cfRule type="cellIs" dxfId="153" priority="226" operator="greaterThan">
      <formula>100%</formula>
    </cfRule>
    <cfRule type="cellIs" dxfId="152" priority="225" operator="greaterThanOrEqual">
      <formula>1</formula>
    </cfRule>
  </conditionalFormatting>
  <conditionalFormatting sqref="J3779:K3781">
    <cfRule type="cellIs" dxfId="151" priority="224" operator="greaterThan">
      <formula>100%</formula>
    </cfRule>
    <cfRule type="cellIs" dxfId="150" priority="223" operator="greaterThanOrEqual">
      <formula>1</formula>
    </cfRule>
  </conditionalFormatting>
  <conditionalFormatting sqref="J3789:K3791">
    <cfRule type="cellIs" dxfId="149" priority="222" operator="greaterThan">
      <formula>100%</formula>
    </cfRule>
    <cfRule type="cellIs" dxfId="148" priority="221" operator="greaterThanOrEqual">
      <formula>1</formula>
    </cfRule>
  </conditionalFormatting>
  <conditionalFormatting sqref="J3799:K3801">
    <cfRule type="cellIs" dxfId="147" priority="220" operator="greaterThan">
      <formula>100%</formula>
    </cfRule>
    <cfRule type="cellIs" dxfId="146" priority="219" operator="greaterThanOrEqual">
      <formula>1</formula>
    </cfRule>
  </conditionalFormatting>
  <conditionalFormatting sqref="J3810:K3812">
    <cfRule type="cellIs" dxfId="145" priority="218" operator="greaterThan">
      <formula>100%</formula>
    </cfRule>
    <cfRule type="cellIs" dxfId="144" priority="217" operator="greaterThanOrEqual">
      <formula>1</formula>
    </cfRule>
  </conditionalFormatting>
  <conditionalFormatting sqref="J3820:K3822">
    <cfRule type="cellIs" dxfId="143" priority="216" operator="greaterThan">
      <formula>100%</formula>
    </cfRule>
    <cfRule type="cellIs" dxfId="142" priority="215" operator="greaterThanOrEqual">
      <formula>1</formula>
    </cfRule>
  </conditionalFormatting>
  <conditionalFormatting sqref="J3830:K3832">
    <cfRule type="cellIs" dxfId="141" priority="214" operator="greaterThan">
      <formula>100%</formula>
    </cfRule>
    <cfRule type="cellIs" dxfId="140" priority="213" operator="greaterThanOrEqual">
      <formula>1</formula>
    </cfRule>
  </conditionalFormatting>
  <conditionalFormatting sqref="J3840:K3842">
    <cfRule type="cellIs" dxfId="139" priority="211" operator="greaterThanOrEqual">
      <formula>1</formula>
    </cfRule>
    <cfRule type="cellIs" dxfId="138" priority="212" operator="greaterThan">
      <formula>100%</formula>
    </cfRule>
  </conditionalFormatting>
  <conditionalFormatting sqref="J3850:K3852">
    <cfRule type="cellIs" dxfId="137" priority="209" operator="greaterThanOrEqual">
      <formula>1</formula>
    </cfRule>
    <cfRule type="cellIs" dxfId="136" priority="210" operator="greaterThan">
      <formula>100%</formula>
    </cfRule>
  </conditionalFormatting>
  <conditionalFormatting sqref="J3860:K3862">
    <cfRule type="cellIs" dxfId="135" priority="207" operator="greaterThanOrEqual">
      <formula>1</formula>
    </cfRule>
    <cfRule type="cellIs" dxfId="134" priority="208" operator="greaterThan">
      <formula>100%</formula>
    </cfRule>
  </conditionalFormatting>
  <conditionalFormatting sqref="J3870:K3872">
    <cfRule type="cellIs" dxfId="133" priority="205" operator="greaterThanOrEqual">
      <formula>1</formula>
    </cfRule>
    <cfRule type="cellIs" dxfId="132" priority="206" operator="greaterThan">
      <formula>100%</formula>
    </cfRule>
  </conditionalFormatting>
  <conditionalFormatting sqref="J3880:K3882">
    <cfRule type="cellIs" dxfId="131" priority="203" operator="greaterThanOrEqual">
      <formula>1</formula>
    </cfRule>
    <cfRule type="cellIs" dxfId="130" priority="204" operator="greaterThan">
      <formula>100%</formula>
    </cfRule>
  </conditionalFormatting>
  <conditionalFormatting sqref="J3890:K3892">
    <cfRule type="cellIs" dxfId="129" priority="202" operator="greaterThan">
      <formula>100%</formula>
    </cfRule>
    <cfRule type="cellIs" dxfId="128" priority="201" operator="greaterThanOrEqual">
      <formula>1</formula>
    </cfRule>
  </conditionalFormatting>
  <conditionalFormatting sqref="J3900:K3902">
    <cfRule type="cellIs" dxfId="127" priority="200" operator="greaterThan">
      <formula>100%</formula>
    </cfRule>
    <cfRule type="cellIs" dxfId="126" priority="199" operator="greaterThanOrEqual">
      <formula>1</formula>
    </cfRule>
  </conditionalFormatting>
  <conditionalFormatting sqref="J3910:K3912">
    <cfRule type="cellIs" dxfId="125" priority="198" operator="greaterThan">
      <formula>100%</formula>
    </cfRule>
    <cfRule type="cellIs" dxfId="124" priority="197" operator="greaterThanOrEqual">
      <formula>1</formula>
    </cfRule>
  </conditionalFormatting>
  <conditionalFormatting sqref="J3920:K3922">
    <cfRule type="cellIs" dxfId="123" priority="196" operator="greaterThan">
      <formula>100%</formula>
    </cfRule>
    <cfRule type="cellIs" dxfId="122" priority="195" operator="greaterThanOrEqual">
      <formula>1</formula>
    </cfRule>
  </conditionalFormatting>
  <conditionalFormatting sqref="J3930:K3932">
    <cfRule type="cellIs" dxfId="121" priority="194" operator="greaterThan">
      <formula>100%</formula>
    </cfRule>
    <cfRule type="cellIs" dxfId="120" priority="193" operator="greaterThanOrEqual">
      <formula>1</formula>
    </cfRule>
  </conditionalFormatting>
  <conditionalFormatting sqref="J3940:K3942">
    <cfRule type="cellIs" dxfId="119" priority="192" operator="greaterThan">
      <formula>100%</formula>
    </cfRule>
    <cfRule type="cellIs" dxfId="118" priority="191" operator="greaterThanOrEqual">
      <formula>1</formula>
    </cfRule>
  </conditionalFormatting>
  <conditionalFormatting sqref="J3950:K3952">
    <cfRule type="cellIs" dxfId="117" priority="190" operator="greaterThan">
      <formula>100%</formula>
    </cfRule>
    <cfRule type="cellIs" dxfId="116" priority="189" operator="greaterThanOrEqual">
      <formula>1</formula>
    </cfRule>
  </conditionalFormatting>
  <conditionalFormatting sqref="J3960:K3962">
    <cfRule type="cellIs" dxfId="115" priority="188" operator="greaterThan">
      <formula>100%</formula>
    </cfRule>
    <cfRule type="cellIs" dxfId="114" priority="187" operator="greaterThanOrEqual">
      <formula>1</formula>
    </cfRule>
  </conditionalFormatting>
  <conditionalFormatting sqref="J3970:K3972">
    <cfRule type="cellIs" dxfId="113" priority="186" operator="greaterThan">
      <formula>100%</formula>
    </cfRule>
    <cfRule type="cellIs" dxfId="112" priority="185" operator="greaterThanOrEqual">
      <formula>1</formula>
    </cfRule>
  </conditionalFormatting>
  <conditionalFormatting sqref="J3980:K3982">
    <cfRule type="cellIs" dxfId="111" priority="184" operator="greaterThan">
      <formula>100%</formula>
    </cfRule>
    <cfRule type="cellIs" dxfId="110" priority="183" operator="greaterThanOrEqual">
      <formula>1</formula>
    </cfRule>
  </conditionalFormatting>
  <conditionalFormatting sqref="J3990:K3992">
    <cfRule type="cellIs" dxfId="109" priority="182" operator="greaterThan">
      <formula>100%</formula>
    </cfRule>
    <cfRule type="cellIs" dxfId="108" priority="181" operator="greaterThanOrEqual">
      <formula>1</formula>
    </cfRule>
  </conditionalFormatting>
  <conditionalFormatting sqref="J4000:K4002">
    <cfRule type="cellIs" dxfId="107" priority="180" operator="greaterThan">
      <formula>100%</formula>
    </cfRule>
    <cfRule type="cellIs" dxfId="106" priority="179" operator="greaterThanOrEqual">
      <formula>1</formula>
    </cfRule>
  </conditionalFormatting>
  <conditionalFormatting sqref="J4010:K4012">
    <cfRule type="cellIs" dxfId="105" priority="178" operator="greaterThan">
      <formula>100%</formula>
    </cfRule>
    <cfRule type="cellIs" dxfId="104" priority="177" operator="greaterThanOrEqual">
      <formula>1</formula>
    </cfRule>
  </conditionalFormatting>
  <conditionalFormatting sqref="J4020:K4022">
    <cfRule type="cellIs" dxfId="103" priority="176" operator="greaterThan">
      <formula>100%</formula>
    </cfRule>
    <cfRule type="cellIs" dxfId="102" priority="175" operator="greaterThanOrEqual">
      <formula>1</formula>
    </cfRule>
  </conditionalFormatting>
  <conditionalFormatting sqref="J4030:K4032">
    <cfRule type="cellIs" dxfId="101" priority="174" operator="greaterThan">
      <formula>100%</formula>
    </cfRule>
    <cfRule type="cellIs" dxfId="100" priority="173" operator="greaterThanOrEqual">
      <formula>1</formula>
    </cfRule>
  </conditionalFormatting>
  <conditionalFormatting sqref="J4040:K4042">
    <cfRule type="cellIs" dxfId="99" priority="172" operator="greaterThan">
      <formula>100%</formula>
    </cfRule>
    <cfRule type="cellIs" dxfId="98" priority="171" operator="greaterThanOrEqual">
      <formula>1</formula>
    </cfRule>
  </conditionalFormatting>
  <conditionalFormatting sqref="J4050:K4052">
    <cfRule type="cellIs" dxfId="97" priority="170" operator="greaterThan">
      <formula>100%</formula>
    </cfRule>
    <cfRule type="cellIs" dxfId="96" priority="169" operator="greaterThanOrEqual">
      <formula>1</formula>
    </cfRule>
  </conditionalFormatting>
  <conditionalFormatting sqref="J4060:K4062">
    <cfRule type="cellIs" dxfId="95" priority="168" operator="greaterThan">
      <formula>100%</formula>
    </cfRule>
    <cfRule type="cellIs" dxfId="94" priority="167" operator="greaterThanOrEqual">
      <formula>1</formula>
    </cfRule>
  </conditionalFormatting>
  <conditionalFormatting sqref="J4070:K4072">
    <cfRule type="cellIs" dxfId="93" priority="166" operator="greaterThan">
      <formula>100%</formula>
    </cfRule>
    <cfRule type="cellIs" dxfId="92" priority="165" operator="greaterThanOrEqual">
      <formula>1</formula>
    </cfRule>
  </conditionalFormatting>
  <conditionalFormatting sqref="J4080:K4082">
    <cfRule type="cellIs" dxfId="91" priority="164" operator="greaterThan">
      <formula>100%</formula>
    </cfRule>
    <cfRule type="cellIs" dxfId="90" priority="163" operator="greaterThanOrEqual">
      <formula>1</formula>
    </cfRule>
  </conditionalFormatting>
  <conditionalFormatting sqref="J4090:K4092">
    <cfRule type="cellIs" dxfId="89" priority="162" operator="greaterThan">
      <formula>100%</formula>
    </cfRule>
    <cfRule type="cellIs" dxfId="88" priority="161" operator="greaterThanOrEqual">
      <formula>1</formula>
    </cfRule>
  </conditionalFormatting>
  <conditionalFormatting sqref="J4100:K4102">
    <cfRule type="cellIs" dxfId="87" priority="160" operator="greaterThan">
      <formula>100%</formula>
    </cfRule>
    <cfRule type="cellIs" dxfId="86" priority="159" operator="greaterThanOrEqual">
      <formula>1</formula>
    </cfRule>
  </conditionalFormatting>
  <conditionalFormatting sqref="J4110:K4112">
    <cfRule type="cellIs" dxfId="85" priority="158" operator="greaterThan">
      <formula>100%</formula>
    </cfRule>
    <cfRule type="cellIs" dxfId="84" priority="157" operator="greaterThanOrEqual">
      <formula>1</formula>
    </cfRule>
  </conditionalFormatting>
  <conditionalFormatting sqref="J4119:K4121">
    <cfRule type="cellIs" dxfId="83" priority="156" operator="greaterThan">
      <formula>100%</formula>
    </cfRule>
    <cfRule type="cellIs" dxfId="82" priority="155" operator="greaterThanOrEqual">
      <formula>1</formula>
    </cfRule>
  </conditionalFormatting>
  <conditionalFormatting sqref="J4128:K4130">
    <cfRule type="cellIs" dxfId="81" priority="154" operator="greaterThan">
      <formula>100%</formula>
    </cfRule>
    <cfRule type="cellIs" dxfId="80" priority="153" operator="greaterThanOrEqual">
      <formula>1</formula>
    </cfRule>
  </conditionalFormatting>
  <conditionalFormatting sqref="J4140:K4142">
    <cfRule type="cellIs" dxfId="79" priority="151" operator="greaterThanOrEqual">
      <formula>1</formula>
    </cfRule>
    <cfRule type="cellIs" dxfId="78" priority="152" operator="greaterThan">
      <formula>100%</formula>
    </cfRule>
  </conditionalFormatting>
  <conditionalFormatting sqref="J4150:K4152">
    <cfRule type="cellIs" dxfId="77" priority="149" operator="greaterThanOrEqual">
      <formula>1</formula>
    </cfRule>
    <cfRule type="cellIs" dxfId="76" priority="150" operator="greaterThan">
      <formula>100%</formula>
    </cfRule>
  </conditionalFormatting>
  <conditionalFormatting sqref="J4160:K4162">
    <cfRule type="cellIs" dxfId="75" priority="148" operator="greaterThan">
      <formula>100%</formula>
    </cfRule>
    <cfRule type="cellIs" dxfId="74" priority="147" operator="greaterThanOrEqual">
      <formula>1</formula>
    </cfRule>
  </conditionalFormatting>
  <conditionalFormatting sqref="J4170:K4172">
    <cfRule type="cellIs" dxfId="73" priority="146" operator="greaterThan">
      <formula>100%</formula>
    </cfRule>
    <cfRule type="cellIs" dxfId="72" priority="145" operator="greaterThanOrEqual">
      <formula>1</formula>
    </cfRule>
  </conditionalFormatting>
  <conditionalFormatting sqref="J4180:K4182">
    <cfRule type="cellIs" dxfId="71" priority="144" operator="greaterThan">
      <formula>100%</formula>
    </cfRule>
    <cfRule type="cellIs" dxfId="70" priority="143" operator="greaterThanOrEqual">
      <formula>1</formula>
    </cfRule>
  </conditionalFormatting>
  <conditionalFormatting sqref="J4190:K4193">
    <cfRule type="cellIs" dxfId="69" priority="141" operator="greaterThanOrEqual">
      <formula>1</formula>
    </cfRule>
    <cfRule type="cellIs" dxfId="68" priority="142" operator="greaterThan">
      <formula>100%</formula>
    </cfRule>
  </conditionalFormatting>
  <conditionalFormatting sqref="J4201:K4203">
    <cfRule type="cellIs" dxfId="67" priority="139" operator="greaterThanOrEqual">
      <formula>1</formula>
    </cfRule>
    <cfRule type="cellIs" dxfId="66" priority="140" operator="greaterThan">
      <formula>100%</formula>
    </cfRule>
  </conditionalFormatting>
  <conditionalFormatting sqref="J4211:K4213">
    <cfRule type="cellIs" dxfId="65" priority="137" operator="greaterThanOrEqual">
      <formula>1</formula>
    </cfRule>
    <cfRule type="cellIs" dxfId="64" priority="138" operator="greaterThan">
      <formula>100%</formula>
    </cfRule>
  </conditionalFormatting>
  <conditionalFormatting sqref="J4221:K4223">
    <cfRule type="cellIs" dxfId="63" priority="136" operator="greaterThan">
      <formula>100%</formula>
    </cfRule>
    <cfRule type="cellIs" dxfId="62" priority="135" operator="greaterThanOrEqual">
      <formula>1</formula>
    </cfRule>
  </conditionalFormatting>
  <conditionalFormatting sqref="J4231:K4233">
    <cfRule type="cellIs" dxfId="61" priority="134" operator="greaterThan">
      <formula>100%</formula>
    </cfRule>
    <cfRule type="cellIs" dxfId="60" priority="133" operator="greaterThanOrEqual">
      <formula>1</formula>
    </cfRule>
  </conditionalFormatting>
  <conditionalFormatting sqref="J4241:K4243">
    <cfRule type="cellIs" dxfId="59" priority="132" operator="greaterThan">
      <formula>100%</formula>
    </cfRule>
    <cfRule type="cellIs" dxfId="58" priority="131" operator="greaterThanOrEqual">
      <formula>1</formula>
    </cfRule>
  </conditionalFormatting>
  <conditionalFormatting sqref="J4251:K4253">
    <cfRule type="cellIs" dxfId="57" priority="130" operator="greaterThan">
      <formula>100%</formula>
    </cfRule>
    <cfRule type="cellIs" dxfId="56" priority="129" operator="greaterThanOrEqual">
      <formula>1</formula>
    </cfRule>
  </conditionalFormatting>
  <conditionalFormatting sqref="J4261:K4265">
    <cfRule type="cellIs" dxfId="55" priority="42" operator="greaterThan">
      <formula>100%</formula>
    </cfRule>
    <cfRule type="cellIs" dxfId="54" priority="41" operator="greaterThanOrEqual">
      <formula>1</formula>
    </cfRule>
  </conditionalFormatting>
  <conditionalFormatting sqref="J4273:K4275">
    <cfRule type="cellIs" dxfId="53" priority="126" operator="greaterThan">
      <formula>100%</formula>
    </cfRule>
    <cfRule type="cellIs" dxfId="52" priority="125" operator="greaterThanOrEqual">
      <formula>1</formula>
    </cfRule>
  </conditionalFormatting>
  <conditionalFormatting sqref="J4283:K4285">
    <cfRule type="cellIs" dxfId="51" priority="124" operator="greaterThan">
      <formula>100%</formula>
    </cfRule>
    <cfRule type="cellIs" dxfId="50" priority="123" operator="greaterThanOrEqual">
      <formula>1</formula>
    </cfRule>
  </conditionalFormatting>
  <conditionalFormatting sqref="J4293:K4295">
    <cfRule type="cellIs" dxfId="49" priority="122" operator="greaterThan">
      <formula>100%</formula>
    </cfRule>
    <cfRule type="cellIs" dxfId="48" priority="121" operator="greaterThanOrEqual">
      <formula>1</formula>
    </cfRule>
  </conditionalFormatting>
  <conditionalFormatting sqref="J4303:K4305">
    <cfRule type="cellIs" dxfId="47" priority="120" operator="greaterThan">
      <formula>100%</formula>
    </cfRule>
    <cfRule type="cellIs" dxfId="46" priority="119" operator="greaterThanOrEqual">
      <formula>1</formula>
    </cfRule>
  </conditionalFormatting>
  <conditionalFormatting sqref="J4313:K4315">
    <cfRule type="cellIs" dxfId="45" priority="118" operator="greaterThan">
      <formula>100%</formula>
    </cfRule>
    <cfRule type="cellIs" dxfId="44" priority="117" operator="greaterThanOrEqual">
      <formula>1</formula>
    </cfRule>
  </conditionalFormatting>
  <conditionalFormatting sqref="J4323:K4325">
    <cfRule type="cellIs" dxfId="43" priority="116" operator="greaterThan">
      <formula>100%</formula>
    </cfRule>
    <cfRule type="cellIs" dxfId="42" priority="115" operator="greaterThanOrEqual">
      <formula>1</formula>
    </cfRule>
  </conditionalFormatting>
  <conditionalFormatting sqref="J4333:K4335">
    <cfRule type="cellIs" dxfId="41" priority="113" operator="greaterThanOrEqual">
      <formula>1</formula>
    </cfRule>
    <cfRule type="cellIs" dxfId="40" priority="114" operator="greaterThan">
      <formula>100%</formula>
    </cfRule>
  </conditionalFormatting>
  <conditionalFormatting sqref="J4343:K4345">
    <cfRule type="cellIs" dxfId="39" priority="111" operator="greaterThanOrEqual">
      <formula>1</formula>
    </cfRule>
    <cfRule type="cellIs" dxfId="38" priority="112" operator="greaterThan">
      <formula>100%</formula>
    </cfRule>
  </conditionalFormatting>
  <conditionalFormatting sqref="J4353:K4355">
    <cfRule type="cellIs" dxfId="37" priority="109" operator="greaterThanOrEqual">
      <formula>1</formula>
    </cfRule>
    <cfRule type="cellIs" dxfId="36" priority="110" operator="greaterThan">
      <formula>100%</formula>
    </cfRule>
  </conditionalFormatting>
  <conditionalFormatting sqref="J4363:K4366">
    <cfRule type="cellIs" dxfId="35" priority="40" operator="greaterThan">
      <formula>100%</formula>
    </cfRule>
    <cfRule type="cellIs" dxfId="34" priority="39" operator="greaterThanOrEqual">
      <formula>1</formula>
    </cfRule>
  </conditionalFormatting>
  <conditionalFormatting sqref="J4374:K4376">
    <cfRule type="cellIs" dxfId="33" priority="105" operator="greaterThanOrEqual">
      <formula>1</formula>
    </cfRule>
    <cfRule type="cellIs" dxfId="32" priority="106" operator="greaterThan">
      <formula>100%</formula>
    </cfRule>
  </conditionalFormatting>
  <conditionalFormatting sqref="J4385:K4387">
    <cfRule type="cellIs" dxfId="31" priority="103" operator="greaterThanOrEqual">
      <formula>1</formula>
    </cfRule>
    <cfRule type="cellIs" dxfId="30" priority="104" operator="greaterThan">
      <formula>100%</formula>
    </cfRule>
  </conditionalFormatting>
  <conditionalFormatting sqref="J4464:K4466">
    <cfRule type="cellIs" dxfId="29" priority="36" operator="greaterThan">
      <formula>100%</formula>
    </cfRule>
    <cfRule type="cellIs" dxfId="28" priority="35" operator="greaterThanOrEqual">
      <formula>1</formula>
    </cfRule>
  </conditionalFormatting>
  <conditionalFormatting sqref="J4535:K4537">
    <cfRule type="cellIs" dxfId="27" priority="33" operator="greaterThanOrEqual">
      <formula>1</formula>
    </cfRule>
    <cfRule type="cellIs" dxfId="26" priority="34" operator="greaterThan">
      <formula>100%</formula>
    </cfRule>
  </conditionalFormatting>
  <conditionalFormatting sqref="J4554:K4556">
    <cfRule type="cellIs" dxfId="25" priority="31" operator="greaterThanOrEqual">
      <formula>1</formula>
    </cfRule>
    <cfRule type="cellIs" dxfId="24" priority="32" operator="greaterThan">
      <formula>100%</formula>
    </cfRule>
  </conditionalFormatting>
  <conditionalFormatting sqref="J4564:K4566">
    <cfRule type="cellIs" dxfId="23" priority="29" operator="greaterThanOrEqual">
      <formula>1</formula>
    </cfRule>
    <cfRule type="cellIs" dxfId="22" priority="30" operator="greaterThan">
      <formula>100%</formula>
    </cfRule>
  </conditionalFormatting>
  <conditionalFormatting sqref="J4574:K4576">
    <cfRule type="cellIs" dxfId="21" priority="23" operator="greaterThanOrEqual">
      <formula>1</formula>
    </cfRule>
    <cfRule type="cellIs" dxfId="20" priority="24" operator="greaterThan">
      <formula>100%</formula>
    </cfRule>
  </conditionalFormatting>
  <conditionalFormatting sqref="J4584:K4586">
    <cfRule type="cellIs" dxfId="19" priority="22" operator="greaterThan">
      <formula>100%</formula>
    </cfRule>
    <cfRule type="cellIs" dxfId="18" priority="21" operator="greaterThanOrEqual">
      <formula>1</formula>
    </cfRule>
  </conditionalFormatting>
  <conditionalFormatting sqref="J4594:K4596">
    <cfRule type="cellIs" dxfId="17" priority="19" operator="greaterThanOrEqual">
      <formula>1</formula>
    </cfRule>
    <cfRule type="cellIs" dxfId="16" priority="20" operator="greaterThan">
      <formula>100%</formula>
    </cfRule>
  </conditionalFormatting>
  <conditionalFormatting sqref="J4604:K4606">
    <cfRule type="cellIs" dxfId="15" priority="17" operator="greaterThanOrEqual">
      <formula>1</formula>
    </cfRule>
    <cfRule type="cellIs" dxfId="14" priority="18" operator="greaterThan">
      <formula>100%</formula>
    </cfRule>
  </conditionalFormatting>
  <conditionalFormatting sqref="J4614:K4616">
    <cfRule type="cellIs" dxfId="13" priority="16" operator="greaterThan">
      <formula>100%</formula>
    </cfRule>
    <cfRule type="cellIs" dxfId="12" priority="15" operator="greaterThanOrEqual">
      <formula>1</formula>
    </cfRule>
  </conditionalFormatting>
  <conditionalFormatting sqref="J4624:K4626">
    <cfRule type="cellIs" dxfId="11" priority="12" operator="greaterThan">
      <formula>100%</formula>
    </cfRule>
    <cfRule type="cellIs" dxfId="10" priority="11" operator="greaterThanOrEqual">
      <formula>1</formula>
    </cfRule>
  </conditionalFormatting>
  <conditionalFormatting sqref="J4635:K4637">
    <cfRule type="cellIs" dxfId="9" priority="10" operator="greaterThan">
      <formula>100%</formula>
    </cfRule>
    <cfRule type="cellIs" dxfId="8" priority="9" operator="greaterThanOrEqual">
      <formula>1</formula>
    </cfRule>
  </conditionalFormatting>
  <conditionalFormatting sqref="J4645:K4647">
    <cfRule type="cellIs" dxfId="7" priority="8" operator="greaterThan">
      <formula>100%</formula>
    </cfRule>
    <cfRule type="cellIs" dxfId="6" priority="7" operator="greaterThanOrEqual">
      <formula>1</formula>
    </cfRule>
  </conditionalFormatting>
  <conditionalFormatting sqref="J4655:K4657">
    <cfRule type="cellIs" dxfId="5" priority="6" operator="greaterThan">
      <formula>100%</formula>
    </cfRule>
    <cfRule type="cellIs" dxfId="4" priority="5" operator="greaterThanOrEqual">
      <formula>1</formula>
    </cfRule>
  </conditionalFormatting>
  <conditionalFormatting sqref="J4665:K4667">
    <cfRule type="cellIs" dxfId="3" priority="4" operator="greaterThan">
      <formula>100%</formula>
    </cfRule>
    <cfRule type="cellIs" dxfId="2" priority="3" operator="greaterThanOrEqual">
      <formula>1</formula>
    </cfRule>
  </conditionalFormatting>
  <conditionalFormatting sqref="J4675:K4677 J4685:K4687 J4695:K4697 J4705:K4707 J4715:K4717 J4725:K4727 J4735:K4737 J4745:K4747 J4755:K4757 J4768:K4770 J4779:K4781 J4791:K4793 J4802:K4804 J4813:K4815 J4824:K4829">
    <cfRule type="cellIs" dxfId="1" priority="2" operator="greaterThan">
      <formula>100%</formula>
    </cfRule>
    <cfRule type="cellIs" dxfId="0" priority="1" operator="greaterThanOrEqual">
      <formula>1</formula>
    </cfRule>
  </conditionalFormatting>
  <printOptions horizontalCentered="1"/>
  <pageMargins left="0.39370078740157483" right="0.19685039370078741" top="0.59055118110236215" bottom="0.39370078740157483" header="0" footer="0"/>
  <pageSetup scale="33" firstPageNumber="2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F36"/>
  <sheetViews>
    <sheetView view="pageBreakPreview" zoomScale="70" zoomScaleNormal="60" zoomScaleSheetLayoutView="70" workbookViewId="0">
      <selection activeCell="G1" sqref="G1"/>
    </sheetView>
  </sheetViews>
  <sheetFormatPr defaultColWidth="12.44140625" defaultRowHeight="15.6"/>
  <cols>
    <col min="1" max="1" width="20.33203125" style="1069" customWidth="1"/>
    <col min="2" max="2" width="55.33203125" style="1069" customWidth="1"/>
    <col min="3" max="3" width="73.33203125" style="1069" customWidth="1"/>
    <col min="4" max="4" width="17.5546875" style="1069" customWidth="1"/>
    <col min="5" max="5" width="34.33203125" style="1069" customWidth="1"/>
    <col min="6" max="6" width="29.5546875" style="1069" customWidth="1"/>
    <col min="7" max="16384" width="12.44140625" style="1069"/>
  </cols>
  <sheetData>
    <row r="1" spans="1:6" ht="57" customHeight="1" thickBot="1">
      <c r="A1" s="2128" t="s">
        <v>2175</v>
      </c>
      <c r="B1" s="2129"/>
      <c r="C1" s="2129"/>
      <c r="D1" s="2129"/>
      <c r="E1" s="2129"/>
      <c r="F1" s="2130"/>
    </row>
    <row r="2" spans="1:6">
      <c r="A2" s="1070" t="s">
        <v>2176</v>
      </c>
      <c r="B2" s="1071" t="s">
        <v>194</v>
      </c>
      <c r="C2" s="1071" t="s">
        <v>2177</v>
      </c>
      <c r="D2" s="1071" t="s">
        <v>2178</v>
      </c>
      <c r="E2" s="1071" t="s">
        <v>2179</v>
      </c>
      <c r="F2" s="1071" t="s">
        <v>2180</v>
      </c>
    </row>
    <row r="3" spans="1:6">
      <c r="A3" s="1072">
        <v>45474</v>
      </c>
      <c r="B3" s="1073" t="s">
        <v>2181</v>
      </c>
      <c r="C3" s="1073" t="s">
        <v>2182</v>
      </c>
      <c r="D3" s="1073">
        <v>714</v>
      </c>
      <c r="E3" s="1074">
        <v>15000</v>
      </c>
      <c r="F3" s="1075">
        <v>45493</v>
      </c>
    </row>
    <row r="4" spans="1:6">
      <c r="A4" s="1076">
        <v>45471</v>
      </c>
      <c r="B4" s="1077" t="s">
        <v>2183</v>
      </c>
      <c r="C4" s="1077" t="s">
        <v>2184</v>
      </c>
      <c r="D4" s="1077">
        <v>10728</v>
      </c>
      <c r="E4" s="1078">
        <v>1473.81</v>
      </c>
      <c r="F4" s="1079">
        <v>45483</v>
      </c>
    </row>
    <row r="5" spans="1:6">
      <c r="A5" s="1072">
        <v>45462</v>
      </c>
      <c r="B5" s="1073" t="s">
        <v>2183</v>
      </c>
      <c r="C5" s="1073" t="s">
        <v>2185</v>
      </c>
      <c r="D5" s="1073">
        <v>807296</v>
      </c>
      <c r="E5" s="1074">
        <v>2914.45</v>
      </c>
      <c r="F5" s="1075">
        <v>45488</v>
      </c>
    </row>
    <row r="6" spans="1:6">
      <c r="A6" s="1076">
        <v>45462</v>
      </c>
      <c r="B6" s="1077" t="s">
        <v>2183</v>
      </c>
      <c r="C6" s="1077" t="s">
        <v>2185</v>
      </c>
      <c r="D6" s="1077">
        <v>807352</v>
      </c>
      <c r="E6" s="1078">
        <v>4020.92</v>
      </c>
      <c r="F6" s="1079">
        <v>45488</v>
      </c>
    </row>
    <row r="7" spans="1:6">
      <c r="A7" s="1072">
        <v>45470</v>
      </c>
      <c r="B7" s="1073" t="s">
        <v>2183</v>
      </c>
      <c r="C7" s="1073" t="s">
        <v>2186</v>
      </c>
      <c r="D7" s="1073">
        <v>243053</v>
      </c>
      <c r="E7" s="1074">
        <v>3762.26</v>
      </c>
      <c r="F7" s="1075">
        <v>45488</v>
      </c>
    </row>
    <row r="8" spans="1:6">
      <c r="A8" s="1076">
        <v>45475</v>
      </c>
      <c r="B8" s="1077" t="s">
        <v>2187</v>
      </c>
      <c r="C8" s="1077" t="s">
        <v>2188</v>
      </c>
      <c r="D8" s="1077">
        <v>31615</v>
      </c>
      <c r="E8" s="1078">
        <v>850</v>
      </c>
      <c r="F8" s="1079">
        <v>45509</v>
      </c>
    </row>
    <row r="9" spans="1:6">
      <c r="A9" s="1072">
        <v>45476</v>
      </c>
      <c r="B9" s="1073" t="s">
        <v>2189</v>
      </c>
      <c r="C9" s="1073" t="s">
        <v>2190</v>
      </c>
      <c r="D9" s="1073">
        <v>697</v>
      </c>
      <c r="E9" s="1074">
        <v>11000</v>
      </c>
      <c r="F9" s="1075">
        <v>45504</v>
      </c>
    </row>
    <row r="10" spans="1:6">
      <c r="A10" s="1076">
        <v>45476</v>
      </c>
      <c r="B10" s="1077" t="s">
        <v>2191</v>
      </c>
      <c r="C10" s="1077" t="s">
        <v>2192</v>
      </c>
      <c r="D10" s="1077">
        <v>2770</v>
      </c>
      <c r="E10" s="1078">
        <v>21772.92</v>
      </c>
      <c r="F10" s="1079">
        <v>45493</v>
      </c>
    </row>
    <row r="11" spans="1:6">
      <c r="A11" s="1072">
        <v>45476</v>
      </c>
      <c r="B11" s="1073" t="s">
        <v>2193</v>
      </c>
      <c r="C11" s="1073" t="s">
        <v>2194</v>
      </c>
      <c r="D11" s="1073">
        <v>146</v>
      </c>
      <c r="E11" s="1074">
        <v>8000</v>
      </c>
      <c r="F11" s="1075">
        <v>45493</v>
      </c>
    </row>
    <row r="12" spans="1:6">
      <c r="A12" s="1076">
        <v>45477</v>
      </c>
      <c r="B12" s="1077" t="s">
        <v>2195</v>
      </c>
      <c r="C12" s="1077" t="s">
        <v>2196</v>
      </c>
      <c r="D12" s="1077">
        <v>1682</v>
      </c>
      <c r="E12" s="1078">
        <v>3016</v>
      </c>
      <c r="F12" s="1079">
        <v>45492</v>
      </c>
    </row>
    <row r="13" spans="1:6">
      <c r="A13" s="1072">
        <v>45477</v>
      </c>
      <c r="B13" s="1073" t="s">
        <v>2195</v>
      </c>
      <c r="C13" s="1073" t="s">
        <v>2196</v>
      </c>
      <c r="D13" s="1073">
        <v>1683</v>
      </c>
      <c r="E13" s="1074">
        <v>4184</v>
      </c>
      <c r="F13" s="1075">
        <v>45492</v>
      </c>
    </row>
    <row r="14" spans="1:6">
      <c r="A14" s="1076">
        <v>45476</v>
      </c>
      <c r="B14" s="1077" t="s">
        <v>2197</v>
      </c>
      <c r="C14" s="1077" t="s">
        <v>2198</v>
      </c>
      <c r="D14" s="1077">
        <v>6969</v>
      </c>
      <c r="E14" s="1078">
        <v>5738.99</v>
      </c>
      <c r="F14" s="1079">
        <v>45504</v>
      </c>
    </row>
    <row r="15" spans="1:6">
      <c r="A15" s="1072">
        <v>45482</v>
      </c>
      <c r="B15" s="1073" t="s">
        <v>2199</v>
      </c>
      <c r="C15" s="1073" t="s">
        <v>2200</v>
      </c>
      <c r="D15" s="1073">
        <v>502</v>
      </c>
      <c r="E15" s="1074">
        <v>20000</v>
      </c>
      <c r="F15" s="1075">
        <v>45493</v>
      </c>
    </row>
    <row r="16" spans="1:6">
      <c r="A16" s="1076">
        <v>45482</v>
      </c>
      <c r="B16" s="1077" t="s">
        <v>2201</v>
      </c>
      <c r="C16" s="1077" t="s">
        <v>2202</v>
      </c>
      <c r="D16" s="1077">
        <v>18</v>
      </c>
      <c r="E16" s="1078">
        <v>8360</v>
      </c>
      <c r="F16" s="1079">
        <v>45509</v>
      </c>
    </row>
    <row r="17" spans="1:6">
      <c r="A17" s="1072">
        <v>45484</v>
      </c>
      <c r="B17" s="1073" t="s">
        <v>2203</v>
      </c>
      <c r="C17" s="1073" t="s">
        <v>2204</v>
      </c>
      <c r="D17" s="1073">
        <v>44</v>
      </c>
      <c r="E17" s="1074">
        <v>14111.77</v>
      </c>
      <c r="F17" s="1075">
        <v>45493</v>
      </c>
    </row>
    <row r="18" spans="1:6">
      <c r="A18" s="1076">
        <v>45484</v>
      </c>
      <c r="B18" s="1077" t="s">
        <v>2205</v>
      </c>
      <c r="C18" s="1077" t="s">
        <v>2206</v>
      </c>
      <c r="D18" s="1077">
        <v>27739</v>
      </c>
      <c r="E18" s="1078">
        <v>493.22</v>
      </c>
      <c r="F18" s="1079">
        <v>45505</v>
      </c>
    </row>
    <row r="19" spans="1:6">
      <c r="A19" s="1072">
        <v>45478</v>
      </c>
      <c r="B19" s="1073" t="s">
        <v>2207</v>
      </c>
      <c r="C19" s="1073" t="s">
        <v>2208</v>
      </c>
      <c r="D19" s="1073">
        <v>4065</v>
      </c>
      <c r="E19" s="1074">
        <v>79000</v>
      </c>
      <c r="F19" s="1075">
        <v>45508</v>
      </c>
    </row>
    <row r="20" spans="1:6">
      <c r="A20" s="1076">
        <v>45488</v>
      </c>
      <c r="B20" s="1077" t="s">
        <v>2209</v>
      </c>
      <c r="C20" s="1077" t="s">
        <v>2210</v>
      </c>
      <c r="D20" s="1077">
        <v>14060</v>
      </c>
      <c r="E20" s="1078">
        <v>2525.4699999999998</v>
      </c>
      <c r="F20" s="1079">
        <v>45516</v>
      </c>
    </row>
    <row r="21" spans="1:6">
      <c r="A21" s="1072">
        <v>45485</v>
      </c>
      <c r="B21" s="1073" t="s">
        <v>2211</v>
      </c>
      <c r="C21" s="1073" t="s">
        <v>2198</v>
      </c>
      <c r="D21" s="1073">
        <v>7078</v>
      </c>
      <c r="E21" s="1074">
        <v>2763.22</v>
      </c>
      <c r="F21" s="1075">
        <v>45513</v>
      </c>
    </row>
    <row r="22" spans="1:6">
      <c r="A22" s="1076">
        <v>45490</v>
      </c>
      <c r="B22" s="1077" t="s">
        <v>2195</v>
      </c>
      <c r="C22" s="1077" t="s">
        <v>2196</v>
      </c>
      <c r="D22" s="1077">
        <v>1686</v>
      </c>
      <c r="E22" s="1078">
        <v>2541.5</v>
      </c>
      <c r="F22" s="1079">
        <v>45521</v>
      </c>
    </row>
    <row r="23" spans="1:6">
      <c r="A23" s="1072">
        <v>45495</v>
      </c>
      <c r="B23" s="1073" t="s">
        <v>2212</v>
      </c>
      <c r="C23" s="1073" t="s">
        <v>2213</v>
      </c>
      <c r="D23" s="1073">
        <v>1340</v>
      </c>
      <c r="E23" s="1074">
        <v>896</v>
      </c>
      <c r="F23" s="1075">
        <v>45516</v>
      </c>
    </row>
    <row r="24" spans="1:6">
      <c r="A24" s="1076">
        <v>45495</v>
      </c>
      <c r="B24" s="1077" t="s">
        <v>2214</v>
      </c>
      <c r="C24" s="1077" t="s">
        <v>2215</v>
      </c>
      <c r="D24" s="1077">
        <v>56814</v>
      </c>
      <c r="E24" s="1078">
        <v>1100</v>
      </c>
      <c r="F24" s="1079">
        <v>45526</v>
      </c>
    </row>
    <row r="25" spans="1:6">
      <c r="A25" s="1072">
        <v>45499</v>
      </c>
      <c r="B25" s="1073" t="s">
        <v>2216</v>
      </c>
      <c r="C25" s="1073" t="s">
        <v>2217</v>
      </c>
      <c r="D25" s="1073">
        <v>129</v>
      </c>
      <c r="E25" s="1074">
        <v>2265</v>
      </c>
      <c r="F25" s="1075">
        <v>45519</v>
      </c>
    </row>
    <row r="26" spans="1:6">
      <c r="A26" s="1076">
        <v>45499</v>
      </c>
      <c r="B26" s="1077" t="s">
        <v>2209</v>
      </c>
      <c r="C26" s="1077" t="s">
        <v>2215</v>
      </c>
      <c r="D26" s="1077">
        <v>56914</v>
      </c>
      <c r="E26" s="1078">
        <v>1480</v>
      </c>
      <c r="F26" s="1079">
        <v>45534</v>
      </c>
    </row>
    <row r="27" spans="1:6">
      <c r="A27" s="1072">
        <v>45502</v>
      </c>
      <c r="B27" s="1073" t="s">
        <v>2207</v>
      </c>
      <c r="C27" s="1073" t="s">
        <v>2218</v>
      </c>
      <c r="D27" s="1073">
        <v>104166</v>
      </c>
      <c r="E27" s="1074">
        <v>2570.64</v>
      </c>
      <c r="F27" s="1075">
        <v>45530</v>
      </c>
    </row>
    <row r="28" spans="1:6">
      <c r="A28" s="1076"/>
      <c r="B28" s="1077"/>
      <c r="C28" s="1077"/>
      <c r="D28" s="1077"/>
      <c r="E28" s="1078"/>
      <c r="F28" s="1079"/>
    </row>
    <row r="29" spans="1:6">
      <c r="A29" s="1072"/>
      <c r="B29" s="1073"/>
      <c r="C29" s="1073"/>
      <c r="D29" s="1073"/>
      <c r="E29" s="1074"/>
      <c r="F29" s="1075"/>
    </row>
    <row r="30" spans="1:6">
      <c r="A30" s="1076"/>
      <c r="B30" s="1077"/>
      <c r="C30" s="1077"/>
      <c r="D30" s="1077"/>
      <c r="E30" s="1078"/>
      <c r="F30" s="1079"/>
    </row>
    <row r="31" spans="1:6">
      <c r="A31" s="1072"/>
      <c r="B31" s="1073"/>
      <c r="C31" s="1073"/>
      <c r="D31" s="1073"/>
      <c r="E31" s="1074"/>
      <c r="F31" s="1075"/>
    </row>
    <row r="32" spans="1:6">
      <c r="A32" s="1076"/>
      <c r="B32" s="1077"/>
      <c r="C32" s="1077"/>
      <c r="D32" s="1077"/>
      <c r="E32" s="1078"/>
      <c r="F32" s="1079"/>
    </row>
    <row r="33" spans="1:6" ht="33" customHeight="1" thickBot="1">
      <c r="A33" s="2131" t="s">
        <v>2219</v>
      </c>
      <c r="B33" s="2132"/>
      <c r="C33" s="2132"/>
      <c r="D33" s="1080"/>
      <c r="E33" s="1081">
        <f>SUM(E3:E31)</f>
        <v>219840.17000000004</v>
      </c>
      <c r="F33" s="1082"/>
    </row>
    <row r="36" spans="1:6" ht="18">
      <c r="A36" s="1083" t="s">
        <v>2220</v>
      </c>
    </row>
  </sheetData>
  <sortState xmlns:xlrd2="http://schemas.microsoft.com/office/spreadsheetml/2017/richdata2" ref="A3:F53">
    <sortCondition ref="A53"/>
  </sortState>
  <mergeCells count="2">
    <mergeCell ref="A1:F1"/>
    <mergeCell ref="A33:C33"/>
  </mergeCells>
  <pageMargins left="0.7" right="0.7" top="0.75" bottom="0.75" header="0.3" footer="0.3"/>
  <pageSetup paperSize="9" scale="56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I42"/>
  <sheetViews>
    <sheetView view="pageBreakPreview" zoomScale="85" zoomScaleSheetLayoutView="85" workbookViewId="0">
      <selection activeCell="AB50" sqref="AB50"/>
    </sheetView>
  </sheetViews>
  <sheetFormatPr defaultColWidth="9.109375" defaultRowHeight="13.2"/>
  <cols>
    <col min="1" max="1" width="50.88671875" style="126" customWidth="1"/>
    <col min="2" max="2" width="12.6640625" style="126" bestFit="1" customWidth="1"/>
    <col min="3" max="3" width="56.109375" style="126" customWidth="1"/>
    <col min="4" max="4" width="60.44140625" style="126" customWidth="1"/>
    <col min="5" max="8" width="9.109375" style="126"/>
    <col min="9" max="9" width="42.109375" style="126" customWidth="1"/>
    <col min="10" max="16384" width="9.109375" style="126"/>
  </cols>
  <sheetData>
    <row r="1" spans="1:9" ht="33.75" customHeight="1">
      <c r="A1" s="2133" t="s">
        <v>2221</v>
      </c>
      <c r="B1" s="2134"/>
      <c r="C1" s="2134"/>
      <c r="D1" s="2135"/>
    </row>
    <row r="2" spans="1:9" ht="12.75" customHeight="1">
      <c r="A2" s="2136"/>
      <c r="B2" s="2136"/>
      <c r="C2" s="2136"/>
      <c r="D2" s="2136"/>
    </row>
    <row r="3" spans="1:9">
      <c r="A3" s="1003" t="s">
        <v>2222</v>
      </c>
      <c r="B3" s="1003" t="s">
        <v>2223</v>
      </c>
      <c r="C3" s="1003" t="s">
        <v>2224</v>
      </c>
      <c r="D3" s="1003" t="s">
        <v>2225</v>
      </c>
      <c r="F3" s="1004"/>
    </row>
    <row r="4" spans="1:9" ht="164.25" customHeight="1">
      <c r="A4" s="1005" t="s">
        <v>2226</v>
      </c>
      <c r="B4" s="1006" t="s">
        <v>2227</v>
      </c>
      <c r="C4" s="1005" t="s">
        <v>2228</v>
      </c>
      <c r="D4" s="1005" t="s">
        <v>2229</v>
      </c>
    </row>
    <row r="5" spans="1:9" ht="90.75" customHeight="1">
      <c r="A5" s="1005" t="s">
        <v>2230</v>
      </c>
      <c r="B5" s="1006" t="s">
        <v>2227</v>
      </c>
      <c r="C5" s="1005" t="s">
        <v>2231</v>
      </c>
      <c r="D5" s="1005" t="s">
        <v>2232</v>
      </c>
      <c r="I5" s="1007"/>
    </row>
    <row r="6" spans="1:9" ht="250.2" customHeight="1">
      <c r="A6" s="1005" t="s">
        <v>2233</v>
      </c>
      <c r="B6" s="1006" t="s">
        <v>2227</v>
      </c>
      <c r="C6" s="1005" t="s">
        <v>2234</v>
      </c>
      <c r="D6" s="1005" t="s">
        <v>2235</v>
      </c>
      <c r="I6" s="1008"/>
    </row>
    <row r="7" spans="1:9" ht="93" customHeight="1">
      <c r="A7" s="1009" t="s">
        <v>2236</v>
      </c>
      <c r="B7" s="1010" t="s">
        <v>2227</v>
      </c>
      <c r="C7" s="1011" t="s">
        <v>2237</v>
      </c>
      <c r="D7" s="1009" t="s">
        <v>2238</v>
      </c>
    </row>
    <row r="8" spans="1:9" ht="106.2" customHeight="1">
      <c r="A8" s="1005" t="s">
        <v>2239</v>
      </c>
      <c r="B8" s="1006" t="s">
        <v>2227</v>
      </c>
      <c r="C8" s="1005" t="s">
        <v>2240</v>
      </c>
      <c r="D8" s="1005" t="s">
        <v>2241</v>
      </c>
    </row>
    <row r="9" spans="1:9" ht="72" customHeight="1">
      <c r="A9" s="1005" t="s">
        <v>2242</v>
      </c>
      <c r="B9" s="1006" t="s">
        <v>2227</v>
      </c>
      <c r="C9" s="1012" t="s">
        <v>2243</v>
      </c>
      <c r="D9" s="1005" t="s">
        <v>2244</v>
      </c>
    </row>
    <row r="10" spans="1:9" ht="38.25" customHeight="1">
      <c r="A10" s="1005" t="s">
        <v>2245</v>
      </c>
      <c r="B10" s="1006" t="s">
        <v>2246</v>
      </c>
      <c r="C10" s="1036" t="s">
        <v>2247</v>
      </c>
      <c r="D10" s="1036" t="s">
        <v>2248</v>
      </c>
    </row>
    <row r="11" spans="1:9" ht="121.5" customHeight="1">
      <c r="A11" s="1005" t="s">
        <v>2249</v>
      </c>
      <c r="B11" s="1006" t="s">
        <v>2246</v>
      </c>
      <c r="C11" s="1036" t="s">
        <v>2247</v>
      </c>
      <c r="D11" s="1036" t="s">
        <v>2248</v>
      </c>
    </row>
    <row r="12" spans="1:9" ht="92.25" customHeight="1">
      <c r="A12" s="1005" t="s">
        <v>2250</v>
      </c>
      <c r="B12" s="1006" t="s">
        <v>2227</v>
      </c>
      <c r="C12" s="1005" t="s">
        <v>2251</v>
      </c>
      <c r="D12" s="1009" t="s">
        <v>2252</v>
      </c>
    </row>
    <row r="13" spans="1:9" ht="70.5" customHeight="1">
      <c r="A13" s="1005" t="s">
        <v>2253</v>
      </c>
      <c r="B13" s="1006" t="s">
        <v>2227</v>
      </c>
      <c r="C13" s="1005" t="s">
        <v>2254</v>
      </c>
      <c r="D13" s="1005" t="s">
        <v>2255</v>
      </c>
    </row>
    <row r="14" spans="1:9" ht="44.4" customHeight="1">
      <c r="A14" s="1005" t="s">
        <v>2256</v>
      </c>
      <c r="B14" s="1006" t="s">
        <v>2246</v>
      </c>
      <c r="C14" s="1037" t="s">
        <v>2247</v>
      </c>
      <c r="D14" s="1036" t="s">
        <v>2248</v>
      </c>
    </row>
    <row r="15" spans="1:9" ht="198" customHeight="1">
      <c r="A15" s="1005" t="s">
        <v>2257</v>
      </c>
      <c r="B15" s="1006" t="s">
        <v>2227</v>
      </c>
      <c r="C15" s="1005" t="s">
        <v>2258</v>
      </c>
      <c r="D15" s="1005" t="s">
        <v>2259</v>
      </c>
    </row>
    <row r="16" spans="1:9" ht="144" customHeight="1">
      <c r="A16" s="1042" t="s">
        <v>2260</v>
      </c>
      <c r="B16" s="1006" t="s">
        <v>2227</v>
      </c>
      <c r="C16" s="1005" t="s">
        <v>2261</v>
      </c>
      <c r="D16" s="1005" t="s">
        <v>2262</v>
      </c>
    </row>
    <row r="17" spans="1:9" ht="68.25" customHeight="1">
      <c r="A17" s="1005" t="s">
        <v>2263</v>
      </c>
      <c r="B17" s="1006" t="s">
        <v>2227</v>
      </c>
      <c r="C17" s="1005" t="s">
        <v>2264</v>
      </c>
      <c r="D17" s="1005" t="s">
        <v>2265</v>
      </c>
    </row>
    <row r="18" spans="1:9" ht="65.400000000000006" customHeight="1">
      <c r="A18" s="1009" t="s">
        <v>2266</v>
      </c>
      <c r="B18" s="1010" t="s">
        <v>2227</v>
      </c>
      <c r="C18" s="1005" t="s">
        <v>2267</v>
      </c>
      <c r="D18" s="1005" t="s">
        <v>2268</v>
      </c>
    </row>
    <row r="19" spans="1:9" ht="54" customHeight="1">
      <c r="A19" s="1009" t="s">
        <v>2269</v>
      </c>
      <c r="B19" s="1010" t="s">
        <v>2227</v>
      </c>
      <c r="C19" s="1005" t="s">
        <v>2270</v>
      </c>
      <c r="D19" s="1005" t="s">
        <v>2271</v>
      </c>
      <c r="I19" s="1038"/>
    </row>
    <row r="20" spans="1:9" ht="65.400000000000006" customHeight="1">
      <c r="A20" s="1009" t="s">
        <v>2272</v>
      </c>
      <c r="B20" s="1006" t="s">
        <v>2227</v>
      </c>
      <c r="C20" s="1005" t="s">
        <v>2273</v>
      </c>
      <c r="D20" s="1005" t="s">
        <v>2274</v>
      </c>
      <c r="H20" s="1013"/>
    </row>
    <row r="21" spans="1:9" ht="59.4" customHeight="1">
      <c r="A21" s="1005" t="s">
        <v>2275</v>
      </c>
      <c r="B21" s="1006" t="s">
        <v>2227</v>
      </c>
      <c r="C21" s="1005" t="s">
        <v>2276</v>
      </c>
      <c r="D21" s="1005" t="s">
        <v>2277</v>
      </c>
    </row>
    <row r="22" spans="1:9" ht="51.6" customHeight="1">
      <c r="A22" s="1005" t="s">
        <v>2278</v>
      </c>
      <c r="B22" s="1006" t="s">
        <v>2227</v>
      </c>
      <c r="C22" s="1005" t="s">
        <v>2279</v>
      </c>
      <c r="D22" s="1005" t="s">
        <v>2280</v>
      </c>
    </row>
    <row r="23" spans="1:9" ht="47.4" customHeight="1">
      <c r="A23" s="1005" t="s">
        <v>2281</v>
      </c>
      <c r="B23" s="1006" t="s">
        <v>2227</v>
      </c>
      <c r="C23" s="1005" t="s">
        <v>2282</v>
      </c>
      <c r="D23" s="1005" t="s">
        <v>2283</v>
      </c>
    </row>
    <row r="24" spans="1:9" ht="52.5" customHeight="1">
      <c r="A24" s="1005" t="s">
        <v>2284</v>
      </c>
      <c r="B24" s="1006" t="s">
        <v>2227</v>
      </c>
      <c r="C24" s="1005" t="s">
        <v>2285</v>
      </c>
      <c r="D24" s="1005" t="s">
        <v>2286</v>
      </c>
    </row>
    <row r="25" spans="1:9" ht="52.2" customHeight="1">
      <c r="A25" s="1005" t="s">
        <v>2287</v>
      </c>
      <c r="B25" s="1006" t="s">
        <v>2227</v>
      </c>
      <c r="C25" s="1005" t="s">
        <v>2288</v>
      </c>
      <c r="D25" s="1005" t="s">
        <v>2289</v>
      </c>
    </row>
    <row r="26" spans="1:9" ht="52.95" customHeight="1">
      <c r="A26" s="1005" t="s">
        <v>2290</v>
      </c>
      <c r="B26" s="1006" t="s">
        <v>2227</v>
      </c>
      <c r="C26" s="1005" t="s">
        <v>2291</v>
      </c>
      <c r="D26" s="1005" t="s">
        <v>2292</v>
      </c>
    </row>
    <row r="27" spans="1:9" ht="37.950000000000003" customHeight="1">
      <c r="A27" s="1005" t="s">
        <v>2293</v>
      </c>
      <c r="B27" s="1006" t="s">
        <v>2246</v>
      </c>
      <c r="C27" s="1036" t="s">
        <v>2247</v>
      </c>
      <c r="D27" s="1036" t="s">
        <v>2248</v>
      </c>
    </row>
    <row r="28" spans="1:9" ht="45.6" customHeight="1">
      <c r="A28" s="1005" t="s">
        <v>2294</v>
      </c>
      <c r="B28" s="1006" t="s">
        <v>2246</v>
      </c>
      <c r="C28" s="1036" t="s">
        <v>2247</v>
      </c>
      <c r="D28" s="1036" t="s">
        <v>2248</v>
      </c>
    </row>
    <row r="29" spans="1:9" ht="197.25" customHeight="1">
      <c r="A29" s="1005" t="s">
        <v>2295</v>
      </c>
      <c r="B29" s="1006" t="s">
        <v>2227</v>
      </c>
      <c r="C29" s="1005" t="s">
        <v>2296</v>
      </c>
      <c r="D29" s="1005" t="s">
        <v>2297</v>
      </c>
    </row>
    <row r="30" spans="1:9" ht="50.4" customHeight="1">
      <c r="A30" s="1005" t="s">
        <v>2298</v>
      </c>
      <c r="B30" s="1006" t="s">
        <v>2227</v>
      </c>
      <c r="C30" s="1005" t="s">
        <v>2299</v>
      </c>
      <c r="D30" s="1005" t="s">
        <v>2297</v>
      </c>
    </row>
    <row r="31" spans="1:9" ht="67.2" customHeight="1">
      <c r="A31" s="1005" t="s">
        <v>2300</v>
      </c>
      <c r="B31" s="1006" t="s">
        <v>2227</v>
      </c>
      <c r="C31" s="1005" t="s">
        <v>2301</v>
      </c>
      <c r="D31" s="1005" t="s">
        <v>2302</v>
      </c>
    </row>
    <row r="32" spans="1:9" ht="177" customHeight="1">
      <c r="A32" s="1005" t="s">
        <v>2303</v>
      </c>
      <c r="B32" s="1006" t="s">
        <v>2304</v>
      </c>
      <c r="C32" s="1005" t="s">
        <v>2305</v>
      </c>
      <c r="D32" s="1005" t="s">
        <v>2306</v>
      </c>
    </row>
    <row r="33" spans="1:4" ht="85.95" customHeight="1">
      <c r="A33" s="1005" t="s">
        <v>2307</v>
      </c>
      <c r="B33" s="1006" t="s">
        <v>2246</v>
      </c>
      <c r="C33" s="1037" t="s">
        <v>2247</v>
      </c>
      <c r="D33" s="1037" t="s">
        <v>2248</v>
      </c>
    </row>
    <row r="34" spans="1:4" ht="68.400000000000006" customHeight="1">
      <c r="A34" s="1005" t="s">
        <v>2308</v>
      </c>
      <c r="B34" s="1006" t="s">
        <v>2227</v>
      </c>
      <c r="C34" s="1005" t="s">
        <v>2309</v>
      </c>
      <c r="D34" s="1005" t="s">
        <v>2310</v>
      </c>
    </row>
    <row r="35" spans="1:4" ht="83.4" customHeight="1">
      <c r="A35" s="1005" t="s">
        <v>2311</v>
      </c>
      <c r="B35" s="1006" t="s">
        <v>2227</v>
      </c>
      <c r="C35" s="1005" t="s">
        <v>2312</v>
      </c>
      <c r="D35" s="1005" t="s">
        <v>2313</v>
      </c>
    </row>
    <row r="36" spans="1:4" ht="33.6" customHeight="1">
      <c r="A36" s="1005" t="s">
        <v>2314</v>
      </c>
      <c r="B36" s="1006" t="s">
        <v>2246</v>
      </c>
      <c r="C36" s="1037" t="s">
        <v>2247</v>
      </c>
      <c r="D36" s="1037" t="s">
        <v>2248</v>
      </c>
    </row>
    <row r="37" spans="1:4" ht="81" customHeight="1">
      <c r="A37" s="1005" t="s">
        <v>2315</v>
      </c>
      <c r="B37" s="1006" t="s">
        <v>2227</v>
      </c>
      <c r="C37" s="1005" t="s">
        <v>2316</v>
      </c>
      <c r="D37" s="1005" t="s">
        <v>2317</v>
      </c>
    </row>
    <row r="38" spans="1:4" ht="25.95" customHeight="1">
      <c r="A38" s="1005" t="s">
        <v>2318</v>
      </c>
      <c r="B38" s="1006" t="s">
        <v>2246</v>
      </c>
      <c r="C38" s="1037" t="s">
        <v>2247</v>
      </c>
      <c r="D38" s="1037" t="s">
        <v>2248</v>
      </c>
    </row>
    <row r="39" spans="1:4" ht="139.19999999999999" customHeight="1">
      <c r="A39" s="1043" t="s">
        <v>2319</v>
      </c>
      <c r="B39" s="1006" t="s">
        <v>2227</v>
      </c>
      <c r="C39" s="1014" t="s">
        <v>2320</v>
      </c>
      <c r="D39" s="1014" t="s">
        <v>2321</v>
      </c>
    </row>
    <row r="41" spans="1:4" ht="19.5" customHeight="1">
      <c r="A41" s="2137" t="s">
        <v>1513</v>
      </c>
      <c r="B41" s="2138"/>
      <c r="C41" s="2138"/>
      <c r="D41" s="2139"/>
    </row>
    <row r="42" spans="1:4" ht="252" customHeight="1">
      <c r="A42" s="2140" t="s">
        <v>2322</v>
      </c>
      <c r="B42" s="2141"/>
      <c r="C42" s="2141"/>
      <c r="D42" s="2142"/>
    </row>
  </sheetData>
  <mergeCells count="4">
    <mergeCell ref="A1:D1"/>
    <mergeCell ref="A2:D2"/>
    <mergeCell ref="A41:D41"/>
    <mergeCell ref="A42:D42"/>
  </mergeCells>
  <printOptions horizontalCentered="1"/>
  <pageMargins left="0.39370078740157483" right="0.39370078740157483" top="0.78740157480314965" bottom="0.39370078740157483" header="0" footer="0.19685039370078741"/>
  <pageSetup paperSize="9" scale="77" fitToHeight="0" orientation="landscape" r:id="rId1"/>
  <headerFooter>
    <oddFooter>&amp;L&amp;"-,Negrito"&amp;K0000FFA: ADEQUADO                                                          I: INADEQUADO                                                 PA: PARCIALMENTE ADEQUADO                                                           NSA: NÃO SE APLICA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23</vt:i4>
      </vt:variant>
    </vt:vector>
  </HeadingPairs>
  <TitlesOfParts>
    <vt:vector size="38" baseType="lpstr">
      <vt:lpstr>INFORM.CONTRA.</vt:lpstr>
      <vt:lpstr>8 - EVOLUÇÃO FINANCEIRA</vt:lpstr>
      <vt:lpstr>8.1 - CRONOGRAMA</vt:lpstr>
      <vt:lpstr>8.2 - CURVA</vt:lpstr>
      <vt:lpstr>10 - RESUMO</vt:lpstr>
      <vt:lpstr>11 - FINANCEIRA</vt:lpstr>
      <vt:lpstr>12 - CORPO</vt:lpstr>
      <vt:lpstr>13 - CUSTO</vt:lpstr>
      <vt:lpstr>14.1 - VERIFICAÇÃO MT </vt:lpstr>
      <vt:lpstr>14.1.1 - CHECKLIST ROTINAS </vt:lpstr>
      <vt:lpstr>14.2 - VERIFICAÇÃO AMBIENTA </vt:lpstr>
      <vt:lpstr>15 - CRONOGRAMA</vt:lpstr>
      <vt:lpstr>17 - CHECKLIST 1</vt:lpstr>
      <vt:lpstr>17 - CHECKLIST 2</vt:lpstr>
      <vt:lpstr>RELAÇÃO DE PESSOAL</vt:lpstr>
      <vt:lpstr>'10 - RESUMO'!Area_de_impressao</vt:lpstr>
      <vt:lpstr>'11 - FINANCEIRA'!Area_de_impressao</vt:lpstr>
      <vt:lpstr>'12 - CORPO'!Area_de_impressao</vt:lpstr>
      <vt:lpstr>'13 - CUSTO'!Area_de_impressao</vt:lpstr>
      <vt:lpstr>'14.1 - VERIFICAÇÃO MT '!Area_de_impressao</vt:lpstr>
      <vt:lpstr>'14.1.1 - CHECKLIST ROTINAS '!Area_de_impressao</vt:lpstr>
      <vt:lpstr>'14.2 - VERIFICAÇÃO AMBIENTA '!Area_de_impressao</vt:lpstr>
      <vt:lpstr>'15 - CRONOGRAMA'!Area_de_impressao</vt:lpstr>
      <vt:lpstr>'17 - CHECKLIST 1'!Area_de_impressao</vt:lpstr>
      <vt:lpstr>'17 - CHECKLIST 2'!Area_de_impressao</vt:lpstr>
      <vt:lpstr>'8 - EVOLUÇÃO FINANCEIRA'!Area_de_impressao</vt:lpstr>
      <vt:lpstr>'8.1 - CRONOGRAMA'!Area_de_impressao</vt:lpstr>
      <vt:lpstr>'8.2 - CURVA'!Area_de_impressao</vt:lpstr>
      <vt:lpstr>INFORM.CONTRA.!Area_de_impressao</vt:lpstr>
      <vt:lpstr>'RELAÇÃO DE PESSOAL'!Area_de_impressao</vt:lpstr>
      <vt:lpstr>'10 - RESUMO'!Titulos_de_impressao</vt:lpstr>
      <vt:lpstr>'11 - FINANCEIRA'!Titulos_de_impressao</vt:lpstr>
      <vt:lpstr>'12 - CORPO'!Titulos_de_impressao</vt:lpstr>
      <vt:lpstr>'14.1 - VERIFICAÇÃO MT '!Titulos_de_impressao</vt:lpstr>
      <vt:lpstr>'14.1.1 - CHECKLIST ROTINAS '!Titulos_de_impressao</vt:lpstr>
      <vt:lpstr>'14.2 - VERIFICAÇÃO AMBIENTA '!Titulos_de_impressao</vt:lpstr>
      <vt:lpstr>'8 - EVOLUÇÃO FINANCEIRA'!Titulos_de_impressao</vt:lpstr>
      <vt:lpstr>'8.1 - CRONOGRAMA'!Titulos_de_impressao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 Orione Binda Pasquali</dc:creator>
  <cp:keywords/>
  <dc:description/>
  <cp:lastModifiedBy>Denilson André</cp:lastModifiedBy>
  <cp:revision/>
  <cp:lastPrinted>2026-04-08T19:15:54Z</cp:lastPrinted>
  <dcterms:created xsi:type="dcterms:W3CDTF">2019-10-22T16:50:36Z</dcterms:created>
  <dcterms:modified xsi:type="dcterms:W3CDTF">2026-04-15T14:42:52Z</dcterms:modified>
  <cp:category/>
  <cp:contentStatus/>
</cp:coreProperties>
</file>